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https://d.docs.live.net/c371ea58baef8390/Desktop/之后删除/Final/"/>
    </mc:Choice>
  </mc:AlternateContent>
  <xr:revisionPtr revIDLastSave="1287" documentId="8_{A98FC9E6-8031-427A-AE78-A5804D1CE29D}" xr6:coauthVersionLast="47" xr6:coauthVersionMax="47" xr10:uidLastSave="{BF62135D-DEE0-461F-BC7E-08B798DA62E5}"/>
  <bookViews>
    <workbookView xWindow="-98" yWindow="-98" windowWidth="20715" windowHeight="13276" activeTab="8" xr2:uid="{00000000-000D-0000-FFFF-FFFF00000000}"/>
  </bookViews>
  <sheets>
    <sheet name="Input" sheetId="4" r:id="rId1"/>
    <sheet name="Diagnostic test" sheetId="1" r:id="rId2"/>
    <sheet name="Development" sheetId="2" r:id="rId3"/>
    <sheet name="F-S" sheetId="3" r:id="rId4"/>
    <sheet name="Expected" sheetId="5" r:id="rId5"/>
    <sheet name="BF" sheetId="6" r:id="rId6"/>
    <sheet name="BS Technique" sheetId="8" r:id="rId7"/>
    <sheet name="Summary" sheetId="7" r:id="rId8"/>
    <sheet name="ULAE"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30" i="9" l="1"/>
  <c r="I22" i="9"/>
  <c r="I17" i="9"/>
  <c r="I15" i="9"/>
  <c r="I13" i="9"/>
  <c r="I14" i="9"/>
  <c r="I19" i="9"/>
  <c r="I16" i="9"/>
  <c r="I18" i="9"/>
  <c r="I20" i="9"/>
  <c r="I21" i="9"/>
  <c r="H23" i="9"/>
  <c r="H13" i="9"/>
  <c r="F24" i="9"/>
  <c r="H15" i="9"/>
  <c r="H14" i="9"/>
  <c r="P63" i="7" l="1"/>
  <c r="P73" i="7"/>
  <c r="P66" i="7"/>
  <c r="P64" i="7"/>
  <c r="I24" i="9"/>
  <c r="D6" i="9" l="1"/>
  <c r="H16" i="9"/>
  <c r="H17" i="9"/>
  <c r="H18" i="9"/>
  <c r="H19" i="9"/>
  <c r="H20" i="9"/>
  <c r="H21" i="9"/>
  <c r="H22" i="9"/>
  <c r="N13" i="6" l="1"/>
  <c r="P13" i="6"/>
  <c r="F27" i="6"/>
  <c r="I27" i="6"/>
  <c r="P67" i="7"/>
  <c r="N17" i="6"/>
  <c r="P17" i="6" s="1"/>
  <c r="P71" i="7"/>
  <c r="P65" i="7"/>
  <c r="P62" i="7" l="1"/>
  <c r="I17" i="6"/>
  <c r="N9" i="6"/>
  <c r="M9" i="6"/>
  <c r="O9" i="6" s="1"/>
  <c r="E24" i="6" s="1"/>
  <c r="G27" i="5"/>
  <c r="H328" i="3"/>
  <c r="K36" i="5"/>
  <c r="J36" i="5"/>
  <c r="I36" i="5"/>
  <c r="F27" i="5"/>
  <c r="F28" i="5"/>
  <c r="F29" i="5"/>
  <c r="F30" i="5"/>
  <c r="F31" i="5"/>
  <c r="F32" i="5"/>
  <c r="F33" i="5"/>
  <c r="F34" i="5"/>
  <c r="E27" i="5"/>
  <c r="F63" i="7"/>
  <c r="F64" i="7"/>
  <c r="F65" i="7"/>
  <c r="F66" i="7"/>
  <c r="F67" i="7"/>
  <c r="F68" i="7"/>
  <c r="F69" i="7"/>
  <c r="F70" i="7"/>
  <c r="F71" i="7"/>
  <c r="F62" i="7"/>
  <c r="J329" i="3"/>
  <c r="H329" i="3"/>
  <c r="H330" i="3"/>
  <c r="H331" i="3"/>
  <c r="H332" i="3"/>
  <c r="H333" i="3"/>
  <c r="H334" i="3"/>
  <c r="H335" i="3"/>
  <c r="H336" i="3"/>
  <c r="H337" i="3"/>
  <c r="D315" i="3"/>
  <c r="F75" i="2"/>
  <c r="D10" i="1"/>
  <c r="D9" i="1"/>
  <c r="P68" i="7"/>
  <c r="P69" i="7"/>
  <c r="P70" i="7"/>
  <c r="C166" i="8"/>
  <c r="C164" i="8"/>
  <c r="C178" i="8"/>
  <c r="B189" i="8"/>
  <c r="B112" i="8"/>
  <c r="H82" i="8"/>
  <c r="J265" i="3"/>
  <c r="B265" i="3"/>
  <c r="E265" i="3"/>
  <c r="H265" i="3"/>
  <c r="G265" i="3"/>
  <c r="F265" i="3"/>
  <c r="D265" i="3"/>
  <c r="D43" i="3"/>
  <c r="D94" i="2"/>
  <c r="C94" i="2"/>
  <c r="B94" i="2"/>
  <c r="J94" i="2"/>
  <c r="I94" i="2"/>
  <c r="H94" i="2"/>
  <c r="G94" i="2"/>
  <c r="B98" i="2"/>
  <c r="B253" i="1"/>
  <c r="G46" i="1"/>
  <c r="G45" i="1"/>
  <c r="G44" i="1"/>
  <c r="G43" i="1"/>
  <c r="G42" i="1"/>
  <c r="K118" i="2" l="1"/>
  <c r="F218" i="8"/>
  <c r="M13" i="6"/>
  <c r="O13" i="6" s="1"/>
  <c r="I27" i="5"/>
  <c r="F35" i="5"/>
  <c r="I265" i="3"/>
  <c r="C265" i="3"/>
  <c r="J210" i="3"/>
  <c r="I210" i="3"/>
  <c r="H210" i="3"/>
  <c r="G210" i="3"/>
  <c r="F210" i="3"/>
  <c r="E210" i="3"/>
  <c r="D210" i="3"/>
  <c r="C210" i="3"/>
  <c r="B210" i="3"/>
  <c r="L131" i="3"/>
  <c r="L127" i="3"/>
  <c r="L124" i="3"/>
  <c r="L123" i="3"/>
  <c r="L128" i="3"/>
  <c r="L126" i="3"/>
  <c r="F94" i="2"/>
  <c r="E94" i="2"/>
  <c r="D41" i="2"/>
  <c r="K219" i="8"/>
  <c r="K220" i="8"/>
  <c r="K221" i="8"/>
  <c r="K222" i="8"/>
  <c r="K223" i="8"/>
  <c r="K224" i="8"/>
  <c r="K225" i="8"/>
  <c r="K226" i="8"/>
  <c r="K227" i="8"/>
  <c r="K218" i="8"/>
  <c r="F219" i="8"/>
  <c r="F220" i="8"/>
  <c r="F221" i="8"/>
  <c r="F222" i="8"/>
  <c r="F223" i="8"/>
  <c r="F224" i="8"/>
  <c r="F225" i="8"/>
  <c r="F226" i="8"/>
  <c r="F227" i="8"/>
  <c r="C205" i="8"/>
  <c r="F205" i="8"/>
  <c r="G205" i="8"/>
  <c r="H205" i="8"/>
  <c r="I205" i="8"/>
  <c r="E205" i="8"/>
  <c r="D205" i="8"/>
  <c r="J205" i="8"/>
  <c r="I199" i="8"/>
  <c r="B205" i="8"/>
  <c r="B199" i="8"/>
  <c r="C199" i="8"/>
  <c r="D199" i="8"/>
  <c r="E199" i="8"/>
  <c r="F199" i="8"/>
  <c r="G199" i="8"/>
  <c r="H199" i="8"/>
  <c r="J164" i="8"/>
  <c r="I164" i="8"/>
  <c r="I165" i="8"/>
  <c r="H164" i="8"/>
  <c r="H165" i="8"/>
  <c r="H166" i="8"/>
  <c r="G164" i="8"/>
  <c r="G165" i="8"/>
  <c r="G166" i="8"/>
  <c r="G167" i="8"/>
  <c r="F164" i="8"/>
  <c r="F165" i="8"/>
  <c r="F166" i="8"/>
  <c r="F167" i="8"/>
  <c r="F168" i="8"/>
  <c r="E164" i="8"/>
  <c r="E165" i="8"/>
  <c r="E166" i="8"/>
  <c r="E167" i="8"/>
  <c r="E168" i="8"/>
  <c r="E169" i="8"/>
  <c r="D164" i="8"/>
  <c r="D165" i="8"/>
  <c r="D166" i="8"/>
  <c r="D167" i="8"/>
  <c r="D168" i="8"/>
  <c r="D169" i="8"/>
  <c r="D170" i="8"/>
  <c r="C165" i="8"/>
  <c r="C167" i="8"/>
  <c r="C168" i="8"/>
  <c r="C169" i="8"/>
  <c r="C170" i="8"/>
  <c r="C171" i="8"/>
  <c r="B164" i="8"/>
  <c r="B165" i="8"/>
  <c r="B166" i="8"/>
  <c r="B167" i="8"/>
  <c r="B168" i="8"/>
  <c r="B169" i="8"/>
  <c r="B170" i="8"/>
  <c r="B171" i="8"/>
  <c r="B172" i="8"/>
  <c r="C163" i="8"/>
  <c r="D163" i="8"/>
  <c r="E163" i="8"/>
  <c r="F163" i="8"/>
  <c r="G163" i="8"/>
  <c r="H163" i="8"/>
  <c r="I163" i="8"/>
  <c r="J163" i="8"/>
  <c r="K163" i="8"/>
  <c r="B163" i="8"/>
  <c r="K328" i="3"/>
  <c r="J315" i="3"/>
  <c r="J328" i="3"/>
  <c r="K315" i="3"/>
  <c r="M300" i="3"/>
  <c r="K300" i="3"/>
  <c r="I308" i="3"/>
  <c r="I307" i="3"/>
  <c r="I306" i="3"/>
  <c r="I305" i="3"/>
  <c r="I304" i="3"/>
  <c r="I303" i="3"/>
  <c r="I302" i="3"/>
  <c r="I301" i="3"/>
  <c r="I300" i="3"/>
  <c r="L289" i="3"/>
  <c r="L290" i="3"/>
  <c r="L291" i="3"/>
  <c r="L292" i="3"/>
  <c r="L293" i="3"/>
  <c r="L294" i="3"/>
  <c r="L288" i="3"/>
  <c r="L287" i="3"/>
  <c r="L286" i="3"/>
  <c r="D8" i="9" l="1"/>
  <c r="J128" i="8"/>
  <c r="I129" i="8"/>
  <c r="I57" i="8"/>
  <c r="H130" i="8"/>
  <c r="G131" i="8"/>
  <c r="F132" i="8"/>
  <c r="E133" i="8"/>
  <c r="D131" i="8"/>
  <c r="D134" i="8"/>
  <c r="C135" i="8"/>
  <c r="J58" i="8"/>
  <c r="I58" i="8"/>
  <c r="I59" i="8"/>
  <c r="H178" i="8" s="1"/>
  <c r="H58" i="8"/>
  <c r="H59" i="8"/>
  <c r="H60" i="8"/>
  <c r="G58" i="8"/>
  <c r="G59" i="8"/>
  <c r="G60" i="8"/>
  <c r="G61" i="8"/>
  <c r="F58" i="8"/>
  <c r="F59" i="8"/>
  <c r="F60" i="8"/>
  <c r="F61" i="8"/>
  <c r="F62" i="8"/>
  <c r="E58" i="8"/>
  <c r="E59" i="8"/>
  <c r="E60" i="8"/>
  <c r="E61" i="8"/>
  <c r="E62" i="8"/>
  <c r="E63" i="8"/>
  <c r="D182" i="8" s="1"/>
  <c r="D58" i="8"/>
  <c r="D59" i="8"/>
  <c r="D60" i="8"/>
  <c r="D61" i="8"/>
  <c r="D62" i="8"/>
  <c r="D63" i="8"/>
  <c r="D64" i="8"/>
  <c r="C58" i="8"/>
  <c r="C59" i="8"/>
  <c r="C60" i="8"/>
  <c r="C61" i="8"/>
  <c r="C62" i="8"/>
  <c r="C63" i="8"/>
  <c r="C64" i="8"/>
  <c r="C65" i="8"/>
  <c r="C57" i="8"/>
  <c r="C70" i="8" s="1"/>
  <c r="D57" i="8"/>
  <c r="E57" i="8"/>
  <c r="F57" i="8"/>
  <c r="G57" i="8"/>
  <c r="H57" i="8"/>
  <c r="J57" i="8"/>
  <c r="K57" i="8"/>
  <c r="B58" i="8"/>
  <c r="B59" i="8"/>
  <c r="B60" i="8"/>
  <c r="B61" i="8"/>
  <c r="B62" i="8"/>
  <c r="B63" i="8"/>
  <c r="B64" i="8"/>
  <c r="B65" i="8"/>
  <c r="B66" i="8"/>
  <c r="B57" i="8"/>
  <c r="B136" i="8"/>
  <c r="M135" i="8"/>
  <c r="I128" i="8" s="1"/>
  <c r="M134" i="8"/>
  <c r="D132" i="8" s="1"/>
  <c r="M133" i="8"/>
  <c r="E130" i="8" s="1"/>
  <c r="M132" i="8"/>
  <c r="B132" i="8" s="1"/>
  <c r="M131" i="8"/>
  <c r="E128" i="8" s="1"/>
  <c r="M130" i="8"/>
  <c r="D128" i="8" s="1"/>
  <c r="M129" i="8"/>
  <c r="C128" i="8" s="1"/>
  <c r="M128" i="8"/>
  <c r="B128" i="8" s="1"/>
  <c r="J32" i="8"/>
  <c r="J71" i="8" s="1"/>
  <c r="I32" i="8"/>
  <c r="I71" i="8" s="1"/>
  <c r="I33" i="8"/>
  <c r="I72" i="8" s="1"/>
  <c r="H32" i="8"/>
  <c r="H71" i="8" s="1"/>
  <c r="H33" i="8"/>
  <c r="H72" i="8" s="1"/>
  <c r="H34" i="8"/>
  <c r="H73" i="8" s="1"/>
  <c r="G32" i="8"/>
  <c r="G71" i="8" s="1"/>
  <c r="G33" i="8"/>
  <c r="G72" i="8" s="1"/>
  <c r="G34" i="8"/>
  <c r="G73" i="8" s="1"/>
  <c r="G35" i="8"/>
  <c r="G74" i="8" s="1"/>
  <c r="F32" i="8"/>
  <c r="F33" i="8"/>
  <c r="F72" i="8" s="1"/>
  <c r="F34" i="8"/>
  <c r="F35" i="8"/>
  <c r="F74" i="8" s="1"/>
  <c r="F36" i="8"/>
  <c r="F75" i="8" s="1"/>
  <c r="E32" i="8"/>
  <c r="E71" i="8" s="1"/>
  <c r="E33" i="8"/>
  <c r="E72" i="8" s="1"/>
  <c r="E34" i="8"/>
  <c r="E73" i="8" s="1"/>
  <c r="E35" i="8"/>
  <c r="E36" i="8"/>
  <c r="E75" i="8" s="1"/>
  <c r="E37" i="8"/>
  <c r="E76" i="8" s="1"/>
  <c r="D32" i="8"/>
  <c r="D71" i="8" s="1"/>
  <c r="D33" i="8"/>
  <c r="D72" i="8" s="1"/>
  <c r="D34" i="8"/>
  <c r="D73" i="8" s="1"/>
  <c r="D35" i="8"/>
  <c r="D74" i="8" s="1"/>
  <c r="D36" i="8"/>
  <c r="D75" i="8" s="1"/>
  <c r="D37" i="8"/>
  <c r="D38" i="8"/>
  <c r="D77" i="8" s="1"/>
  <c r="D82" i="8" s="1"/>
  <c r="C32" i="8"/>
  <c r="C71" i="8" s="1"/>
  <c r="C33" i="8"/>
  <c r="C72" i="8" s="1"/>
  <c r="C34" i="8"/>
  <c r="C73" i="8" s="1"/>
  <c r="C35" i="8"/>
  <c r="C74" i="8" s="1"/>
  <c r="C36" i="8"/>
  <c r="C75" i="8" s="1"/>
  <c r="C37" i="8"/>
  <c r="C76" i="8" s="1"/>
  <c r="C38" i="8"/>
  <c r="C39" i="8"/>
  <c r="C78" i="8" s="1"/>
  <c r="B32" i="8"/>
  <c r="B71" i="8" s="1"/>
  <c r="B33" i="8"/>
  <c r="B72" i="8" s="1"/>
  <c r="B34" i="8"/>
  <c r="B73" i="8" s="1"/>
  <c r="B35" i="8"/>
  <c r="B74" i="8" s="1"/>
  <c r="B36" i="8"/>
  <c r="B75" i="8" s="1"/>
  <c r="B37" i="8"/>
  <c r="B76" i="8" s="1"/>
  <c r="B38" i="8"/>
  <c r="B39" i="8"/>
  <c r="B78" i="8" s="1"/>
  <c r="B40" i="8"/>
  <c r="C31" i="8"/>
  <c r="D31" i="8"/>
  <c r="D70" i="8" s="1"/>
  <c r="E31" i="8"/>
  <c r="E70" i="8" s="1"/>
  <c r="F31" i="8"/>
  <c r="G31" i="8"/>
  <c r="G70" i="8" s="1"/>
  <c r="H31" i="8"/>
  <c r="H70" i="8" s="1"/>
  <c r="I31" i="8"/>
  <c r="I70" i="8" s="1"/>
  <c r="J31" i="8"/>
  <c r="J70" i="8" s="1"/>
  <c r="K31" i="8"/>
  <c r="K70" i="8" s="1"/>
  <c r="B31" i="8"/>
  <c r="B70" i="8" s="1"/>
  <c r="J101" i="8"/>
  <c r="I101" i="8"/>
  <c r="I102" i="8"/>
  <c r="H101" i="8"/>
  <c r="H102" i="8"/>
  <c r="H103" i="8"/>
  <c r="H112" i="8" s="1"/>
  <c r="G101" i="8"/>
  <c r="G102" i="8"/>
  <c r="G103" i="8"/>
  <c r="G104" i="8"/>
  <c r="F101" i="8"/>
  <c r="F102" i="8"/>
  <c r="F103" i="8"/>
  <c r="F104" i="8"/>
  <c r="F105" i="8"/>
  <c r="E101" i="8"/>
  <c r="E102" i="8"/>
  <c r="E103" i="8"/>
  <c r="E104" i="8"/>
  <c r="E105" i="8"/>
  <c r="E106" i="8"/>
  <c r="E112" i="8" s="1"/>
  <c r="D101" i="8"/>
  <c r="D102" i="8"/>
  <c r="D103" i="8"/>
  <c r="D104" i="8"/>
  <c r="D105" i="8"/>
  <c r="D106" i="8"/>
  <c r="D107" i="8"/>
  <c r="D112" i="8" s="1"/>
  <c r="C101" i="8"/>
  <c r="C102" i="8"/>
  <c r="C103" i="8"/>
  <c r="C104" i="8"/>
  <c r="C105" i="8"/>
  <c r="C106" i="8"/>
  <c r="C107" i="8"/>
  <c r="C108" i="8"/>
  <c r="C100" i="8"/>
  <c r="D100" i="8"/>
  <c r="E100" i="8"/>
  <c r="F100" i="8"/>
  <c r="G100" i="8"/>
  <c r="H100" i="8"/>
  <c r="I100" i="8"/>
  <c r="J100" i="8"/>
  <c r="K100" i="8"/>
  <c r="B101" i="8"/>
  <c r="B102" i="8"/>
  <c r="B103" i="8"/>
  <c r="B104" i="8"/>
  <c r="B105" i="8"/>
  <c r="B106" i="8"/>
  <c r="B107" i="8"/>
  <c r="B108" i="8"/>
  <c r="B109" i="8"/>
  <c r="B100" i="8"/>
  <c r="G178" i="8" l="1"/>
  <c r="C180" i="8"/>
  <c r="J192" i="8"/>
  <c r="J195" i="8" s="1"/>
  <c r="J199" i="8" s="1"/>
  <c r="I176" i="8"/>
  <c r="B176" i="8"/>
  <c r="J176" i="8"/>
  <c r="J189" i="8" s="1"/>
  <c r="J190" i="8" s="1"/>
  <c r="C82" i="8"/>
  <c r="I112" i="8"/>
  <c r="B77" i="8"/>
  <c r="C77" i="8"/>
  <c r="E74" i="8"/>
  <c r="F71" i="8"/>
  <c r="E129" i="8"/>
  <c r="G112" i="8"/>
  <c r="F180" i="8"/>
  <c r="C131" i="8"/>
  <c r="B179" i="8" s="1"/>
  <c r="F131" i="8"/>
  <c r="F70" i="8"/>
  <c r="F82" i="8" s="1"/>
  <c r="C183" i="8"/>
  <c r="G128" i="8"/>
  <c r="C112" i="8"/>
  <c r="J112" i="8"/>
  <c r="F112" i="8"/>
  <c r="B184" i="8"/>
  <c r="F73" i="8"/>
  <c r="D133" i="8"/>
  <c r="G130" i="8"/>
  <c r="G82" i="8"/>
  <c r="E82" i="8"/>
  <c r="I82" i="8"/>
  <c r="J82" i="8"/>
  <c r="D76" i="8"/>
  <c r="B129" i="8"/>
  <c r="C130" i="8"/>
  <c r="D130" i="8"/>
  <c r="D178" i="8" s="1"/>
  <c r="F128" i="8"/>
  <c r="E176" i="8" s="1"/>
  <c r="G129" i="8"/>
  <c r="F177" i="8" s="1"/>
  <c r="B134" i="8"/>
  <c r="B130" i="8"/>
  <c r="C129" i="8"/>
  <c r="B177" i="8" s="1"/>
  <c r="D129" i="8"/>
  <c r="H128" i="8"/>
  <c r="F130" i="8"/>
  <c r="E178" i="8" s="1"/>
  <c r="H129" i="8"/>
  <c r="B131" i="8"/>
  <c r="B79" i="8"/>
  <c r="B82" i="8" s="1"/>
  <c r="B133" i="8"/>
  <c r="C134" i="8"/>
  <c r="C182" i="8" s="1"/>
  <c r="E132" i="8"/>
  <c r="F129" i="8"/>
  <c r="C133" i="8"/>
  <c r="E131" i="8"/>
  <c r="D179" i="8" s="1"/>
  <c r="B135" i="8"/>
  <c r="C132" i="8"/>
  <c r="J27" i="5"/>
  <c r="G218" i="3"/>
  <c r="F218" i="3"/>
  <c r="E218" i="3"/>
  <c r="D218" i="3"/>
  <c r="C218" i="3"/>
  <c r="B218" i="3"/>
  <c r="F295" i="3" s="1"/>
  <c r="D295" i="3"/>
  <c r="B180" i="3"/>
  <c r="E28" i="6"/>
  <c r="H28" i="6" s="1"/>
  <c r="P9" i="6"/>
  <c r="F24" i="6" s="1"/>
  <c r="I24" i="6" s="1"/>
  <c r="N10" i="6"/>
  <c r="N11" i="6"/>
  <c r="P11" i="6" s="1"/>
  <c r="F26" i="6" s="1"/>
  <c r="I26" i="6" s="1"/>
  <c r="N12" i="6"/>
  <c r="F28" i="6"/>
  <c r="I28" i="6" s="1"/>
  <c r="N14" i="6"/>
  <c r="N15" i="6"/>
  <c r="P15" i="6" s="1"/>
  <c r="F30" i="6" s="1"/>
  <c r="I30" i="6" s="1"/>
  <c r="N16" i="6"/>
  <c r="F32" i="6"/>
  <c r="I32" i="6" s="1"/>
  <c r="N8" i="6"/>
  <c r="P8" i="6" s="1"/>
  <c r="F23" i="6" s="1"/>
  <c r="I23" i="6" s="1"/>
  <c r="H24" i="6"/>
  <c r="M10" i="6"/>
  <c r="O10" i="6" s="1"/>
  <c r="E25" i="6" s="1"/>
  <c r="H25" i="6" s="1"/>
  <c r="M11" i="6"/>
  <c r="O11" i="6" s="1"/>
  <c r="E26" i="6" s="1"/>
  <c r="H26" i="6" s="1"/>
  <c r="M12" i="6"/>
  <c r="O12" i="6" s="1"/>
  <c r="E27" i="6" s="1"/>
  <c r="H27" i="6" s="1"/>
  <c r="M14" i="6"/>
  <c r="O14" i="6" s="1"/>
  <c r="E29" i="6" s="1"/>
  <c r="H29" i="6" s="1"/>
  <c r="M15" i="6"/>
  <c r="O15" i="6" s="1"/>
  <c r="E30" i="6" s="1"/>
  <c r="H30" i="6" s="1"/>
  <c r="M16" i="6"/>
  <c r="O16" i="6" s="1"/>
  <c r="E31" i="6" s="1"/>
  <c r="H31" i="6" s="1"/>
  <c r="M17" i="6"/>
  <c r="O17" i="6" s="1"/>
  <c r="E32" i="6" s="1"/>
  <c r="H32" i="6" s="1"/>
  <c r="M8" i="6"/>
  <c r="P14" i="6" l="1"/>
  <c r="F29" i="6" s="1"/>
  <c r="I29" i="6" s="1"/>
  <c r="P16" i="6"/>
  <c r="F31" i="6" s="1"/>
  <c r="I31" i="6" s="1"/>
  <c r="P12" i="6"/>
  <c r="P10" i="6"/>
  <c r="F25" i="6" s="1"/>
  <c r="I25" i="6" s="1"/>
  <c r="O8" i="6"/>
  <c r="E23" i="6" s="1"/>
  <c r="H23" i="6" s="1"/>
  <c r="E179" i="8"/>
  <c r="E193" i="8"/>
  <c r="B180" i="8"/>
  <c r="B192" i="8"/>
  <c r="F178" i="8"/>
  <c r="F193" i="8"/>
  <c r="D192" i="8"/>
  <c r="C192" i="8" s="1" a="1"/>
  <c r="C192" i="8" s="1"/>
  <c r="C181" i="8"/>
  <c r="C190" i="8" s="1"/>
  <c r="C193" i="8"/>
  <c r="H177" i="8"/>
  <c r="I192" i="8"/>
  <c r="I193" i="8" s="1"/>
  <c r="C179" i="8"/>
  <c r="G177" i="8"/>
  <c r="G193" i="8"/>
  <c r="F192" i="8"/>
  <c r="F176" i="8"/>
  <c r="E180" i="8"/>
  <c r="C176" i="8"/>
  <c r="E177" i="8"/>
  <c r="E192" i="8"/>
  <c r="B183" i="8"/>
  <c r="B181" i="8"/>
  <c r="D193" i="8"/>
  <c r="D180" i="8"/>
  <c r="G176" i="8"/>
  <c r="H176" i="8"/>
  <c r="G192" i="8"/>
  <c r="B178" i="8"/>
  <c r="J193" i="8"/>
  <c r="F179" i="8"/>
  <c r="D181" i="8"/>
  <c r="E181" i="8"/>
  <c r="E195" i="8" s="1"/>
  <c r="H192" i="8"/>
  <c r="H193" i="8" s="1"/>
  <c r="D176" i="8"/>
  <c r="B193" i="8"/>
  <c r="B182" i="8"/>
  <c r="C177" i="8"/>
  <c r="D177" i="8"/>
  <c r="I177" i="8"/>
  <c r="I189" i="8" s="1"/>
  <c r="I190" i="8" s="1"/>
  <c r="G179" i="8"/>
  <c r="J9" i="6"/>
  <c r="J10" i="6"/>
  <c r="J11" i="6"/>
  <c r="J12" i="6"/>
  <c r="J13" i="6"/>
  <c r="J14" i="6"/>
  <c r="J15" i="6"/>
  <c r="J16" i="6"/>
  <c r="J17" i="6"/>
  <c r="J8" i="6"/>
  <c r="I9" i="6"/>
  <c r="I10" i="6"/>
  <c r="I11" i="6"/>
  <c r="I12" i="6"/>
  <c r="I13" i="6"/>
  <c r="I14" i="6"/>
  <c r="I15" i="6"/>
  <c r="I16" i="6"/>
  <c r="I8" i="6"/>
  <c r="H9" i="6"/>
  <c r="H10" i="6"/>
  <c r="H11" i="6"/>
  <c r="H12" i="6"/>
  <c r="H13" i="6"/>
  <c r="H14" i="6"/>
  <c r="H15" i="6"/>
  <c r="H16" i="6"/>
  <c r="H17" i="6"/>
  <c r="H8" i="6"/>
  <c r="G9" i="6"/>
  <c r="G10" i="6"/>
  <c r="G11" i="6"/>
  <c r="G12" i="6"/>
  <c r="G13" i="6"/>
  <c r="G14" i="6"/>
  <c r="G15" i="6"/>
  <c r="G16" i="6"/>
  <c r="G17" i="6"/>
  <c r="G8" i="6"/>
  <c r="K27" i="5"/>
  <c r="G30" i="5"/>
  <c r="I30" i="5" s="1"/>
  <c r="G31" i="5"/>
  <c r="I31" i="5" s="1"/>
  <c r="G32" i="5"/>
  <c r="I32" i="5" s="1"/>
  <c r="G33" i="5"/>
  <c r="I33" i="5" s="1"/>
  <c r="G34" i="5"/>
  <c r="I34" i="5" s="1"/>
  <c r="G35" i="5"/>
  <c r="I35" i="5" s="1"/>
  <c r="G36" i="5"/>
  <c r="J35" i="5" l="1"/>
  <c r="K35" i="5"/>
  <c r="J34" i="5"/>
  <c r="K34" i="5"/>
  <c r="J33" i="5"/>
  <c r="K33" i="5"/>
  <c r="J32" i="5"/>
  <c r="K32" i="5"/>
  <c r="J31" i="5"/>
  <c r="K31" i="5"/>
  <c r="K30" i="5"/>
  <c r="J30" i="5"/>
  <c r="B190" i="8"/>
  <c r="F190" i="8"/>
  <c r="C189" i="8"/>
  <c r="C195" i="8"/>
  <c r="D195" i="8"/>
  <c r="G190" i="8"/>
  <c r="B195" i="8"/>
  <c r="I195" i="8"/>
  <c r="F189" i="8"/>
  <c r="E189" i="8"/>
  <c r="E190" i="8"/>
  <c r="G189" i="8"/>
  <c r="G195" i="8"/>
  <c r="D190" i="8"/>
  <c r="H195" i="8"/>
  <c r="H189" i="8"/>
  <c r="H190" i="8" s="1"/>
  <c r="F195" i="8"/>
  <c r="D189" i="8"/>
  <c r="E33" i="5"/>
  <c r="E28" i="5"/>
  <c r="G28" i="5" s="1"/>
  <c r="I28" i="5" s="1"/>
  <c r="J28" i="5" s="1"/>
  <c r="E29" i="5"/>
  <c r="G29" i="5" s="1"/>
  <c r="I29" i="5" s="1"/>
  <c r="J29" i="5" s="1"/>
  <c r="E30" i="5"/>
  <c r="E31" i="5"/>
  <c r="E32" i="5"/>
  <c r="E34" i="5"/>
  <c r="E35" i="5"/>
  <c r="E36" i="5"/>
  <c r="B41" i="2"/>
  <c r="B27" i="2"/>
  <c r="B26" i="2"/>
  <c r="B25" i="2"/>
  <c r="B24" i="2"/>
  <c r="B23" i="2"/>
  <c r="B22" i="2"/>
  <c r="B38" i="2"/>
  <c r="K29" i="5" l="1"/>
  <c r="K28" i="5"/>
  <c r="K171" i="3"/>
  <c r="B206" i="3"/>
  <c r="B204" i="3"/>
  <c r="B201" i="3"/>
  <c r="B192" i="3"/>
  <c r="D186" i="3"/>
  <c r="M301" i="3"/>
  <c r="M303" i="3"/>
  <c r="D318" i="3" s="1"/>
  <c r="K318" i="3" s="1"/>
  <c r="M307" i="3"/>
  <c r="D322" i="3" s="1"/>
  <c r="K322" i="3" s="1"/>
  <c r="M308" i="3"/>
  <c r="D323" i="3" s="1"/>
  <c r="K323" i="3" s="1"/>
  <c r="M309" i="3"/>
  <c r="D324" i="3" s="1"/>
  <c r="K324" i="3" s="1"/>
  <c r="G300" i="3"/>
  <c r="K301" i="3"/>
  <c r="K302" i="3"/>
  <c r="M302" i="3" s="1"/>
  <c r="K303" i="3"/>
  <c r="K304" i="3"/>
  <c r="M304" i="3" s="1"/>
  <c r="D319" i="3" s="1"/>
  <c r="K319" i="3" s="1"/>
  <c r="K305" i="3"/>
  <c r="M305" i="3" s="1"/>
  <c r="D320" i="3" s="1"/>
  <c r="K320" i="3" s="1"/>
  <c r="K306" i="3"/>
  <c r="M306" i="3" s="1"/>
  <c r="D321" i="3" s="1"/>
  <c r="J321" i="3" s="1"/>
  <c r="K307" i="3"/>
  <c r="K308" i="3"/>
  <c r="K309" i="3"/>
  <c r="G301" i="3"/>
  <c r="G302" i="3"/>
  <c r="G303" i="3"/>
  <c r="G304" i="3"/>
  <c r="G305" i="3"/>
  <c r="G306" i="3"/>
  <c r="G307" i="3"/>
  <c r="G308" i="3"/>
  <c r="G309" i="3"/>
  <c r="L122" i="3"/>
  <c r="L125" i="3"/>
  <c r="L129" i="3"/>
  <c r="L130" i="3"/>
  <c r="I122" i="3"/>
  <c r="N287" i="3"/>
  <c r="N288" i="3"/>
  <c r="N289" i="3"/>
  <c r="N286" i="3"/>
  <c r="F294" i="3"/>
  <c r="F293" i="3"/>
  <c r="F292" i="3"/>
  <c r="I292" i="3" s="1"/>
  <c r="F291" i="3"/>
  <c r="F290" i="3"/>
  <c r="I290" i="3" s="1"/>
  <c r="F289" i="3"/>
  <c r="F288" i="3"/>
  <c r="F287" i="3"/>
  <c r="I287" i="3" s="1"/>
  <c r="F286" i="3"/>
  <c r="I289" i="3"/>
  <c r="D294" i="3"/>
  <c r="D293" i="3"/>
  <c r="D292" i="3"/>
  <c r="D291" i="3"/>
  <c r="D290" i="3"/>
  <c r="D289" i="3"/>
  <c r="D288" i="3"/>
  <c r="D287" i="3"/>
  <c r="D286" i="3"/>
  <c r="C21" i="3"/>
  <c r="C22" i="3"/>
  <c r="C23" i="3"/>
  <c r="C24" i="3"/>
  <c r="C34" i="3" s="1"/>
  <c r="C25" i="3"/>
  <c r="C26" i="3"/>
  <c r="C35" i="3" s="1"/>
  <c r="C27" i="3"/>
  <c r="C28" i="3"/>
  <c r="C37" i="3"/>
  <c r="C38" i="3"/>
  <c r="C76" i="3"/>
  <c r="C77" i="3"/>
  <c r="C78" i="3"/>
  <c r="C79" i="3"/>
  <c r="C80" i="3"/>
  <c r="C81" i="3"/>
  <c r="C91" i="3" s="1"/>
  <c r="C82" i="3"/>
  <c r="C90" i="3" s="1"/>
  <c r="C100" i="3" s="1"/>
  <c r="C83" i="3"/>
  <c r="C93" i="3"/>
  <c r="C94" i="3"/>
  <c r="C122" i="3"/>
  <c r="C133" i="3" s="1"/>
  <c r="C123" i="3"/>
  <c r="C124" i="3"/>
  <c r="C125" i="3"/>
  <c r="C126" i="3"/>
  <c r="C127" i="3"/>
  <c r="C128" i="3"/>
  <c r="C129" i="3"/>
  <c r="C130" i="3"/>
  <c r="C131" i="3"/>
  <c r="C171" i="3"/>
  <c r="C172" i="3"/>
  <c r="C173" i="3"/>
  <c r="C174" i="3"/>
  <c r="C175" i="3"/>
  <c r="C176" i="3"/>
  <c r="C177" i="3"/>
  <c r="C178" i="3"/>
  <c r="C179" i="3"/>
  <c r="C189" i="3"/>
  <c r="C190" i="3"/>
  <c r="C241" i="3"/>
  <c r="C242" i="3"/>
  <c r="C243" i="3"/>
  <c r="C244" i="3"/>
  <c r="C255" i="3" s="1"/>
  <c r="C245" i="3"/>
  <c r="C246" i="3"/>
  <c r="C256" i="3" s="1"/>
  <c r="C247" i="3"/>
  <c r="C248" i="3"/>
  <c r="C258" i="3"/>
  <c r="C259" i="3"/>
  <c r="I294" i="3"/>
  <c r="N294" i="3" s="1"/>
  <c r="K272" i="3"/>
  <c r="D259" i="3"/>
  <c r="F259" i="3"/>
  <c r="B259" i="3"/>
  <c r="G259" i="3"/>
  <c r="E259" i="3"/>
  <c r="J258" i="3"/>
  <c r="J261" i="3" s="1"/>
  <c r="J272" i="3" s="1"/>
  <c r="I258" i="3"/>
  <c r="I259" i="3" s="1"/>
  <c r="H258" i="3"/>
  <c r="H259" i="3" s="1"/>
  <c r="G258" i="3"/>
  <c r="F258" i="3"/>
  <c r="E258" i="3"/>
  <c r="D258" i="3"/>
  <c r="B258" i="3"/>
  <c r="B241" i="3"/>
  <c r="B249" i="3"/>
  <c r="B248" i="3"/>
  <c r="B256" i="3" s="1"/>
  <c r="D247" i="3"/>
  <c r="B247" i="3"/>
  <c r="E246" i="3"/>
  <c r="D246" i="3"/>
  <c r="B246" i="3"/>
  <c r="F245" i="3"/>
  <c r="E245" i="3"/>
  <c r="D245" i="3"/>
  <c r="D256" i="3" s="1"/>
  <c r="B245" i="3"/>
  <c r="G244" i="3"/>
  <c r="F244" i="3"/>
  <c r="E244" i="3"/>
  <c r="D244" i="3"/>
  <c r="B244" i="3"/>
  <c r="H243" i="3"/>
  <c r="G243" i="3"/>
  <c r="F243" i="3"/>
  <c r="E243" i="3"/>
  <c r="D243" i="3"/>
  <c r="B243" i="3"/>
  <c r="I242" i="3"/>
  <c r="H242" i="3"/>
  <c r="G242" i="3"/>
  <c r="F242" i="3"/>
  <c r="E242" i="3"/>
  <c r="D242" i="3"/>
  <c r="B242" i="3"/>
  <c r="J241" i="3"/>
  <c r="J255" i="3" s="1"/>
  <c r="J256" i="3" s="1"/>
  <c r="I241" i="3"/>
  <c r="I261" i="3" s="1"/>
  <c r="I272" i="3" s="1"/>
  <c r="H241" i="3"/>
  <c r="G241" i="3"/>
  <c r="F241" i="3"/>
  <c r="E241" i="3"/>
  <c r="D241" i="3"/>
  <c r="K218" i="3"/>
  <c r="E93" i="3"/>
  <c r="G93" i="3"/>
  <c r="G38" i="3"/>
  <c r="E38" i="3"/>
  <c r="G94" i="3"/>
  <c r="F94" i="3"/>
  <c r="E94" i="3"/>
  <c r="D94" i="3"/>
  <c r="B94" i="3"/>
  <c r="J172" i="3"/>
  <c r="I172" i="3"/>
  <c r="I173" i="3"/>
  <c r="H188" i="3" s="1"/>
  <c r="H172" i="3"/>
  <c r="H173" i="3"/>
  <c r="H174" i="3"/>
  <c r="G189" i="3" s="1"/>
  <c r="G172" i="3"/>
  <c r="G173" i="3"/>
  <c r="G174" i="3"/>
  <c r="G175" i="3"/>
  <c r="F190" i="3" s="1"/>
  <c r="F172" i="3"/>
  <c r="E187" i="3" s="1"/>
  <c r="F173" i="3"/>
  <c r="E188" i="3" s="1"/>
  <c r="F174" i="3"/>
  <c r="F175" i="3"/>
  <c r="F176" i="3"/>
  <c r="E172" i="3"/>
  <c r="E173" i="3"/>
  <c r="E174" i="3"/>
  <c r="E189" i="3" s="1"/>
  <c r="E175" i="3"/>
  <c r="D190" i="3" s="1"/>
  <c r="E176" i="3"/>
  <c r="E177" i="3"/>
  <c r="D172" i="3"/>
  <c r="C187" i="3" s="1"/>
  <c r="D173" i="3"/>
  <c r="D188" i="3" s="1"/>
  <c r="D174" i="3"/>
  <c r="C203" i="3" s="1"/>
  <c r="D175" i="3"/>
  <c r="D176" i="3"/>
  <c r="C204" i="3" s="1"/>
  <c r="D177" i="3"/>
  <c r="C192" i="3" s="1"/>
  <c r="D178" i="3"/>
  <c r="C193" i="3" s="1"/>
  <c r="B189" i="3"/>
  <c r="B172" i="3"/>
  <c r="B187" i="3" s="1"/>
  <c r="B173" i="3"/>
  <c r="B188" i="3" s="1"/>
  <c r="B174" i="3"/>
  <c r="B175" i="3"/>
  <c r="B176" i="3"/>
  <c r="B191" i="3" s="1"/>
  <c r="B177" i="3"/>
  <c r="B178" i="3"/>
  <c r="B193" i="3" s="1"/>
  <c r="B179" i="3"/>
  <c r="B194" i="3" s="1"/>
  <c r="B186" i="3"/>
  <c r="D171" i="3"/>
  <c r="C186" i="3" s="1"/>
  <c r="E171" i="3"/>
  <c r="F171" i="3"/>
  <c r="E186" i="3" s="1"/>
  <c r="G171" i="3"/>
  <c r="H171" i="3"/>
  <c r="I171" i="3"/>
  <c r="J171" i="3"/>
  <c r="J186" i="3"/>
  <c r="J200" i="3" s="1"/>
  <c r="J201" i="3" s="1"/>
  <c r="B171" i="3"/>
  <c r="A180" i="3"/>
  <c r="A167" i="3"/>
  <c r="D131" i="3"/>
  <c r="D130" i="3"/>
  <c r="D129" i="3"/>
  <c r="D128" i="3"/>
  <c r="D127" i="3"/>
  <c r="D126" i="3"/>
  <c r="D125" i="3"/>
  <c r="D124" i="3"/>
  <c r="D123" i="3"/>
  <c r="D122" i="3"/>
  <c r="K107" i="3"/>
  <c r="F122" i="3" s="1"/>
  <c r="K49" i="3"/>
  <c r="E122" i="3" s="1"/>
  <c r="B93" i="3"/>
  <c r="J93" i="3"/>
  <c r="J96" i="3" s="1"/>
  <c r="J100" i="3" s="1"/>
  <c r="J107" i="3" s="1"/>
  <c r="F123" i="3" s="1"/>
  <c r="I93" i="3"/>
  <c r="I94" i="3" s="1"/>
  <c r="H93" i="3"/>
  <c r="H94" i="3" s="1"/>
  <c r="G100" i="3"/>
  <c r="F93" i="3"/>
  <c r="F100" i="3" s="1"/>
  <c r="D93" i="3"/>
  <c r="I37" i="3"/>
  <c r="I38" i="3" s="1"/>
  <c r="J37" i="3"/>
  <c r="J40" i="3" s="1"/>
  <c r="B76" i="3"/>
  <c r="J76" i="3"/>
  <c r="J90" i="3" s="1"/>
  <c r="J91" i="3" s="1"/>
  <c r="E77" i="3"/>
  <c r="B84" i="3"/>
  <c r="B83" i="3"/>
  <c r="D82" i="3"/>
  <c r="B82" i="3"/>
  <c r="E81" i="3"/>
  <c r="D81" i="3"/>
  <c r="B81" i="3"/>
  <c r="B96" i="3" s="1"/>
  <c r="F80" i="3"/>
  <c r="E80" i="3"/>
  <c r="D80" i="3"/>
  <c r="B80" i="3"/>
  <c r="G79" i="3"/>
  <c r="F79" i="3"/>
  <c r="E79" i="3"/>
  <c r="D79" i="3"/>
  <c r="B79" i="3"/>
  <c r="H78" i="3"/>
  <c r="G78" i="3"/>
  <c r="F78" i="3"/>
  <c r="E78" i="3"/>
  <c r="D78" i="3"/>
  <c r="B78" i="3"/>
  <c r="I77" i="3"/>
  <c r="I90" i="3" s="1"/>
  <c r="I91" i="3" s="1"/>
  <c r="H77" i="3"/>
  <c r="G77" i="3"/>
  <c r="F77" i="3"/>
  <c r="D77" i="3"/>
  <c r="B77" i="3"/>
  <c r="I76" i="3"/>
  <c r="H76" i="3"/>
  <c r="G76" i="3"/>
  <c r="G96" i="3" s="1"/>
  <c r="F76" i="3"/>
  <c r="E76" i="3"/>
  <c r="D76" i="3"/>
  <c r="A70" i="3"/>
  <c r="F38" i="3"/>
  <c r="F43" i="3" s="1"/>
  <c r="D38" i="3"/>
  <c r="B38" i="3"/>
  <c r="H37" i="3"/>
  <c r="H38" i="3" s="1"/>
  <c r="G37" i="3"/>
  <c r="F37" i="3"/>
  <c r="E37" i="3"/>
  <c r="D37" i="3"/>
  <c r="B37" i="3"/>
  <c r="B23" i="3"/>
  <c r="B21" i="3"/>
  <c r="D21" i="3"/>
  <c r="E21" i="3"/>
  <c r="F21" i="3"/>
  <c r="G21" i="3"/>
  <c r="H21" i="3"/>
  <c r="I21" i="3"/>
  <c r="J21" i="3"/>
  <c r="J34" i="3" s="1"/>
  <c r="J35" i="3" s="1"/>
  <c r="J43" i="3" s="1"/>
  <c r="J49" i="3" s="1"/>
  <c r="E123" i="3" s="1"/>
  <c r="D22" i="3"/>
  <c r="E22" i="3"/>
  <c r="F22" i="3"/>
  <c r="G22" i="3"/>
  <c r="H22" i="3"/>
  <c r="I22" i="3"/>
  <c r="D23" i="3"/>
  <c r="E23" i="3"/>
  <c r="F23" i="3"/>
  <c r="G23" i="3"/>
  <c r="H23" i="3"/>
  <c r="D24" i="3"/>
  <c r="E24" i="3"/>
  <c r="F24" i="3"/>
  <c r="G24" i="3"/>
  <c r="D25" i="3"/>
  <c r="E25" i="3"/>
  <c r="F25" i="3"/>
  <c r="D26" i="3"/>
  <c r="E26" i="3"/>
  <c r="D27" i="3"/>
  <c r="B22" i="3"/>
  <c r="B24" i="3"/>
  <c r="B25" i="3"/>
  <c r="B26" i="3"/>
  <c r="B27" i="3"/>
  <c r="B28" i="3"/>
  <c r="B29" i="3"/>
  <c r="O110" i="2"/>
  <c r="O111" i="2"/>
  <c r="O112" i="2"/>
  <c r="O113" i="2"/>
  <c r="O114" i="2"/>
  <c r="O115" i="2"/>
  <c r="O116" i="2"/>
  <c r="O117" i="2"/>
  <c r="O109" i="2"/>
  <c r="N110" i="2"/>
  <c r="N111" i="2"/>
  <c r="N112" i="2"/>
  <c r="N113" i="2"/>
  <c r="N114" i="2"/>
  <c r="N115" i="2"/>
  <c r="N116" i="2"/>
  <c r="N117" i="2"/>
  <c r="N109" i="2"/>
  <c r="M110" i="2"/>
  <c r="M111" i="2"/>
  <c r="M112" i="2"/>
  <c r="M113" i="2"/>
  <c r="M114" i="2"/>
  <c r="M115" i="2"/>
  <c r="M116" i="2"/>
  <c r="M117" i="2"/>
  <c r="M109" i="2"/>
  <c r="L117" i="2"/>
  <c r="L110" i="2"/>
  <c r="L111" i="2"/>
  <c r="L112" i="2"/>
  <c r="L113" i="2"/>
  <c r="L114" i="2"/>
  <c r="L115" i="2"/>
  <c r="L116" i="2"/>
  <c r="L109" i="2"/>
  <c r="K109" i="2"/>
  <c r="K110" i="2"/>
  <c r="K111" i="2"/>
  <c r="K112" i="2"/>
  <c r="K113" i="2"/>
  <c r="K114" i="2"/>
  <c r="K115" i="2"/>
  <c r="K116" i="2"/>
  <c r="K117" i="2"/>
  <c r="I110" i="2"/>
  <c r="I111" i="2"/>
  <c r="I112" i="2"/>
  <c r="I113" i="2"/>
  <c r="I114" i="2"/>
  <c r="I115" i="2"/>
  <c r="I116" i="2"/>
  <c r="I117" i="2"/>
  <c r="I109" i="2"/>
  <c r="H112" i="2"/>
  <c r="H111" i="2"/>
  <c r="H110" i="2"/>
  <c r="H113" i="2"/>
  <c r="H114" i="2"/>
  <c r="H115" i="2"/>
  <c r="H116" i="2"/>
  <c r="H117" i="2"/>
  <c r="H109" i="2"/>
  <c r="E117" i="2"/>
  <c r="E116" i="2"/>
  <c r="E115" i="2"/>
  <c r="E114" i="2"/>
  <c r="E113" i="2"/>
  <c r="E112" i="2"/>
  <c r="E111" i="2"/>
  <c r="E110" i="2"/>
  <c r="J49" i="2"/>
  <c r="B117" i="2"/>
  <c r="J90" i="2"/>
  <c r="J98" i="2" s="1"/>
  <c r="F110" i="2" s="1"/>
  <c r="B88" i="2"/>
  <c r="B87" i="2"/>
  <c r="G88" i="2"/>
  <c r="F88" i="2"/>
  <c r="E88" i="2"/>
  <c r="D88" i="2"/>
  <c r="C88" i="2"/>
  <c r="J87" i="2"/>
  <c r="I87" i="2"/>
  <c r="I88" i="2" s="1"/>
  <c r="H87" i="2"/>
  <c r="H88" i="2" s="1"/>
  <c r="G87" i="2"/>
  <c r="F87" i="2"/>
  <c r="E87" i="2"/>
  <c r="D87" i="2"/>
  <c r="C87" i="2" a="1"/>
  <c r="C87" i="2" s="1"/>
  <c r="G85" i="2"/>
  <c r="E85" i="2"/>
  <c r="G84" i="2"/>
  <c r="E84" i="2"/>
  <c r="C75" i="2"/>
  <c r="B75" i="2"/>
  <c r="B84" i="2" s="1"/>
  <c r="B71" i="2"/>
  <c r="B79" i="2"/>
  <c r="C78" i="2"/>
  <c r="C90" i="2" s="1"/>
  <c r="B78" i="2"/>
  <c r="B85" i="2" s="1"/>
  <c r="D77" i="2"/>
  <c r="C77" i="2"/>
  <c r="B77" i="2"/>
  <c r="E76" i="2"/>
  <c r="D76" i="2"/>
  <c r="C76" i="2"/>
  <c r="C85" i="2" s="1"/>
  <c r="B76" i="2"/>
  <c r="B90" i="2" s="1"/>
  <c r="F84" i="2"/>
  <c r="E75" i="2"/>
  <c r="D75" i="2"/>
  <c r="D85" i="2" s="1"/>
  <c r="G74" i="2"/>
  <c r="F74" i="2"/>
  <c r="F90" i="2" s="1"/>
  <c r="E74" i="2"/>
  <c r="D74" i="2"/>
  <c r="D90" i="2" s="1"/>
  <c r="C74" i="2"/>
  <c r="C84" i="2" s="1"/>
  <c r="B74" i="2"/>
  <c r="H73" i="2"/>
  <c r="G73" i="2"/>
  <c r="F73" i="2"/>
  <c r="E73" i="2"/>
  <c r="E90" i="2" s="1"/>
  <c r="D73" i="2"/>
  <c r="D84" i="2" s="1"/>
  <c r="C73" i="2"/>
  <c r="B73" i="2"/>
  <c r="I72" i="2"/>
  <c r="I84" i="2" s="1"/>
  <c r="I85" i="2" s="1"/>
  <c r="H72" i="2"/>
  <c r="G72" i="2"/>
  <c r="F72" i="2"/>
  <c r="E72" i="2"/>
  <c r="D72" i="2"/>
  <c r="C72" i="2"/>
  <c r="B72" i="2"/>
  <c r="J71" i="2"/>
  <c r="J84" i="2" s="1"/>
  <c r="J85" i="2" s="1"/>
  <c r="I71" i="2"/>
  <c r="I90" i="2" s="1"/>
  <c r="H71" i="2"/>
  <c r="H90" i="2" s="1"/>
  <c r="G71" i="2"/>
  <c r="G90" i="2" s="1"/>
  <c r="F71" i="2"/>
  <c r="E71" i="2"/>
  <c r="D71" i="2"/>
  <c r="C71" i="2"/>
  <c r="F22" i="2"/>
  <c r="G36" i="2"/>
  <c r="F36" i="2"/>
  <c r="E36" i="2"/>
  <c r="D36" i="2"/>
  <c r="C36" i="2"/>
  <c r="B36" i="2"/>
  <c r="J35" i="2"/>
  <c r="J38" i="2" s="1"/>
  <c r="I35" i="2"/>
  <c r="I36" i="2" s="1"/>
  <c r="H35" i="2"/>
  <c r="H36" i="2" s="1"/>
  <c r="G35" i="2"/>
  <c r="G41" i="2" s="1"/>
  <c r="F35" i="2"/>
  <c r="E35" i="2"/>
  <c r="D35" i="2"/>
  <c r="C35" i="2" s="1" a="1"/>
  <c r="C35" i="2" s="1"/>
  <c r="B35" i="2"/>
  <c r="C19" i="2"/>
  <c r="D19" i="2"/>
  <c r="E19" i="2"/>
  <c r="F19" i="2"/>
  <c r="F32" i="2" s="1"/>
  <c r="G19" i="2"/>
  <c r="G38" i="2" s="1"/>
  <c r="H19" i="2"/>
  <c r="I19" i="2"/>
  <c r="J19" i="2"/>
  <c r="J32" i="2" s="1"/>
  <c r="J33" i="2" s="1"/>
  <c r="J41" i="2" s="1"/>
  <c r="C20" i="2"/>
  <c r="D20" i="2"/>
  <c r="E20" i="2"/>
  <c r="F20" i="2"/>
  <c r="G20" i="2"/>
  <c r="H20" i="2"/>
  <c r="I20" i="2"/>
  <c r="C21" i="2"/>
  <c r="D21" i="2"/>
  <c r="E21" i="2"/>
  <c r="F21" i="2"/>
  <c r="G21" i="2"/>
  <c r="H21" i="2"/>
  <c r="C22" i="2"/>
  <c r="D22" i="2"/>
  <c r="E22" i="2"/>
  <c r="G22" i="2"/>
  <c r="C23" i="2"/>
  <c r="C32" i="2" s="1"/>
  <c r="D23" i="2"/>
  <c r="D33" i="2" s="1"/>
  <c r="E23" i="2"/>
  <c r="F23" i="2"/>
  <c r="C24" i="2"/>
  <c r="D24" i="2"/>
  <c r="E24" i="2"/>
  <c r="C25" i="2"/>
  <c r="D25" i="2"/>
  <c r="C26" i="2"/>
  <c r="B20" i="2"/>
  <c r="B21" i="2"/>
  <c r="B33" i="2"/>
  <c r="B19" i="2"/>
  <c r="J331" i="3" l="1"/>
  <c r="K331" i="3"/>
  <c r="D317" i="3"/>
  <c r="K317" i="3" s="1"/>
  <c r="K329" i="3"/>
  <c r="D316" i="3"/>
  <c r="K316" i="3" s="1"/>
  <c r="J319" i="3"/>
  <c r="J320" i="3"/>
  <c r="K321" i="3"/>
  <c r="J318" i="3"/>
  <c r="J324" i="3"/>
  <c r="J323" i="3"/>
  <c r="J322" i="3"/>
  <c r="N290" i="3"/>
  <c r="N292" i="3"/>
  <c r="K336" i="3"/>
  <c r="J336" i="3"/>
  <c r="I293" i="3"/>
  <c r="D191" i="3"/>
  <c r="B255" i="3"/>
  <c r="C191" i="3"/>
  <c r="C261" i="3"/>
  <c r="F189" i="3"/>
  <c r="I187" i="3"/>
  <c r="H255" i="3"/>
  <c r="H256" i="3" s="1"/>
  <c r="C188" i="3"/>
  <c r="C40" i="3"/>
  <c r="C43" i="3" s="1"/>
  <c r="D189" i="3"/>
  <c r="D206" i="3" s="1"/>
  <c r="B261" i="3"/>
  <c r="C96" i="3"/>
  <c r="B91" i="3"/>
  <c r="B100" i="3" s="1"/>
  <c r="I186" i="3"/>
  <c r="I200" i="3" s="1"/>
  <c r="I201" i="3" s="1"/>
  <c r="D187" i="3"/>
  <c r="E204" i="3"/>
  <c r="D255" i="3"/>
  <c r="B203" i="3"/>
  <c r="E191" i="3"/>
  <c r="F187" i="3"/>
  <c r="I203" i="3"/>
  <c r="I204" i="3" s="1"/>
  <c r="E256" i="3"/>
  <c r="D192" i="3"/>
  <c r="G188" i="3"/>
  <c r="E261" i="3"/>
  <c r="G204" i="3"/>
  <c r="E255" i="3"/>
  <c r="F256" i="3"/>
  <c r="F255" i="3"/>
  <c r="F261" i="3"/>
  <c r="F91" i="3"/>
  <c r="H203" i="3"/>
  <c r="H204" i="3" s="1"/>
  <c r="H187" i="3"/>
  <c r="D204" i="3"/>
  <c r="G256" i="3"/>
  <c r="G34" i="3"/>
  <c r="F90" i="3"/>
  <c r="G186" i="3"/>
  <c r="D203" i="3"/>
  <c r="G35" i="3"/>
  <c r="E90" i="3"/>
  <c r="F203" i="3"/>
  <c r="F204" i="3"/>
  <c r="D261" i="3"/>
  <c r="I206" i="3"/>
  <c r="D201" i="3"/>
  <c r="D200" i="3"/>
  <c r="H90" i="3"/>
  <c r="H91" i="3" s="1"/>
  <c r="E190" i="3"/>
  <c r="I255" i="3"/>
  <c r="I256" i="3" s="1"/>
  <c r="G203" i="3"/>
  <c r="H261" i="3"/>
  <c r="H272" i="3" s="1"/>
  <c r="D96" i="3"/>
  <c r="D133" i="3"/>
  <c r="F186" i="3"/>
  <c r="J203" i="3"/>
  <c r="J206" i="3" s="1"/>
  <c r="J218" i="3" s="1"/>
  <c r="I291" i="3"/>
  <c r="E203" i="3"/>
  <c r="H40" i="3"/>
  <c r="I96" i="3"/>
  <c r="I100" i="3" s="1"/>
  <c r="I107" i="3" s="1"/>
  <c r="F124" i="3" s="1"/>
  <c r="J124" i="3" s="1"/>
  <c r="F188" i="3"/>
  <c r="F201" i="3" s="1"/>
  <c r="E96" i="3"/>
  <c r="E100" i="3" s="1"/>
  <c r="H186" i="3"/>
  <c r="G187" i="3"/>
  <c r="B190" i="3"/>
  <c r="I286" i="3"/>
  <c r="I288" i="3"/>
  <c r="D90" i="3"/>
  <c r="J122" i="3"/>
  <c r="G255" i="3"/>
  <c r="G261" i="3"/>
  <c r="J94" i="3"/>
  <c r="J259" i="3"/>
  <c r="I123" i="3"/>
  <c r="J123" i="3"/>
  <c r="D91" i="3"/>
  <c r="D100" i="3" s="1"/>
  <c r="F96" i="3"/>
  <c r="E40" i="3"/>
  <c r="E91" i="3"/>
  <c r="G90" i="3"/>
  <c r="G91" i="3"/>
  <c r="H96" i="3"/>
  <c r="H100" i="3" s="1"/>
  <c r="B40" i="3"/>
  <c r="B34" i="3"/>
  <c r="B43" i="3" s="1"/>
  <c r="D40" i="3"/>
  <c r="H34" i="3"/>
  <c r="H35" i="3" s="1"/>
  <c r="H43" i="3" s="1"/>
  <c r="F40" i="3"/>
  <c r="F35" i="3"/>
  <c r="B90" i="3"/>
  <c r="D35" i="3"/>
  <c r="F34" i="3"/>
  <c r="G40" i="3"/>
  <c r="G43" i="3" s="1"/>
  <c r="D34" i="3"/>
  <c r="E35" i="3"/>
  <c r="E43" i="3" s="1"/>
  <c r="I34" i="3"/>
  <c r="I35" i="3" s="1"/>
  <c r="B35" i="3"/>
  <c r="I40" i="3"/>
  <c r="I43" i="3" s="1"/>
  <c r="I49" i="3" s="1"/>
  <c r="E124" i="3" s="1"/>
  <c r="I124" i="3" s="1"/>
  <c r="E34" i="3"/>
  <c r="J38" i="3"/>
  <c r="G98" i="2"/>
  <c r="F113" i="2" s="1"/>
  <c r="F118" i="2"/>
  <c r="I118" i="2" s="1"/>
  <c r="M118" i="2" s="1"/>
  <c r="O118" i="2" s="1"/>
  <c r="E98" i="2"/>
  <c r="F85" i="2"/>
  <c r="E38" i="2"/>
  <c r="E41" i="2" s="1"/>
  <c r="E49" i="2" s="1"/>
  <c r="H84" i="2"/>
  <c r="H85" i="2" s="1"/>
  <c r="B32" i="2"/>
  <c r="D38" i="2"/>
  <c r="I32" i="2"/>
  <c r="I33" i="2" s="1"/>
  <c r="I41" i="2" s="1"/>
  <c r="I49" i="2" s="1"/>
  <c r="I98" i="2"/>
  <c r="F111" i="2" s="1"/>
  <c r="B49" i="2"/>
  <c r="E118" i="2" s="1"/>
  <c r="H118" i="2" s="1"/>
  <c r="L118" i="2" s="1"/>
  <c r="N118" i="2" s="1"/>
  <c r="E33" i="2"/>
  <c r="C33" i="2"/>
  <c r="H32" i="2"/>
  <c r="H33" i="2" s="1"/>
  <c r="H41" i="2" s="1"/>
  <c r="F33" i="2"/>
  <c r="F41" i="2" s="1"/>
  <c r="C38" i="2"/>
  <c r="C41" i="2" s="1"/>
  <c r="F38" i="2"/>
  <c r="G33" i="2"/>
  <c r="G32" i="2"/>
  <c r="J88" i="2"/>
  <c r="G49" i="2"/>
  <c r="J36" i="2"/>
  <c r="I38" i="2"/>
  <c r="E32" i="2"/>
  <c r="D32" i="2"/>
  <c r="H38" i="2"/>
  <c r="C280" i="1"/>
  <c r="D280" i="1"/>
  <c r="E280" i="1"/>
  <c r="F280" i="1"/>
  <c r="G280" i="1"/>
  <c r="H280" i="1"/>
  <c r="I280" i="1"/>
  <c r="J280" i="1"/>
  <c r="K280" i="1"/>
  <c r="C281" i="1"/>
  <c r="D281" i="1"/>
  <c r="E281" i="1"/>
  <c r="F281" i="1"/>
  <c r="G281" i="1"/>
  <c r="H281" i="1"/>
  <c r="I281" i="1"/>
  <c r="J281" i="1"/>
  <c r="C282" i="1"/>
  <c r="D282" i="1"/>
  <c r="E282" i="1"/>
  <c r="F282" i="1"/>
  <c r="G282" i="1"/>
  <c r="H282" i="1"/>
  <c r="I282" i="1"/>
  <c r="C283" i="1"/>
  <c r="D283" i="1"/>
  <c r="E283" i="1"/>
  <c r="F283" i="1"/>
  <c r="G283" i="1"/>
  <c r="H283" i="1"/>
  <c r="C284" i="1"/>
  <c r="D284" i="1"/>
  <c r="E284" i="1"/>
  <c r="F284" i="1"/>
  <c r="G284" i="1"/>
  <c r="C285" i="1"/>
  <c r="D285" i="1"/>
  <c r="E285" i="1"/>
  <c r="F285" i="1"/>
  <c r="C286" i="1"/>
  <c r="D286" i="1"/>
  <c r="E286" i="1"/>
  <c r="C287" i="1"/>
  <c r="D287" i="1"/>
  <c r="C288" i="1"/>
  <c r="B281" i="1"/>
  <c r="B282" i="1"/>
  <c r="B283" i="1"/>
  <c r="B284" i="1"/>
  <c r="B285" i="1"/>
  <c r="B286" i="1"/>
  <c r="B287" i="1"/>
  <c r="B288" i="1"/>
  <c r="B289" i="1"/>
  <c r="B280" i="1"/>
  <c r="C266" i="1"/>
  <c r="D266" i="1"/>
  <c r="E266" i="1"/>
  <c r="F266" i="1"/>
  <c r="G266" i="1"/>
  <c r="H266" i="1"/>
  <c r="I266" i="1"/>
  <c r="J266" i="1"/>
  <c r="K266" i="1"/>
  <c r="C267" i="1"/>
  <c r="D267" i="1"/>
  <c r="E267" i="1"/>
  <c r="F267" i="1"/>
  <c r="G267" i="1"/>
  <c r="H267" i="1"/>
  <c r="I267" i="1"/>
  <c r="J267" i="1"/>
  <c r="C268" i="1"/>
  <c r="D268" i="1"/>
  <c r="E268" i="1"/>
  <c r="F268" i="1"/>
  <c r="G268" i="1"/>
  <c r="H268" i="1"/>
  <c r="I268" i="1"/>
  <c r="C269" i="1"/>
  <c r="D269" i="1"/>
  <c r="E269" i="1"/>
  <c r="F269" i="1"/>
  <c r="G269" i="1"/>
  <c r="H269" i="1"/>
  <c r="C270" i="1"/>
  <c r="D270" i="1"/>
  <c r="E270" i="1"/>
  <c r="F270" i="1"/>
  <c r="G270" i="1"/>
  <c r="C271" i="1"/>
  <c r="D271" i="1"/>
  <c r="E271" i="1"/>
  <c r="F271" i="1"/>
  <c r="C272" i="1"/>
  <c r="D272" i="1"/>
  <c r="E272" i="1"/>
  <c r="C273" i="1"/>
  <c r="D273" i="1"/>
  <c r="C274" i="1"/>
  <c r="B267" i="1"/>
  <c r="B268" i="1"/>
  <c r="B269" i="1"/>
  <c r="B270" i="1"/>
  <c r="B271" i="1"/>
  <c r="B272" i="1"/>
  <c r="B273" i="1"/>
  <c r="B274" i="1"/>
  <c r="B275" i="1"/>
  <c r="B266" i="1"/>
  <c r="C253" i="1"/>
  <c r="D253" i="1"/>
  <c r="E253" i="1"/>
  <c r="F253" i="1"/>
  <c r="G253" i="1"/>
  <c r="H253" i="1"/>
  <c r="I253" i="1"/>
  <c r="J253" i="1"/>
  <c r="K253" i="1"/>
  <c r="C254" i="1"/>
  <c r="D254" i="1"/>
  <c r="E254" i="1"/>
  <c r="F254" i="1"/>
  <c r="G254" i="1"/>
  <c r="H254" i="1"/>
  <c r="I254" i="1"/>
  <c r="J254" i="1"/>
  <c r="C255" i="1"/>
  <c r="D255" i="1"/>
  <c r="E255" i="1"/>
  <c r="F255" i="1"/>
  <c r="G255" i="1"/>
  <c r="H255" i="1"/>
  <c r="I255" i="1"/>
  <c r="C256" i="1"/>
  <c r="D256" i="1"/>
  <c r="E256" i="1"/>
  <c r="F256" i="1"/>
  <c r="G256" i="1"/>
  <c r="H256" i="1"/>
  <c r="C257" i="1"/>
  <c r="D257" i="1"/>
  <c r="E257" i="1"/>
  <c r="F257" i="1"/>
  <c r="G257" i="1"/>
  <c r="C258" i="1"/>
  <c r="D258" i="1"/>
  <c r="E258" i="1"/>
  <c r="F258" i="1"/>
  <c r="C259" i="1"/>
  <c r="D259" i="1"/>
  <c r="E259" i="1"/>
  <c r="C260" i="1"/>
  <c r="D260" i="1"/>
  <c r="C261" i="1"/>
  <c r="B254" i="1"/>
  <c r="B255" i="1"/>
  <c r="B256" i="1"/>
  <c r="B257" i="1"/>
  <c r="B258" i="1"/>
  <c r="B259" i="1"/>
  <c r="B260" i="1"/>
  <c r="B261" i="1"/>
  <c r="B262" i="1"/>
  <c r="D235" i="1"/>
  <c r="C229" i="1"/>
  <c r="D229" i="1"/>
  <c r="E229" i="1"/>
  <c r="F229" i="1"/>
  <c r="G229" i="1"/>
  <c r="H229" i="1"/>
  <c r="I229" i="1"/>
  <c r="J229" i="1"/>
  <c r="C230" i="1"/>
  <c r="D230" i="1"/>
  <c r="E230" i="1"/>
  <c r="F230" i="1"/>
  <c r="G230" i="1"/>
  <c r="H230" i="1"/>
  <c r="I230" i="1"/>
  <c r="C231" i="1"/>
  <c r="D231" i="1"/>
  <c r="E231" i="1"/>
  <c r="F231" i="1"/>
  <c r="G231" i="1"/>
  <c r="H231" i="1"/>
  <c r="C232" i="1"/>
  <c r="D232" i="1"/>
  <c r="E232" i="1"/>
  <c r="F232" i="1"/>
  <c r="G232" i="1"/>
  <c r="C233" i="1"/>
  <c r="D233" i="1"/>
  <c r="E233" i="1"/>
  <c r="F233" i="1"/>
  <c r="C234" i="1"/>
  <c r="D234" i="1"/>
  <c r="E234" i="1"/>
  <c r="C235" i="1"/>
  <c r="C236" i="1"/>
  <c r="B229" i="1"/>
  <c r="B231" i="1"/>
  <c r="B230" i="1"/>
  <c r="B232" i="1"/>
  <c r="B233" i="1"/>
  <c r="B234" i="1"/>
  <c r="B235" i="1"/>
  <c r="B236" i="1"/>
  <c r="B237" i="1"/>
  <c r="B217" i="1"/>
  <c r="C217" i="1"/>
  <c r="D217" i="1"/>
  <c r="E217" i="1"/>
  <c r="F217" i="1"/>
  <c r="G217" i="1"/>
  <c r="H217" i="1"/>
  <c r="I217" i="1"/>
  <c r="J217" i="1"/>
  <c r="B218" i="1"/>
  <c r="C218" i="1"/>
  <c r="D218" i="1"/>
  <c r="E218" i="1"/>
  <c r="F218" i="1"/>
  <c r="G218" i="1"/>
  <c r="H218" i="1"/>
  <c r="I218" i="1"/>
  <c r="B219" i="1"/>
  <c r="C219" i="1"/>
  <c r="D219" i="1"/>
  <c r="E219" i="1"/>
  <c r="F219" i="1"/>
  <c r="G219" i="1"/>
  <c r="H219" i="1"/>
  <c r="B220" i="1"/>
  <c r="C220" i="1"/>
  <c r="D220" i="1"/>
  <c r="E220" i="1"/>
  <c r="F220" i="1"/>
  <c r="G220" i="1"/>
  <c r="B221" i="1"/>
  <c r="C221" i="1"/>
  <c r="D221" i="1"/>
  <c r="E221" i="1"/>
  <c r="F221" i="1"/>
  <c r="B222" i="1"/>
  <c r="C222" i="1"/>
  <c r="D222" i="1"/>
  <c r="E222" i="1"/>
  <c r="B223" i="1"/>
  <c r="C223" i="1"/>
  <c r="D223" i="1"/>
  <c r="B224" i="1"/>
  <c r="C224" i="1"/>
  <c r="B225" i="1"/>
  <c r="C216" i="1"/>
  <c r="D216" i="1"/>
  <c r="E216" i="1"/>
  <c r="F216" i="1"/>
  <c r="G216" i="1"/>
  <c r="H216" i="1"/>
  <c r="I216" i="1"/>
  <c r="J216" i="1"/>
  <c r="K216" i="1"/>
  <c r="B216" i="1"/>
  <c r="B204" i="1"/>
  <c r="C204" i="1"/>
  <c r="D204" i="1"/>
  <c r="E204" i="1"/>
  <c r="F204" i="1"/>
  <c r="G204" i="1"/>
  <c r="H204" i="1"/>
  <c r="I204" i="1"/>
  <c r="J204" i="1"/>
  <c r="B205" i="1"/>
  <c r="C205" i="1"/>
  <c r="D205" i="1"/>
  <c r="E205" i="1"/>
  <c r="F205" i="1"/>
  <c r="G205" i="1"/>
  <c r="H205" i="1"/>
  <c r="I205" i="1"/>
  <c r="B206" i="1"/>
  <c r="C206" i="1"/>
  <c r="D206" i="1"/>
  <c r="E206" i="1"/>
  <c r="F206" i="1"/>
  <c r="G206" i="1"/>
  <c r="H206" i="1"/>
  <c r="B207" i="1"/>
  <c r="C207" i="1"/>
  <c r="D207" i="1"/>
  <c r="E207" i="1"/>
  <c r="F207" i="1"/>
  <c r="G207" i="1"/>
  <c r="B208" i="1"/>
  <c r="C208" i="1"/>
  <c r="D208" i="1"/>
  <c r="E208" i="1"/>
  <c r="F208" i="1"/>
  <c r="B209" i="1"/>
  <c r="C209" i="1"/>
  <c r="D209" i="1"/>
  <c r="E209" i="1"/>
  <c r="B210" i="1"/>
  <c r="C210" i="1"/>
  <c r="D210" i="1"/>
  <c r="B211" i="1"/>
  <c r="C211" i="1"/>
  <c r="B212" i="1"/>
  <c r="C203" i="1"/>
  <c r="D203" i="1"/>
  <c r="E203" i="1"/>
  <c r="F203" i="1"/>
  <c r="G203" i="1"/>
  <c r="H203" i="1"/>
  <c r="I203" i="1"/>
  <c r="J203" i="1"/>
  <c r="K203" i="1"/>
  <c r="B203" i="1"/>
  <c r="K174" i="1"/>
  <c r="G174" i="1"/>
  <c r="H174" i="1"/>
  <c r="I174" i="1"/>
  <c r="J174" i="1"/>
  <c r="G175" i="1"/>
  <c r="H175" i="1"/>
  <c r="I175" i="1"/>
  <c r="J175" i="1"/>
  <c r="G176" i="1"/>
  <c r="H176" i="1"/>
  <c r="I176" i="1"/>
  <c r="G177" i="1"/>
  <c r="H177" i="1"/>
  <c r="G178" i="1"/>
  <c r="D174" i="1"/>
  <c r="E174" i="1"/>
  <c r="F174" i="1"/>
  <c r="D175" i="1"/>
  <c r="E175" i="1"/>
  <c r="F175" i="1"/>
  <c r="D176" i="1"/>
  <c r="E176" i="1"/>
  <c r="F176" i="1"/>
  <c r="D177" i="1"/>
  <c r="E177" i="1"/>
  <c r="F177" i="1"/>
  <c r="D178" i="1"/>
  <c r="E178" i="1"/>
  <c r="F178" i="1"/>
  <c r="D179" i="1"/>
  <c r="E179" i="1"/>
  <c r="F179" i="1"/>
  <c r="D180" i="1"/>
  <c r="E180" i="1"/>
  <c r="D181" i="1"/>
  <c r="C175" i="1"/>
  <c r="C176" i="1"/>
  <c r="C177" i="1"/>
  <c r="C178" i="1"/>
  <c r="C179" i="1"/>
  <c r="C180" i="1"/>
  <c r="C181" i="1"/>
  <c r="C182" i="1"/>
  <c r="C174" i="1"/>
  <c r="B175" i="1"/>
  <c r="B176" i="1"/>
  <c r="B177" i="1"/>
  <c r="B178" i="1"/>
  <c r="B179" i="1"/>
  <c r="B180" i="1"/>
  <c r="B181" i="1"/>
  <c r="B182" i="1"/>
  <c r="B183" i="1"/>
  <c r="B174" i="1"/>
  <c r="C120" i="1"/>
  <c r="K120" i="1"/>
  <c r="J121" i="1"/>
  <c r="J120" i="1"/>
  <c r="I121" i="1"/>
  <c r="I122" i="1"/>
  <c r="I120" i="1"/>
  <c r="H121" i="1"/>
  <c r="H122" i="1"/>
  <c r="H123" i="1"/>
  <c r="H120" i="1"/>
  <c r="G121" i="1"/>
  <c r="G122" i="1"/>
  <c r="G123" i="1"/>
  <c r="G124" i="1"/>
  <c r="G120" i="1"/>
  <c r="F121" i="1"/>
  <c r="F122" i="1"/>
  <c r="F123" i="1"/>
  <c r="F124" i="1"/>
  <c r="F125" i="1"/>
  <c r="F120" i="1"/>
  <c r="E121" i="1"/>
  <c r="E122" i="1"/>
  <c r="E123" i="1"/>
  <c r="E124" i="1"/>
  <c r="E125" i="1"/>
  <c r="E126" i="1"/>
  <c r="E120" i="1"/>
  <c r="D121" i="1"/>
  <c r="D122" i="1"/>
  <c r="D123" i="1"/>
  <c r="D124" i="1"/>
  <c r="D125" i="1"/>
  <c r="D126" i="1"/>
  <c r="D127" i="1"/>
  <c r="D120" i="1"/>
  <c r="C121" i="1"/>
  <c r="C122" i="1"/>
  <c r="C123" i="1"/>
  <c r="C124" i="1"/>
  <c r="C125" i="1"/>
  <c r="C126" i="1"/>
  <c r="C127" i="1"/>
  <c r="C128" i="1"/>
  <c r="B122" i="1"/>
  <c r="B121" i="1"/>
  <c r="B120" i="1"/>
  <c r="B123" i="1"/>
  <c r="B124" i="1"/>
  <c r="B125" i="1"/>
  <c r="B126" i="1"/>
  <c r="B127" i="1"/>
  <c r="B128" i="1"/>
  <c r="B129" i="1"/>
  <c r="K80" i="1"/>
  <c r="J81" i="1"/>
  <c r="J80" i="1"/>
  <c r="I81" i="1"/>
  <c r="I82" i="1"/>
  <c r="I80" i="1"/>
  <c r="H81" i="1"/>
  <c r="H82" i="1"/>
  <c r="H83" i="1"/>
  <c r="H80" i="1"/>
  <c r="G81" i="1"/>
  <c r="G82" i="1"/>
  <c r="G83" i="1"/>
  <c r="G84" i="1"/>
  <c r="G80" i="1"/>
  <c r="F80" i="1"/>
  <c r="E80" i="1"/>
  <c r="F81" i="1"/>
  <c r="F82" i="1"/>
  <c r="F83" i="1"/>
  <c r="F84" i="1"/>
  <c r="F85" i="1"/>
  <c r="E81" i="1"/>
  <c r="E82" i="1"/>
  <c r="E83" i="1"/>
  <c r="E84" i="1"/>
  <c r="E85" i="1"/>
  <c r="E86" i="1"/>
  <c r="D81" i="1"/>
  <c r="D82" i="1"/>
  <c r="D83" i="1"/>
  <c r="D84" i="1"/>
  <c r="D85" i="1"/>
  <c r="D86" i="1"/>
  <c r="D87" i="1"/>
  <c r="D80" i="1"/>
  <c r="C80" i="1"/>
  <c r="C81" i="1"/>
  <c r="C82" i="1"/>
  <c r="C83" i="1"/>
  <c r="C84" i="1"/>
  <c r="C85" i="1"/>
  <c r="C86" i="1"/>
  <c r="C87" i="1"/>
  <c r="C88" i="1"/>
  <c r="B82" i="1"/>
  <c r="B81" i="1"/>
  <c r="B83" i="1"/>
  <c r="B84" i="1"/>
  <c r="B85" i="1"/>
  <c r="B86" i="1"/>
  <c r="B87" i="1"/>
  <c r="B88" i="1"/>
  <c r="B89" i="1"/>
  <c r="B80" i="1"/>
  <c r="K42" i="1"/>
  <c r="J43" i="1"/>
  <c r="J42" i="1"/>
  <c r="E44" i="1"/>
  <c r="F44" i="1"/>
  <c r="H44" i="1"/>
  <c r="I43" i="1"/>
  <c r="I44" i="1"/>
  <c r="I42" i="1"/>
  <c r="H43" i="1"/>
  <c r="H45" i="1"/>
  <c r="H42" i="1"/>
  <c r="F43" i="1"/>
  <c r="F45" i="1"/>
  <c r="F46" i="1"/>
  <c r="F47" i="1"/>
  <c r="F42" i="1"/>
  <c r="E43" i="1"/>
  <c r="E45" i="1"/>
  <c r="E46" i="1"/>
  <c r="E47" i="1"/>
  <c r="E48" i="1"/>
  <c r="E42" i="1"/>
  <c r="D42" i="1"/>
  <c r="D43" i="1"/>
  <c r="D44" i="1"/>
  <c r="D45" i="1"/>
  <c r="D46" i="1"/>
  <c r="D47" i="1"/>
  <c r="D48" i="1"/>
  <c r="D49" i="1"/>
  <c r="C43" i="1"/>
  <c r="C44" i="1"/>
  <c r="C45" i="1"/>
  <c r="C46" i="1"/>
  <c r="C47" i="1"/>
  <c r="C48" i="1"/>
  <c r="C49" i="1"/>
  <c r="C50" i="1"/>
  <c r="C42" i="1"/>
  <c r="B44" i="1"/>
  <c r="B43" i="1"/>
  <c r="B45" i="1"/>
  <c r="B46" i="1"/>
  <c r="B47" i="1"/>
  <c r="B48" i="1"/>
  <c r="B49" i="1"/>
  <c r="B50" i="1"/>
  <c r="B51" i="1"/>
  <c r="B42" i="1"/>
  <c r="F11" i="1"/>
  <c r="F10" i="1"/>
  <c r="F12" i="1"/>
  <c r="F13" i="1"/>
  <c r="F14" i="1"/>
  <c r="F15" i="1"/>
  <c r="F16" i="1"/>
  <c r="F17" i="1"/>
  <c r="F9" i="1"/>
  <c r="C9" i="1"/>
  <c r="C10" i="1"/>
  <c r="C11" i="1"/>
  <c r="C12" i="1"/>
  <c r="C13" i="1"/>
  <c r="C14" i="1"/>
  <c r="C15" i="1"/>
  <c r="C16" i="1"/>
  <c r="C17" i="1"/>
  <c r="J317" i="3" l="1"/>
  <c r="J330" i="3"/>
  <c r="K330" i="3"/>
  <c r="J316" i="3"/>
  <c r="K332" i="3"/>
  <c r="J332" i="3"/>
  <c r="N291" i="3"/>
  <c r="J334" i="3"/>
  <c r="K334" i="3"/>
  <c r="N293" i="3"/>
  <c r="B272" i="3"/>
  <c r="C201" i="3"/>
  <c r="C206" i="3"/>
  <c r="B200" i="3"/>
  <c r="G201" i="3"/>
  <c r="C49" i="3"/>
  <c r="F130" i="3"/>
  <c r="J130" i="3" s="1"/>
  <c r="C107" i="3"/>
  <c r="D272" i="3"/>
  <c r="H107" i="3"/>
  <c r="F125" i="3" s="1"/>
  <c r="J125" i="3" s="1"/>
  <c r="E201" i="3"/>
  <c r="C200" i="3"/>
  <c r="C272" i="3"/>
  <c r="G272" i="3"/>
  <c r="E206" i="3"/>
  <c r="E200" i="3"/>
  <c r="F200" i="3"/>
  <c r="F206" i="3"/>
  <c r="F272" i="3"/>
  <c r="G206" i="3"/>
  <c r="E130" i="3"/>
  <c r="I130" i="3" s="1"/>
  <c r="H49" i="3"/>
  <c r="E125" i="3" s="1"/>
  <c r="I125" i="3" s="1"/>
  <c r="H206" i="3"/>
  <c r="H218" i="3" s="1"/>
  <c r="H200" i="3"/>
  <c r="H201" i="3" s="1"/>
  <c r="G200" i="3"/>
  <c r="I218" i="3"/>
  <c r="J204" i="3"/>
  <c r="E272" i="3"/>
  <c r="B49" i="3"/>
  <c r="E131" i="3" s="1"/>
  <c r="I131" i="3" s="1"/>
  <c r="E107" i="3"/>
  <c r="F128" i="3" s="1"/>
  <c r="J128" i="3" s="1"/>
  <c r="E49" i="3"/>
  <c r="E128" i="3" s="1"/>
  <c r="I128" i="3" s="1"/>
  <c r="G107" i="3"/>
  <c r="F126" i="3" s="1"/>
  <c r="J126" i="3" s="1"/>
  <c r="D49" i="3"/>
  <c r="E129" i="3" s="1"/>
  <c r="I129" i="3" s="1"/>
  <c r="D107" i="3"/>
  <c r="F129" i="3" s="1"/>
  <c r="J129" i="3" s="1"/>
  <c r="F107" i="3"/>
  <c r="F127" i="3" s="1"/>
  <c r="J127" i="3" s="1"/>
  <c r="G49" i="3"/>
  <c r="E126" i="3" s="1"/>
  <c r="I126" i="3" s="1"/>
  <c r="B107" i="3"/>
  <c r="F131" i="3" s="1"/>
  <c r="J131" i="3" s="1"/>
  <c r="F49" i="3"/>
  <c r="E127" i="3" s="1"/>
  <c r="I127" i="3" s="1"/>
  <c r="C98" i="2"/>
  <c r="F117" i="2" s="1"/>
  <c r="C49" i="2"/>
  <c r="D49" i="2"/>
  <c r="D98" i="2"/>
  <c r="F49" i="2"/>
  <c r="F98" i="2"/>
  <c r="F114" i="2" s="1"/>
  <c r="H49" i="2"/>
  <c r="H98" i="2"/>
  <c r="F112" i="2" s="1"/>
  <c r="D11" i="1"/>
  <c r="D12" i="1" s="1"/>
  <c r="D13" i="1" s="1"/>
  <c r="D14" i="1" s="1"/>
  <c r="D15" i="1" s="1"/>
  <c r="D16" i="1" s="1"/>
  <c r="D17" i="1" s="1"/>
  <c r="A73" i="4"/>
  <c r="A72" i="4" s="1"/>
  <c r="A71" i="4" s="1"/>
  <c r="A70" i="4" s="1"/>
  <c r="A69" i="4" s="1"/>
  <c r="A68" i="4" s="1"/>
  <c r="A67" i="4" s="1"/>
  <c r="A66" i="4" s="1"/>
  <c r="A65" i="4" s="1"/>
  <c r="A64" i="4" s="1"/>
  <c r="A60" i="4"/>
  <c r="A59" i="4" s="1"/>
  <c r="A58" i="4" s="1"/>
  <c r="A57" i="4" s="1"/>
  <c r="A56" i="4" s="1"/>
  <c r="A55" i="4" s="1"/>
  <c r="A54" i="4" s="1"/>
  <c r="A53" i="4" s="1"/>
  <c r="A52" i="4" s="1"/>
  <c r="A51" i="4" s="1"/>
  <c r="A47" i="4"/>
  <c r="A46" i="4" s="1"/>
  <c r="A45" i="4" s="1"/>
  <c r="A44" i="4" s="1"/>
  <c r="A43" i="4" s="1"/>
  <c r="A42" i="4" s="1"/>
  <c r="A41" i="4" s="1"/>
  <c r="A40" i="4" s="1"/>
  <c r="A39" i="4" s="1"/>
  <c r="A38" i="4" s="1"/>
  <c r="A34" i="4"/>
  <c r="A33" i="4" s="1"/>
  <c r="A32" i="4" s="1"/>
  <c r="A31" i="4" s="1"/>
  <c r="A30" i="4" s="1"/>
  <c r="A29" i="4" s="1"/>
  <c r="A28" i="4" s="1"/>
  <c r="A27" i="4" s="1"/>
  <c r="A26" i="4" s="1"/>
  <c r="A25" i="4" s="1"/>
  <c r="D21" i="4"/>
  <c r="A17" i="4"/>
  <c r="A16" i="4" s="1"/>
  <c r="A15" i="4" s="1"/>
  <c r="A14" i="4" s="1"/>
  <c r="A13" i="4" s="1"/>
  <c r="A12" i="4" s="1"/>
  <c r="A11" i="4" s="1"/>
  <c r="A10" i="4" s="1"/>
  <c r="A9" i="4" s="1"/>
  <c r="A8" i="4" s="1"/>
  <c r="K333" i="3" l="1"/>
  <c r="J333" i="3"/>
  <c r="K335" i="3"/>
  <c r="J335" i="3"/>
  <c r="I295" i="3"/>
  <c r="I133" i="3"/>
  <c r="J133" i="3"/>
  <c r="N295" i="3" l="1"/>
  <c r="K337" i="3" l="1"/>
  <c r="J33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Gloria Wang</author>
  </authors>
  <commentList>
    <comment ref="G25" authorId="0" shapeId="0" xr:uid="{8079F825-E614-4880-AE79-C9CB5E10AB6B}">
      <text>
        <r>
          <rPr>
            <b/>
            <sz val="9"/>
            <color indexed="81"/>
            <rFont val="宋体"/>
          </rPr>
          <t>Gloria Wang:</t>
        </r>
        <r>
          <rPr>
            <sz val="9"/>
            <color indexed="81"/>
            <rFont val="宋体"/>
          </rPr>
          <t xml:space="preserve">
</t>
        </r>
      </text>
    </comment>
    <comment ref="G80" authorId="0" shapeId="0" xr:uid="{EF96049F-1EF6-4D21-ACE1-5A6BC541F6CC}">
      <text>
        <r>
          <rPr>
            <b/>
            <sz val="9"/>
            <color indexed="81"/>
            <rFont val="宋体"/>
          </rPr>
          <t>Gloria Wang:</t>
        </r>
        <r>
          <rPr>
            <sz val="9"/>
            <color indexed="81"/>
            <rFont val="宋体"/>
          </rPr>
          <t xml:space="preserve">
</t>
        </r>
      </text>
    </comment>
    <comment ref="G190" authorId="0" shapeId="0" xr:uid="{23682FE3-1D3D-4196-A382-0E42DC937AA3}">
      <text>
        <r>
          <rPr>
            <b/>
            <sz val="9"/>
            <color indexed="81"/>
            <rFont val="宋体"/>
          </rPr>
          <t>Gloria Wang:</t>
        </r>
        <r>
          <rPr>
            <sz val="9"/>
            <color indexed="81"/>
            <rFont val="宋体"/>
          </rPr>
          <t xml:space="preserve">
</t>
        </r>
      </text>
    </comment>
    <comment ref="G245" authorId="0" shapeId="0" xr:uid="{C09F2FC0-5E26-44D5-A82D-23A31C8EE404}">
      <text>
        <r>
          <rPr>
            <b/>
            <sz val="9"/>
            <color indexed="81"/>
            <rFont val="宋体"/>
          </rPr>
          <t>Gloria Wang:</t>
        </r>
        <r>
          <rPr>
            <sz val="9"/>
            <color indexed="81"/>
            <rFont val="宋体"/>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<sst xmlns="http://schemas.openxmlformats.org/spreadsheetml/2006/main" count="784" uniqueCount="263">
  <si>
    <t>Exposition Insurance Company</t>
  </si>
  <si>
    <t>Liability data as at:</t>
  </si>
  <si>
    <t>On-Level</t>
  </si>
  <si>
    <t>Accident</t>
  </si>
  <si>
    <t>Earned</t>
  </si>
  <si>
    <t>Year</t>
  </si>
  <si>
    <t>Exposures</t>
  </si>
  <si>
    <t>Premium</t>
  </si>
  <si>
    <t>Expected annual claim severity trend:</t>
  </si>
  <si>
    <t>Expected annual frequency trend:</t>
  </si>
  <si>
    <t>Expected annual claim ratio trend:</t>
  </si>
  <si>
    <t>Reported Claims</t>
  </si>
  <si>
    <t>AY</t>
  </si>
  <si>
    <t>Cumulative Paid Claims</t>
  </si>
  <si>
    <t>Reported Counts</t>
  </si>
  <si>
    <t>Closed Counts</t>
  </si>
  <si>
    <t>First we want to determine is there significant changes in the premium.</t>
  </si>
  <si>
    <t>later year/previous year</t>
  </si>
  <si>
    <t xml:space="preserve">Rate </t>
  </si>
  <si>
    <t>Change</t>
  </si>
  <si>
    <t>Cumulative</t>
  </si>
  <si>
    <t>Average</t>
  </si>
  <si>
    <t>Rate Level</t>
  </si>
  <si>
    <t>Change(%)</t>
  </si>
  <si>
    <t>Annual</t>
  </si>
  <si>
    <t>Exposure</t>
  </si>
  <si>
    <t>Now we can calculate the ratio of reported claims to on-level earned premium triangle.</t>
  </si>
  <si>
    <t>Ratio of reported claims to on-level earned premium</t>
  </si>
  <si>
    <t>To investigate the changes in case outstanding adequacy or in settlement pattern, we can test the ratio of Paid-to-Reported Claims.</t>
  </si>
  <si>
    <t xml:space="preserve"> Ratio of Paid-to-Reported Claims</t>
  </si>
  <si>
    <t>There is a decrease in ratio of Paid-to-Reported claims from 2018. There may be a change in case adequacy or settlement pattern from that time; however, even there is no clear change in ratio does not mean there is</t>
  </si>
  <si>
    <t>To prove that, we can calculate the ratio of culmulative paid to on-level earned premium.</t>
  </si>
  <si>
    <t>Ratio of Culmulative Paid Claims to On-Level Earned Premium</t>
  </si>
  <si>
    <t>Now we can consider the claim counts solely.</t>
  </si>
  <si>
    <t>In that chart, I assume the insurer treats reopen counts as new counts,  and claims closed with no payments as normal close counts with payment 0.</t>
  </si>
  <si>
    <t>Ratio of Closed to Reported Counts</t>
  </si>
  <si>
    <t>There is a decrease in ratio of closed to reported counts from CY2018 which is shown by the decrease in the last 2 diagnols.</t>
  </si>
  <si>
    <t>To investigate the existence of large claims, we can use average report claim.</t>
  </si>
  <si>
    <t>Average Report Claim</t>
  </si>
  <si>
    <t>Average Paid Claim</t>
  </si>
  <si>
    <t>The average report claim increases much in the recent years, there is likely large claim exist, but there is no clear increase pattern in average paid claim.</t>
  </si>
  <si>
    <t>Change in Average Report Claims(%)</t>
  </si>
  <si>
    <t>2010-2011</t>
  </si>
  <si>
    <t>2011-2012</t>
  </si>
  <si>
    <t>2012-2013</t>
  </si>
  <si>
    <t>2013-2014</t>
  </si>
  <si>
    <t>2014-2015</t>
  </si>
  <si>
    <t>2015-2016</t>
  </si>
  <si>
    <t>2016-2017</t>
  </si>
  <si>
    <t>2017-2018</t>
  </si>
  <si>
    <t>2018-2019</t>
  </si>
  <si>
    <t>The change in averge reported Claims increases much in 2018-2019 year for claims within 36 months, there may be some manegement issue happened at that time,</t>
  </si>
  <si>
    <t>We can calculate the average case outstanding to see is there any clue.</t>
  </si>
  <si>
    <t>Case Outstanding</t>
  </si>
  <si>
    <t>Open Counts</t>
  </si>
  <si>
    <t>Average Case Outstanding</t>
  </si>
  <si>
    <t>First we can calculate the age-to-age factor base on reported method.</t>
  </si>
  <si>
    <t>Age-toAge Factor(Reported)</t>
  </si>
  <si>
    <t>12~24</t>
  </si>
  <si>
    <t>48-60</t>
  </si>
  <si>
    <t>60-72</t>
  </si>
  <si>
    <t>24-36</t>
  </si>
  <si>
    <t>36-48</t>
  </si>
  <si>
    <t>72-84</t>
  </si>
  <si>
    <t>84-96</t>
  </si>
  <si>
    <t>96-108</t>
  </si>
  <si>
    <t>108-120</t>
  </si>
  <si>
    <t>Simple Average</t>
  </si>
  <si>
    <t>Latest 5</t>
  </si>
  <si>
    <t>Latest 3</t>
  </si>
  <si>
    <t>volume weighted Average</t>
  </si>
  <si>
    <t>Geometric Average</t>
  </si>
  <si>
    <t>Latest 4</t>
  </si>
  <si>
    <t>selected</t>
  </si>
  <si>
    <t>Also, the data I selected are mostly not the extreme ones, the middle one may be more precise for calculating ultimate.</t>
  </si>
  <si>
    <t>CDF to Ultimate</t>
  </si>
  <si>
    <t>Then calculate the Paid CDF.</t>
  </si>
  <si>
    <t>Age-toAge Factor(Paid)</t>
  </si>
  <si>
    <t>Same reason for choosing age-to-age factor for reported method.</t>
  </si>
  <si>
    <t>Now we can calculate ultimate claims.</t>
  </si>
  <si>
    <t>Ultimate Claims</t>
  </si>
  <si>
    <t>Age of Accident Year in 12/31/19</t>
  </si>
  <si>
    <t>Claims in 12/31/19</t>
  </si>
  <si>
    <t>Reported</t>
  </si>
  <si>
    <t>Paid</t>
  </si>
  <si>
    <t>Projected Ultimate Claims</t>
  </si>
  <si>
    <t>Using Dev.Method With</t>
  </si>
  <si>
    <t>To Ultimate</t>
  </si>
  <si>
    <t xml:space="preserve">Case Outstanding </t>
  </si>
  <si>
    <t>at 12/31/2019</t>
  </si>
  <si>
    <t>Unpaid Claims</t>
  </si>
  <si>
    <t>IBNR</t>
  </si>
  <si>
    <t>Total</t>
  </si>
  <si>
    <t>As the CDF of paid method is high, it may be be good choice to use it.</t>
  </si>
  <si>
    <t>For F-S Method, we need to calculate the ultimate count.</t>
  </si>
  <si>
    <t>Age-toAge Factor(Closed)</t>
  </si>
  <si>
    <t>Ultimate Count Using Reported Method</t>
  </si>
  <si>
    <t>As all the factor in 12-24 month is greater than one and most of them are less than one for development period over 24 months. There may be something happening for collecting the reported counts such as reported</t>
  </si>
  <si>
    <t>counts may includes no payment claims, but they are not included in the ultimate. Having more data in calculation to make the CDF less than 1 may be more appropriate. Also, many of the CDF for the 3-year term seems</t>
  </si>
  <si>
    <t>to be very unstabled, that it differs a a lot from the simple average value and volume weighted average, which is not good for calculating the ultimate.</t>
  </si>
  <si>
    <t>Now we can develop the counts.</t>
  </si>
  <si>
    <t>Ultimate Counts</t>
  </si>
  <si>
    <t>Counts in 12/31/19</t>
  </si>
  <si>
    <t>Closed</t>
  </si>
  <si>
    <t>Projected Ultimate Claims Counts</t>
  </si>
  <si>
    <t xml:space="preserve"> Ultimate Counts</t>
  </si>
  <si>
    <t>Selected</t>
  </si>
  <si>
    <t xml:space="preserve">Total </t>
  </si>
  <si>
    <t>To select ultimate counts, it is useful to use the average of the 2 for some time. Also, as there is problems with the CDF of reported method, it may not be a good idea to use them a lot.</t>
  </si>
  <si>
    <t>Calculate Ultimate Serverity.</t>
  </si>
  <si>
    <t>Reported Severity</t>
  </si>
  <si>
    <t>There is no clear pattern, except some increase in 2018, consider longer term may be better.</t>
  </si>
  <si>
    <t>No clear pattern shown in the age to age factor</t>
  </si>
  <si>
    <t>Age-to-Age Factor(Reported)</t>
  </si>
  <si>
    <t>Severity in 12/31/19</t>
  </si>
  <si>
    <t>Using FS.Method With</t>
  </si>
  <si>
    <t>Ultimate Severity</t>
  </si>
  <si>
    <t>Projected Ultimate Claims Severity</t>
  </si>
  <si>
    <t>Trend to 2019 at 6%</t>
  </si>
  <si>
    <t>Severity</t>
  </si>
  <si>
    <t>Trended Ultimate</t>
  </si>
  <si>
    <t>Frequency</t>
  </si>
  <si>
    <t>Trend to 2019 at -0.5%</t>
  </si>
  <si>
    <t>Trended Frequency</t>
  </si>
  <si>
    <t>Projected Ultimate Counts</t>
  </si>
  <si>
    <t xml:space="preserve">Trended  </t>
  </si>
  <si>
    <t xml:space="preserve">Ultimate </t>
  </si>
  <si>
    <t>No tort reform factor, makes the trended ultimate severity extreme large</t>
  </si>
  <si>
    <t>Unpaid Claim</t>
  </si>
  <si>
    <t>Projected Ultimate Claim Approach1</t>
  </si>
  <si>
    <t>Projected Ultimate Claim Approach2</t>
  </si>
  <si>
    <t>Unpaid</t>
  </si>
  <si>
    <t>Now we consider thee expected method.</t>
  </si>
  <si>
    <t>As the FS method 2 is not so approariate, and approach 1 may be too small, we use development method value for consideration of intial selected ultimate.</t>
  </si>
  <si>
    <t>Initial Selected</t>
  </si>
  <si>
    <t xml:space="preserve"> Ultimate Claims</t>
  </si>
  <si>
    <t>Claim</t>
  </si>
  <si>
    <t>Ratio</t>
  </si>
  <si>
    <t>Trend at</t>
  </si>
  <si>
    <t>Trended</t>
  </si>
  <si>
    <t>Ultimate Claim =Trended Claim Ratio* On-Level Earned Premium</t>
  </si>
  <si>
    <t>Total Unpaid</t>
  </si>
  <si>
    <t>%Reported</t>
  </si>
  <si>
    <t>% Paid</t>
  </si>
  <si>
    <t>% Unreported</t>
  </si>
  <si>
    <t>Expected Claims</t>
  </si>
  <si>
    <t xml:space="preserve"> Ultimate Claim</t>
  </si>
  <si>
    <t>Expected</t>
  </si>
  <si>
    <t>Unreported</t>
  </si>
  <si>
    <t>% Unpaid</t>
  </si>
  <si>
    <t>Projected Ultimate Claim</t>
  </si>
  <si>
    <t>Using BF Method with</t>
  </si>
  <si>
    <t xml:space="preserve">IBNR with BF Method </t>
  </si>
  <si>
    <t>Total Unpaid with BF Method</t>
  </si>
  <si>
    <t>Development Method</t>
  </si>
  <si>
    <t>FS Method Approach 1</t>
  </si>
  <si>
    <t>FS Method Approach 2</t>
  </si>
  <si>
    <t>Expected Method</t>
  </si>
  <si>
    <t>BF Method</t>
  </si>
  <si>
    <t>Same thing happens to the expected method, with no tort reform the trended claim ratio become too high that leads to an unbelivable high ultimate and unpaid to the older year, which does not make any sense.</t>
  </si>
  <si>
    <t>Annual Change based on Exponential Regression Analysis of Severities and Accident Year</t>
  </si>
  <si>
    <t>First we want to calculate the average case outstanding claim triangle and average case outstanding triangle to test change in case outstanding</t>
  </si>
  <si>
    <t>Compare to the trend in case outstanding</t>
  </si>
  <si>
    <t>Selected Annual Severity trend rate</t>
  </si>
  <si>
    <t>The trend in the average case outstanding is much higher in the later years, the adjustment is may appropriate.</t>
  </si>
  <si>
    <t>Now we can adjust the average case outstanding.</t>
  </si>
  <si>
    <t>Adjust Average Case Outstanding</t>
  </si>
  <si>
    <t>Adjusted Reported Claims</t>
  </si>
  <si>
    <t>Now we can do the development method with the adjusted reported Claims.</t>
  </si>
  <si>
    <t>Selected Age to Age Factor</t>
  </si>
  <si>
    <t xml:space="preserve">As all the values are adjusted, using the value with longer term may be aprorpiate. Also we do not want to use extreme number or number that are so different than other values. The middle value may be </t>
  </si>
  <si>
    <t>the most approriate.</t>
  </si>
  <si>
    <t>Now  we can use the development method.</t>
  </si>
  <si>
    <t>Adjusted</t>
  </si>
  <si>
    <t xml:space="preserve"> Reported Claims</t>
  </si>
  <si>
    <t>Adjusted is lower than the orginal.</t>
  </si>
  <si>
    <t>CDF</t>
  </si>
  <si>
    <t>Projected Ultimate with Adjusted Report</t>
  </si>
  <si>
    <t>Paid Claim</t>
  </si>
  <si>
    <t>BS Tehchnique Adjusted</t>
  </si>
  <si>
    <t xml:space="preserve"> Adjusted Reported</t>
  </si>
  <si>
    <r>
      <t>therefore method that heavily rely in</t>
    </r>
    <r>
      <rPr>
        <sz val="11"/>
        <color theme="5"/>
        <rFont val="宋体"/>
        <family val="2"/>
        <scheme val="minor"/>
      </rPr>
      <t xml:space="preserve"> premium and reported claim</t>
    </r>
    <r>
      <rPr>
        <sz val="11"/>
        <color theme="1"/>
        <rFont val="宋体"/>
        <family val="2"/>
        <scheme val="minor"/>
      </rPr>
      <t xml:space="preserve"> may not be appropriate.</t>
    </r>
  </si>
  <si>
    <t>What is more, as there is change in older year, we should use some method that do not rely on historical data and do not assume steady environment.</t>
  </si>
  <si>
    <t>necessarily no change in management, but the change is quite small that may not affect any estimate method. With looking at the close counts triangle, there is a decrease in closed counts from 2014, there may be a speed-</t>
  </si>
  <si>
    <r>
      <t>We can not conclude anything from that. Only maybe the</t>
    </r>
    <r>
      <rPr>
        <sz val="11"/>
        <color theme="5"/>
        <rFont val="宋体"/>
        <family val="2"/>
        <scheme val="minor"/>
      </rPr>
      <t xml:space="preserve"> development method</t>
    </r>
    <r>
      <rPr>
        <sz val="11"/>
        <color theme="1"/>
        <rFont val="宋体"/>
        <family val="2"/>
        <scheme val="minor"/>
      </rPr>
      <t xml:space="preserve"> is affected.</t>
    </r>
  </si>
  <si>
    <r>
      <t>The decrease in</t>
    </r>
    <r>
      <rPr>
        <sz val="11"/>
        <color theme="5"/>
        <rFont val="宋体"/>
        <family val="2"/>
        <scheme val="minor"/>
      </rPr>
      <t xml:space="preserve"> closed counts and reported counts both starts in 2014</t>
    </r>
    <r>
      <rPr>
        <sz val="11"/>
        <color theme="1"/>
        <rFont val="宋体"/>
        <family val="2"/>
        <scheme val="minor"/>
      </rPr>
      <t>, but the ratio pattern does not change much, it changes much from CY2017. Further investigation is necessary.</t>
    </r>
  </si>
  <si>
    <t>We do not want to select the one that is so different to others. Also, there may be something happening in the lastest years as we observed by the diagnositc test, so we mostly use the data calculated by more data.</t>
  </si>
  <si>
    <t>Same reason to reported age to age factor, extreme ones, and short term ones may not be appropriate because of the possible change in management.</t>
  </si>
  <si>
    <t>Also because of many robloems from 2014-2019, change happens. The key assumption of steady environment for development method is not satisfied.</t>
  </si>
  <si>
    <t>Therefore development method estimated ultimate may not be good.</t>
  </si>
  <si>
    <t>Actually they do not make much difference as the value is quite similar.</t>
  </si>
  <si>
    <t>The intial ultimate is selected with positve and increasing IBNR with lower value. The IBNR increases a lot in the reported method for 2019, therefore choose Development Paid method Ultimate instead.</t>
  </si>
  <si>
    <t>1/CDF</t>
  </si>
  <si>
    <t>assumption of development method is the steady environment and the data will develop as it was before. So both the paid and reported estimate from development method is not liable.</t>
  </si>
  <si>
    <t>Selected Ultimate</t>
  </si>
  <si>
    <t>12/31/19</t>
  </si>
  <si>
    <t>Selected Unpaid</t>
  </si>
  <si>
    <t xml:space="preserve">Calender </t>
  </si>
  <si>
    <t>ULAE</t>
  </si>
  <si>
    <t xml:space="preserve">Paid </t>
  </si>
  <si>
    <t>Claims</t>
  </si>
  <si>
    <t>Ratio of</t>
  </si>
  <si>
    <t>Paid ULAE to</t>
  </si>
  <si>
    <t>Paid Claims</t>
  </si>
  <si>
    <t xml:space="preserve">Selcted ULAE ratio </t>
  </si>
  <si>
    <t>IBNR with</t>
  </si>
  <si>
    <t>Ultimate</t>
  </si>
  <si>
    <t>Case</t>
  </si>
  <si>
    <t>Outstanding</t>
  </si>
  <si>
    <t>Unpaid ULAE</t>
  </si>
  <si>
    <t>From year 2014 to 2018, we have to say that there is some change in the premium, but the pattern of decreasing is quite steady. It is clear that the development method is not useful and the trend makes the</t>
  </si>
  <si>
    <t>Trend is a disruption for the data, but not using them are not making any sense for those method. The BF method has the least affect from the expected trend, therefore they may be the best choice to  choose</t>
  </si>
  <si>
    <t>for the ultimate from 2014 to 2018.</t>
  </si>
  <si>
    <t>But using it in the lastest year may be a good choice as there is highly doubted that there is management change in 2019 and the trend is not useful for it as it is the latest year. As there may be many changes</t>
  </si>
  <si>
    <t>detected by the diagnostic test in 2019, it may be better to treat it as entering a new business, old experience may not be useful, therefore using expected method for 2019 may be a good choice.</t>
  </si>
  <si>
    <r>
      <t xml:space="preserve">down in claim closure. As the decrease in </t>
    </r>
    <r>
      <rPr>
        <sz val="11"/>
        <color theme="5"/>
        <rFont val="宋体"/>
        <family val="2"/>
        <scheme val="minor"/>
      </rPr>
      <t>closed counts and premium from 2014</t>
    </r>
    <r>
      <rPr>
        <sz val="11"/>
        <color theme="1"/>
        <rFont val="宋体"/>
        <family val="2"/>
        <scheme val="minor"/>
      </rPr>
      <t>, method rely on these heavily may not be a good choice for estimating the ultimate.</t>
    </r>
  </si>
  <si>
    <t>Also, as they close counts and premium changes a lot from 2014, it may not be a good choice to use the expected method solely to estimate the ultimate for those years.</t>
  </si>
  <si>
    <t>Conclusion: We only see a small increase in that ratio, that can mean a speed up in claim payment or deterioration in underwriting result, but the change is so small that may not be a problem.</t>
  </si>
  <si>
    <t>No clear conclusion of any change can be drawn from the paid to on-level premium ratio.</t>
  </si>
  <si>
    <t>That implies a slow down in settlement process, but not clear. This may have effect on the entire portfolio of outstanding claims not just claims from the latest accident year.</t>
  </si>
  <si>
    <t>No clear pattern in age to age facot and no huge difference between each average value, therefore there is no huge differnet between them. Choosing any of them may not be a problem,</t>
  </si>
  <si>
    <t xml:space="preserve"> thus I just exclude the extreme ones and choose the one with the highest frequency.</t>
  </si>
  <si>
    <t>I just exclude the extremes. Also, as previous part, as the severity increases a lot in 2019, using averge weight with longer calculation term may decrease the effect sudden huge increase on 2019.</t>
  </si>
  <si>
    <t>The is no much change in the age to age factor for paid claim, therefore exclude the extrmes may be enough.</t>
  </si>
  <si>
    <t>Fs Method Approach 1</t>
  </si>
  <si>
    <t>Now we can do the development method. We make an assumption just for development method that the enviroment is steady, data will develop as it was before.</t>
  </si>
  <si>
    <t>CDF is the CDF used in development method.</t>
  </si>
  <si>
    <t>As there may be something happens to the management and settlement process as indicatied in the diagnostic test part, using development method ONLY may not be a good choice in the recent years as the key</t>
  </si>
  <si>
    <t xml:space="preserve">The paid method for development is not so approriate, with the CDF of 7.779201 in 2019, the paid amount is very immature, but the CDF does not increase much in year 2010 to 2014. Small change in paid </t>
  </si>
  <si>
    <t>amount can lead to a huge swing in the ultimate value, thus it is not a good estimate. But we may use these in the older year(before 2014) since they data is quite stable at that time.</t>
  </si>
  <si>
    <t>Also with large claim existed in recent years from the diagnostic test, it is not a good idea to use the development method for the last 2 years.</t>
  </si>
  <si>
    <t xml:space="preserve">which also leads to a huge unpaid to the older year, basically does not make any sense. </t>
  </si>
  <si>
    <t>Also for the FS method approach 1, we have old data, but as we do not include these in calculation, it may not be a good choice for responsive for the data. What is more, even we have trend to adjust the priori</t>
  </si>
  <si>
    <t>expectation, if we do not use them it does not make any sense. Also, many of the CDF for reported count is less than 1, that is not normal. That can make the FS method not a good estimate for the ultimate.</t>
  </si>
  <si>
    <t>With the lack of responsiveness to previous data and trend, FS Approach 1 may not be a good choice.</t>
  </si>
  <si>
    <t xml:space="preserve">Compare within BF method, the paid method may be better because the reported part includes the case outstanding, which is already an estimate. We know from the diagnositc test there may be something </t>
  </si>
  <si>
    <t>happening with the case outstaidng adequacy. What is more, anything happens to the case outstanding can affect the reported claim. Using a value include estimate to estimate the ultimate may not be a good</t>
  </si>
  <si>
    <t xml:space="preserve"> choice. Also, what we learnt in the course tells us when the case strength increases, the paid BF estimate can be responsible. As we have no information from the question about any clear management change</t>
  </si>
  <si>
    <t>mentioned in the context but there may be some as we dectect in the diagnostic test. We do not have any information about what that is, so the paid estimate can be more reliable as it is more stable than the reported estimate.</t>
  </si>
  <si>
    <r>
      <rPr>
        <sz val="11"/>
        <color rgb="FFC00000"/>
        <rFont val="宋体"/>
        <family val="2"/>
        <scheme val="minor"/>
      </rPr>
      <t xml:space="preserve">and exposure, </t>
    </r>
    <r>
      <rPr>
        <sz val="11"/>
        <rFont val="宋体"/>
        <family val="2"/>
        <scheme val="minor"/>
      </rPr>
      <t>thus</t>
    </r>
    <r>
      <rPr>
        <sz val="11"/>
        <color rgb="FFC00000"/>
        <rFont val="宋体"/>
        <family val="2"/>
        <scheme val="minor"/>
      </rPr>
      <t xml:space="preserve"> </t>
    </r>
    <r>
      <rPr>
        <sz val="11"/>
        <color theme="1"/>
        <rFont val="宋体"/>
        <family val="2"/>
        <scheme val="minor"/>
      </rPr>
      <t xml:space="preserve">the premium is not steady. Method relate to premium and exposure heavily may not be useful for those years, but we do not know is that just a decrease in business or premium and exposure </t>
    </r>
  </si>
  <si>
    <t>management change. Further investigation is necessary.</t>
  </si>
  <si>
    <t>Also there is something happening in 2018 and 2019,causes the ratio of reported claims to on-level earned premium increases a lot.</t>
  </si>
  <si>
    <r>
      <t xml:space="preserve">Combine with the infomation with annual exposure change, both increase in report and on level premium, which the increase in report claim is larger may possible mean that the </t>
    </r>
    <r>
      <rPr>
        <sz val="11"/>
        <color theme="5"/>
        <rFont val="宋体"/>
        <family val="2"/>
        <scheme val="minor"/>
      </rPr>
      <t>2019</t>
    </r>
    <r>
      <rPr>
        <sz val="11"/>
        <color theme="1"/>
        <rFont val="宋体"/>
        <family val="2"/>
        <scheme val="minor"/>
      </rPr>
      <t xml:space="preserve"> has some change in report claim,</t>
    </r>
  </si>
  <si>
    <t>Assumption:</t>
  </si>
  <si>
    <t xml:space="preserve">There is clear increase in the column, the average case outstading is much higher in CY2019(lastest diagnol). There may be large claim that affect the estimate method. Development method and BS Technique </t>
  </si>
  <si>
    <t>are not appropriate for estimating the ultimate.</t>
  </si>
  <si>
    <r>
      <t xml:space="preserve">but we do not know is that increase is due to greater level of payment of stronger level of case outstanding. </t>
    </r>
    <r>
      <rPr>
        <sz val="11"/>
        <color rgb="FFC00000"/>
        <rFont val="宋体"/>
        <family val="2"/>
        <scheme val="minor"/>
      </rPr>
      <t>Therefore the development method may not work for the last 2 years.</t>
    </r>
  </si>
  <si>
    <r>
      <t xml:space="preserve">As there is signifcant change in both </t>
    </r>
    <r>
      <rPr>
        <sz val="11"/>
        <color rgb="FFC00000"/>
        <rFont val="宋体"/>
        <family val="2"/>
        <scheme val="minor"/>
      </rPr>
      <t>earned premium and exposure</t>
    </r>
    <r>
      <rPr>
        <sz val="11"/>
        <color theme="1"/>
        <rFont val="宋体"/>
        <family val="2"/>
        <scheme val="minor"/>
      </rPr>
      <t xml:space="preserve"> from </t>
    </r>
    <r>
      <rPr>
        <sz val="11"/>
        <color theme="5"/>
        <rFont val="宋体"/>
        <family val="2"/>
        <scheme val="minor"/>
      </rPr>
      <t>2014 to2018</t>
    </r>
    <r>
      <rPr>
        <sz val="11"/>
        <color theme="1"/>
        <rFont val="宋体"/>
        <family val="2"/>
        <scheme val="minor"/>
      </rPr>
      <t xml:space="preserve"> from postive rate of change to negative rate of change,especially in 2018, and there is</t>
    </r>
    <r>
      <rPr>
        <sz val="11"/>
        <color rgb="FFC00000"/>
        <rFont val="宋体"/>
        <family val="2"/>
        <scheme val="minor"/>
      </rPr>
      <t xml:space="preserve"> significant increase in 2019</t>
    </r>
    <r>
      <rPr>
        <sz val="11"/>
        <color theme="1"/>
        <rFont val="宋体"/>
        <family val="2"/>
        <scheme val="minor"/>
      </rPr>
      <t xml:space="preserve"> in both</t>
    </r>
    <r>
      <rPr>
        <sz val="11"/>
        <color theme="5"/>
        <rFont val="宋体"/>
        <family val="2"/>
        <scheme val="minor"/>
      </rPr>
      <t xml:space="preserve"> premium </t>
    </r>
  </si>
  <si>
    <t>As the exposure increases a lot in 2019, the reported claim also increases a lot.</t>
  </si>
  <si>
    <t>The reported claims decreases from 2014. That may because of the decrease in exposure from 2014. Something is happening from 2014 to 2018.</t>
  </si>
  <si>
    <t>The last year may not follow the pattern before as counts and ratio srarts to increase again.</t>
  </si>
  <si>
    <t>FS has ultimate that is too high.</t>
  </si>
  <si>
    <t>total unpaid</t>
  </si>
  <si>
    <t>So my ultimate estimate is, 2010-2013 from development paid method, 2014-2018 from BF Paid Method, 2019 from Expected method.</t>
  </si>
  <si>
    <t>The CDF are ones from the development method as they are used for reported and paid claims directly. Expected claim are directly from expected method.</t>
  </si>
  <si>
    <t>Also as we calculated in diagnostic test, there is doubt that there is change in case adequacy in recent years, therefore the reported data is not reliable, thus the development estimate with reported claims is not liable.</t>
  </si>
  <si>
    <t>The FS Approach 2 is also not a good method. With no tort reform,  the older data is trended to a high value. The severity is almost 1.7 time of the original value. That lead to a huge ultimate to the older years,</t>
  </si>
  <si>
    <t>What is more,both the closed counts and reported counts started to decrease from 2014, it is not a good idea to use them to estimate as the business enviroment related to the counts has changed.</t>
  </si>
  <si>
    <t>FS method and expected method are not useful for these year, however, expected may be the best choice for the changes, but using it solely can be another problem as it is not a new business in 2014.</t>
  </si>
  <si>
    <t xml:space="preserve">With the BS Technqie, the adjusted report works well  but it ignores some fact relate to the older data and the older experience. It is hard for BS technique to react with the maganment issue </t>
  </si>
  <si>
    <t>happened in older years, therefore using it as a reliable method may bot be a good choice;however, as year 2010-2013 does not have clear business environment change and year 2019 have too</t>
  </si>
  <si>
    <t>many change that can be almost treatedas a new environment, using development method for year 2010-2013 and expected method for year 2019 may be a good choice.</t>
  </si>
  <si>
    <t>Calculated ULAE = (ULAE Ratio * (1-60%) * Case Outstanding) + (ULAE Ratio * 100% * IBNR)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</si>
</sst>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11"/>
      <color theme="1"/>
      <name val="宋体"/>
      <family val="2"/>
      <scheme val="minor"/>
    </font>
    <font>
      <b/>
      <sz val="11"/>
      <color theme="1"/>
      <name val="宋体"/>
      <family val="2"/>
      <scheme val="minor"/>
    </font>
    <font>
      <b/>
      <sz val="14"/>
      <color theme="1"/>
      <name val="宋体"/>
      <family val="2"/>
      <scheme val="minor"/>
    </font>
    <font>
      <sz val="11"/>
      <name val="宋体"/>
      <family val="2"/>
      <scheme val="minor"/>
    </font>
    <font>
      <sz val="8"/>
      <name val="宋体"/>
      <family val="2"/>
      <scheme val="minor"/>
    </font>
    <font>
      <sz val="9"/>
      <color indexed="81"/>
      <name val="宋体"/>
    </font>
    <font>
      <b/>
      <sz val="9"/>
      <color indexed="81"/>
      <name val="宋体"/>
    </font>
    <font>
      <sz val="11"/>
      <color theme="5"/>
      <name val="宋体"/>
      <family val="2"/>
      <scheme val="minor"/>
    </font>
    <font>
      <sz val="11"/>
      <color rgb="FFC00000"/>
      <name val="宋体"/>
      <family val="2"/>
      <scheme val="minor"/>
    </font>
    <font>
      <sz val="9"/>
      <name val="宋体"/>
      <family val="3"/>
      <charset val="134"/>
      <scheme val="minor"/>
    </font>
  </fonts>
  <fills count="11">
    <fill>
      <patternFill patternType="none"/>
    </fill>
    <fill>
      <patternFill patternType="gray125"/>
    </fill>
    <fill>
      <patternFill patternType="solid">
        <fgColor theme="9"/>
        <bgColor indexed="64"/>
      </patternFill>
    </fill>
    <fill>
      <patternFill patternType="solid">
        <fgColor theme="8"/>
        <bgColor indexed="64"/>
      </patternFill>
    </fill>
    <fill>
      <patternFill patternType="solid">
        <fgColor them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446">
    <xf numFmtId="0" fontId="0" fillId="0" borderId="0" xfId="0"/>
    <xf numFmtId="0" fontId="3" fillId="0" borderId="0" xfId="0" applyFont="1"/>
    <xf numFmtId="15" fontId="0" fillId="0" borderId="0" xfId="0" applyNumberFormat="1"/>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3" fontId="4" fillId="0" borderId="0" xfId="0" applyNumberFormat="1" applyFont="1" applyAlignment="1">
      <alignment horizontal="center"/>
    </xf>
    <xf numFmtId="0" fontId="0" fillId="0" borderId="0" xfId="0" applyBorder="1" applyAlignment="1">
      <alignment horizontal="center"/>
    </xf>
    <xf numFmtId="3" fontId="4" fillId="0" borderId="1" xfId="0" applyNumberFormat="1" applyFont="1" applyBorder="1" applyAlignment="1">
      <alignment horizontal="center"/>
    </xf>
    <xf numFmtId="3" fontId="4" fillId="0" borderId="0" xfId="0" applyNumberFormat="1" applyFont="1" applyBorder="1" applyAlignment="1">
      <alignment horizontal="center"/>
    </xf>
    <xf numFmtId="0" fontId="0" fillId="0" borderId="0" xfId="0" applyBorder="1" applyAlignment="1">
      <alignment horizontal="left"/>
    </xf>
    <xf numFmtId="10" fontId="0" fillId="0" borderId="0" xfId="0" applyNumberFormat="1"/>
    <xf numFmtId="10" fontId="0" fillId="0" borderId="0" xfId="1" applyNumberFormat="1" applyFont="1"/>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4" fillId="0" borderId="0" xfId="0" applyFont="1"/>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applyAlignment="1">
      <alignment horizontal="left"/>
    </xf>
    <xf numFmtId="0" fontId="0" fillId="0" borderId="0" xfId="0" applyFill="1" applyBorder="1" applyAlignment="1">
      <alignment horizontal="center"/>
    </xf>
    <xf numFmtId="0" fontId="0" fillId="2" borderId="0" xfId="0" applyFill="1"/>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4" fillId="0" borderId="0" xfId="0" applyFont="1"/>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xf numFmtId="0" fontId="0" fillId="0" borderId="1"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0" fillId="0" borderId="0" xfId="0" applyFill="1"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7" xfId="0" applyFill="1" applyBorder="1"/>
    <xf numFmtId="0" fontId="0" fillId="3" borderId="0" xfId="0" applyFill="1"/>
    <xf numFmtId="0" fontId="0" fillId="0" borderId="3" xfId="0" applyBorder="1" applyAlignment="1">
      <alignment horizontal="center"/>
    </xf>
    <xf numFmtId="3" fontId="0" fillId="0" borderId="0" xfId="0" applyNumberFormat="1"/>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0" fontId="0" fillId="0" borderId="0" xfId="0"/>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11" xfId="0" applyBorder="1" applyAlignment="1">
      <alignment horizontal="center"/>
    </xf>
    <xf numFmtId="0" fontId="2" fillId="0" borderId="8" xfId="0" applyFont="1" applyBorder="1" applyAlignment="1">
      <alignment horizontal="center"/>
    </xf>
    <xf numFmtId="0" fontId="0" fillId="0" borderId="6" xfId="0" applyBorder="1"/>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11" xfId="0" applyBorder="1"/>
    <xf numFmtId="0" fontId="0" fillId="0" borderId="0" xfId="0"/>
    <xf numFmtId="0" fontId="0" fillId="0" borderId="1"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6" xfId="0" applyBorder="1"/>
    <xf numFmtId="0" fontId="0" fillId="0" borderId="11" xfId="0" applyBorder="1"/>
    <xf numFmtId="3" fontId="4" fillId="0" borderId="9" xfId="1" applyNumberFormat="1" applyFont="1" applyBorder="1" applyAlignment="1">
      <alignment horizontal="center"/>
    </xf>
    <xf numFmtId="3" fontId="4" fillId="0" borderId="0" xfId="1" applyNumberFormat="1" applyFont="1" applyBorder="1" applyAlignment="1">
      <alignment horizontal="center"/>
    </xf>
    <xf numFmtId="3" fontId="4" fillId="0" borderId="1" xfId="1" applyNumberFormat="1" applyFont="1" applyBorder="1" applyAlignment="1">
      <alignment horizontal="center"/>
    </xf>
    <xf numFmtId="3" fontId="4" fillId="0" borderId="0" xfId="1" applyNumberFormat="1" applyFont="1" applyBorder="1" applyAlignment="1">
      <alignment horizontal="center"/>
    </xf>
    <xf numFmtId="3" fontId="4" fillId="0" borderId="0" xfId="1" applyNumberFormat="1" applyFont="1" applyBorder="1" applyAlignment="1">
      <alignment horizontal="center"/>
    </xf>
    <xf numFmtId="3" fontId="4" fillId="0" borderId="0" xfId="1" applyNumberFormat="1" applyFont="1" applyBorder="1" applyAlignment="1">
      <alignment horizontal="center"/>
    </xf>
    <xf numFmtId="3" fontId="4" fillId="0" borderId="0" xfId="1" applyNumberFormat="1" applyFont="1" applyBorder="1" applyAlignment="1">
      <alignment horizontal="center"/>
    </xf>
    <xf numFmtId="0" fontId="0" fillId="0" borderId="0" xfId="0"/>
    <xf numFmtId="1" fontId="2" fillId="0" borderId="0" xfId="0" applyNumberFormat="1" applyFont="1" applyBorder="1" applyAlignment="1">
      <alignment horizontal="center"/>
    </xf>
    <xf numFmtId="3" fontId="4" fillId="0" borderId="0" xfId="1" applyNumberFormat="1" applyFont="1" applyBorder="1" applyAlignment="1">
      <alignment horizontal="center"/>
    </xf>
    <xf numFmtId="3" fontId="4" fillId="0" borderId="1" xfId="1" applyNumberFormat="1" applyFont="1" applyBorder="1" applyAlignment="1">
      <alignment horizontal="center"/>
    </xf>
    <xf numFmtId="1" fontId="2" fillId="0" borderId="0" xfId="0" applyNumberFormat="1" applyFont="1" applyFill="1" applyBorder="1" applyAlignment="1">
      <alignment horizontal="center"/>
    </xf>
    <xf numFmtId="0" fontId="0" fillId="0" borderId="0" xfId="0"/>
    <xf numFmtId="1" fontId="2" fillId="0" borderId="0" xfId="0" applyNumberFormat="1" applyFont="1" applyFill="1" applyBorder="1" applyAlignment="1">
      <alignment horizontal="center"/>
    </xf>
    <xf numFmtId="0" fontId="0" fillId="0" borderId="0" xfId="0"/>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1" fontId="2" fillId="0" borderId="0" xfId="0" applyNumberFormat="1" applyFont="1" applyFill="1" applyBorder="1" applyAlignment="1">
      <alignment horizontal="center"/>
    </xf>
    <xf numFmtId="1" fontId="0" fillId="0" borderId="0" xfId="0" applyNumberFormat="1"/>
    <xf numFmtId="3" fontId="0" fillId="0" borderId="0" xfId="0" applyNumberFormat="1" applyBorder="1"/>
    <xf numFmtId="0" fontId="0" fillId="0" borderId="0" xfId="0"/>
    <xf numFmtId="0" fontId="0" fillId="0" borderId="1"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6" xfId="0" applyBorder="1"/>
    <xf numFmtId="0" fontId="0" fillId="0" borderId="11" xfId="0" applyBorder="1"/>
    <xf numFmtId="1" fontId="2" fillId="0" borderId="0" xfId="0" applyNumberFormat="1" applyFont="1" applyFill="1" applyBorder="1" applyAlignment="1">
      <alignment horizontal="center"/>
    </xf>
    <xf numFmtId="0" fontId="0" fillId="0" borderId="0" xfId="0"/>
    <xf numFmtId="1" fontId="2" fillId="0" borderId="0" xfId="0" applyNumberFormat="1" applyFont="1" applyBorder="1" applyAlignment="1">
      <alignment horizontal="center"/>
    </xf>
    <xf numFmtId="0" fontId="0" fillId="2" borderId="0" xfId="0" applyFill="1"/>
    <xf numFmtId="1" fontId="2" fillId="0" borderId="0" xfId="0" applyNumberFormat="1" applyFont="1" applyFill="1" applyBorder="1" applyAlignment="1">
      <alignment horizontal="center"/>
    </xf>
    <xf numFmtId="0" fontId="0" fillId="0" borderId="0" xfId="0"/>
    <xf numFmtId="0" fontId="0" fillId="0" borderId="0" xfId="0" applyAlignment="1">
      <alignment horizontal="center"/>
    </xf>
    <xf numFmtId="0" fontId="0" fillId="0" borderId="1"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2" borderId="0" xfId="0" applyFill="1"/>
    <xf numFmtId="0" fontId="0" fillId="0" borderId="11" xfId="0" applyBorder="1" applyAlignment="1">
      <alignment horizontal="center"/>
    </xf>
    <xf numFmtId="0" fontId="2" fillId="0" borderId="8" xfId="0" applyFont="1" applyBorder="1" applyAlignment="1">
      <alignment horizontal="center"/>
    </xf>
    <xf numFmtId="3" fontId="0" fillId="0" borderId="0" xfId="0" applyNumberFormat="1"/>
    <xf numFmtId="1" fontId="0" fillId="0" borderId="0" xfId="0" applyNumberFormat="1" applyFont="1" applyBorder="1" applyAlignment="1">
      <alignment horizontal="center"/>
    </xf>
    <xf numFmtId="1" fontId="2" fillId="0" borderId="0" xfId="0" applyNumberFormat="1" applyFont="1" applyFill="1" applyBorder="1" applyAlignment="1">
      <alignment horizontal="center"/>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0" fillId="0" borderId="0" xfId="0"/>
    <xf numFmtId="1" fontId="2" fillId="0" borderId="0" xfId="0" applyNumberFormat="1" applyFont="1" applyBorder="1" applyAlignment="1">
      <alignment horizontal="center"/>
    </xf>
    <xf numFmtId="0" fontId="0" fillId="0" borderId="0" xfId="0" applyBorder="1"/>
    <xf numFmtId="0" fontId="0" fillId="0" borderId="1" xfId="0" applyBorder="1"/>
    <xf numFmtId="0" fontId="0" fillId="0" borderId="7" xfId="0" applyBorder="1"/>
    <xf numFmtId="0" fontId="0" fillId="0" borderId="10" xfId="0"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6" xfId="0" applyBorder="1"/>
    <xf numFmtId="0" fontId="0" fillId="0" borderId="11" xfId="0" applyBorder="1"/>
    <xf numFmtId="1" fontId="2" fillId="0" borderId="0" xfId="0" applyNumberFormat="1" applyFont="1" applyFill="1" applyBorder="1" applyAlignment="1">
      <alignment horizontal="center"/>
    </xf>
    <xf numFmtId="0" fontId="0" fillId="0" borderId="0" xfId="0"/>
    <xf numFmtId="0" fontId="0" fillId="0" borderId="1" xfId="0" applyBorder="1" applyAlignment="1">
      <alignment horizontal="center"/>
    </xf>
    <xf numFmtId="0" fontId="0" fillId="0" borderId="0" xfId="0" applyBorder="1" applyAlignment="1">
      <alignment horizontal="center"/>
    </xf>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0" fontId="0" fillId="0" borderId="6" xfId="0" applyBorder="1"/>
    <xf numFmtId="0" fontId="0" fillId="0" borderId="11" xfId="0" applyBorder="1"/>
    <xf numFmtId="1" fontId="0" fillId="0" borderId="0" xfId="0" applyNumberFormat="1" applyFont="1" applyBorder="1" applyAlignment="1">
      <alignment horizontal="center"/>
    </xf>
    <xf numFmtId="1" fontId="2" fillId="0" borderId="0" xfId="0" applyNumberFormat="1" applyFont="1" applyFill="1" applyBorder="1" applyAlignment="1">
      <alignment horizontal="center"/>
    </xf>
    <xf numFmtId="1" fontId="0" fillId="0" borderId="7" xfId="0" applyNumberFormat="1" applyFont="1" applyBorder="1" applyAlignment="1"/>
    <xf numFmtId="0" fontId="2" fillId="0" borderId="0" xfId="0" applyFont="1" applyBorder="1" applyAlignment="1">
      <alignment horizontal="center"/>
    </xf>
    <xf numFmtId="0" fontId="0" fillId="0" borderId="6" xfId="0" applyBorder="1" applyAlignment="1"/>
    <xf numFmtId="0" fontId="0" fillId="0" borderId="0" xfId="0"/>
    <xf numFmtId="0" fontId="0" fillId="0" borderId="0" xfId="0" applyAlignment="1">
      <alignment horizontal="center"/>
    </xf>
    <xf numFmtId="0" fontId="0" fillId="0" borderId="1" xfId="0" applyBorder="1" applyAlignment="1">
      <alignment horizontal="center"/>
    </xf>
    <xf numFmtId="3" fontId="4" fillId="0" borderId="0" xfId="0" applyNumberFormat="1" applyFont="1" applyAlignment="1">
      <alignment horizontal="center"/>
    </xf>
    <xf numFmtId="3" fontId="4" fillId="0" borderId="1" xfId="0" applyNumberFormat="1" applyFont="1" applyBorder="1" applyAlignment="1">
      <alignment horizontal="center"/>
    </xf>
    <xf numFmtId="0" fontId="0" fillId="0" borderId="0" xfId="0"/>
    <xf numFmtId="0" fontId="0" fillId="0" borderId="0" xfId="0"/>
    <xf numFmtId="0" fontId="0" fillId="0" borderId="0" xfId="0" applyBorder="1" applyAlignment="1">
      <alignment horizontal="center"/>
    </xf>
    <xf numFmtId="1" fontId="2" fillId="0" borderId="0" xfId="0" applyNumberFormat="1" applyFont="1" applyBorder="1" applyAlignment="1">
      <alignment horizontal="center"/>
    </xf>
    <xf numFmtId="0" fontId="0" fillId="0" borderId="0" xfId="0" applyBorder="1"/>
    <xf numFmtId="0" fontId="2" fillId="0" borderId="0" xfId="0" applyFont="1" applyBorder="1" applyAlignment="1">
      <alignment horizontal="center"/>
    </xf>
    <xf numFmtId="0" fontId="2" fillId="0" borderId="6" xfId="0" applyFont="1" applyBorder="1" applyAlignment="1">
      <alignment horizontal="center"/>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2" borderId="0" xfId="0" applyFill="1"/>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3" fontId="0" fillId="0" borderId="0" xfId="0" applyNumberFormat="1"/>
    <xf numFmtId="0" fontId="0" fillId="0" borderId="0" xfId="0"/>
    <xf numFmtId="0" fontId="0" fillId="0" borderId="0" xfId="0" applyAlignment="1">
      <alignment horizontal="center"/>
    </xf>
    <xf numFmtId="0" fontId="0" fillId="0" borderId="1" xfId="0" applyBorder="1" applyAlignment="1">
      <alignment horizontal="center"/>
    </xf>
    <xf numFmtId="3" fontId="4" fillId="0" borderId="0" xfId="0" applyNumberFormat="1" applyFont="1" applyAlignment="1">
      <alignment horizontal="center"/>
    </xf>
    <xf numFmtId="3" fontId="4" fillId="0" borderId="1" xfId="0" applyNumberFormat="1" applyFont="1" applyBorder="1" applyAlignment="1">
      <alignment horizontal="center"/>
    </xf>
    <xf numFmtId="10" fontId="0" fillId="0" borderId="0" xfId="0" applyNumberFormat="1"/>
    <xf numFmtId="0" fontId="0" fillId="0" borderId="0" xfId="0"/>
    <xf numFmtId="1" fontId="2" fillId="0" borderId="0" xfId="0" applyNumberFormat="1" applyFont="1" applyBorder="1" applyAlignment="1">
      <alignment horizontal="center"/>
    </xf>
    <xf numFmtId="0" fontId="0" fillId="0" borderId="8" xfId="0"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1" xfId="1" applyNumberFormat="1" applyFont="1" applyBorder="1" applyAlignment="1">
      <alignment horizontal="center"/>
    </xf>
    <xf numFmtId="0" fontId="0" fillId="0" borderId="11" xfId="0" applyBorder="1" applyAlignment="1">
      <alignment horizontal="center"/>
    </xf>
    <xf numFmtId="0" fontId="2" fillId="0" borderId="8" xfId="0" applyFont="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0" fillId="0" borderId="0" xfId="0"/>
    <xf numFmtId="0" fontId="0" fillId="0" borderId="1" xfId="0" applyBorder="1"/>
    <xf numFmtId="3" fontId="0" fillId="0" borderId="0" xfId="0" applyNumberFormat="1"/>
    <xf numFmtId="0" fontId="0" fillId="8" borderId="0" xfId="0" applyFill="1"/>
    <xf numFmtId="0" fontId="0" fillId="0" borderId="8" xfId="0" applyBorder="1"/>
    <xf numFmtId="0" fontId="0" fillId="0" borderId="2" xfId="0" applyBorder="1"/>
    <xf numFmtId="0" fontId="0" fillId="0" borderId="9" xfId="0" applyBorder="1"/>
    <xf numFmtId="3" fontId="0" fillId="0" borderId="7" xfId="0" applyNumberFormat="1" applyBorder="1"/>
    <xf numFmtId="3" fontId="0" fillId="0" borderId="1" xfId="0" applyNumberFormat="1" applyBorder="1"/>
    <xf numFmtId="0" fontId="0" fillId="0" borderId="0" xfId="0"/>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applyBorder="1"/>
    <xf numFmtId="0" fontId="0" fillId="0" borderId="7" xfId="0" applyBorder="1"/>
    <xf numFmtId="0" fontId="0" fillId="0" borderId="6" xfId="0" applyBorder="1"/>
    <xf numFmtId="0" fontId="0" fillId="0" borderId="11" xfId="0" applyBorder="1"/>
    <xf numFmtId="0" fontId="2" fillId="0" borderId="3" xfId="0" applyFont="1" applyBorder="1" applyAlignment="1">
      <alignment horizontal="centerContinuous"/>
    </xf>
    <xf numFmtId="0" fontId="2" fillId="0" borderId="4" xfId="0" applyFont="1" applyBorder="1" applyAlignment="1">
      <alignment horizontal="centerContinuous"/>
    </xf>
    <xf numFmtId="0" fontId="2" fillId="0" borderId="5" xfId="0" applyFont="1" applyBorder="1" applyAlignment="1">
      <alignment horizontal="centerContinuous"/>
    </xf>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3" fontId="4" fillId="0" borderId="2" xfId="1" applyNumberFormat="1" applyFont="1" applyBorder="1" applyAlignment="1">
      <alignment horizontal="center"/>
    </xf>
    <xf numFmtId="3" fontId="4" fillId="0" borderId="9" xfId="1" applyNumberFormat="1" applyFont="1" applyBorder="1" applyAlignment="1">
      <alignment horizontal="center"/>
    </xf>
    <xf numFmtId="3" fontId="4" fillId="0" borderId="0" xfId="1" applyNumberFormat="1" applyFont="1" applyBorder="1" applyAlignment="1">
      <alignment horizontal="center"/>
    </xf>
    <xf numFmtId="3" fontId="4" fillId="0" borderId="7" xfId="1" applyNumberFormat="1" applyFont="1" applyBorder="1" applyAlignment="1">
      <alignment horizontal="center"/>
    </xf>
    <xf numFmtId="3" fontId="4" fillId="0" borderId="1" xfId="1" applyNumberFormat="1" applyFont="1" applyBorder="1" applyAlignment="1">
      <alignment horizontal="center"/>
    </xf>
    <xf numFmtId="3" fontId="4" fillId="0" borderId="10" xfId="1" applyNumberFormat="1" applyFont="1" applyBorder="1" applyAlignment="1">
      <alignment horizontal="center"/>
    </xf>
    <xf numFmtId="0" fontId="0" fillId="0" borderId="0" xfId="0" applyBorder="1"/>
    <xf numFmtId="0" fontId="0" fillId="0" borderId="1" xfId="0" applyBorder="1"/>
    <xf numFmtId="0" fontId="0" fillId="0" borderId="7" xfId="0" applyBorder="1"/>
    <xf numFmtId="0" fontId="0" fillId="0" borderId="10" xfId="0" applyBorder="1"/>
    <xf numFmtId="0" fontId="0" fillId="0" borderId="6" xfId="0" applyBorder="1"/>
    <xf numFmtId="0" fontId="0" fillId="0" borderId="11" xfId="0" applyBorder="1"/>
    <xf numFmtId="3" fontId="0" fillId="0" borderId="0" xfId="0" applyNumberFormat="1" applyBorder="1"/>
    <xf numFmtId="0" fontId="0" fillId="0" borderId="8" xfId="0" applyBorder="1"/>
    <xf numFmtId="0" fontId="0" fillId="0" borderId="2" xfId="0" applyBorder="1"/>
    <xf numFmtId="0" fontId="0" fillId="0" borderId="9" xfId="0" applyBorder="1"/>
    <xf numFmtId="9" fontId="0" fillId="0" borderId="0" xfId="0" applyNumberFormat="1"/>
    <xf numFmtId="0" fontId="0" fillId="0" borderId="0" xfId="0"/>
    <xf numFmtId="0" fontId="0" fillId="8" borderId="0" xfId="0" applyFill="1"/>
    <xf numFmtId="0" fontId="0" fillId="0" borderId="0" xfId="0"/>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0" xfId="0" applyBorder="1"/>
    <xf numFmtId="3" fontId="0" fillId="0" borderId="0" xfId="0" applyNumberFormat="1"/>
    <xf numFmtId="0" fontId="0" fillId="0" borderId="6" xfId="0" applyBorder="1"/>
    <xf numFmtId="0" fontId="0" fillId="0" borderId="11" xfId="0" applyBorder="1"/>
    <xf numFmtId="0" fontId="0" fillId="0" borderId="0" xfId="0"/>
    <xf numFmtId="0" fontId="0" fillId="0" borderId="0" xfId="0"/>
    <xf numFmtId="1" fontId="2" fillId="0" borderId="0" xfId="0" applyNumberFormat="1" applyFont="1" applyBorder="1" applyAlignment="1">
      <alignment horizontal="center"/>
    </xf>
    <xf numFmtId="1" fontId="2" fillId="0" borderId="7" xfId="0" applyNumberFormat="1" applyFont="1" applyBorder="1" applyAlignment="1">
      <alignment horizontal="center"/>
    </xf>
    <xf numFmtId="0" fontId="0" fillId="0" borderId="8" xfId="0" applyBorder="1" applyAlignment="1">
      <alignment horizontal="center"/>
    </xf>
    <xf numFmtId="3" fontId="4" fillId="0" borderId="9" xfId="1" applyNumberFormat="1" applyFont="1" applyBorder="1" applyAlignment="1">
      <alignment horizontal="center"/>
    </xf>
    <xf numFmtId="0" fontId="0" fillId="0" borderId="6" xfId="0" applyBorder="1" applyAlignment="1">
      <alignment horizontal="center"/>
    </xf>
    <xf numFmtId="3" fontId="4" fillId="0" borderId="0" xfId="1" applyNumberFormat="1" applyFont="1" applyBorder="1" applyAlignment="1">
      <alignment horizontal="center"/>
    </xf>
    <xf numFmtId="3" fontId="4" fillId="0" borderId="1" xfId="1" applyNumberFormat="1" applyFont="1" applyBorder="1" applyAlignment="1">
      <alignment horizontal="center"/>
    </xf>
    <xf numFmtId="0" fontId="0" fillId="0" borderId="0" xfId="0" applyAlignment="1">
      <alignment horizontal="left"/>
    </xf>
    <xf numFmtId="0" fontId="0" fillId="0" borderId="0" xfId="0" applyBorder="1"/>
    <xf numFmtId="0" fontId="0" fillId="0" borderId="1" xfId="0" applyBorder="1"/>
    <xf numFmtId="0" fontId="0" fillId="0" borderId="7" xfId="0" applyBorder="1"/>
    <xf numFmtId="0" fontId="0" fillId="0" borderId="11" xfId="0" applyBorder="1" applyAlignment="1">
      <alignment horizontal="center"/>
    </xf>
    <xf numFmtId="0" fontId="0" fillId="0" borderId="10" xfId="0" applyBorder="1"/>
    <xf numFmtId="0" fontId="0" fillId="0" borderId="0" xfId="0" applyFill="1" applyBorder="1"/>
    <xf numFmtId="0" fontId="2" fillId="0" borderId="8" xfId="0" applyFont="1" applyBorder="1" applyAlignment="1">
      <alignment horizontal="center"/>
    </xf>
    <xf numFmtId="1" fontId="2" fillId="0" borderId="2" xfId="0" applyNumberFormat="1" applyFont="1" applyBorder="1" applyAlignment="1">
      <alignment horizontal="center"/>
    </xf>
    <xf numFmtId="1" fontId="2" fillId="0" borderId="9" xfId="0" applyNumberFormat="1" applyFont="1" applyBorder="1" applyAlignment="1">
      <alignment horizontal="center"/>
    </xf>
    <xf numFmtId="3" fontId="0" fillId="0" borderId="0" xfId="0" applyNumberFormat="1"/>
    <xf numFmtId="0" fontId="0" fillId="0" borderId="6" xfId="0" applyBorder="1"/>
    <xf numFmtId="0" fontId="0" fillId="0" borderId="11" xfId="0" applyBorder="1"/>
    <xf numFmtId="1" fontId="2" fillId="0" borderId="0" xfId="0" applyNumberFormat="1" applyFont="1" applyFill="1" applyBorder="1" applyAlignment="1">
      <alignment horizontal="center"/>
    </xf>
    <xf numFmtId="0" fontId="0" fillId="8" borderId="0" xfId="0" applyFill="1"/>
    <xf numFmtId="0" fontId="0" fillId="0" borderId="0" xfId="0"/>
    <xf numFmtId="3" fontId="0" fillId="0" borderId="0" xfId="0" applyNumberFormat="1"/>
    <xf numFmtId="0" fontId="0" fillId="0" borderId="0" xfId="0"/>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3" fontId="4" fillId="0" borderId="9" xfId="1" applyNumberFormat="1" applyFont="1" applyBorder="1" applyAlignment="1">
      <alignment horizontal="center"/>
    </xf>
    <xf numFmtId="3" fontId="4" fillId="0" borderId="0" xfId="1" applyNumberFormat="1" applyFont="1" applyBorder="1" applyAlignment="1">
      <alignment horizontal="center"/>
    </xf>
    <xf numFmtId="3" fontId="4" fillId="0" borderId="1" xfId="1" applyNumberFormat="1" applyFont="1" applyBorder="1" applyAlignment="1">
      <alignment horizontal="center"/>
    </xf>
    <xf numFmtId="3" fontId="0" fillId="0" borderId="0" xfId="0" applyNumberFormat="1"/>
    <xf numFmtId="0" fontId="0" fillId="4" borderId="0" xfId="0" applyFill="1" applyAlignment="1"/>
    <xf numFmtId="0" fontId="0" fillId="0" borderId="8"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0" xfId="0" applyBorder="1" applyAlignment="1"/>
    <xf numFmtId="0" fontId="0" fillId="0" borderId="7" xfId="0" applyFill="1" applyBorder="1" applyAlignment="1"/>
    <xf numFmtId="1" fontId="2" fillId="0" borderId="1" xfId="0" applyNumberFormat="1" applyFont="1" applyBorder="1" applyAlignment="1">
      <alignment horizontal="center"/>
    </xf>
    <xf numFmtId="1" fontId="0" fillId="0" borderId="10" xfId="0" applyNumberFormat="1" applyFont="1" applyBorder="1" applyAlignment="1"/>
    <xf numFmtId="3" fontId="0" fillId="0" borderId="10" xfId="0" applyNumberFormat="1" applyBorder="1"/>
    <xf numFmtId="0" fontId="0" fillId="0" borderId="0" xfId="0" applyBorder="1"/>
    <xf numFmtId="0" fontId="0" fillId="0" borderId="0" xfId="0"/>
    <xf numFmtId="3" fontId="0" fillId="0" borderId="0" xfId="0" applyNumberFormat="1" applyBorder="1"/>
    <xf numFmtId="0" fontId="0" fillId="0" borderId="8"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0" xfId="0" applyAlignment="1">
      <alignment horizontal="center"/>
    </xf>
    <xf numFmtId="1" fontId="0" fillId="0" borderId="0" xfId="0" applyNumberFormat="1" applyFont="1" applyBorder="1" applyAlignment="1">
      <alignment horizontal="center"/>
    </xf>
    <xf numFmtId="1" fontId="0" fillId="0" borderId="7" xfId="0" applyNumberFormat="1" applyFont="1" applyBorder="1" applyAlignment="1">
      <alignment horizontal="center"/>
    </xf>
    <xf numFmtId="0" fontId="0" fillId="0" borderId="6" xfId="0" applyBorder="1" applyAlignment="1">
      <alignment horizontal="center"/>
    </xf>
    <xf numFmtId="0" fontId="0" fillId="0" borderId="0" xfId="0" applyBorder="1" applyAlignment="1">
      <alignment horizontal="center"/>
    </xf>
    <xf numFmtId="1" fontId="0" fillId="0" borderId="1" xfId="0" applyNumberFormat="1" applyFont="1" applyBorder="1" applyAlignment="1">
      <alignment horizontal="center"/>
    </xf>
    <xf numFmtId="0" fontId="4" fillId="9" borderId="0" xfId="0" applyFont="1" applyFill="1" applyAlignment="1">
      <alignment horizontal="center"/>
    </xf>
    <xf numFmtId="0" fontId="0" fillId="8" borderId="0" xfId="0" applyFill="1" applyAlignment="1">
      <alignment horizontal="center"/>
    </xf>
    <xf numFmtId="0" fontId="0" fillId="10" borderId="0" xfId="0" applyFill="1" applyAlignment="1">
      <alignment horizontal="center"/>
    </xf>
    <xf numFmtId="0" fontId="0" fillId="4" borderId="0" xfId="0" applyFill="1" applyAlignment="1">
      <alignment horizontal="center"/>
    </xf>
    <xf numFmtId="0" fontId="4" fillId="5" borderId="0" xfId="0" applyFont="1" applyFill="1" applyAlignment="1">
      <alignment horizontal="center"/>
    </xf>
    <xf numFmtId="0" fontId="0" fillId="6" borderId="0" xfId="0" applyFill="1" applyAlignment="1">
      <alignment horizontal="center"/>
    </xf>
    <xf numFmtId="0" fontId="0" fillId="7" borderId="0" xfId="0" applyFill="1" applyAlignment="1">
      <alignment horizontal="center"/>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opLeftCell="A18" workbookViewId="0">
      <selection activeCell="C3" sqref="C3"/>
    </sheetView>
  </sheetViews>
  <sheetFormatPr defaultRowHeight="13.5"/>
  <cols>
    <col min="1" max="11" width="11.73046875" customWidth="1"/>
  </cols>
  <sheetData>
    <row r="1" spans="1:3" ht="17.649999999999999">
      <c r="A1" s="1" t="s">
        <v>0</v>
      </c>
    </row>
    <row r="3" spans="1:3">
      <c r="A3" t="s">
        <v>1</v>
      </c>
      <c r="C3" s="2">
        <v>43830</v>
      </c>
    </row>
    <row r="5" spans="1:3">
      <c r="B5" s="3"/>
      <c r="C5" s="3" t="s">
        <v>2</v>
      </c>
    </row>
    <row r="6" spans="1:3">
      <c r="A6" s="3" t="s">
        <v>3</v>
      </c>
      <c r="B6" s="3" t="s">
        <v>4</v>
      </c>
      <c r="C6" s="3" t="s">
        <v>4</v>
      </c>
    </row>
    <row r="7" spans="1:3">
      <c r="A7" s="4" t="s">
        <v>5</v>
      </c>
      <c r="B7" s="4" t="s">
        <v>6</v>
      </c>
      <c r="C7" s="4" t="s">
        <v>7</v>
      </c>
    </row>
    <row r="8" spans="1:3">
      <c r="A8" s="5">
        <f t="shared" ref="A8:A15" si="0">A9-1</f>
        <v>2010</v>
      </c>
      <c r="B8" s="6">
        <v>8950</v>
      </c>
      <c r="C8" s="6">
        <v>5191000</v>
      </c>
    </row>
    <row r="9" spans="1:3">
      <c r="A9" s="7">
        <f t="shared" si="0"/>
        <v>2011</v>
      </c>
      <c r="B9" s="6">
        <v>10480</v>
      </c>
      <c r="C9" s="6">
        <v>6078400</v>
      </c>
    </row>
    <row r="10" spans="1:3">
      <c r="A10" s="7">
        <f t="shared" si="0"/>
        <v>2012</v>
      </c>
      <c r="B10" s="6">
        <v>11000</v>
      </c>
      <c r="C10" s="6">
        <v>6490000</v>
      </c>
    </row>
    <row r="11" spans="1:3">
      <c r="A11" s="7">
        <f t="shared" si="0"/>
        <v>2013</v>
      </c>
      <c r="B11" s="6">
        <v>11080</v>
      </c>
      <c r="C11" s="6">
        <v>6648000</v>
      </c>
    </row>
    <row r="12" spans="1:3">
      <c r="A12" s="7">
        <f t="shared" si="0"/>
        <v>2014</v>
      </c>
      <c r="B12" s="6">
        <v>10240</v>
      </c>
      <c r="C12" s="6">
        <v>6041600</v>
      </c>
    </row>
    <row r="13" spans="1:3">
      <c r="A13" s="7">
        <f t="shared" si="0"/>
        <v>2015</v>
      </c>
      <c r="B13" s="6">
        <v>9460</v>
      </c>
      <c r="C13" s="6">
        <v>5770600</v>
      </c>
    </row>
    <row r="14" spans="1:3">
      <c r="A14" s="7">
        <f t="shared" si="0"/>
        <v>2016</v>
      </c>
      <c r="B14" s="6">
        <v>7910</v>
      </c>
      <c r="C14" s="6">
        <v>4864650</v>
      </c>
    </row>
    <row r="15" spans="1:3">
      <c r="A15" s="7">
        <f t="shared" si="0"/>
        <v>2017</v>
      </c>
      <c r="B15" s="6">
        <v>7510</v>
      </c>
      <c r="C15" s="6">
        <v>4581100</v>
      </c>
    </row>
    <row r="16" spans="1:3">
      <c r="A16" s="7">
        <f>A17-1</f>
        <v>2018</v>
      </c>
      <c r="B16" s="6">
        <v>5840</v>
      </c>
      <c r="C16" s="6">
        <v>3504000</v>
      </c>
    </row>
    <row r="17" spans="1:12">
      <c r="A17" s="4">
        <f>YEAR($C$3)</f>
        <v>2019</v>
      </c>
      <c r="B17" s="8">
        <v>7110</v>
      </c>
      <c r="C17" s="8">
        <v>4194900</v>
      </c>
    </row>
    <row r="18" spans="1:12">
      <c r="A18" s="7"/>
      <c r="B18" s="9"/>
      <c r="C18" s="9"/>
    </row>
    <row r="19" spans="1:12">
      <c r="A19" s="10" t="s">
        <v>8</v>
      </c>
      <c r="B19" s="9"/>
      <c r="C19" s="9"/>
      <c r="D19" s="11">
        <v>0.06</v>
      </c>
    </row>
    <row r="20" spans="1:12">
      <c r="A20" s="10" t="s">
        <v>9</v>
      </c>
      <c r="B20" s="9"/>
      <c r="C20" s="9"/>
      <c r="D20" s="11">
        <v>-5.0000000000000001E-3</v>
      </c>
    </row>
    <row r="21" spans="1:12">
      <c r="A21" s="10" t="s">
        <v>10</v>
      </c>
      <c r="B21" s="9"/>
      <c r="C21" s="9"/>
      <c r="D21" s="12">
        <f>(1+D19)*(1+D20)-1</f>
        <v>5.4699999999999971E-2</v>
      </c>
    </row>
    <row r="23" spans="1:12">
      <c r="A23" s="13" t="s">
        <v>11</v>
      </c>
      <c r="B23" s="14"/>
      <c r="C23" s="14"/>
      <c r="D23" s="14"/>
      <c r="E23" s="14"/>
      <c r="F23" s="14"/>
      <c r="G23" s="14"/>
      <c r="H23" s="14"/>
      <c r="I23" s="14"/>
      <c r="J23" s="14"/>
      <c r="K23" s="15"/>
    </row>
    <row r="24" spans="1:12">
      <c r="A24" s="16" t="s">
        <v>12</v>
      </c>
      <c r="B24" s="17">
        <v>12</v>
      </c>
      <c r="C24" s="17">
        <v>24</v>
      </c>
      <c r="D24" s="17">
        <v>36</v>
      </c>
      <c r="E24" s="17">
        <v>48</v>
      </c>
      <c r="F24" s="17">
        <v>60</v>
      </c>
      <c r="G24" s="17">
        <v>72</v>
      </c>
      <c r="H24" s="17">
        <v>84</v>
      </c>
      <c r="I24" s="17">
        <v>96</v>
      </c>
      <c r="J24" s="17">
        <v>108</v>
      </c>
      <c r="K24" s="18">
        <v>120</v>
      </c>
    </row>
    <row r="25" spans="1:12">
      <c r="A25" s="19">
        <f t="shared" ref="A25:A32" si="1">A26-1</f>
        <v>2010</v>
      </c>
      <c r="B25" s="20">
        <v>989300</v>
      </c>
      <c r="C25" s="20">
        <v>1257600</v>
      </c>
      <c r="D25" s="20">
        <v>1454100</v>
      </c>
      <c r="E25" s="20">
        <v>1579340</v>
      </c>
      <c r="F25" s="20">
        <v>1689500</v>
      </c>
      <c r="G25" s="20">
        <v>1791040</v>
      </c>
      <c r="H25" s="20">
        <v>1906100</v>
      </c>
      <c r="I25" s="20">
        <v>1994320</v>
      </c>
      <c r="J25" s="20">
        <v>2069480</v>
      </c>
      <c r="K25" s="21">
        <v>2079680</v>
      </c>
      <c r="L25" s="22"/>
    </row>
    <row r="26" spans="1:12">
      <c r="A26" s="23">
        <f t="shared" si="1"/>
        <v>2011</v>
      </c>
      <c r="B26" s="24">
        <v>1250960</v>
      </c>
      <c r="C26" s="24">
        <v>1610990</v>
      </c>
      <c r="D26" s="24">
        <v>1772960</v>
      </c>
      <c r="E26" s="24">
        <v>1946060</v>
      </c>
      <c r="F26" s="24">
        <v>2091270</v>
      </c>
      <c r="G26" s="24">
        <v>2230490</v>
      </c>
      <c r="H26" s="24">
        <v>2365870</v>
      </c>
      <c r="I26" s="24">
        <v>2476300</v>
      </c>
      <c r="J26" s="24">
        <v>2563020</v>
      </c>
      <c r="K26" s="25"/>
      <c r="L26" s="22"/>
    </row>
    <row r="27" spans="1:12">
      <c r="A27" s="23">
        <f t="shared" si="1"/>
        <v>2012</v>
      </c>
      <c r="B27" s="24">
        <v>1378380</v>
      </c>
      <c r="C27" s="24">
        <v>1821980</v>
      </c>
      <c r="D27" s="24">
        <v>2068220</v>
      </c>
      <c r="E27" s="24">
        <v>2214200</v>
      </c>
      <c r="F27" s="24">
        <v>2400460</v>
      </c>
      <c r="G27" s="24">
        <v>2533760</v>
      </c>
      <c r="H27" s="24">
        <v>2659220</v>
      </c>
      <c r="I27" s="24">
        <v>2786580</v>
      </c>
      <c r="J27" s="24"/>
      <c r="K27" s="25"/>
      <c r="L27" s="22"/>
    </row>
    <row r="28" spans="1:12">
      <c r="A28" s="23">
        <f t="shared" si="1"/>
        <v>2013</v>
      </c>
      <c r="B28" s="24">
        <v>1458130</v>
      </c>
      <c r="C28" s="24">
        <v>1928320</v>
      </c>
      <c r="D28" s="24">
        <v>2196870</v>
      </c>
      <c r="E28" s="24">
        <v>2367610</v>
      </c>
      <c r="F28" s="24">
        <v>2541060</v>
      </c>
      <c r="G28" s="24">
        <v>2727240</v>
      </c>
      <c r="H28" s="24">
        <v>2880060</v>
      </c>
      <c r="I28" s="24"/>
      <c r="J28" s="24"/>
      <c r="K28" s="25"/>
      <c r="L28" s="22"/>
    </row>
    <row r="29" spans="1:12">
      <c r="A29" s="23">
        <f t="shared" si="1"/>
        <v>2014</v>
      </c>
      <c r="B29" s="24">
        <v>1440950</v>
      </c>
      <c r="C29" s="24">
        <v>1782650</v>
      </c>
      <c r="D29" s="24">
        <v>2048350</v>
      </c>
      <c r="E29" s="24">
        <v>2139110</v>
      </c>
      <c r="F29" s="24">
        <v>2347290</v>
      </c>
      <c r="G29" s="24">
        <v>2507180</v>
      </c>
      <c r="H29" s="24"/>
      <c r="I29" s="24"/>
      <c r="J29" s="24"/>
      <c r="K29" s="25"/>
      <c r="L29" s="22"/>
    </row>
    <row r="30" spans="1:12">
      <c r="A30" s="23">
        <f t="shared" si="1"/>
        <v>2015</v>
      </c>
      <c r="B30" s="24">
        <v>1411530</v>
      </c>
      <c r="C30" s="24">
        <v>1762360</v>
      </c>
      <c r="D30" s="24">
        <v>2040070</v>
      </c>
      <c r="E30" s="24">
        <v>2119120</v>
      </c>
      <c r="F30" s="24">
        <v>2400750</v>
      </c>
      <c r="G30" s="24"/>
      <c r="H30" s="24"/>
      <c r="I30" s="24"/>
      <c r="J30" s="24"/>
      <c r="K30" s="25"/>
      <c r="L30" s="22"/>
    </row>
    <row r="31" spans="1:12">
      <c r="A31" s="23">
        <f t="shared" si="1"/>
        <v>2016</v>
      </c>
      <c r="B31" s="24">
        <v>1226980</v>
      </c>
      <c r="C31" s="24">
        <v>1542120</v>
      </c>
      <c r="D31" s="24">
        <v>1776670</v>
      </c>
      <c r="E31" s="24">
        <v>1874570</v>
      </c>
      <c r="F31" s="24"/>
      <c r="G31" s="24"/>
      <c r="H31" s="24"/>
      <c r="I31" s="24"/>
      <c r="J31" s="24"/>
      <c r="K31" s="25"/>
      <c r="L31" s="22"/>
    </row>
    <row r="32" spans="1:12">
      <c r="A32" s="23">
        <f t="shared" si="1"/>
        <v>2017</v>
      </c>
      <c r="B32" s="24">
        <v>1234800</v>
      </c>
      <c r="C32" s="24">
        <v>1585370</v>
      </c>
      <c r="D32" s="24">
        <v>1874190</v>
      </c>
      <c r="E32" s="24"/>
      <c r="F32" s="24"/>
      <c r="G32" s="24"/>
      <c r="H32" s="24"/>
      <c r="I32" s="24"/>
      <c r="J32" s="24"/>
      <c r="K32" s="25"/>
      <c r="L32" s="22"/>
    </row>
    <row r="33" spans="1:12">
      <c r="A33" s="23">
        <f>A34-1</f>
        <v>2018</v>
      </c>
      <c r="B33" s="24">
        <v>1036760</v>
      </c>
      <c r="C33" s="24">
        <v>1446260</v>
      </c>
      <c r="D33" s="24"/>
      <c r="E33" s="24"/>
      <c r="F33" s="24"/>
      <c r="G33" s="24"/>
      <c r="H33" s="24"/>
      <c r="I33" s="24"/>
      <c r="J33" s="24"/>
      <c r="K33" s="25"/>
      <c r="L33" s="22"/>
    </row>
    <row r="34" spans="1:12">
      <c r="A34" s="4">
        <f>YEAR($C$3)</f>
        <v>2019</v>
      </c>
      <c r="B34" s="26">
        <v>1414010</v>
      </c>
      <c r="C34" s="26"/>
      <c r="D34" s="26"/>
      <c r="E34" s="26"/>
      <c r="F34" s="26"/>
      <c r="G34" s="26"/>
      <c r="H34" s="26"/>
      <c r="I34" s="26"/>
      <c r="J34" s="26"/>
      <c r="K34" s="27"/>
      <c r="L34" s="22"/>
    </row>
    <row r="35" spans="1:12">
      <c r="B35" s="22"/>
      <c r="C35" s="22"/>
      <c r="D35" s="22"/>
      <c r="E35" s="22"/>
      <c r="F35" s="22"/>
      <c r="G35" s="22"/>
      <c r="H35" s="22"/>
      <c r="I35" s="22"/>
      <c r="J35" s="22"/>
      <c r="K35" s="22"/>
      <c r="L35" s="22"/>
    </row>
    <row r="36" spans="1:12">
      <c r="A36" s="13" t="s">
        <v>13</v>
      </c>
      <c r="B36" s="14"/>
      <c r="C36" s="14"/>
      <c r="D36" s="14"/>
      <c r="E36" s="14"/>
      <c r="F36" s="14"/>
      <c r="G36" s="14"/>
      <c r="H36" s="14"/>
      <c r="I36" s="14"/>
      <c r="J36" s="14"/>
      <c r="K36" s="15"/>
    </row>
    <row r="37" spans="1:12">
      <c r="A37" s="16" t="s">
        <v>12</v>
      </c>
      <c r="B37" s="17">
        <v>12</v>
      </c>
      <c r="C37" s="17">
        <v>24</v>
      </c>
      <c r="D37" s="17">
        <v>36</v>
      </c>
      <c r="E37" s="17">
        <v>48</v>
      </c>
      <c r="F37" s="17">
        <v>60</v>
      </c>
      <c r="G37" s="17">
        <v>72</v>
      </c>
      <c r="H37" s="17">
        <v>84</v>
      </c>
      <c r="I37" s="17">
        <v>96</v>
      </c>
      <c r="J37" s="17">
        <v>108</v>
      </c>
      <c r="K37" s="18">
        <v>120</v>
      </c>
    </row>
    <row r="38" spans="1:12">
      <c r="A38" s="19">
        <f t="shared" ref="A38:A45" si="2">A39-1</f>
        <v>2010</v>
      </c>
      <c r="B38" s="20">
        <v>265200</v>
      </c>
      <c r="C38" s="20">
        <v>553520</v>
      </c>
      <c r="D38" s="20">
        <v>845000</v>
      </c>
      <c r="E38" s="20">
        <v>1038000</v>
      </c>
      <c r="F38" s="20">
        <v>1269140</v>
      </c>
      <c r="G38" s="20">
        <v>1466000</v>
      </c>
      <c r="H38" s="20">
        <v>1683650</v>
      </c>
      <c r="I38" s="20">
        <v>1839200</v>
      </c>
      <c r="J38" s="20">
        <v>1963500</v>
      </c>
      <c r="K38" s="21">
        <v>2038080</v>
      </c>
    </row>
    <row r="39" spans="1:12">
      <c r="A39" s="23">
        <f t="shared" si="2"/>
        <v>2011</v>
      </c>
      <c r="B39" s="24">
        <v>325960</v>
      </c>
      <c r="C39" s="24">
        <v>702400</v>
      </c>
      <c r="D39" s="24">
        <v>1029530</v>
      </c>
      <c r="E39" s="24">
        <v>1292670</v>
      </c>
      <c r="F39" s="24">
        <v>1556880</v>
      </c>
      <c r="G39" s="24">
        <v>1827440</v>
      </c>
      <c r="H39" s="24">
        <v>2109310</v>
      </c>
      <c r="I39" s="24">
        <v>2285590</v>
      </c>
      <c r="J39" s="24">
        <v>2432700</v>
      </c>
      <c r="K39" s="25"/>
    </row>
    <row r="40" spans="1:12">
      <c r="A40" s="23">
        <f t="shared" si="2"/>
        <v>2012</v>
      </c>
      <c r="B40" s="24">
        <v>358890</v>
      </c>
      <c r="C40" s="24">
        <v>786490</v>
      </c>
      <c r="D40" s="24">
        <v>1213590</v>
      </c>
      <c r="E40" s="24">
        <v>1455800</v>
      </c>
      <c r="F40" s="24">
        <v>1786990</v>
      </c>
      <c r="G40" s="24">
        <v>2074170</v>
      </c>
      <c r="H40" s="24">
        <v>2369920</v>
      </c>
      <c r="I40" s="24">
        <v>2572280</v>
      </c>
      <c r="J40" s="24"/>
      <c r="K40" s="25"/>
    </row>
    <row r="41" spans="1:12">
      <c r="A41" s="23">
        <f t="shared" si="2"/>
        <v>2013</v>
      </c>
      <c r="B41" s="24">
        <v>383460</v>
      </c>
      <c r="C41" s="24">
        <v>840950</v>
      </c>
      <c r="D41" s="24">
        <v>1287910</v>
      </c>
      <c r="E41" s="24">
        <v>1571470</v>
      </c>
      <c r="F41" s="24">
        <v>1926920</v>
      </c>
      <c r="G41" s="24">
        <v>2234350</v>
      </c>
      <c r="H41" s="24">
        <v>2541530</v>
      </c>
      <c r="I41" s="24"/>
      <c r="J41" s="24"/>
      <c r="K41" s="25"/>
    </row>
    <row r="42" spans="1:12">
      <c r="A42" s="23">
        <f t="shared" si="2"/>
        <v>2014</v>
      </c>
      <c r="B42" s="24">
        <v>375550</v>
      </c>
      <c r="C42" s="24">
        <v>784660</v>
      </c>
      <c r="D42" s="24">
        <v>1201110</v>
      </c>
      <c r="E42" s="24">
        <v>1448160</v>
      </c>
      <c r="F42" s="24">
        <v>1779630</v>
      </c>
      <c r="G42" s="24">
        <v>2052790</v>
      </c>
      <c r="H42" s="24"/>
      <c r="I42" s="24"/>
      <c r="J42" s="24"/>
      <c r="K42" s="25"/>
    </row>
    <row r="43" spans="1:12">
      <c r="A43" s="23">
        <f t="shared" si="2"/>
        <v>2015</v>
      </c>
      <c r="B43" s="24">
        <v>364560</v>
      </c>
      <c r="C43" s="24">
        <v>783060</v>
      </c>
      <c r="D43" s="24">
        <v>1208490</v>
      </c>
      <c r="E43" s="24">
        <v>1461210</v>
      </c>
      <c r="F43" s="24">
        <v>1786040</v>
      </c>
      <c r="G43" s="24"/>
      <c r="H43" s="24"/>
      <c r="I43" s="24"/>
      <c r="J43" s="24"/>
      <c r="K43" s="25"/>
    </row>
    <row r="44" spans="1:12">
      <c r="A44" s="23">
        <f t="shared" si="2"/>
        <v>2016</v>
      </c>
      <c r="B44" s="24">
        <v>322630</v>
      </c>
      <c r="C44" s="24">
        <v>685250</v>
      </c>
      <c r="D44" s="24">
        <v>1041620</v>
      </c>
      <c r="E44" s="24">
        <v>1268040</v>
      </c>
      <c r="F44" s="24"/>
      <c r="G44" s="24"/>
      <c r="H44" s="24"/>
      <c r="I44" s="24"/>
      <c r="J44" s="24"/>
      <c r="K44" s="25"/>
    </row>
    <row r="45" spans="1:12">
      <c r="A45" s="23">
        <f t="shared" si="2"/>
        <v>2017</v>
      </c>
      <c r="B45" s="24">
        <v>321440</v>
      </c>
      <c r="C45" s="24">
        <v>697160</v>
      </c>
      <c r="D45" s="24">
        <v>1032020</v>
      </c>
      <c r="E45" s="24"/>
      <c r="F45" s="24"/>
      <c r="G45" s="24"/>
      <c r="H45" s="24"/>
      <c r="I45" s="24"/>
      <c r="J45" s="24"/>
      <c r="K45" s="25"/>
    </row>
    <row r="46" spans="1:12">
      <c r="A46" s="23">
        <f>A47-1</f>
        <v>2018</v>
      </c>
      <c r="B46" s="24">
        <v>264920</v>
      </c>
      <c r="C46" s="24">
        <v>586100</v>
      </c>
      <c r="D46" s="24"/>
      <c r="E46" s="24"/>
      <c r="F46" s="24"/>
      <c r="G46" s="24"/>
      <c r="H46" s="24"/>
      <c r="I46" s="24"/>
      <c r="J46" s="24"/>
      <c r="K46" s="25"/>
    </row>
    <row r="47" spans="1:12">
      <c r="A47" s="4">
        <f>YEAR($C$3)</f>
        <v>2019</v>
      </c>
      <c r="B47" s="26">
        <v>345800</v>
      </c>
      <c r="C47" s="26"/>
      <c r="D47" s="26"/>
      <c r="E47" s="26"/>
      <c r="F47" s="26"/>
      <c r="G47" s="26"/>
      <c r="H47" s="26"/>
      <c r="I47" s="26"/>
      <c r="J47" s="26"/>
      <c r="K47" s="27"/>
    </row>
    <row r="49" spans="1:11">
      <c r="A49" s="13" t="s">
        <v>14</v>
      </c>
      <c r="B49" s="14"/>
      <c r="C49" s="14"/>
      <c r="D49" s="14"/>
      <c r="E49" s="14"/>
      <c r="F49" s="14"/>
      <c r="G49" s="14"/>
      <c r="H49" s="14"/>
      <c r="I49" s="14"/>
      <c r="J49" s="14"/>
      <c r="K49" s="15"/>
    </row>
    <row r="50" spans="1:11">
      <c r="A50" s="16" t="s">
        <v>12</v>
      </c>
      <c r="B50" s="17">
        <v>12</v>
      </c>
      <c r="C50" s="17">
        <v>24</v>
      </c>
      <c r="D50" s="17">
        <v>36</v>
      </c>
      <c r="E50" s="17">
        <v>48</v>
      </c>
      <c r="F50" s="17">
        <v>60</v>
      </c>
      <c r="G50" s="17">
        <v>72</v>
      </c>
      <c r="H50" s="17">
        <v>84</v>
      </c>
      <c r="I50" s="17">
        <v>96</v>
      </c>
      <c r="J50" s="17">
        <v>108</v>
      </c>
      <c r="K50" s="18">
        <v>120</v>
      </c>
    </row>
    <row r="51" spans="1:11">
      <c r="A51" s="19">
        <f t="shared" ref="A51:A58" si="3">A52-1</f>
        <v>2010</v>
      </c>
      <c r="B51" s="20">
        <v>761</v>
      </c>
      <c r="C51" s="20">
        <v>786</v>
      </c>
      <c r="D51" s="20">
        <v>786</v>
      </c>
      <c r="E51" s="20">
        <v>778</v>
      </c>
      <c r="F51" s="20">
        <v>775</v>
      </c>
      <c r="G51" s="20">
        <v>772</v>
      </c>
      <c r="H51" s="20">
        <v>778</v>
      </c>
      <c r="I51" s="20">
        <v>776</v>
      </c>
      <c r="J51" s="20">
        <v>778</v>
      </c>
      <c r="K51" s="21">
        <v>776</v>
      </c>
    </row>
    <row r="52" spans="1:11">
      <c r="A52" s="23">
        <f t="shared" si="3"/>
        <v>2011</v>
      </c>
      <c r="B52" s="24">
        <v>891</v>
      </c>
      <c r="C52" s="24">
        <v>941</v>
      </c>
      <c r="D52" s="24">
        <v>904</v>
      </c>
      <c r="E52" s="24">
        <v>913</v>
      </c>
      <c r="F52" s="24">
        <v>905</v>
      </c>
      <c r="G52" s="24">
        <v>907</v>
      </c>
      <c r="H52" s="24">
        <v>911</v>
      </c>
      <c r="I52" s="24">
        <v>909</v>
      </c>
      <c r="J52" s="24">
        <v>909</v>
      </c>
      <c r="K52" s="25"/>
    </row>
    <row r="53" spans="1:11">
      <c r="A53" s="23">
        <f t="shared" si="3"/>
        <v>2012</v>
      </c>
      <c r="B53" s="24">
        <v>935</v>
      </c>
      <c r="C53" s="24">
        <v>1004</v>
      </c>
      <c r="D53" s="24">
        <v>995</v>
      </c>
      <c r="E53" s="24">
        <v>980</v>
      </c>
      <c r="F53" s="24">
        <v>980</v>
      </c>
      <c r="G53" s="24">
        <v>972</v>
      </c>
      <c r="H53" s="24">
        <v>966</v>
      </c>
      <c r="I53" s="24">
        <v>965</v>
      </c>
      <c r="J53" s="24"/>
      <c r="K53" s="25"/>
    </row>
    <row r="54" spans="1:11">
      <c r="A54" s="23">
        <f t="shared" si="3"/>
        <v>2013</v>
      </c>
      <c r="B54" s="24">
        <v>942</v>
      </c>
      <c r="C54" s="24">
        <v>1012</v>
      </c>
      <c r="D54" s="24">
        <v>997</v>
      </c>
      <c r="E54" s="24">
        <v>998</v>
      </c>
      <c r="F54" s="24">
        <v>988</v>
      </c>
      <c r="G54" s="24">
        <v>987</v>
      </c>
      <c r="H54" s="24">
        <v>987</v>
      </c>
      <c r="I54" s="24"/>
      <c r="J54" s="24"/>
      <c r="K54" s="25"/>
    </row>
    <row r="55" spans="1:11">
      <c r="A55" s="23">
        <f t="shared" si="3"/>
        <v>2014</v>
      </c>
      <c r="B55" s="24">
        <v>870</v>
      </c>
      <c r="C55" s="24">
        <v>891</v>
      </c>
      <c r="D55" s="24">
        <v>877</v>
      </c>
      <c r="E55" s="24">
        <v>867</v>
      </c>
      <c r="F55" s="24">
        <v>861</v>
      </c>
      <c r="G55" s="24">
        <v>856</v>
      </c>
      <c r="H55" s="24"/>
      <c r="I55" s="24"/>
      <c r="J55" s="24"/>
      <c r="K55" s="25"/>
    </row>
    <row r="56" spans="1:11">
      <c r="A56" s="23">
        <f t="shared" si="3"/>
        <v>2015</v>
      </c>
      <c r="B56" s="24">
        <v>804</v>
      </c>
      <c r="C56" s="24">
        <v>831</v>
      </c>
      <c r="D56" s="24">
        <v>824</v>
      </c>
      <c r="E56" s="24">
        <v>818</v>
      </c>
      <c r="F56" s="24">
        <v>823</v>
      </c>
      <c r="G56" s="24"/>
      <c r="H56" s="24"/>
      <c r="I56" s="24"/>
      <c r="J56" s="24"/>
      <c r="K56" s="25"/>
    </row>
    <row r="57" spans="1:11">
      <c r="A57" s="23">
        <f t="shared" si="3"/>
        <v>2016</v>
      </c>
      <c r="B57" s="24">
        <v>672</v>
      </c>
      <c r="C57" s="24">
        <v>686</v>
      </c>
      <c r="D57" s="24">
        <v>677</v>
      </c>
      <c r="E57" s="24">
        <v>670</v>
      </c>
      <c r="F57" s="24"/>
      <c r="G57" s="24"/>
      <c r="H57" s="24"/>
      <c r="I57" s="24"/>
      <c r="J57" s="24"/>
      <c r="K57" s="25"/>
    </row>
    <row r="58" spans="1:11">
      <c r="A58" s="23">
        <f t="shared" si="3"/>
        <v>2017</v>
      </c>
      <c r="B58" s="24">
        <v>638</v>
      </c>
      <c r="C58" s="24">
        <v>653</v>
      </c>
      <c r="D58" s="24">
        <v>632</v>
      </c>
      <c r="E58" s="24"/>
      <c r="F58" s="24"/>
      <c r="G58" s="24"/>
      <c r="H58" s="24"/>
      <c r="I58" s="24"/>
      <c r="J58" s="24"/>
      <c r="K58" s="25"/>
    </row>
    <row r="59" spans="1:11">
      <c r="A59" s="23">
        <f>A60-1</f>
        <v>2018</v>
      </c>
      <c r="B59" s="24">
        <v>496</v>
      </c>
      <c r="C59" s="24">
        <v>518</v>
      </c>
      <c r="D59" s="24"/>
      <c r="E59" s="24"/>
      <c r="F59" s="24"/>
      <c r="G59" s="24"/>
      <c r="H59" s="24"/>
      <c r="I59" s="24"/>
      <c r="J59" s="24"/>
      <c r="K59" s="25"/>
    </row>
    <row r="60" spans="1:11">
      <c r="A60" s="4">
        <f>YEAR($C$3)</f>
        <v>2019</v>
      </c>
      <c r="B60" s="26">
        <v>604</v>
      </c>
      <c r="C60" s="26"/>
      <c r="D60" s="26"/>
      <c r="E60" s="26"/>
      <c r="F60" s="26"/>
      <c r="G60" s="26"/>
      <c r="H60" s="26"/>
      <c r="I60" s="26"/>
      <c r="J60" s="26"/>
      <c r="K60" s="27"/>
    </row>
    <row r="62" spans="1:11">
      <c r="A62" s="13" t="s">
        <v>15</v>
      </c>
      <c r="B62" s="14"/>
      <c r="C62" s="14"/>
      <c r="D62" s="14"/>
      <c r="E62" s="14"/>
      <c r="F62" s="14"/>
      <c r="G62" s="14"/>
      <c r="H62" s="14"/>
      <c r="I62" s="14"/>
      <c r="J62" s="14"/>
      <c r="K62" s="15"/>
    </row>
    <row r="63" spans="1:11">
      <c r="A63" s="16" t="s">
        <v>12</v>
      </c>
      <c r="B63" s="17">
        <v>12</v>
      </c>
      <c r="C63" s="17">
        <v>24</v>
      </c>
      <c r="D63" s="17">
        <v>36</v>
      </c>
      <c r="E63" s="17">
        <v>48</v>
      </c>
      <c r="F63" s="17">
        <v>60</v>
      </c>
      <c r="G63" s="17">
        <v>72</v>
      </c>
      <c r="H63" s="17">
        <v>84</v>
      </c>
      <c r="I63" s="17">
        <v>96</v>
      </c>
      <c r="J63" s="17">
        <v>108</v>
      </c>
      <c r="K63" s="18">
        <v>120</v>
      </c>
    </row>
    <row r="64" spans="1:11">
      <c r="A64" s="19">
        <f t="shared" ref="A64:A71" si="4">A65-1</f>
        <v>2010</v>
      </c>
      <c r="B64" s="20">
        <v>510</v>
      </c>
      <c r="C64" s="20">
        <v>629</v>
      </c>
      <c r="D64" s="20">
        <v>676</v>
      </c>
      <c r="E64" s="20">
        <v>692</v>
      </c>
      <c r="F64" s="20">
        <v>713</v>
      </c>
      <c r="G64" s="20">
        <v>733</v>
      </c>
      <c r="H64" s="20">
        <v>755</v>
      </c>
      <c r="I64" s="20">
        <v>760</v>
      </c>
      <c r="J64" s="20">
        <v>770</v>
      </c>
      <c r="K64" s="21">
        <v>772</v>
      </c>
    </row>
    <row r="65" spans="1:11">
      <c r="A65" s="23">
        <f t="shared" si="4"/>
        <v>2011</v>
      </c>
      <c r="B65" s="24">
        <v>597</v>
      </c>
      <c r="C65" s="24">
        <v>753</v>
      </c>
      <c r="D65" s="24">
        <v>777</v>
      </c>
      <c r="E65" s="24">
        <v>813</v>
      </c>
      <c r="F65" s="24">
        <v>833</v>
      </c>
      <c r="G65" s="24">
        <v>862</v>
      </c>
      <c r="H65" s="24">
        <v>884</v>
      </c>
      <c r="I65" s="24">
        <v>891</v>
      </c>
      <c r="J65" s="24">
        <v>900</v>
      </c>
      <c r="K65" s="25"/>
    </row>
    <row r="66" spans="1:11">
      <c r="A66" s="23">
        <f t="shared" si="4"/>
        <v>2012</v>
      </c>
      <c r="B66" s="24">
        <v>626</v>
      </c>
      <c r="C66" s="24">
        <v>803</v>
      </c>
      <c r="D66" s="24">
        <v>856</v>
      </c>
      <c r="E66" s="24">
        <v>872</v>
      </c>
      <c r="F66" s="24">
        <v>902</v>
      </c>
      <c r="G66" s="24">
        <v>923</v>
      </c>
      <c r="H66" s="24">
        <v>937</v>
      </c>
      <c r="I66" s="24">
        <v>946</v>
      </c>
      <c r="J66" s="24"/>
      <c r="K66" s="25"/>
    </row>
    <row r="67" spans="1:11">
      <c r="A67" s="23">
        <f t="shared" si="4"/>
        <v>2013</v>
      </c>
      <c r="B67" s="24">
        <v>631</v>
      </c>
      <c r="C67" s="24">
        <v>810</v>
      </c>
      <c r="D67" s="24">
        <v>857</v>
      </c>
      <c r="E67" s="24">
        <v>888</v>
      </c>
      <c r="F67" s="24">
        <v>909</v>
      </c>
      <c r="G67" s="24">
        <v>938</v>
      </c>
      <c r="H67" s="24">
        <v>957</v>
      </c>
      <c r="I67" s="24"/>
      <c r="J67" s="24"/>
      <c r="K67" s="25"/>
    </row>
    <row r="68" spans="1:11">
      <c r="A68" s="23">
        <f t="shared" si="4"/>
        <v>2014</v>
      </c>
      <c r="B68" s="24">
        <v>583</v>
      </c>
      <c r="C68" s="24">
        <v>713</v>
      </c>
      <c r="D68" s="24">
        <v>754</v>
      </c>
      <c r="E68" s="24">
        <v>772</v>
      </c>
      <c r="F68" s="24">
        <v>792</v>
      </c>
      <c r="G68" s="24">
        <v>813</v>
      </c>
      <c r="H68" s="24"/>
      <c r="I68" s="24"/>
      <c r="J68" s="24"/>
      <c r="K68" s="25"/>
    </row>
    <row r="69" spans="1:11">
      <c r="A69" s="23">
        <f t="shared" si="4"/>
        <v>2015</v>
      </c>
      <c r="B69" s="24">
        <v>539</v>
      </c>
      <c r="C69" s="24">
        <v>665</v>
      </c>
      <c r="D69" s="24">
        <v>709</v>
      </c>
      <c r="E69" s="24">
        <v>728</v>
      </c>
      <c r="F69" s="24">
        <v>757</v>
      </c>
      <c r="G69" s="24"/>
      <c r="H69" s="24"/>
      <c r="I69" s="24"/>
      <c r="J69" s="24"/>
      <c r="K69" s="25"/>
    </row>
    <row r="70" spans="1:11">
      <c r="A70" s="23">
        <f t="shared" si="4"/>
        <v>2016</v>
      </c>
      <c r="B70" s="24">
        <v>450</v>
      </c>
      <c r="C70" s="24">
        <v>549</v>
      </c>
      <c r="D70" s="24">
        <v>582</v>
      </c>
      <c r="E70" s="24">
        <v>596</v>
      </c>
      <c r="F70" s="24"/>
      <c r="G70" s="24"/>
      <c r="H70" s="24"/>
      <c r="I70" s="24"/>
      <c r="J70" s="24"/>
      <c r="K70" s="25"/>
    </row>
    <row r="71" spans="1:11">
      <c r="A71" s="23">
        <f t="shared" si="4"/>
        <v>2017</v>
      </c>
      <c r="B71" s="24">
        <v>427</v>
      </c>
      <c r="C71" s="24">
        <v>522</v>
      </c>
      <c r="D71" s="24">
        <v>544</v>
      </c>
      <c r="E71" s="24"/>
      <c r="F71" s="24"/>
      <c r="G71" s="24"/>
      <c r="H71" s="24"/>
      <c r="I71" s="24"/>
      <c r="J71" s="24"/>
      <c r="K71" s="25"/>
    </row>
    <row r="72" spans="1:11">
      <c r="A72" s="23">
        <f>A73-1</f>
        <v>2018</v>
      </c>
      <c r="B72" s="24">
        <v>332</v>
      </c>
      <c r="C72" s="24">
        <v>414</v>
      </c>
      <c r="D72" s="24"/>
      <c r="E72" s="24"/>
      <c r="F72" s="24"/>
      <c r="G72" s="24"/>
      <c r="H72" s="24"/>
      <c r="I72" s="24"/>
      <c r="J72" s="24"/>
      <c r="K72" s="25"/>
    </row>
    <row r="73" spans="1:11">
      <c r="A73" s="4">
        <f>YEAR($C$3)</f>
        <v>2019</v>
      </c>
      <c r="B73" s="26">
        <v>405</v>
      </c>
      <c r="C73" s="26"/>
      <c r="D73" s="26"/>
      <c r="E73" s="26"/>
      <c r="F73" s="26"/>
      <c r="G73" s="26"/>
      <c r="H73" s="26"/>
      <c r="I73" s="26"/>
      <c r="J73" s="26"/>
      <c r="K73" s="27"/>
    </row>
  </sheetData>
  <phoneticPr fontId="1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292"/>
  <sheetViews>
    <sheetView topLeftCell="A284" workbookViewId="0">
      <selection activeCell="K67" sqref="K67"/>
    </sheetView>
  </sheetViews>
  <sheetFormatPr defaultRowHeight="13.5"/>
  <cols>
    <col min="4" max="11" width="10.06640625" bestFit="1" customWidth="1"/>
  </cols>
  <sheetData>
    <row r="2" spans="1:6">
      <c r="A2" s="30" t="s">
        <v>16</v>
      </c>
    </row>
    <row r="4" spans="1:6">
      <c r="B4">
        <v>1</v>
      </c>
      <c r="C4" s="28" t="s">
        <v>17</v>
      </c>
    </row>
    <row r="5" spans="1:6">
      <c r="B5" s="3" t="s">
        <v>2</v>
      </c>
      <c r="C5" s="3"/>
      <c r="D5" t="s">
        <v>20</v>
      </c>
      <c r="F5" t="s">
        <v>24</v>
      </c>
    </row>
    <row r="6" spans="1:6">
      <c r="A6" s="32" t="s">
        <v>3</v>
      </c>
      <c r="B6" s="3" t="s">
        <v>4</v>
      </c>
      <c r="C6" s="3" t="s">
        <v>18</v>
      </c>
      <c r="D6" t="s">
        <v>21</v>
      </c>
      <c r="E6" s="3" t="s">
        <v>4</v>
      </c>
      <c r="F6" s="3" t="s">
        <v>25</v>
      </c>
    </row>
    <row r="7" spans="1:6">
      <c r="A7" s="33" t="s">
        <v>5</v>
      </c>
      <c r="B7" s="4" t="s">
        <v>7</v>
      </c>
      <c r="C7" s="3" t="s">
        <v>23</v>
      </c>
      <c r="D7" t="s">
        <v>22</v>
      </c>
      <c r="E7" s="4" t="s">
        <v>6</v>
      </c>
      <c r="F7" s="29" t="s">
        <v>19</v>
      </c>
    </row>
    <row r="8" spans="1:6">
      <c r="A8" s="34">
        <v>2010</v>
      </c>
      <c r="B8" s="6">
        <v>5191000</v>
      </c>
      <c r="D8">
        <v>0</v>
      </c>
      <c r="E8" s="6">
        <v>8950</v>
      </c>
      <c r="F8">
        <v>0</v>
      </c>
    </row>
    <row r="9" spans="1:6">
      <c r="A9" s="35">
        <v>2011</v>
      </c>
      <c r="B9" s="6">
        <v>6078400</v>
      </c>
      <c r="C9">
        <f>(B9/B8-1)*100</f>
        <v>17.094972067039116</v>
      </c>
      <c r="D9">
        <f>C9</f>
        <v>17.094972067039116</v>
      </c>
      <c r="E9" s="6">
        <v>10480</v>
      </c>
      <c r="F9">
        <f>E9/E8-1</f>
        <v>0.17094972067039116</v>
      </c>
    </row>
    <row r="10" spans="1:6">
      <c r="A10" s="35">
        <v>2012</v>
      </c>
      <c r="B10" s="6">
        <v>6490000</v>
      </c>
      <c r="C10">
        <f t="shared" ref="C10:C17" si="0">(B10/B9-1)*100</f>
        <v>6.7715188207422949</v>
      </c>
      <c r="D10">
        <f>((1+D9/100)*(1+C10/100)-1)*100</f>
        <v>25.02408013870161</v>
      </c>
      <c r="E10" s="6">
        <v>11000</v>
      </c>
      <c r="F10">
        <f>E10/E9-1</f>
        <v>4.961832061068705E-2</v>
      </c>
    </row>
    <row r="11" spans="1:6">
      <c r="A11" s="35">
        <v>2013</v>
      </c>
      <c r="B11" s="6">
        <v>6648000</v>
      </c>
      <c r="C11">
        <f t="shared" si="0"/>
        <v>2.4345146379044724</v>
      </c>
      <c r="D11">
        <f t="shared" ref="D11:D17" si="1">((1+D10/100)*(1+C11/100)-1)*100</f>
        <v>28.06780967058371</v>
      </c>
      <c r="E11" s="6">
        <v>11080</v>
      </c>
      <c r="F11">
        <f>E11/E10-1</f>
        <v>7.2727272727273196E-3</v>
      </c>
    </row>
    <row r="12" spans="1:6">
      <c r="A12" s="35">
        <v>2014</v>
      </c>
      <c r="B12" s="6">
        <v>6041600</v>
      </c>
      <c r="C12">
        <f t="shared" si="0"/>
        <v>-9.1215403128760535</v>
      </c>
      <c r="D12">
        <f t="shared" si="1"/>
        <v>16.386052783664052</v>
      </c>
      <c r="E12" s="6">
        <v>10240</v>
      </c>
      <c r="F12">
        <f t="shared" ref="F12:F17" si="2">E12/E11-1</f>
        <v>-7.5812274368231014E-2</v>
      </c>
    </row>
    <row r="13" spans="1:6">
      <c r="A13" s="35">
        <v>2015</v>
      </c>
      <c r="B13" s="6">
        <v>5770600</v>
      </c>
      <c r="C13">
        <f t="shared" si="0"/>
        <v>-4.4855667372881385</v>
      </c>
      <c r="D13">
        <f t="shared" si="1"/>
        <v>11.165478713157405</v>
      </c>
      <c r="E13" s="6">
        <v>9460</v>
      </c>
      <c r="F13">
        <f t="shared" si="2"/>
        <v>-7.6171875E-2</v>
      </c>
    </row>
    <row r="14" spans="1:6">
      <c r="A14" s="35">
        <v>2016</v>
      </c>
      <c r="B14" s="6">
        <v>4864650</v>
      </c>
      <c r="C14">
        <f t="shared" si="0"/>
        <v>-15.699407340657823</v>
      </c>
      <c r="D14">
        <f t="shared" si="1"/>
        <v>-6.2868426122134391</v>
      </c>
      <c r="E14" s="6">
        <v>7910</v>
      </c>
      <c r="F14">
        <f t="shared" si="2"/>
        <v>-0.16384778012684986</v>
      </c>
    </row>
    <row r="15" spans="1:6">
      <c r="A15" s="35">
        <v>2017</v>
      </c>
      <c r="B15" s="6">
        <v>4581100</v>
      </c>
      <c r="C15">
        <f t="shared" si="0"/>
        <v>-5.828785215791477</v>
      </c>
      <c r="D15">
        <f t="shared" si="1"/>
        <v>-11.749181275284137</v>
      </c>
      <c r="E15" s="6">
        <v>7510</v>
      </c>
      <c r="F15">
        <f t="shared" si="2"/>
        <v>-5.0568900126422234E-2</v>
      </c>
    </row>
    <row r="16" spans="1:6">
      <c r="A16" s="35">
        <v>2018</v>
      </c>
      <c r="B16" s="6">
        <v>3504000</v>
      </c>
      <c r="C16">
        <f t="shared" si="0"/>
        <v>-23.511820305166886</v>
      </c>
      <c r="D16">
        <f t="shared" si="1"/>
        <v>-32.498555191677902</v>
      </c>
      <c r="E16" s="6">
        <v>5840</v>
      </c>
      <c r="F16">
        <f t="shared" si="2"/>
        <v>-0.22237017310252993</v>
      </c>
    </row>
    <row r="17" spans="1:11">
      <c r="A17" s="33">
        <v>2019</v>
      </c>
      <c r="B17" s="8">
        <v>4194900</v>
      </c>
      <c r="C17">
        <f t="shared" si="0"/>
        <v>19.717465753424655</v>
      </c>
      <c r="D17">
        <f t="shared" si="1"/>
        <v>-19.188980928530142</v>
      </c>
      <c r="E17" s="8">
        <v>7110</v>
      </c>
      <c r="F17">
        <f t="shared" si="2"/>
        <v>0.21746575342465757</v>
      </c>
    </row>
    <row r="19" spans="1:11">
      <c r="A19" t="s">
        <v>247</v>
      </c>
    </row>
    <row r="20" spans="1:11">
      <c r="A20" t="s">
        <v>239</v>
      </c>
    </row>
    <row r="21" spans="1:11">
      <c r="A21" s="408" t="s">
        <v>240</v>
      </c>
    </row>
    <row r="24" spans="1:11">
      <c r="A24" s="30" t="s">
        <v>26</v>
      </c>
    </row>
    <row r="26" spans="1:11">
      <c r="A26" s="36" t="s">
        <v>11</v>
      </c>
      <c r="B26" s="37"/>
      <c r="C26" s="37"/>
      <c r="D26" s="37"/>
      <c r="E26" s="37"/>
      <c r="F26" s="37"/>
      <c r="G26" s="37"/>
      <c r="H26" s="37"/>
      <c r="I26" s="37"/>
      <c r="J26" s="37"/>
      <c r="K26" s="38"/>
    </row>
    <row r="27" spans="1:11">
      <c r="A27" s="53" t="s">
        <v>12</v>
      </c>
      <c r="B27" s="39">
        <v>12</v>
      </c>
      <c r="C27" s="39">
        <v>24</v>
      </c>
      <c r="D27" s="39">
        <v>36</v>
      </c>
      <c r="E27" s="39">
        <v>48</v>
      </c>
      <c r="F27" s="39">
        <v>60</v>
      </c>
      <c r="G27" s="39">
        <v>72</v>
      </c>
      <c r="H27" s="39">
        <v>84</v>
      </c>
      <c r="I27" s="39">
        <v>96</v>
      </c>
      <c r="J27" s="39">
        <v>108</v>
      </c>
      <c r="K27" s="40">
        <v>120</v>
      </c>
    </row>
    <row r="28" spans="1:11">
      <c r="A28" s="56">
        <v>2010</v>
      </c>
      <c r="B28" s="41">
        <v>989300</v>
      </c>
      <c r="C28" s="41">
        <v>1257600</v>
      </c>
      <c r="D28" s="41">
        <v>1454100</v>
      </c>
      <c r="E28" s="41">
        <v>1579340</v>
      </c>
      <c r="F28" s="41">
        <v>1689500</v>
      </c>
      <c r="G28" s="41">
        <v>1791040</v>
      </c>
      <c r="H28" s="41">
        <v>1906100</v>
      </c>
      <c r="I28" s="41">
        <v>1994320</v>
      </c>
      <c r="J28" s="41">
        <v>2069480</v>
      </c>
      <c r="K28" s="42">
        <v>2079680</v>
      </c>
    </row>
    <row r="29" spans="1:11">
      <c r="A29" s="59">
        <v>2011</v>
      </c>
      <c r="B29" s="44">
        <v>1250960</v>
      </c>
      <c r="C29" s="44">
        <v>1610990</v>
      </c>
      <c r="D29" s="44">
        <v>1772960</v>
      </c>
      <c r="E29" s="44">
        <v>1946060</v>
      </c>
      <c r="F29" s="44">
        <v>2091270</v>
      </c>
      <c r="G29" s="44">
        <v>2230490</v>
      </c>
      <c r="H29" s="44">
        <v>2365870</v>
      </c>
      <c r="I29" s="44">
        <v>2476300</v>
      </c>
      <c r="J29" s="44">
        <v>2563020</v>
      </c>
      <c r="K29" s="45"/>
    </row>
    <row r="30" spans="1:11">
      <c r="A30" s="59">
        <v>2012</v>
      </c>
      <c r="B30" s="44">
        <v>1378380</v>
      </c>
      <c r="C30" s="44">
        <v>1821980</v>
      </c>
      <c r="D30" s="44">
        <v>2068220</v>
      </c>
      <c r="E30" s="44">
        <v>2214200</v>
      </c>
      <c r="F30" s="44">
        <v>2400460</v>
      </c>
      <c r="G30" s="44">
        <v>2533760</v>
      </c>
      <c r="H30" s="44">
        <v>2659220</v>
      </c>
      <c r="I30" s="44">
        <v>2786580</v>
      </c>
      <c r="J30" s="44"/>
      <c r="K30" s="45"/>
    </row>
    <row r="31" spans="1:11">
      <c r="A31" s="59">
        <v>2013</v>
      </c>
      <c r="B31" s="44">
        <v>1458130</v>
      </c>
      <c r="C31" s="44">
        <v>1928320</v>
      </c>
      <c r="D31" s="44">
        <v>2196870</v>
      </c>
      <c r="E31" s="44">
        <v>2367610</v>
      </c>
      <c r="F31" s="44">
        <v>2541060</v>
      </c>
      <c r="G31" s="44">
        <v>2727240</v>
      </c>
      <c r="H31" s="44">
        <v>2880060</v>
      </c>
      <c r="I31" s="44"/>
      <c r="J31" s="44"/>
      <c r="K31" s="45"/>
    </row>
    <row r="32" spans="1:11">
      <c r="A32" s="59">
        <v>2014</v>
      </c>
      <c r="B32" s="44">
        <v>1440950</v>
      </c>
      <c r="C32" s="44">
        <v>1782650</v>
      </c>
      <c r="D32" s="44">
        <v>2048350</v>
      </c>
      <c r="E32" s="44">
        <v>2139110</v>
      </c>
      <c r="F32" s="44">
        <v>2347290</v>
      </c>
      <c r="G32" s="44">
        <v>2507180</v>
      </c>
      <c r="H32" s="44"/>
      <c r="I32" s="44"/>
      <c r="J32" s="44"/>
      <c r="K32" s="45"/>
    </row>
    <row r="33" spans="1:11">
      <c r="A33" s="59">
        <v>2015</v>
      </c>
      <c r="B33" s="44">
        <v>1411530</v>
      </c>
      <c r="C33" s="44">
        <v>1762360</v>
      </c>
      <c r="D33" s="44">
        <v>2040070</v>
      </c>
      <c r="E33" s="44">
        <v>2119120</v>
      </c>
      <c r="F33" s="44">
        <v>2400750</v>
      </c>
      <c r="G33" s="44"/>
      <c r="H33" s="44"/>
      <c r="I33" s="44"/>
      <c r="J33" s="44"/>
      <c r="K33" s="45"/>
    </row>
    <row r="34" spans="1:11">
      <c r="A34" s="59">
        <v>2016</v>
      </c>
      <c r="B34" s="44">
        <v>1226980</v>
      </c>
      <c r="C34" s="44">
        <v>1542120</v>
      </c>
      <c r="D34" s="44">
        <v>1776670</v>
      </c>
      <c r="E34" s="44">
        <v>1874570</v>
      </c>
      <c r="F34" s="44"/>
      <c r="G34" s="44"/>
      <c r="H34" s="44"/>
      <c r="I34" s="44"/>
      <c r="J34" s="44"/>
      <c r="K34" s="45"/>
    </row>
    <row r="35" spans="1:11">
      <c r="A35" s="59">
        <v>2017</v>
      </c>
      <c r="B35" s="44">
        <v>1234800</v>
      </c>
      <c r="C35" s="44">
        <v>1585370</v>
      </c>
      <c r="D35" s="44">
        <v>1874190</v>
      </c>
      <c r="E35" s="44"/>
      <c r="F35" s="44"/>
      <c r="G35" s="44"/>
      <c r="H35" s="44"/>
      <c r="I35" s="44"/>
      <c r="J35" s="44"/>
      <c r="K35" s="45"/>
    </row>
    <row r="36" spans="1:11">
      <c r="A36" s="59">
        <v>2018</v>
      </c>
      <c r="B36" s="44">
        <v>1036760</v>
      </c>
      <c r="C36" s="44">
        <v>1446260</v>
      </c>
      <c r="D36" s="44"/>
      <c r="E36" s="44"/>
      <c r="F36" s="44"/>
      <c r="G36" s="44"/>
      <c r="H36" s="44"/>
      <c r="I36" s="44"/>
      <c r="J36" s="44"/>
      <c r="K36" s="45"/>
    </row>
    <row r="37" spans="1:11">
      <c r="A37" s="49">
        <v>2019</v>
      </c>
      <c r="B37" s="46">
        <v>1414010</v>
      </c>
      <c r="C37" s="46"/>
      <c r="D37" s="46"/>
      <c r="E37" s="46"/>
      <c r="F37" s="46"/>
      <c r="G37" s="46"/>
      <c r="H37" s="46"/>
      <c r="I37" s="46"/>
      <c r="J37" s="46"/>
      <c r="K37" s="47"/>
    </row>
    <row r="38" spans="1:11">
      <c r="A38" s="31"/>
      <c r="B38" s="43"/>
      <c r="C38" s="43"/>
      <c r="D38" s="43"/>
      <c r="E38" s="43"/>
      <c r="F38" s="43"/>
      <c r="G38" s="43"/>
      <c r="H38" s="43"/>
      <c r="I38" s="43"/>
      <c r="J38" s="43"/>
      <c r="K38" s="43"/>
    </row>
    <row r="40" spans="1:11">
      <c r="A40" s="430" t="s">
        <v>27</v>
      </c>
      <c r="B40" s="431"/>
      <c r="C40" s="431"/>
      <c r="D40" s="431"/>
      <c r="E40" s="431"/>
      <c r="F40" s="431"/>
      <c r="G40" s="431"/>
      <c r="H40" s="431"/>
      <c r="I40" s="431"/>
      <c r="J40" s="431"/>
      <c r="K40" s="432"/>
    </row>
    <row r="41" spans="1:11">
      <c r="A41" s="53" t="s">
        <v>12</v>
      </c>
      <c r="B41" s="54">
        <v>12</v>
      </c>
      <c r="C41" s="54">
        <v>24</v>
      </c>
      <c r="D41" s="54">
        <v>36</v>
      </c>
      <c r="E41" s="54">
        <v>48</v>
      </c>
      <c r="F41" s="54">
        <v>60</v>
      </c>
      <c r="G41" s="54">
        <v>72</v>
      </c>
      <c r="H41" s="54">
        <v>84</v>
      </c>
      <c r="I41" s="54">
        <v>96</v>
      </c>
      <c r="J41" s="54">
        <v>108</v>
      </c>
      <c r="K41" s="55">
        <v>120</v>
      </c>
    </row>
    <row r="42" spans="1:11">
      <c r="A42" s="56">
        <v>2010</v>
      </c>
      <c r="B42" s="65">
        <f>B28/B8</f>
        <v>0.1905798497399345</v>
      </c>
      <c r="C42" s="65">
        <f>C28/B8</f>
        <v>0.24226545944904643</v>
      </c>
      <c r="D42" s="65">
        <f>D28/B8</f>
        <v>0.28011943748795992</v>
      </c>
      <c r="E42" s="65">
        <f>E28/B8</f>
        <v>0.30424581005586593</v>
      </c>
      <c r="F42" s="65">
        <f t="shared" ref="F42:F47" si="3">F28/B8</f>
        <v>0.325467154690811</v>
      </c>
      <c r="G42" s="65">
        <f>G28/B8</f>
        <v>0.34502793296089385</v>
      </c>
      <c r="H42" s="65">
        <f>H28/B8</f>
        <v>0.36719321903294161</v>
      </c>
      <c r="I42" s="65">
        <f>I28/B8</f>
        <v>0.38418801772298211</v>
      </c>
      <c r="J42" s="65">
        <f>J28/B8</f>
        <v>0.39866692352147948</v>
      </c>
      <c r="K42" s="67">
        <f>K28/B8</f>
        <v>0.40063186283952995</v>
      </c>
    </row>
    <row r="43" spans="1:11">
      <c r="A43" s="59">
        <v>2011</v>
      </c>
      <c r="B43" s="65">
        <f>B29/B9</f>
        <v>0.20580415898920768</v>
      </c>
      <c r="C43" s="65">
        <f>C29/B9</f>
        <v>0.26503520663332458</v>
      </c>
      <c r="D43" s="65">
        <f t="shared" ref="D43:D49" si="4">D29/B9</f>
        <v>0.29168202158462753</v>
      </c>
      <c r="E43" s="65">
        <f t="shared" ref="E43:E48" si="5">E29/B9</f>
        <v>0.32015991050276388</v>
      </c>
      <c r="F43" s="65">
        <f t="shared" si="3"/>
        <v>0.34404942090023688</v>
      </c>
      <c r="G43" s="65">
        <f>G29/B9</f>
        <v>0.36695347459857858</v>
      </c>
      <c r="H43" s="65">
        <f>H29/B9</f>
        <v>0.38922578310081601</v>
      </c>
      <c r="I43" s="65">
        <f>I29/B9</f>
        <v>0.40739339299815741</v>
      </c>
      <c r="J43" s="65">
        <f>J29/B9</f>
        <v>0.42166030534351145</v>
      </c>
      <c r="K43" s="67"/>
    </row>
    <row r="44" spans="1:11">
      <c r="A44" s="59">
        <v>2012</v>
      </c>
      <c r="B44" s="65">
        <f>B30/B10</f>
        <v>0.21238520801232666</v>
      </c>
      <c r="C44" s="65">
        <f t="shared" ref="C44:C50" si="6">C30/B10</f>
        <v>0.28073651771956859</v>
      </c>
      <c r="D44" s="65">
        <f t="shared" si="4"/>
        <v>0.31867796610169491</v>
      </c>
      <c r="E44" s="65">
        <f>E30/B10</f>
        <v>0.34117103235747304</v>
      </c>
      <c r="F44" s="65">
        <f t="shared" si="3"/>
        <v>0.36987057010785823</v>
      </c>
      <c r="G44" s="65">
        <f>G30/B10</f>
        <v>0.39040986132511557</v>
      </c>
      <c r="H44" s="65">
        <f>H30/B10</f>
        <v>0.4097411402157165</v>
      </c>
      <c r="I44" s="65">
        <f>I30/B10</f>
        <v>0.42936517719568568</v>
      </c>
      <c r="J44" s="65"/>
      <c r="K44" s="67"/>
    </row>
    <row r="45" spans="1:11">
      <c r="A45" s="59">
        <v>2013</v>
      </c>
      <c r="B45" s="65">
        <f t="shared" ref="B45:B51" si="7">B31/B11</f>
        <v>0.21933363417569193</v>
      </c>
      <c r="C45" s="65">
        <f t="shared" si="6"/>
        <v>0.29006016847172084</v>
      </c>
      <c r="D45" s="65">
        <f t="shared" si="4"/>
        <v>0.3304557761732852</v>
      </c>
      <c r="E45" s="65">
        <f t="shared" si="5"/>
        <v>0.35613868832731649</v>
      </c>
      <c r="F45" s="65">
        <f t="shared" si="3"/>
        <v>0.38222924187725632</v>
      </c>
      <c r="G45" s="65">
        <f>G31/B11</f>
        <v>0.41023465703971118</v>
      </c>
      <c r="H45" s="65">
        <f>H31/B11</f>
        <v>0.43322202166064983</v>
      </c>
      <c r="I45" s="65"/>
      <c r="J45" s="65"/>
      <c r="K45" s="67"/>
    </row>
    <row r="46" spans="1:11">
      <c r="A46" s="59">
        <v>2014</v>
      </c>
      <c r="B46" s="65">
        <f t="shared" si="7"/>
        <v>0.23850470074152541</v>
      </c>
      <c r="C46" s="65">
        <f t="shared" si="6"/>
        <v>0.29506256620762711</v>
      </c>
      <c r="D46" s="65">
        <f t="shared" si="4"/>
        <v>0.33904098252118642</v>
      </c>
      <c r="E46" s="65">
        <f t="shared" si="5"/>
        <v>0.35406349311440677</v>
      </c>
      <c r="F46" s="65">
        <f t="shared" si="3"/>
        <v>0.38852125264830506</v>
      </c>
      <c r="G46" s="65">
        <f>G32/B12</f>
        <v>0.41498609639830508</v>
      </c>
      <c r="H46" s="65"/>
      <c r="I46" s="65"/>
      <c r="J46" s="65"/>
      <c r="K46" s="67"/>
    </row>
    <row r="47" spans="1:11">
      <c r="A47" s="59">
        <v>2015</v>
      </c>
      <c r="B47" s="65">
        <f t="shared" si="7"/>
        <v>0.24460714657054725</v>
      </c>
      <c r="C47" s="65">
        <f t="shared" si="6"/>
        <v>0.30540325096177173</v>
      </c>
      <c r="D47" s="65">
        <f t="shared" si="4"/>
        <v>0.35352822930024608</v>
      </c>
      <c r="E47" s="65">
        <f t="shared" si="5"/>
        <v>0.36722697813052368</v>
      </c>
      <c r="F47" s="65">
        <f t="shared" si="3"/>
        <v>0.4160312619138391</v>
      </c>
      <c r="G47" s="65"/>
      <c r="H47" s="65"/>
      <c r="I47" s="65"/>
      <c r="J47" s="65"/>
      <c r="K47" s="67"/>
    </row>
    <row r="48" spans="1:11">
      <c r="A48" s="59">
        <v>2016</v>
      </c>
      <c r="B48" s="65">
        <f t="shared" si="7"/>
        <v>0.25222369543543727</v>
      </c>
      <c r="C48" s="65">
        <f t="shared" si="6"/>
        <v>0.31700533440226941</v>
      </c>
      <c r="D48" s="65">
        <f t="shared" si="4"/>
        <v>0.36522051946183176</v>
      </c>
      <c r="E48" s="65">
        <f t="shared" si="5"/>
        <v>0.38534529719507055</v>
      </c>
      <c r="F48" s="65"/>
      <c r="G48" s="65"/>
      <c r="H48" s="65"/>
      <c r="I48" s="65"/>
      <c r="J48" s="65"/>
      <c r="K48" s="67"/>
    </row>
    <row r="49" spans="1:11">
      <c r="A49" s="59">
        <v>2017</v>
      </c>
      <c r="B49" s="65">
        <f t="shared" si="7"/>
        <v>0.26954224967802493</v>
      </c>
      <c r="C49" s="65">
        <f t="shared" si="6"/>
        <v>0.34606753836414833</v>
      </c>
      <c r="D49" s="65">
        <f t="shared" si="4"/>
        <v>0.40911353168452991</v>
      </c>
      <c r="E49" s="65"/>
      <c r="F49" s="65"/>
      <c r="G49" s="65"/>
      <c r="H49" s="65"/>
      <c r="I49" s="65"/>
      <c r="J49" s="65"/>
      <c r="K49" s="67"/>
    </row>
    <row r="50" spans="1:11">
      <c r="A50" s="59">
        <v>2018</v>
      </c>
      <c r="B50" s="65">
        <f t="shared" si="7"/>
        <v>0.29587899543378998</v>
      </c>
      <c r="C50" s="65">
        <f t="shared" si="6"/>
        <v>0.41274543378995432</v>
      </c>
      <c r="D50" s="65"/>
      <c r="E50" s="65"/>
      <c r="F50" s="65"/>
      <c r="G50" s="65"/>
      <c r="H50" s="65"/>
      <c r="I50" s="65"/>
      <c r="J50" s="65"/>
      <c r="K50" s="67"/>
    </row>
    <row r="51" spans="1:11">
      <c r="A51" s="68">
        <v>2019</v>
      </c>
      <c r="B51" s="66">
        <f t="shared" si="7"/>
        <v>0.33707835705261152</v>
      </c>
      <c r="C51" s="66"/>
      <c r="D51" s="66"/>
      <c r="E51" s="66"/>
      <c r="F51" s="66"/>
      <c r="G51" s="66"/>
      <c r="H51" s="66"/>
      <c r="I51" s="66"/>
      <c r="J51" s="66"/>
      <c r="K51" s="69"/>
    </row>
    <row r="53" spans="1:11">
      <c r="A53" t="s">
        <v>249</v>
      </c>
    </row>
    <row r="54" spans="1:11">
      <c r="A54" t="s">
        <v>248</v>
      </c>
    </row>
    <row r="55" spans="1:11">
      <c r="A55" t="s">
        <v>241</v>
      </c>
    </row>
    <row r="56" spans="1:11">
      <c r="A56" t="s">
        <v>242</v>
      </c>
    </row>
    <row r="57" spans="1:11">
      <c r="A57" t="s">
        <v>181</v>
      </c>
    </row>
    <row r="58" spans="1:11">
      <c r="A58" t="s">
        <v>182</v>
      </c>
    </row>
    <row r="61" spans="1:11">
      <c r="A61" s="64" t="s">
        <v>28</v>
      </c>
    </row>
    <row r="64" spans="1:11">
      <c r="A64" s="50" t="s">
        <v>13</v>
      </c>
      <c r="B64" s="51"/>
      <c r="C64" s="51"/>
      <c r="D64" s="51"/>
      <c r="E64" s="51"/>
      <c r="F64" s="51"/>
      <c r="G64" s="51"/>
      <c r="H64" s="51"/>
      <c r="I64" s="51"/>
      <c r="J64" s="51"/>
      <c r="K64" s="52"/>
    </row>
    <row r="65" spans="1:11">
      <c r="A65" s="53" t="s">
        <v>12</v>
      </c>
      <c r="B65" s="54">
        <v>12</v>
      </c>
      <c r="C65" s="54">
        <v>24</v>
      </c>
      <c r="D65" s="54">
        <v>36</v>
      </c>
      <c r="E65" s="54">
        <v>48</v>
      </c>
      <c r="F65" s="54">
        <v>60</v>
      </c>
      <c r="G65" s="54">
        <v>72</v>
      </c>
      <c r="H65" s="54">
        <v>84</v>
      </c>
      <c r="I65" s="54">
        <v>96</v>
      </c>
      <c r="J65" s="54">
        <v>108</v>
      </c>
      <c r="K65" s="55">
        <v>120</v>
      </c>
    </row>
    <row r="66" spans="1:11">
      <c r="A66" s="56">
        <v>2010</v>
      </c>
      <c r="B66" s="57">
        <v>265200</v>
      </c>
      <c r="C66" s="57">
        <v>553520</v>
      </c>
      <c r="D66" s="57">
        <v>845000</v>
      </c>
      <c r="E66" s="57">
        <v>1038000</v>
      </c>
      <c r="F66" s="57">
        <v>1269140</v>
      </c>
      <c r="G66" s="57">
        <v>1466000</v>
      </c>
      <c r="H66" s="57">
        <v>1683650</v>
      </c>
      <c r="I66" s="57">
        <v>1839200</v>
      </c>
      <c r="J66" s="57">
        <v>1963500</v>
      </c>
      <c r="K66" s="58">
        <v>2038080</v>
      </c>
    </row>
    <row r="67" spans="1:11">
      <c r="A67" s="59">
        <v>2011</v>
      </c>
      <c r="B67" s="60">
        <v>325960</v>
      </c>
      <c r="C67" s="60">
        <v>702400</v>
      </c>
      <c r="D67" s="60">
        <v>1029530</v>
      </c>
      <c r="E67" s="60">
        <v>1292670</v>
      </c>
      <c r="F67" s="60">
        <v>1556880</v>
      </c>
      <c r="G67" s="60">
        <v>1827440</v>
      </c>
      <c r="H67" s="60">
        <v>2109310</v>
      </c>
      <c r="I67" s="60">
        <v>2285590</v>
      </c>
      <c r="J67" s="60">
        <v>2432700</v>
      </c>
      <c r="K67" s="61"/>
    </row>
    <row r="68" spans="1:11">
      <c r="A68" s="59">
        <v>2012</v>
      </c>
      <c r="B68" s="60">
        <v>358890</v>
      </c>
      <c r="C68" s="60">
        <v>786490</v>
      </c>
      <c r="D68" s="60">
        <v>1213590</v>
      </c>
      <c r="E68" s="60">
        <v>1455800</v>
      </c>
      <c r="F68" s="60">
        <v>1786990</v>
      </c>
      <c r="G68" s="60">
        <v>2074170</v>
      </c>
      <c r="H68" s="60">
        <v>2369920</v>
      </c>
      <c r="I68" s="60">
        <v>2572280</v>
      </c>
      <c r="J68" s="60"/>
      <c r="K68" s="61"/>
    </row>
    <row r="69" spans="1:11">
      <c r="A69" s="59">
        <v>2013</v>
      </c>
      <c r="B69" s="60">
        <v>383460</v>
      </c>
      <c r="C69" s="60">
        <v>840950</v>
      </c>
      <c r="D69" s="60">
        <v>1287910</v>
      </c>
      <c r="E69" s="60">
        <v>1571470</v>
      </c>
      <c r="F69" s="60">
        <v>1926920</v>
      </c>
      <c r="G69" s="60">
        <v>2234350</v>
      </c>
      <c r="H69" s="60">
        <v>2541530</v>
      </c>
      <c r="I69" s="60"/>
      <c r="J69" s="60"/>
      <c r="K69" s="61"/>
    </row>
    <row r="70" spans="1:11">
      <c r="A70" s="59">
        <v>2014</v>
      </c>
      <c r="B70" s="60">
        <v>375550</v>
      </c>
      <c r="C70" s="60">
        <v>784660</v>
      </c>
      <c r="D70" s="60">
        <v>1201110</v>
      </c>
      <c r="E70" s="60">
        <v>1448160</v>
      </c>
      <c r="F70" s="60">
        <v>1779630</v>
      </c>
      <c r="G70" s="60">
        <v>2052790</v>
      </c>
      <c r="H70" s="60"/>
      <c r="I70" s="60"/>
      <c r="J70" s="60"/>
      <c r="K70" s="61"/>
    </row>
    <row r="71" spans="1:11">
      <c r="A71" s="59">
        <v>2015</v>
      </c>
      <c r="B71" s="60">
        <v>364560</v>
      </c>
      <c r="C71" s="60">
        <v>783060</v>
      </c>
      <c r="D71" s="60">
        <v>1208490</v>
      </c>
      <c r="E71" s="60">
        <v>1461210</v>
      </c>
      <c r="F71" s="60">
        <v>1786040</v>
      </c>
      <c r="G71" s="60"/>
      <c r="H71" s="60"/>
      <c r="I71" s="60"/>
      <c r="J71" s="60"/>
      <c r="K71" s="61"/>
    </row>
    <row r="72" spans="1:11">
      <c r="A72" s="59">
        <v>2016</v>
      </c>
      <c r="B72" s="60">
        <v>322630</v>
      </c>
      <c r="C72" s="60">
        <v>685250</v>
      </c>
      <c r="D72" s="60">
        <v>1041620</v>
      </c>
      <c r="E72" s="60">
        <v>1268040</v>
      </c>
      <c r="F72" s="60"/>
      <c r="G72" s="60"/>
      <c r="H72" s="60"/>
      <c r="I72" s="60"/>
      <c r="J72" s="60"/>
      <c r="K72" s="61"/>
    </row>
    <row r="73" spans="1:11">
      <c r="A73" s="59">
        <v>2017</v>
      </c>
      <c r="B73" s="60">
        <v>321440</v>
      </c>
      <c r="C73" s="60">
        <v>697160</v>
      </c>
      <c r="D73" s="60">
        <v>1032020</v>
      </c>
      <c r="E73" s="60"/>
      <c r="F73" s="60"/>
      <c r="G73" s="60"/>
      <c r="H73" s="60"/>
      <c r="I73" s="60"/>
      <c r="J73" s="60"/>
      <c r="K73" s="61"/>
    </row>
    <row r="74" spans="1:11">
      <c r="A74" s="59">
        <v>2018</v>
      </c>
      <c r="B74" s="60">
        <v>264920</v>
      </c>
      <c r="C74" s="60">
        <v>586100</v>
      </c>
      <c r="D74" s="60"/>
      <c r="E74" s="60"/>
      <c r="F74" s="60"/>
      <c r="G74" s="60"/>
      <c r="H74" s="60"/>
      <c r="I74" s="60"/>
      <c r="J74" s="60"/>
      <c r="K74" s="61"/>
    </row>
    <row r="75" spans="1:11">
      <c r="A75" s="68">
        <v>2019</v>
      </c>
      <c r="B75" s="62">
        <v>345800</v>
      </c>
      <c r="C75" s="62"/>
      <c r="D75" s="62"/>
      <c r="E75" s="62"/>
      <c r="F75" s="62"/>
      <c r="G75" s="62"/>
      <c r="H75" s="62"/>
      <c r="I75" s="62"/>
      <c r="J75" s="62"/>
      <c r="K75" s="63"/>
    </row>
    <row r="76" spans="1:11">
      <c r="A76" s="48"/>
      <c r="B76" s="48"/>
      <c r="C76" s="48"/>
      <c r="D76" s="48"/>
      <c r="E76" s="48"/>
      <c r="F76" s="48"/>
      <c r="G76" s="48"/>
      <c r="H76" s="48"/>
      <c r="I76" s="48"/>
      <c r="J76" s="48"/>
      <c r="K76" s="48"/>
    </row>
    <row r="77" spans="1:11">
      <c r="A77" s="48"/>
      <c r="B77" s="48"/>
      <c r="C77" s="48"/>
      <c r="D77" s="48"/>
      <c r="E77" s="48"/>
      <c r="F77" s="48"/>
      <c r="G77" s="48"/>
      <c r="H77" s="48"/>
      <c r="I77" s="48"/>
      <c r="J77" s="48"/>
      <c r="K77" s="48"/>
    </row>
    <row r="78" spans="1:11">
      <c r="A78" s="433" t="s">
        <v>29</v>
      </c>
      <c r="B78" s="433"/>
      <c r="C78" s="433"/>
      <c r="D78" s="433"/>
      <c r="E78" s="433"/>
      <c r="F78" s="433"/>
      <c r="G78" s="433"/>
      <c r="H78" s="433"/>
      <c r="I78" s="433"/>
      <c r="J78" s="433"/>
      <c r="K78" s="433"/>
    </row>
    <row r="79" spans="1:11">
      <c r="A79" s="71" t="s">
        <v>12</v>
      </c>
      <c r="B79" s="72">
        <v>12</v>
      </c>
      <c r="C79" s="72">
        <v>24</v>
      </c>
      <c r="D79" s="72">
        <v>36</v>
      </c>
      <c r="E79" s="72">
        <v>48</v>
      </c>
      <c r="F79" s="72">
        <v>60</v>
      </c>
      <c r="G79" s="72">
        <v>72</v>
      </c>
      <c r="H79" s="72">
        <v>84</v>
      </c>
      <c r="I79" s="72">
        <v>96</v>
      </c>
      <c r="J79" s="72">
        <v>108</v>
      </c>
      <c r="K79" s="73">
        <v>120</v>
      </c>
    </row>
    <row r="80" spans="1:11">
      <c r="A80" s="56">
        <v>2010</v>
      </c>
      <c r="B80" s="65">
        <f t="shared" ref="B80:K80" si="8">B66/B28</f>
        <v>0.26806833114323259</v>
      </c>
      <c r="C80" s="65">
        <f t="shared" si="8"/>
        <v>0.44013994910941479</v>
      </c>
      <c r="D80" s="65">
        <f t="shared" si="8"/>
        <v>0.58111546661164981</v>
      </c>
      <c r="E80" s="65">
        <f t="shared" si="8"/>
        <v>0.65723656717362944</v>
      </c>
      <c r="F80" s="70">
        <f t="shared" si="8"/>
        <v>0.75119266055045875</v>
      </c>
      <c r="G80" s="70">
        <f t="shared" si="8"/>
        <v>0.81851884938359831</v>
      </c>
      <c r="H80" s="70">
        <f t="shared" si="8"/>
        <v>0.88329573474634071</v>
      </c>
      <c r="I80" s="70">
        <f t="shared" si="8"/>
        <v>0.92221910225039117</v>
      </c>
      <c r="J80" s="70">
        <f t="shared" si="8"/>
        <v>0.94878906778514405</v>
      </c>
      <c r="K80" s="74">
        <f t="shared" si="8"/>
        <v>0.97999692260347748</v>
      </c>
    </row>
    <row r="81" spans="1:11">
      <c r="A81" s="59">
        <v>2011</v>
      </c>
      <c r="B81" s="65">
        <f t="shared" ref="B81:C88" si="9">B67/B29</f>
        <v>0.26056788386519153</v>
      </c>
      <c r="C81" s="65">
        <f t="shared" si="9"/>
        <v>0.43600518935561361</v>
      </c>
      <c r="D81" s="65">
        <f t="shared" ref="D81:F87" si="10">D67/D29</f>
        <v>0.58068427939716627</v>
      </c>
      <c r="E81" s="65">
        <f t="shared" si="10"/>
        <v>0.66424981758013624</v>
      </c>
      <c r="F81" s="70">
        <f>F67/F29</f>
        <v>0.74446628125493119</v>
      </c>
      <c r="G81" s="70">
        <f t="shared" ref="G81:I84" si="11">G67/G29</f>
        <v>0.81929979511228479</v>
      </c>
      <c r="H81" s="70">
        <f t="shared" si="11"/>
        <v>0.89155786243538315</v>
      </c>
      <c r="I81" s="70">
        <f t="shared" si="11"/>
        <v>0.92298590639260192</v>
      </c>
      <c r="J81" s="70">
        <f>J67/J29</f>
        <v>0.94915373270594849</v>
      </c>
      <c r="K81" s="67"/>
    </row>
    <row r="82" spans="1:11">
      <c r="A82" s="59">
        <v>2012</v>
      </c>
      <c r="B82" s="65">
        <f t="shared" si="9"/>
        <v>0.26037087015191746</v>
      </c>
      <c r="C82" s="65">
        <f t="shared" si="9"/>
        <v>0.43166774607844216</v>
      </c>
      <c r="D82" s="65">
        <f t="shared" si="10"/>
        <v>0.58677993637040549</v>
      </c>
      <c r="E82" s="65">
        <f t="shared" si="10"/>
        <v>0.65748351549092221</v>
      </c>
      <c r="F82" s="70">
        <f>F68/F30</f>
        <v>0.7444364830074236</v>
      </c>
      <c r="G82" s="70">
        <f t="shared" si="11"/>
        <v>0.81861344405152814</v>
      </c>
      <c r="H82" s="70">
        <f t="shared" si="11"/>
        <v>0.89120870029557542</v>
      </c>
      <c r="I82" s="70">
        <f t="shared" si="11"/>
        <v>0.92309569436370031</v>
      </c>
      <c r="J82" s="65"/>
      <c r="K82" s="67"/>
    </row>
    <row r="83" spans="1:11">
      <c r="A83" s="59">
        <v>2013</v>
      </c>
      <c r="B83" s="65">
        <f t="shared" si="9"/>
        <v>0.26298066701871575</v>
      </c>
      <c r="C83" s="65">
        <f t="shared" si="9"/>
        <v>0.43610500331895119</v>
      </c>
      <c r="D83" s="65">
        <f t="shared" si="10"/>
        <v>0.58624770696490913</v>
      </c>
      <c r="E83" s="65">
        <f t="shared" si="10"/>
        <v>0.66373684855191517</v>
      </c>
      <c r="F83" s="70">
        <f t="shared" si="10"/>
        <v>0.75831345973727504</v>
      </c>
      <c r="G83" s="70">
        <f t="shared" si="11"/>
        <v>0.81927149792464171</v>
      </c>
      <c r="H83" s="70">
        <f t="shared" si="11"/>
        <v>0.88245730991715454</v>
      </c>
      <c r="I83" s="65"/>
      <c r="J83" s="65"/>
      <c r="K83" s="67"/>
    </row>
    <row r="84" spans="1:11">
      <c r="A84" s="59">
        <v>2014</v>
      </c>
      <c r="B84" s="65">
        <f t="shared" si="9"/>
        <v>0.26062666990527084</v>
      </c>
      <c r="C84" s="65">
        <f t="shared" si="9"/>
        <v>0.44016492300788151</v>
      </c>
      <c r="D84" s="65">
        <f t="shared" si="10"/>
        <v>0.58637928088461444</v>
      </c>
      <c r="E84" s="65">
        <f t="shared" si="10"/>
        <v>0.67699183305206367</v>
      </c>
      <c r="F84" s="70">
        <f t="shared" si="10"/>
        <v>0.75816366959344605</v>
      </c>
      <c r="G84" s="70">
        <f t="shared" si="11"/>
        <v>0.81876450833207026</v>
      </c>
      <c r="H84" s="65"/>
      <c r="I84" s="65"/>
      <c r="J84" s="65"/>
      <c r="K84" s="67"/>
    </row>
    <row r="85" spans="1:11">
      <c r="A85" s="59">
        <v>2015</v>
      </c>
      <c r="B85" s="65">
        <f t="shared" si="9"/>
        <v>0.25827293787592187</v>
      </c>
      <c r="C85" s="65">
        <f t="shared" si="9"/>
        <v>0.44432465557547834</v>
      </c>
      <c r="D85" s="65">
        <f t="shared" si="10"/>
        <v>0.59237673217095488</v>
      </c>
      <c r="E85" s="65">
        <f t="shared" si="10"/>
        <v>0.68953622258295899</v>
      </c>
      <c r="F85" s="70">
        <f t="shared" si="10"/>
        <v>0.74395084869311678</v>
      </c>
      <c r="G85" s="65"/>
      <c r="H85" s="65"/>
      <c r="I85" s="65"/>
      <c r="J85" s="65"/>
      <c r="K85" s="67"/>
    </row>
    <row r="86" spans="1:11">
      <c r="A86" s="59">
        <v>2016</v>
      </c>
      <c r="B86" s="65">
        <f t="shared" si="9"/>
        <v>0.26294642129456064</v>
      </c>
      <c r="C86" s="65">
        <f t="shared" si="9"/>
        <v>0.44435582185562733</v>
      </c>
      <c r="D86" s="65">
        <f t="shared" si="10"/>
        <v>0.58627657358991825</v>
      </c>
      <c r="E86" s="65">
        <f t="shared" si="10"/>
        <v>0.67644313095803299</v>
      </c>
      <c r="F86" s="65"/>
      <c r="G86" s="65"/>
      <c r="H86" s="65"/>
      <c r="I86" s="65"/>
      <c r="J86" s="65"/>
      <c r="K86" s="67"/>
    </row>
    <row r="87" spans="1:11">
      <c r="A87" s="59">
        <v>2017</v>
      </c>
      <c r="B87" s="65">
        <f t="shared" si="9"/>
        <v>0.26031746031746034</v>
      </c>
      <c r="C87" s="65">
        <f t="shared" si="9"/>
        <v>0.43974592681834523</v>
      </c>
      <c r="D87" s="65">
        <f t="shared" si="10"/>
        <v>0.55064854683890108</v>
      </c>
      <c r="E87" s="65"/>
      <c r="F87" s="65"/>
      <c r="G87" s="65"/>
      <c r="H87" s="65"/>
      <c r="I87" s="65"/>
      <c r="J87" s="65"/>
      <c r="K87" s="67"/>
    </row>
    <row r="88" spans="1:11">
      <c r="A88" s="59">
        <v>2018</v>
      </c>
      <c r="B88" s="65">
        <f t="shared" si="9"/>
        <v>0.2555268335969752</v>
      </c>
      <c r="C88" s="65">
        <f t="shared" si="9"/>
        <v>0.40525216766003347</v>
      </c>
      <c r="D88" s="65"/>
      <c r="E88" s="65"/>
      <c r="F88" s="65"/>
      <c r="G88" s="65"/>
      <c r="H88" s="65"/>
      <c r="I88" s="65"/>
      <c r="J88" s="65"/>
      <c r="K88" s="67"/>
    </row>
    <row r="89" spans="1:11">
      <c r="A89" s="68">
        <v>2019</v>
      </c>
      <c r="B89" s="66">
        <f>B75/B37</f>
        <v>0.24455272593546015</v>
      </c>
      <c r="C89" s="66"/>
      <c r="D89" s="66"/>
      <c r="E89" s="66"/>
      <c r="F89" s="66"/>
      <c r="G89" s="66"/>
      <c r="H89" s="66"/>
      <c r="I89" s="66"/>
      <c r="J89" s="66"/>
      <c r="K89" s="69"/>
    </row>
    <row r="92" spans="1:11">
      <c r="A92" s="50" t="s">
        <v>15</v>
      </c>
      <c r="B92" s="51"/>
      <c r="C92" s="51"/>
      <c r="D92" s="51"/>
      <c r="E92" s="51"/>
      <c r="F92" s="51"/>
      <c r="G92" s="51"/>
      <c r="H92" s="51"/>
      <c r="I92" s="51"/>
      <c r="J92" s="51"/>
      <c r="K92" s="52"/>
    </row>
    <row r="93" spans="1:11">
      <c r="A93" s="71" t="s">
        <v>12</v>
      </c>
      <c r="B93" s="54">
        <v>12</v>
      </c>
      <c r="C93" s="54">
        <v>24</v>
      </c>
      <c r="D93" s="54">
        <v>36</v>
      </c>
      <c r="E93" s="54">
        <v>48</v>
      </c>
      <c r="F93" s="54">
        <v>60</v>
      </c>
      <c r="G93" s="54">
        <v>72</v>
      </c>
      <c r="H93" s="54">
        <v>84</v>
      </c>
      <c r="I93" s="54">
        <v>96</v>
      </c>
      <c r="J93" s="54">
        <v>108</v>
      </c>
      <c r="K93" s="55">
        <v>120</v>
      </c>
    </row>
    <row r="94" spans="1:11">
      <c r="A94" s="56">
        <v>2010</v>
      </c>
      <c r="B94" s="57">
        <v>510</v>
      </c>
      <c r="C94" s="57">
        <v>629</v>
      </c>
      <c r="D94" s="57">
        <v>676</v>
      </c>
      <c r="E94" s="57">
        <v>692</v>
      </c>
      <c r="F94" s="57">
        <v>713</v>
      </c>
      <c r="G94" s="57">
        <v>733</v>
      </c>
      <c r="H94" s="57">
        <v>755</v>
      </c>
      <c r="I94" s="57">
        <v>760</v>
      </c>
      <c r="J94" s="57">
        <v>770</v>
      </c>
      <c r="K94" s="58">
        <v>772</v>
      </c>
    </row>
    <row r="95" spans="1:11">
      <c r="A95" s="59">
        <v>2011</v>
      </c>
      <c r="B95" s="60">
        <v>597</v>
      </c>
      <c r="C95" s="60">
        <v>753</v>
      </c>
      <c r="D95" s="60">
        <v>777</v>
      </c>
      <c r="E95" s="60">
        <v>813</v>
      </c>
      <c r="F95" s="60">
        <v>833</v>
      </c>
      <c r="G95" s="60">
        <v>862</v>
      </c>
      <c r="H95" s="60">
        <v>884</v>
      </c>
      <c r="I95" s="60">
        <v>891</v>
      </c>
      <c r="J95" s="60">
        <v>900</v>
      </c>
      <c r="K95" s="61"/>
    </row>
    <row r="96" spans="1:11">
      <c r="A96" s="59">
        <v>2012</v>
      </c>
      <c r="B96" s="60">
        <v>626</v>
      </c>
      <c r="C96" s="60">
        <v>803</v>
      </c>
      <c r="D96" s="60">
        <v>856</v>
      </c>
      <c r="E96" s="60">
        <v>872</v>
      </c>
      <c r="F96" s="60">
        <v>902</v>
      </c>
      <c r="G96" s="60">
        <v>923</v>
      </c>
      <c r="H96" s="60">
        <v>937</v>
      </c>
      <c r="I96" s="60">
        <v>946</v>
      </c>
      <c r="J96" s="60"/>
      <c r="K96" s="61"/>
    </row>
    <row r="97" spans="1:11">
      <c r="A97" s="59">
        <v>2013</v>
      </c>
      <c r="B97" s="60">
        <v>631</v>
      </c>
      <c r="C97" s="60">
        <v>810</v>
      </c>
      <c r="D97" s="60">
        <v>857</v>
      </c>
      <c r="E97" s="60">
        <v>888</v>
      </c>
      <c r="F97" s="60">
        <v>909</v>
      </c>
      <c r="G97" s="60">
        <v>938</v>
      </c>
      <c r="H97" s="60">
        <v>957</v>
      </c>
      <c r="I97" s="60"/>
      <c r="J97" s="60"/>
      <c r="K97" s="61"/>
    </row>
    <row r="98" spans="1:11">
      <c r="A98" s="59">
        <v>2014</v>
      </c>
      <c r="B98" s="60">
        <v>583</v>
      </c>
      <c r="C98" s="60">
        <v>713</v>
      </c>
      <c r="D98" s="60">
        <v>754</v>
      </c>
      <c r="E98" s="60">
        <v>772</v>
      </c>
      <c r="F98" s="60">
        <v>792</v>
      </c>
      <c r="G98" s="60">
        <v>813</v>
      </c>
      <c r="H98" s="60"/>
      <c r="I98" s="60"/>
      <c r="J98" s="60"/>
      <c r="K98" s="61"/>
    </row>
    <row r="99" spans="1:11">
      <c r="A99" s="59">
        <v>2015</v>
      </c>
      <c r="B99" s="60">
        <v>539</v>
      </c>
      <c r="C99" s="60">
        <v>665</v>
      </c>
      <c r="D99" s="60">
        <v>709</v>
      </c>
      <c r="E99" s="60">
        <v>728</v>
      </c>
      <c r="F99" s="60">
        <v>757</v>
      </c>
      <c r="G99" s="60"/>
      <c r="H99" s="60"/>
      <c r="I99" s="60"/>
      <c r="J99" s="60"/>
      <c r="K99" s="61"/>
    </row>
    <row r="100" spans="1:11">
      <c r="A100" s="59">
        <v>2016</v>
      </c>
      <c r="B100" s="60">
        <v>450</v>
      </c>
      <c r="C100" s="60">
        <v>549</v>
      </c>
      <c r="D100" s="60">
        <v>582</v>
      </c>
      <c r="E100" s="60">
        <v>596</v>
      </c>
      <c r="F100" s="60"/>
      <c r="G100" s="60"/>
      <c r="H100" s="60"/>
      <c r="I100" s="60"/>
      <c r="J100" s="60"/>
      <c r="K100" s="61"/>
    </row>
    <row r="101" spans="1:11">
      <c r="A101" s="59">
        <v>2017</v>
      </c>
      <c r="B101" s="60">
        <v>427</v>
      </c>
      <c r="C101" s="60">
        <v>522</v>
      </c>
      <c r="D101" s="60">
        <v>544</v>
      </c>
      <c r="E101" s="60"/>
      <c r="F101" s="60"/>
      <c r="G101" s="60"/>
      <c r="H101" s="60"/>
      <c r="I101" s="60"/>
      <c r="J101" s="60"/>
      <c r="K101" s="61"/>
    </row>
    <row r="102" spans="1:11">
      <c r="A102" s="59">
        <v>2018</v>
      </c>
      <c r="B102" s="60">
        <v>332</v>
      </c>
      <c r="C102" s="60">
        <v>414</v>
      </c>
      <c r="D102" s="60"/>
      <c r="E102" s="60"/>
      <c r="F102" s="60"/>
      <c r="G102" s="60"/>
      <c r="H102" s="60"/>
      <c r="I102" s="60"/>
      <c r="J102" s="60"/>
      <c r="K102" s="61"/>
    </row>
    <row r="103" spans="1:11">
      <c r="A103" s="68">
        <v>2019</v>
      </c>
      <c r="B103" s="62">
        <v>405</v>
      </c>
      <c r="C103" s="62"/>
      <c r="D103" s="62"/>
      <c r="E103" s="62"/>
      <c r="F103" s="62"/>
      <c r="G103" s="62"/>
      <c r="H103" s="62"/>
      <c r="I103" s="62"/>
      <c r="J103" s="62"/>
      <c r="K103" s="63"/>
    </row>
    <row r="106" spans="1:11">
      <c r="A106" t="s">
        <v>30</v>
      </c>
    </row>
    <row r="107" spans="1:11">
      <c r="A107" t="s">
        <v>183</v>
      </c>
    </row>
    <row r="108" spans="1:11">
      <c r="A108" s="383" t="s">
        <v>215</v>
      </c>
    </row>
    <row r="115" spans="1:11">
      <c r="A115" s="64" t="s">
        <v>31</v>
      </c>
    </row>
    <row r="118" spans="1:11">
      <c r="A118" s="50" t="s">
        <v>32</v>
      </c>
      <c r="B118" s="51"/>
      <c r="C118" s="51"/>
      <c r="D118" s="51"/>
      <c r="E118" s="51"/>
      <c r="F118" s="51"/>
      <c r="G118" s="51"/>
      <c r="H118" s="51"/>
      <c r="I118" s="51"/>
      <c r="J118" s="51"/>
      <c r="K118" s="52"/>
    </row>
    <row r="119" spans="1:11">
      <c r="A119" s="71" t="s">
        <v>12</v>
      </c>
      <c r="B119" s="54">
        <v>12</v>
      </c>
      <c r="C119" s="54">
        <v>24</v>
      </c>
      <c r="D119" s="54">
        <v>36</v>
      </c>
      <c r="E119" s="54">
        <v>48</v>
      </c>
      <c r="F119" s="54">
        <v>60</v>
      </c>
      <c r="G119" s="54">
        <v>72</v>
      </c>
      <c r="H119" s="54">
        <v>84</v>
      </c>
      <c r="I119" s="54">
        <v>96</v>
      </c>
      <c r="J119" s="54">
        <v>108</v>
      </c>
      <c r="K119" s="55">
        <v>120</v>
      </c>
    </row>
    <row r="120" spans="1:11">
      <c r="A120" s="56">
        <v>2010</v>
      </c>
      <c r="B120">
        <f>B66/B8</f>
        <v>5.1088422269312268E-2</v>
      </c>
      <c r="C120">
        <f>C66/B8</f>
        <v>0.10663070699287228</v>
      </c>
      <c r="D120">
        <f>D66/B8</f>
        <v>0.1627817376228087</v>
      </c>
      <c r="E120">
        <f>E66/B8</f>
        <v>0.19996147177807744</v>
      </c>
      <c r="F120">
        <f t="shared" ref="F120:F125" si="12">F66/B8</f>
        <v>0.24448853785397803</v>
      </c>
      <c r="G120">
        <f>G66/B8</f>
        <v>0.28241186669235213</v>
      </c>
      <c r="H120">
        <f>H66/B8</f>
        <v>0.32434020419957621</v>
      </c>
      <c r="I120">
        <f>I66/B8</f>
        <v>0.35430552879984589</v>
      </c>
      <c r="J120">
        <f>J66/B8</f>
        <v>0.37825081872471583</v>
      </c>
      <c r="K120">
        <f>K66/B8</f>
        <v>0.39261799267963782</v>
      </c>
    </row>
    <row r="121" spans="1:11">
      <c r="A121" s="59">
        <v>2011</v>
      </c>
      <c r="B121" s="48">
        <f>B67/B9</f>
        <v>5.3625954198473283E-2</v>
      </c>
      <c r="C121" s="48">
        <f t="shared" ref="C121:C128" si="13">C67/B9</f>
        <v>0.11555672545406687</v>
      </c>
      <c r="D121" s="48">
        <f t="shared" ref="D121:D127" si="14">D67/B9</f>
        <v>0.16937516451697815</v>
      </c>
      <c r="E121" s="48">
        <f t="shared" ref="E121:E126" si="15">E67/B9</f>
        <v>0.21266616214793366</v>
      </c>
      <c r="F121" s="48">
        <f t="shared" si="12"/>
        <v>0.25613319294551196</v>
      </c>
      <c r="G121" s="48">
        <f>G67/B9</f>
        <v>0.30064490655435638</v>
      </c>
      <c r="H121" s="48">
        <f>H67/B9</f>
        <v>0.34701730718610163</v>
      </c>
      <c r="I121" s="48">
        <f>I67/B9</f>
        <v>0.37601836009476181</v>
      </c>
      <c r="J121" s="48">
        <f>J67/B9</f>
        <v>0.40022045275072388</v>
      </c>
    </row>
    <row r="122" spans="1:11">
      <c r="A122" s="59">
        <v>2012</v>
      </c>
      <c r="B122" s="48">
        <f>B68/B10</f>
        <v>5.5298921417565483E-2</v>
      </c>
      <c r="C122" s="48">
        <f t="shared" si="13"/>
        <v>0.12118489984591679</v>
      </c>
      <c r="D122" s="48">
        <f t="shared" si="14"/>
        <v>0.18699383667180278</v>
      </c>
      <c r="E122" s="48">
        <f t="shared" si="15"/>
        <v>0.22431432973805857</v>
      </c>
      <c r="F122" s="48">
        <f t="shared" si="12"/>
        <v>0.27534514637904467</v>
      </c>
      <c r="G122" s="48">
        <f>G68/B10</f>
        <v>0.31959476117103236</v>
      </c>
      <c r="H122" s="48">
        <f>H68/B10</f>
        <v>0.36516486902927581</v>
      </c>
      <c r="I122" s="48">
        <f>I68/B10</f>
        <v>0.39634514637904467</v>
      </c>
    </row>
    <row r="123" spans="1:11">
      <c r="A123" s="59">
        <v>2013</v>
      </c>
      <c r="B123" s="48">
        <f t="shared" ref="B123:B129" si="16">B69/B11</f>
        <v>5.7680505415162453E-2</v>
      </c>
      <c r="C123" s="48">
        <f t="shared" si="13"/>
        <v>0.12649669073405537</v>
      </c>
      <c r="D123" s="48">
        <f t="shared" si="14"/>
        <v>0.19372894103489771</v>
      </c>
      <c r="E123" s="48">
        <f t="shared" si="15"/>
        <v>0.2363823706377858</v>
      </c>
      <c r="F123" s="48">
        <f t="shared" si="12"/>
        <v>0.28984957882069795</v>
      </c>
      <c r="G123" s="48">
        <f>G69/B11</f>
        <v>0.33609356197352586</v>
      </c>
      <c r="H123" s="48">
        <f>H69/B11</f>
        <v>0.38229993983152827</v>
      </c>
    </row>
    <row r="124" spans="1:11">
      <c r="A124" s="59">
        <v>2014</v>
      </c>
      <c r="B124" s="48">
        <f t="shared" si="16"/>
        <v>6.216068591101695E-2</v>
      </c>
      <c r="C124" s="48">
        <f t="shared" si="13"/>
        <v>0.12987619173728815</v>
      </c>
      <c r="D124" s="48">
        <f t="shared" si="14"/>
        <v>0.19880660752118645</v>
      </c>
      <c r="E124" s="48">
        <f t="shared" si="15"/>
        <v>0.23969809322033897</v>
      </c>
      <c r="F124" s="48">
        <f t="shared" si="12"/>
        <v>0.29456269862288137</v>
      </c>
      <c r="G124" s="48">
        <f>G70/B12</f>
        <v>0.33977588718220336</v>
      </c>
    </row>
    <row r="125" spans="1:11">
      <c r="A125" s="59">
        <v>2015</v>
      </c>
      <c r="B125" s="48">
        <f t="shared" si="16"/>
        <v>6.3175406370221468E-2</v>
      </c>
      <c r="C125" s="48">
        <f t="shared" si="13"/>
        <v>0.13569819429522059</v>
      </c>
      <c r="D125" s="48">
        <f t="shared" si="14"/>
        <v>0.20942189720306381</v>
      </c>
      <c r="E125" s="48">
        <f t="shared" si="15"/>
        <v>0.25321630333067618</v>
      </c>
      <c r="F125" s="48">
        <f t="shared" si="12"/>
        <v>0.30950681038366895</v>
      </c>
    </row>
    <row r="126" spans="1:11">
      <c r="A126" s="59">
        <v>2016</v>
      </c>
      <c r="B126" s="48">
        <f t="shared" si="16"/>
        <v>6.6321318080437439E-2</v>
      </c>
      <c r="C126" s="48">
        <f t="shared" si="13"/>
        <v>0.14086316590093839</v>
      </c>
      <c r="D126" s="48">
        <f t="shared" si="14"/>
        <v>0.21412023475481279</v>
      </c>
      <c r="E126" s="48">
        <f t="shared" si="15"/>
        <v>0.2606641793345873</v>
      </c>
    </row>
    <row r="127" spans="1:11">
      <c r="A127" s="59">
        <v>2017</v>
      </c>
      <c r="B127" s="48">
        <f t="shared" si="16"/>
        <v>7.0166553884438237E-2</v>
      </c>
      <c r="C127" s="48">
        <f t="shared" si="13"/>
        <v>0.15218179039968566</v>
      </c>
      <c r="D127" s="48">
        <f t="shared" si="14"/>
        <v>0.22527777171421712</v>
      </c>
    </row>
    <row r="128" spans="1:11">
      <c r="A128" s="59">
        <v>2018</v>
      </c>
      <c r="B128" s="48">
        <f t="shared" si="16"/>
        <v>7.5605022831050223E-2</v>
      </c>
      <c r="C128" s="48">
        <f t="shared" si="13"/>
        <v>0.16726598173515983</v>
      </c>
    </row>
    <row r="129" spans="1:2">
      <c r="A129" s="68">
        <v>2019</v>
      </c>
      <c r="B129" s="48">
        <f t="shared" si="16"/>
        <v>8.2433431071062477E-2</v>
      </c>
    </row>
    <row r="133" spans="1:2">
      <c r="A133" s="75" t="s">
        <v>217</v>
      </c>
    </row>
    <row r="134" spans="1:2">
      <c r="A134" t="s">
        <v>184</v>
      </c>
    </row>
    <row r="135" spans="1:2">
      <c r="A135" t="s">
        <v>218</v>
      </c>
    </row>
    <row r="140" spans="1:2">
      <c r="A140" s="64" t="s">
        <v>33</v>
      </c>
    </row>
    <row r="141" spans="1:2">
      <c r="A141" t="s">
        <v>243</v>
      </c>
    </row>
    <row r="142" spans="1:2">
      <c r="A142" t="s">
        <v>34</v>
      </c>
    </row>
    <row r="146" spans="1:11">
      <c r="A146" s="50" t="s">
        <v>14</v>
      </c>
      <c r="B146" s="51"/>
      <c r="C146" s="51"/>
      <c r="D146" s="51"/>
      <c r="E146" s="51"/>
      <c r="F146" s="51"/>
      <c r="G146" s="51"/>
      <c r="H146" s="51"/>
      <c r="I146" s="51"/>
      <c r="J146" s="51"/>
      <c r="K146" s="52"/>
    </row>
    <row r="147" spans="1:11">
      <c r="A147" s="71" t="s">
        <v>12</v>
      </c>
      <c r="B147" s="54">
        <v>12</v>
      </c>
      <c r="C147" s="54">
        <v>24</v>
      </c>
      <c r="D147" s="54">
        <v>36</v>
      </c>
      <c r="E147" s="54">
        <v>48</v>
      </c>
      <c r="F147" s="54">
        <v>60</v>
      </c>
      <c r="G147" s="54">
        <v>72</v>
      </c>
      <c r="H147" s="54">
        <v>84</v>
      </c>
      <c r="I147" s="54">
        <v>96</v>
      </c>
      <c r="J147" s="54">
        <v>108</v>
      </c>
      <c r="K147" s="55">
        <v>120</v>
      </c>
    </row>
    <row r="148" spans="1:11">
      <c r="A148" s="56">
        <v>2010</v>
      </c>
      <c r="B148" s="57">
        <v>761</v>
      </c>
      <c r="C148" s="57">
        <v>786</v>
      </c>
      <c r="D148" s="57">
        <v>786</v>
      </c>
      <c r="E148" s="57">
        <v>778</v>
      </c>
      <c r="F148" s="57">
        <v>775</v>
      </c>
      <c r="G148" s="57">
        <v>772</v>
      </c>
      <c r="H148" s="57">
        <v>778</v>
      </c>
      <c r="I148" s="57">
        <v>776</v>
      </c>
      <c r="J148" s="57">
        <v>778</v>
      </c>
      <c r="K148" s="58">
        <v>776</v>
      </c>
    </row>
    <row r="149" spans="1:11">
      <c r="A149" s="59">
        <v>2011</v>
      </c>
      <c r="B149" s="60">
        <v>891</v>
      </c>
      <c r="C149" s="60">
        <v>941</v>
      </c>
      <c r="D149" s="60">
        <v>904</v>
      </c>
      <c r="E149" s="60">
        <v>913</v>
      </c>
      <c r="F149" s="60">
        <v>905</v>
      </c>
      <c r="G149" s="60">
        <v>907</v>
      </c>
      <c r="H149" s="60">
        <v>911</v>
      </c>
      <c r="I149" s="60">
        <v>909</v>
      </c>
      <c r="J149" s="60">
        <v>909</v>
      </c>
      <c r="K149" s="61"/>
    </row>
    <row r="150" spans="1:11">
      <c r="A150" s="59">
        <v>2012</v>
      </c>
      <c r="B150" s="60">
        <v>935</v>
      </c>
      <c r="C150" s="60">
        <v>1004</v>
      </c>
      <c r="D150" s="60">
        <v>995</v>
      </c>
      <c r="E150" s="60">
        <v>980</v>
      </c>
      <c r="F150" s="60">
        <v>980</v>
      </c>
      <c r="G150" s="60">
        <v>972</v>
      </c>
      <c r="H150" s="60">
        <v>966</v>
      </c>
      <c r="I150" s="60">
        <v>965</v>
      </c>
      <c r="J150" s="60"/>
      <c r="K150" s="61"/>
    </row>
    <row r="151" spans="1:11">
      <c r="A151" s="59">
        <v>2013</v>
      </c>
      <c r="B151" s="60">
        <v>942</v>
      </c>
      <c r="C151" s="60">
        <v>1012</v>
      </c>
      <c r="D151" s="60">
        <v>997</v>
      </c>
      <c r="E151" s="60">
        <v>998</v>
      </c>
      <c r="F151" s="60">
        <v>988</v>
      </c>
      <c r="G151" s="60">
        <v>987</v>
      </c>
      <c r="H151" s="60">
        <v>987</v>
      </c>
      <c r="I151" s="60"/>
      <c r="J151" s="60"/>
      <c r="K151" s="61"/>
    </row>
    <row r="152" spans="1:11">
      <c r="A152" s="59">
        <v>2014</v>
      </c>
      <c r="B152" s="60">
        <v>870</v>
      </c>
      <c r="C152" s="60">
        <v>891</v>
      </c>
      <c r="D152" s="60">
        <v>877</v>
      </c>
      <c r="E152" s="60">
        <v>867</v>
      </c>
      <c r="F152" s="60">
        <v>861</v>
      </c>
      <c r="G152" s="60">
        <v>856</v>
      </c>
      <c r="H152" s="60"/>
      <c r="I152" s="60"/>
      <c r="J152" s="60"/>
      <c r="K152" s="61"/>
    </row>
    <row r="153" spans="1:11">
      <c r="A153" s="59">
        <v>2015</v>
      </c>
      <c r="B153" s="60">
        <v>804</v>
      </c>
      <c r="C153" s="60">
        <v>831</v>
      </c>
      <c r="D153" s="60">
        <v>824</v>
      </c>
      <c r="E153" s="60">
        <v>818</v>
      </c>
      <c r="F153" s="60">
        <v>823</v>
      </c>
      <c r="G153" s="60"/>
      <c r="H153" s="60"/>
      <c r="I153" s="60"/>
      <c r="J153" s="60"/>
      <c r="K153" s="61"/>
    </row>
    <row r="154" spans="1:11">
      <c r="A154" s="59">
        <v>2016</v>
      </c>
      <c r="B154" s="60">
        <v>672</v>
      </c>
      <c r="C154" s="60">
        <v>686</v>
      </c>
      <c r="D154" s="60">
        <v>677</v>
      </c>
      <c r="E154" s="60">
        <v>670</v>
      </c>
      <c r="F154" s="60"/>
      <c r="G154" s="60"/>
      <c r="H154" s="60"/>
      <c r="I154" s="60"/>
      <c r="J154" s="60"/>
      <c r="K154" s="61"/>
    </row>
    <row r="155" spans="1:11">
      <c r="A155" s="59">
        <v>2017</v>
      </c>
      <c r="B155" s="60">
        <v>638</v>
      </c>
      <c r="C155" s="60">
        <v>653</v>
      </c>
      <c r="D155" s="60">
        <v>632</v>
      </c>
      <c r="E155" s="60"/>
      <c r="F155" s="60"/>
      <c r="G155" s="60"/>
      <c r="H155" s="60"/>
      <c r="I155" s="60"/>
      <c r="J155" s="60"/>
      <c r="K155" s="61"/>
    </row>
    <row r="156" spans="1:11">
      <c r="A156" s="59">
        <v>2018</v>
      </c>
      <c r="B156" s="60">
        <v>496</v>
      </c>
      <c r="C156" s="60">
        <v>518</v>
      </c>
      <c r="D156" s="60"/>
      <c r="E156" s="60"/>
      <c r="F156" s="60"/>
      <c r="G156" s="60"/>
      <c r="H156" s="60"/>
      <c r="I156" s="60"/>
      <c r="J156" s="60"/>
      <c r="K156" s="61"/>
    </row>
    <row r="157" spans="1:11">
      <c r="A157" s="68">
        <v>2019</v>
      </c>
      <c r="B157" s="62">
        <v>604</v>
      </c>
      <c r="C157" s="62"/>
      <c r="D157" s="62"/>
      <c r="E157" s="62"/>
      <c r="F157" s="62"/>
      <c r="G157" s="62"/>
      <c r="H157" s="62"/>
      <c r="I157" s="62"/>
      <c r="J157" s="62"/>
      <c r="K157" s="63"/>
    </row>
    <row r="158" spans="1:11">
      <c r="A158" s="48"/>
      <c r="B158" s="48"/>
      <c r="C158" s="48"/>
      <c r="D158" s="48"/>
      <c r="E158" s="48"/>
      <c r="F158" s="48"/>
      <c r="G158" s="48"/>
      <c r="H158" s="48"/>
      <c r="I158" s="48"/>
      <c r="J158" s="48"/>
      <c r="K158" s="48"/>
    </row>
    <row r="159" spans="1:11">
      <c r="A159" s="50" t="s">
        <v>15</v>
      </c>
      <c r="B159" s="51"/>
      <c r="C159" s="51"/>
      <c r="D159" s="51"/>
      <c r="E159" s="51"/>
      <c r="F159" s="51"/>
      <c r="G159" s="51"/>
      <c r="H159" s="51"/>
      <c r="I159" s="51"/>
      <c r="J159" s="51"/>
      <c r="K159" s="52"/>
    </row>
    <row r="160" spans="1:11">
      <c r="A160" s="71" t="s">
        <v>12</v>
      </c>
      <c r="B160" s="54">
        <v>12</v>
      </c>
      <c r="C160" s="54">
        <v>24</v>
      </c>
      <c r="D160" s="54">
        <v>36</v>
      </c>
      <c r="E160" s="54">
        <v>48</v>
      </c>
      <c r="F160" s="54">
        <v>60</v>
      </c>
      <c r="G160" s="54">
        <v>72</v>
      </c>
      <c r="H160" s="54">
        <v>84</v>
      </c>
      <c r="I160" s="54">
        <v>96</v>
      </c>
      <c r="J160" s="54">
        <v>108</v>
      </c>
      <c r="K160" s="55">
        <v>120</v>
      </c>
    </row>
    <row r="161" spans="1:11">
      <c r="A161" s="56">
        <v>2010</v>
      </c>
      <c r="B161" s="57">
        <v>510</v>
      </c>
      <c r="C161" s="57">
        <v>629</v>
      </c>
      <c r="D161" s="57">
        <v>676</v>
      </c>
      <c r="E161" s="57">
        <v>692</v>
      </c>
      <c r="F161" s="57">
        <v>713</v>
      </c>
      <c r="G161" s="57">
        <v>733</v>
      </c>
      <c r="H161" s="57">
        <v>755</v>
      </c>
      <c r="I161" s="57">
        <v>760</v>
      </c>
      <c r="J161" s="57">
        <v>770</v>
      </c>
      <c r="K161" s="58">
        <v>772</v>
      </c>
    </row>
    <row r="162" spans="1:11">
      <c r="A162" s="59">
        <v>2011</v>
      </c>
      <c r="B162" s="60">
        <v>597</v>
      </c>
      <c r="C162" s="60">
        <v>753</v>
      </c>
      <c r="D162" s="60">
        <v>777</v>
      </c>
      <c r="E162" s="60">
        <v>813</v>
      </c>
      <c r="F162" s="60">
        <v>833</v>
      </c>
      <c r="G162" s="60">
        <v>862</v>
      </c>
      <c r="H162" s="60">
        <v>884</v>
      </c>
      <c r="I162" s="60">
        <v>891</v>
      </c>
      <c r="J162" s="60">
        <v>900</v>
      </c>
      <c r="K162" s="61"/>
    </row>
    <row r="163" spans="1:11">
      <c r="A163" s="59">
        <v>2012</v>
      </c>
      <c r="B163" s="60">
        <v>626</v>
      </c>
      <c r="C163" s="60">
        <v>803</v>
      </c>
      <c r="D163" s="60">
        <v>856</v>
      </c>
      <c r="E163" s="60">
        <v>872</v>
      </c>
      <c r="F163" s="60">
        <v>902</v>
      </c>
      <c r="G163" s="60">
        <v>923</v>
      </c>
      <c r="H163" s="60">
        <v>937</v>
      </c>
      <c r="I163" s="60">
        <v>946</v>
      </c>
      <c r="J163" s="60"/>
      <c r="K163" s="61"/>
    </row>
    <row r="164" spans="1:11">
      <c r="A164" s="59">
        <v>2013</v>
      </c>
      <c r="B164" s="60">
        <v>631</v>
      </c>
      <c r="C164" s="60">
        <v>810</v>
      </c>
      <c r="D164" s="60">
        <v>857</v>
      </c>
      <c r="E164" s="60">
        <v>888</v>
      </c>
      <c r="F164" s="60">
        <v>909</v>
      </c>
      <c r="G164" s="60">
        <v>938</v>
      </c>
      <c r="H164" s="60">
        <v>957</v>
      </c>
      <c r="I164" s="60"/>
      <c r="J164" s="60"/>
      <c r="K164" s="61"/>
    </row>
    <row r="165" spans="1:11">
      <c r="A165" s="59">
        <v>2014</v>
      </c>
      <c r="B165" s="60">
        <v>583</v>
      </c>
      <c r="C165" s="60">
        <v>713</v>
      </c>
      <c r="D165" s="60">
        <v>754</v>
      </c>
      <c r="E165" s="60">
        <v>772</v>
      </c>
      <c r="F165" s="60">
        <v>792</v>
      </c>
      <c r="G165" s="60">
        <v>813</v>
      </c>
      <c r="H165" s="60"/>
      <c r="I165" s="60"/>
      <c r="J165" s="60"/>
      <c r="K165" s="61"/>
    </row>
    <row r="166" spans="1:11">
      <c r="A166" s="59">
        <v>2015</v>
      </c>
      <c r="B166" s="60">
        <v>539</v>
      </c>
      <c r="C166" s="60">
        <v>665</v>
      </c>
      <c r="D166" s="60">
        <v>709</v>
      </c>
      <c r="E166" s="60">
        <v>728</v>
      </c>
      <c r="F166" s="60">
        <v>757</v>
      </c>
      <c r="G166" s="60"/>
      <c r="H166" s="60"/>
      <c r="I166" s="60"/>
      <c r="J166" s="60"/>
      <c r="K166" s="61"/>
    </row>
    <row r="167" spans="1:11">
      <c r="A167" s="59">
        <v>2016</v>
      </c>
      <c r="B167" s="60">
        <v>450</v>
      </c>
      <c r="C167" s="60">
        <v>549</v>
      </c>
      <c r="D167" s="60">
        <v>582</v>
      </c>
      <c r="E167" s="60">
        <v>596</v>
      </c>
      <c r="F167" s="60"/>
      <c r="G167" s="60"/>
      <c r="H167" s="60"/>
      <c r="I167" s="60"/>
      <c r="J167" s="60"/>
      <c r="K167" s="61"/>
    </row>
    <row r="168" spans="1:11">
      <c r="A168" s="59">
        <v>2017</v>
      </c>
      <c r="B168" s="60">
        <v>427</v>
      </c>
      <c r="C168" s="60">
        <v>522</v>
      </c>
      <c r="D168" s="60">
        <v>544</v>
      </c>
      <c r="E168" s="60"/>
      <c r="F168" s="60"/>
      <c r="G168" s="60"/>
      <c r="H168" s="60"/>
      <c r="I168" s="60"/>
      <c r="J168" s="60"/>
      <c r="K168" s="61"/>
    </row>
    <row r="169" spans="1:11">
      <c r="A169" s="59">
        <v>2018</v>
      </c>
      <c r="B169" s="60">
        <v>332</v>
      </c>
      <c r="C169" s="60">
        <v>414</v>
      </c>
      <c r="D169" s="60"/>
      <c r="E169" s="60"/>
      <c r="F169" s="60"/>
      <c r="G169" s="60"/>
      <c r="H169" s="60"/>
      <c r="I169" s="60"/>
      <c r="J169" s="60"/>
      <c r="K169" s="61"/>
    </row>
    <row r="170" spans="1:11">
      <c r="A170" s="68">
        <v>2019</v>
      </c>
      <c r="B170" s="62">
        <v>405</v>
      </c>
      <c r="C170" s="62"/>
      <c r="D170" s="62"/>
      <c r="E170" s="62"/>
      <c r="F170" s="62"/>
      <c r="G170" s="62"/>
      <c r="H170" s="62"/>
      <c r="I170" s="62"/>
      <c r="J170" s="62"/>
      <c r="K170" s="63"/>
    </row>
    <row r="172" spans="1:11">
      <c r="A172" s="430" t="s">
        <v>35</v>
      </c>
      <c r="B172" s="431"/>
      <c r="C172" s="431"/>
      <c r="D172" s="431"/>
      <c r="E172" s="431"/>
      <c r="F172" s="431"/>
      <c r="G172" s="431"/>
      <c r="H172" s="431"/>
      <c r="I172" s="431"/>
      <c r="J172" s="431"/>
      <c r="K172" s="432"/>
    </row>
    <row r="173" spans="1:11">
      <c r="A173" s="88" t="s">
        <v>12</v>
      </c>
      <c r="B173" s="78">
        <v>12</v>
      </c>
      <c r="C173" s="78">
        <v>24</v>
      </c>
      <c r="D173" s="78">
        <v>36</v>
      </c>
      <c r="E173" s="78">
        <v>48</v>
      </c>
      <c r="F173" s="78">
        <v>60</v>
      </c>
      <c r="G173" s="78">
        <v>72</v>
      </c>
      <c r="H173" s="78">
        <v>84</v>
      </c>
      <c r="I173" s="78">
        <v>96</v>
      </c>
      <c r="J173" s="78">
        <v>108</v>
      </c>
      <c r="K173" s="79">
        <v>120</v>
      </c>
    </row>
    <row r="174" spans="1:11">
      <c r="A174" s="80">
        <v>2010</v>
      </c>
      <c r="B174" s="83">
        <f t="shared" ref="B174:K174" si="17">B161/B148</f>
        <v>0.67017082785808146</v>
      </c>
      <c r="C174" s="83">
        <f t="shared" si="17"/>
        <v>0.80025445292620867</v>
      </c>
      <c r="D174" s="83">
        <f t="shared" si="17"/>
        <v>0.86005089058524176</v>
      </c>
      <c r="E174" s="83">
        <f t="shared" si="17"/>
        <v>0.88946015424164526</v>
      </c>
      <c r="F174" s="83">
        <f t="shared" si="17"/>
        <v>0.92</v>
      </c>
      <c r="G174" s="83">
        <f t="shared" si="17"/>
        <v>0.94948186528497414</v>
      </c>
      <c r="H174" s="83">
        <f t="shared" si="17"/>
        <v>0.9704370179948586</v>
      </c>
      <c r="I174" s="83">
        <f t="shared" si="17"/>
        <v>0.97938144329896903</v>
      </c>
      <c r="J174" s="83">
        <f t="shared" si="17"/>
        <v>0.98971722365038561</v>
      </c>
      <c r="K174" s="85">
        <f t="shared" si="17"/>
        <v>0.99484536082474229</v>
      </c>
    </row>
    <row r="175" spans="1:11">
      <c r="A175" s="81">
        <v>2011</v>
      </c>
      <c r="B175" s="83">
        <f>B162/B149</f>
        <v>0.67003367003366998</v>
      </c>
      <c r="C175" s="83">
        <f t="shared" ref="C175:F182" si="18">C162/C149</f>
        <v>0.80021253985122209</v>
      </c>
      <c r="D175" s="83">
        <f t="shared" si="18"/>
        <v>0.85951327433628322</v>
      </c>
      <c r="E175" s="83">
        <f t="shared" si="18"/>
        <v>0.89047097480832416</v>
      </c>
      <c r="F175" s="83">
        <f t="shared" si="18"/>
        <v>0.92044198895027629</v>
      </c>
      <c r="G175" s="83">
        <f>G162/G149</f>
        <v>0.95038588754134512</v>
      </c>
      <c r="H175" s="83">
        <f>H162/H149</f>
        <v>0.97036223929747534</v>
      </c>
      <c r="I175" s="83">
        <f>I162/I149</f>
        <v>0.98019801980198018</v>
      </c>
      <c r="J175" s="83">
        <f>J162/J149</f>
        <v>0.99009900990099009</v>
      </c>
      <c r="K175" s="85"/>
    </row>
    <row r="176" spans="1:11">
      <c r="A176" s="81">
        <v>2012</v>
      </c>
      <c r="B176" s="83">
        <f t="shared" ref="B176:B183" si="19">B163/B150</f>
        <v>0.66951871657754014</v>
      </c>
      <c r="C176" s="83">
        <f t="shared" si="18"/>
        <v>0.79980079681274896</v>
      </c>
      <c r="D176" s="83">
        <f t="shared" si="18"/>
        <v>0.86030150753768841</v>
      </c>
      <c r="E176" s="83">
        <f t="shared" si="18"/>
        <v>0.88979591836734695</v>
      </c>
      <c r="F176" s="83">
        <f t="shared" si="18"/>
        <v>0.92040816326530617</v>
      </c>
      <c r="G176" s="83">
        <f>G163/G150</f>
        <v>0.94958847736625518</v>
      </c>
      <c r="H176" s="83">
        <f>H163/H150</f>
        <v>0.96997929606625255</v>
      </c>
      <c r="I176" s="83">
        <f>I163/I150</f>
        <v>0.98031088082901552</v>
      </c>
      <c r="J176" s="83"/>
      <c r="K176" s="85"/>
    </row>
    <row r="177" spans="1:11">
      <c r="A177" s="81">
        <v>2013</v>
      </c>
      <c r="B177" s="83">
        <f t="shared" si="19"/>
        <v>0.66985138004246281</v>
      </c>
      <c r="C177" s="83">
        <f t="shared" si="18"/>
        <v>0.80039525691699609</v>
      </c>
      <c r="D177" s="83">
        <f t="shared" si="18"/>
        <v>0.8595787362086259</v>
      </c>
      <c r="E177" s="83">
        <f t="shared" si="18"/>
        <v>0.88977955911823647</v>
      </c>
      <c r="F177" s="83">
        <f t="shared" si="18"/>
        <v>0.92004048582995956</v>
      </c>
      <c r="G177" s="83">
        <f>G164/G151</f>
        <v>0.95035460992907805</v>
      </c>
      <c r="H177" s="83">
        <f>H164/H151</f>
        <v>0.96960486322188455</v>
      </c>
      <c r="I177" s="83"/>
      <c r="J177" s="83"/>
      <c r="K177" s="85"/>
    </row>
    <row r="178" spans="1:11">
      <c r="A178" s="81">
        <v>2014</v>
      </c>
      <c r="B178" s="83">
        <f t="shared" si="19"/>
        <v>0.6701149425287356</v>
      </c>
      <c r="C178" s="83">
        <f t="shared" si="18"/>
        <v>0.80022446689113358</v>
      </c>
      <c r="D178" s="83">
        <f t="shared" si="18"/>
        <v>0.8597491448118586</v>
      </c>
      <c r="E178" s="83">
        <f t="shared" si="18"/>
        <v>0.89042675893886969</v>
      </c>
      <c r="F178" s="83">
        <f t="shared" si="18"/>
        <v>0.91986062717770034</v>
      </c>
      <c r="G178" s="83">
        <f>G165/G152</f>
        <v>0.94976635514018692</v>
      </c>
      <c r="H178" s="83"/>
      <c r="I178" s="83"/>
      <c r="J178" s="83"/>
      <c r="K178" s="85"/>
    </row>
    <row r="179" spans="1:11">
      <c r="A179" s="81">
        <v>2015</v>
      </c>
      <c r="B179" s="83">
        <f t="shared" si="19"/>
        <v>0.67039800995024879</v>
      </c>
      <c r="C179" s="83">
        <f t="shared" si="18"/>
        <v>0.80024067388688325</v>
      </c>
      <c r="D179" s="83">
        <f t="shared" si="18"/>
        <v>0.8604368932038835</v>
      </c>
      <c r="E179" s="83">
        <f t="shared" si="18"/>
        <v>0.88997555012224938</v>
      </c>
      <c r="F179" s="83">
        <f t="shared" si="18"/>
        <v>0.91980558930741185</v>
      </c>
      <c r="G179" s="83"/>
      <c r="H179" s="83"/>
      <c r="I179" s="83"/>
      <c r="J179" s="83"/>
      <c r="K179" s="85"/>
    </row>
    <row r="180" spans="1:11">
      <c r="A180" s="81">
        <v>2016</v>
      </c>
      <c r="B180" s="83">
        <f t="shared" si="19"/>
        <v>0.6696428571428571</v>
      </c>
      <c r="C180" s="83">
        <f t="shared" si="18"/>
        <v>0.80029154518950441</v>
      </c>
      <c r="D180" s="83">
        <f t="shared" si="18"/>
        <v>0.85967503692762182</v>
      </c>
      <c r="E180" s="83">
        <f t="shared" si="18"/>
        <v>0.88955223880597012</v>
      </c>
      <c r="F180" s="83"/>
      <c r="G180" s="83"/>
      <c r="H180" s="83"/>
      <c r="I180" s="83"/>
      <c r="J180" s="83"/>
      <c r="K180" s="85"/>
    </row>
    <row r="181" spans="1:11">
      <c r="A181" s="81">
        <v>2017</v>
      </c>
      <c r="B181" s="83">
        <f t="shared" si="19"/>
        <v>0.66927899686520376</v>
      </c>
      <c r="C181" s="83">
        <f t="shared" si="18"/>
        <v>0.79938744257274119</v>
      </c>
      <c r="D181" s="83">
        <f t="shared" si="18"/>
        <v>0.86075949367088611</v>
      </c>
      <c r="E181" s="83"/>
      <c r="F181" s="83"/>
      <c r="G181" s="83"/>
      <c r="H181" s="83"/>
      <c r="I181" s="83"/>
      <c r="J181" s="83"/>
      <c r="K181" s="85"/>
    </row>
    <row r="182" spans="1:11">
      <c r="A182" s="81">
        <v>2018</v>
      </c>
      <c r="B182" s="83">
        <f t="shared" si="19"/>
        <v>0.66935483870967738</v>
      </c>
      <c r="C182" s="83">
        <f t="shared" si="18"/>
        <v>0.79922779922779918</v>
      </c>
      <c r="D182" s="83"/>
      <c r="E182" s="83"/>
      <c r="F182" s="83"/>
      <c r="G182" s="83"/>
      <c r="H182" s="83"/>
      <c r="I182" s="83"/>
      <c r="J182" s="83"/>
      <c r="K182" s="85"/>
    </row>
    <row r="183" spans="1:11">
      <c r="A183" s="86">
        <v>2019</v>
      </c>
      <c r="B183" s="84">
        <f t="shared" si="19"/>
        <v>0.67052980132450335</v>
      </c>
      <c r="C183" s="84"/>
      <c r="D183" s="84"/>
      <c r="E183" s="84"/>
      <c r="F183" s="84"/>
      <c r="G183" s="84"/>
      <c r="H183" s="84"/>
      <c r="I183" s="84"/>
      <c r="J183" s="84"/>
      <c r="K183" s="87"/>
    </row>
    <row r="185" spans="1:11">
      <c r="A185" t="s">
        <v>36</v>
      </c>
    </row>
    <row r="186" spans="1:11">
      <c r="A186" t="s">
        <v>219</v>
      </c>
    </row>
    <row r="187" spans="1:11">
      <c r="A187" t="s">
        <v>250</v>
      </c>
    </row>
    <row r="188" spans="1:11">
      <c r="A188" t="s">
        <v>185</v>
      </c>
    </row>
    <row r="198" spans="1:11">
      <c r="A198" s="82" t="s">
        <v>37</v>
      </c>
    </row>
    <row r="201" spans="1:11">
      <c r="A201" s="430" t="s">
        <v>38</v>
      </c>
      <c r="B201" s="431"/>
      <c r="C201" s="431"/>
      <c r="D201" s="431"/>
      <c r="E201" s="431"/>
      <c r="F201" s="431"/>
      <c r="G201" s="431"/>
      <c r="H201" s="431"/>
      <c r="I201" s="431"/>
      <c r="J201" s="431"/>
      <c r="K201" s="432"/>
    </row>
    <row r="202" spans="1:11">
      <c r="A202" s="99" t="s">
        <v>12</v>
      </c>
      <c r="B202" s="89">
        <v>12</v>
      </c>
      <c r="C202" s="89">
        <v>24</v>
      </c>
      <c r="D202" s="89">
        <v>36</v>
      </c>
      <c r="E202" s="89">
        <v>48</v>
      </c>
      <c r="F202" s="89">
        <v>60</v>
      </c>
      <c r="G202" s="89">
        <v>72</v>
      </c>
      <c r="H202" s="89">
        <v>84</v>
      </c>
      <c r="I202" s="89">
        <v>96</v>
      </c>
      <c r="J202" s="89">
        <v>108</v>
      </c>
      <c r="K202" s="90">
        <v>120</v>
      </c>
    </row>
    <row r="203" spans="1:11">
      <c r="A203" s="91">
        <v>2010</v>
      </c>
      <c r="B203" s="94">
        <f>B28/B148</f>
        <v>1300</v>
      </c>
      <c r="C203" s="94">
        <f t="shared" ref="C203:K203" si="20">C28/C148</f>
        <v>1600</v>
      </c>
      <c r="D203" s="94">
        <f t="shared" si="20"/>
        <v>1850</v>
      </c>
      <c r="E203" s="94">
        <f t="shared" si="20"/>
        <v>2030</v>
      </c>
      <c r="F203" s="94">
        <f t="shared" si="20"/>
        <v>2180</v>
      </c>
      <c r="G203" s="94">
        <f t="shared" si="20"/>
        <v>2320</v>
      </c>
      <c r="H203" s="94">
        <f t="shared" si="20"/>
        <v>2450</v>
      </c>
      <c r="I203" s="94">
        <f t="shared" si="20"/>
        <v>2570</v>
      </c>
      <c r="J203" s="94">
        <f t="shared" si="20"/>
        <v>2660</v>
      </c>
      <c r="K203" s="96">
        <f t="shared" si="20"/>
        <v>2680</v>
      </c>
    </row>
    <row r="204" spans="1:11">
      <c r="A204" s="92">
        <v>2011</v>
      </c>
      <c r="B204" s="94">
        <f t="shared" ref="B204:J204" si="21">B29/B149</f>
        <v>1403.9955106621774</v>
      </c>
      <c r="C204" s="94">
        <f t="shared" si="21"/>
        <v>1711.9978746014879</v>
      </c>
      <c r="D204" s="94">
        <f t="shared" si="21"/>
        <v>1961.2389380530974</v>
      </c>
      <c r="E204" s="94">
        <f t="shared" si="21"/>
        <v>2131.5005476451261</v>
      </c>
      <c r="F204" s="94">
        <f t="shared" si="21"/>
        <v>2310.7955801104972</v>
      </c>
      <c r="G204" s="94">
        <f t="shared" si="21"/>
        <v>2459.1951488423374</v>
      </c>
      <c r="H204" s="94">
        <f t="shared" si="21"/>
        <v>2597.0032930845223</v>
      </c>
      <c r="I204" s="94">
        <f t="shared" si="21"/>
        <v>2724.2024202420243</v>
      </c>
      <c r="J204" s="94">
        <f t="shared" si="21"/>
        <v>2819.6039603960394</v>
      </c>
      <c r="K204" s="96"/>
    </row>
    <row r="205" spans="1:11">
      <c r="A205" s="92">
        <v>2012</v>
      </c>
      <c r="B205" s="94">
        <f t="shared" ref="B205:I205" si="22">B30/B150</f>
        <v>1474.2032085561498</v>
      </c>
      <c r="C205" s="94">
        <f t="shared" si="22"/>
        <v>1814.7211155378486</v>
      </c>
      <c r="D205" s="94">
        <f t="shared" si="22"/>
        <v>2078.6130653266332</v>
      </c>
      <c r="E205" s="94">
        <f t="shared" si="22"/>
        <v>2259.387755102041</v>
      </c>
      <c r="F205" s="94">
        <f t="shared" si="22"/>
        <v>2449.4489795918366</v>
      </c>
      <c r="G205" s="94">
        <f t="shared" si="22"/>
        <v>2606.7489711934159</v>
      </c>
      <c r="H205" s="94">
        <f t="shared" si="22"/>
        <v>2752.8157349896478</v>
      </c>
      <c r="I205" s="94">
        <f t="shared" si="22"/>
        <v>2887.6476683937822</v>
      </c>
      <c r="J205" s="94"/>
      <c r="K205" s="96"/>
    </row>
    <row r="206" spans="1:11">
      <c r="A206" s="92">
        <v>2013</v>
      </c>
      <c r="B206" s="94">
        <f t="shared" ref="B206:H206" si="23">B31/B151</f>
        <v>1547.9087048832271</v>
      </c>
      <c r="C206" s="94">
        <f t="shared" si="23"/>
        <v>1905.4545454545455</v>
      </c>
      <c r="D206" s="94">
        <f t="shared" si="23"/>
        <v>2203.4804413239717</v>
      </c>
      <c r="E206" s="94">
        <f t="shared" si="23"/>
        <v>2372.3547094188375</v>
      </c>
      <c r="F206" s="94">
        <f t="shared" si="23"/>
        <v>2571.9230769230771</v>
      </c>
      <c r="G206" s="94">
        <f t="shared" si="23"/>
        <v>2763.161094224924</v>
      </c>
      <c r="H206" s="94">
        <f t="shared" si="23"/>
        <v>2917.9939209726444</v>
      </c>
      <c r="I206" s="94"/>
      <c r="J206" s="94"/>
      <c r="K206" s="96"/>
    </row>
    <row r="207" spans="1:11">
      <c r="A207" s="92">
        <v>2014</v>
      </c>
      <c r="B207" s="94">
        <f t="shared" ref="B207:G207" si="24">B32/B152</f>
        <v>1656.2643678160919</v>
      </c>
      <c r="C207" s="94">
        <f t="shared" si="24"/>
        <v>2000.7295173961841</v>
      </c>
      <c r="D207" s="94">
        <f t="shared" si="24"/>
        <v>2335.6328392246296</v>
      </c>
      <c r="E207" s="94">
        <f t="shared" si="24"/>
        <v>2467.2549019607845</v>
      </c>
      <c r="F207" s="94">
        <f t="shared" si="24"/>
        <v>2726.2369337979094</v>
      </c>
      <c r="G207" s="94">
        <f t="shared" si="24"/>
        <v>2928.9485981308412</v>
      </c>
      <c r="H207" s="94"/>
      <c r="I207" s="94"/>
      <c r="J207" s="94"/>
      <c r="K207" s="96"/>
    </row>
    <row r="208" spans="1:11">
      <c r="A208" s="92">
        <v>2015</v>
      </c>
      <c r="B208" s="94">
        <f>B33/B153</f>
        <v>1755.6343283582089</v>
      </c>
      <c r="C208" s="94">
        <f>C33/C153</f>
        <v>2120.7701564380263</v>
      </c>
      <c r="D208" s="94">
        <f>D33/D153</f>
        <v>2475.8131067961167</v>
      </c>
      <c r="E208" s="94">
        <f>E33/E153</f>
        <v>2590.6112469437653</v>
      </c>
      <c r="F208" s="94">
        <f>F33/F153</f>
        <v>2917.0716889428918</v>
      </c>
      <c r="G208" s="94"/>
      <c r="H208" s="94"/>
      <c r="I208" s="94"/>
      <c r="J208" s="94"/>
      <c r="K208" s="96"/>
    </row>
    <row r="209" spans="1:11">
      <c r="A209" s="92">
        <v>2016</v>
      </c>
      <c r="B209" s="94">
        <f>B34/B154</f>
        <v>1825.8630952380952</v>
      </c>
      <c r="C209" s="94">
        <f>C34/C154</f>
        <v>2247.9883381924196</v>
      </c>
      <c r="D209" s="94">
        <f>D34/D154</f>
        <v>2624.3279172821271</v>
      </c>
      <c r="E209" s="94">
        <f>E34/E154</f>
        <v>2797.8656716417909</v>
      </c>
      <c r="F209" s="94"/>
      <c r="G209" s="94"/>
      <c r="H209" s="94"/>
      <c r="I209" s="94"/>
      <c r="J209" s="94"/>
      <c r="K209" s="96"/>
    </row>
    <row r="210" spans="1:11">
      <c r="A210" s="92">
        <v>2017</v>
      </c>
      <c r="B210" s="94">
        <f>B35/B155</f>
        <v>1935.4231974921629</v>
      </c>
      <c r="C210" s="94">
        <f>C35/C155</f>
        <v>2427.8254211332314</v>
      </c>
      <c r="D210" s="94">
        <f>D35/D155</f>
        <v>2965.4905063291139</v>
      </c>
      <c r="E210" s="94"/>
      <c r="F210" s="94"/>
      <c r="G210" s="94"/>
      <c r="H210" s="94"/>
      <c r="I210" s="94"/>
      <c r="J210" s="94"/>
      <c r="K210" s="96"/>
    </row>
    <row r="211" spans="1:11">
      <c r="A211" s="92">
        <v>2018</v>
      </c>
      <c r="B211" s="94">
        <f>B36/B156</f>
        <v>2090.2419354838707</v>
      </c>
      <c r="C211" s="94">
        <f>C36/C156</f>
        <v>2792.0077220077219</v>
      </c>
      <c r="D211" s="94"/>
      <c r="E211" s="94"/>
      <c r="F211" s="94"/>
      <c r="G211" s="94"/>
      <c r="H211" s="94"/>
      <c r="I211" s="94"/>
      <c r="J211" s="94"/>
      <c r="K211" s="96"/>
    </row>
    <row r="212" spans="1:11">
      <c r="A212" s="97">
        <v>2019</v>
      </c>
      <c r="B212" s="95">
        <f>B37/B157</f>
        <v>2341.0761589403974</v>
      </c>
      <c r="C212" s="95"/>
      <c r="D212" s="95"/>
      <c r="E212" s="95"/>
      <c r="F212" s="95"/>
      <c r="G212" s="95"/>
      <c r="H212" s="95"/>
      <c r="I212" s="95"/>
      <c r="J212" s="95"/>
      <c r="K212" s="98"/>
    </row>
    <row r="214" spans="1:11">
      <c r="A214" s="430" t="s">
        <v>39</v>
      </c>
      <c r="B214" s="431"/>
      <c r="C214" s="431"/>
      <c r="D214" s="431"/>
      <c r="E214" s="431"/>
      <c r="F214" s="431"/>
      <c r="G214" s="431"/>
      <c r="H214" s="431"/>
      <c r="I214" s="431"/>
      <c r="J214" s="431"/>
      <c r="K214" s="432"/>
    </row>
    <row r="215" spans="1:11">
      <c r="A215" s="99" t="s">
        <v>12</v>
      </c>
      <c r="B215" s="89">
        <v>12</v>
      </c>
      <c r="C215" s="89">
        <v>24</v>
      </c>
      <c r="D215" s="89">
        <v>36</v>
      </c>
      <c r="E215" s="89">
        <v>48</v>
      </c>
      <c r="F215" s="89">
        <v>60</v>
      </c>
      <c r="G215" s="89">
        <v>72</v>
      </c>
      <c r="H215" s="89">
        <v>84</v>
      </c>
      <c r="I215" s="89">
        <v>96</v>
      </c>
      <c r="J215" s="89">
        <v>108</v>
      </c>
      <c r="K215" s="90">
        <v>120</v>
      </c>
    </row>
    <row r="216" spans="1:11">
      <c r="A216" s="91">
        <v>2010</v>
      </c>
      <c r="B216" s="94">
        <f>B66/B161</f>
        <v>520</v>
      </c>
      <c r="C216" s="94">
        <f t="shared" ref="C216:K216" si="25">C66/C161</f>
        <v>880</v>
      </c>
      <c r="D216" s="94">
        <f t="shared" si="25"/>
        <v>1250</v>
      </c>
      <c r="E216" s="94">
        <f t="shared" si="25"/>
        <v>1500</v>
      </c>
      <c r="F216" s="94">
        <f t="shared" si="25"/>
        <v>1780</v>
      </c>
      <c r="G216" s="94">
        <f t="shared" si="25"/>
        <v>2000</v>
      </c>
      <c r="H216" s="94">
        <f t="shared" si="25"/>
        <v>2230</v>
      </c>
      <c r="I216" s="94">
        <f t="shared" si="25"/>
        <v>2420</v>
      </c>
      <c r="J216" s="94">
        <f t="shared" si="25"/>
        <v>2550</v>
      </c>
      <c r="K216" s="96">
        <f t="shared" si="25"/>
        <v>2640</v>
      </c>
    </row>
    <row r="217" spans="1:11">
      <c r="A217" s="92">
        <v>2011</v>
      </c>
      <c r="B217" s="94">
        <f t="shared" ref="B217:J217" si="26">B67/B162</f>
        <v>545.99664991624786</v>
      </c>
      <c r="C217" s="94">
        <f t="shared" si="26"/>
        <v>932.80212483399737</v>
      </c>
      <c r="D217" s="94">
        <f t="shared" si="26"/>
        <v>1325.0064350064349</v>
      </c>
      <c r="E217" s="94">
        <f t="shared" si="26"/>
        <v>1590</v>
      </c>
      <c r="F217" s="94">
        <f t="shared" si="26"/>
        <v>1869.0036014405762</v>
      </c>
      <c r="G217" s="94">
        <f t="shared" si="26"/>
        <v>2120</v>
      </c>
      <c r="H217" s="94">
        <f t="shared" si="26"/>
        <v>2386.0972850678731</v>
      </c>
      <c r="I217" s="94">
        <f t="shared" si="26"/>
        <v>2565.1964085297418</v>
      </c>
      <c r="J217" s="94">
        <f t="shared" si="26"/>
        <v>2703</v>
      </c>
      <c r="K217" s="96"/>
    </row>
    <row r="218" spans="1:11">
      <c r="A218" s="92">
        <v>2012</v>
      </c>
      <c r="B218" s="94">
        <f t="shared" ref="B218:I218" si="27">B68/B163</f>
        <v>573.30670926517575</v>
      </c>
      <c r="C218" s="94">
        <f t="shared" si="27"/>
        <v>979.43960149439602</v>
      </c>
      <c r="D218" s="94">
        <f t="shared" si="27"/>
        <v>1417.7453271028037</v>
      </c>
      <c r="E218" s="94">
        <f t="shared" si="27"/>
        <v>1669.4954128440368</v>
      </c>
      <c r="F218" s="94">
        <f t="shared" si="27"/>
        <v>1981.1419068736143</v>
      </c>
      <c r="G218" s="94">
        <f t="shared" si="27"/>
        <v>2247.2047670639222</v>
      </c>
      <c r="H218" s="94">
        <f t="shared" si="27"/>
        <v>2529.2636072572041</v>
      </c>
      <c r="I218" s="94">
        <f t="shared" si="27"/>
        <v>2719.1120507399578</v>
      </c>
      <c r="J218" s="94"/>
      <c r="K218" s="96"/>
    </row>
    <row r="219" spans="1:11">
      <c r="A219" s="92">
        <v>2013</v>
      </c>
      <c r="B219" s="94">
        <f t="shared" ref="B219:H219" si="28">B69/B164</f>
        <v>607.70206022187006</v>
      </c>
      <c r="C219" s="94">
        <f t="shared" si="28"/>
        <v>1038.2098765432099</v>
      </c>
      <c r="D219" s="94">
        <f t="shared" si="28"/>
        <v>1502.8121353558927</v>
      </c>
      <c r="E219" s="94">
        <f t="shared" si="28"/>
        <v>1769.6734234234234</v>
      </c>
      <c r="F219" s="94">
        <f t="shared" si="28"/>
        <v>2119.8239823982399</v>
      </c>
      <c r="G219" s="94">
        <f t="shared" si="28"/>
        <v>2382.036247334755</v>
      </c>
      <c r="H219" s="94">
        <f t="shared" si="28"/>
        <v>2655.7262277951932</v>
      </c>
      <c r="I219" s="94"/>
      <c r="J219" s="94"/>
      <c r="K219" s="96"/>
    </row>
    <row r="220" spans="1:11">
      <c r="A220" s="92">
        <v>2014</v>
      </c>
      <c r="B220" s="94">
        <f t="shared" ref="B220:G220" si="29">B70/B165</f>
        <v>644.16809605488845</v>
      </c>
      <c r="C220" s="94">
        <f t="shared" si="29"/>
        <v>1100.5049088359046</v>
      </c>
      <c r="D220" s="94">
        <f t="shared" si="29"/>
        <v>1592.9840848806366</v>
      </c>
      <c r="E220" s="94">
        <f t="shared" si="29"/>
        <v>1875.8549222797928</v>
      </c>
      <c r="F220" s="94">
        <f t="shared" si="29"/>
        <v>2247.007575757576</v>
      </c>
      <c r="G220" s="94">
        <f t="shared" si="29"/>
        <v>2524.9569495694959</v>
      </c>
      <c r="H220" s="94"/>
      <c r="I220" s="94"/>
      <c r="J220" s="94"/>
      <c r="K220" s="96"/>
    </row>
    <row r="221" spans="1:11">
      <c r="A221" s="92">
        <v>2015</v>
      </c>
      <c r="B221" s="94">
        <f>B71/B166</f>
        <v>676.36363636363637</v>
      </c>
      <c r="C221" s="94">
        <f>C71/C166</f>
        <v>1177.5338345864661</v>
      </c>
      <c r="D221" s="94">
        <f>D71/D166</f>
        <v>1704.4992947813823</v>
      </c>
      <c r="E221" s="94">
        <f>E71/E166</f>
        <v>2007.1565934065934</v>
      </c>
      <c r="F221" s="94">
        <f>F71/F166</f>
        <v>2359.3659180977543</v>
      </c>
      <c r="G221" s="94"/>
      <c r="H221" s="94"/>
      <c r="I221" s="94"/>
      <c r="J221" s="94"/>
      <c r="K221" s="96"/>
    </row>
    <row r="222" spans="1:11">
      <c r="A222" s="92">
        <v>2016</v>
      </c>
      <c r="B222" s="94">
        <f>B72/B167</f>
        <v>716.95555555555552</v>
      </c>
      <c r="C222" s="94">
        <f>C72/C167</f>
        <v>1248.1785063752277</v>
      </c>
      <c r="D222" s="94">
        <f>D72/D167</f>
        <v>1789.725085910653</v>
      </c>
      <c r="E222" s="94">
        <f>E72/E167</f>
        <v>2127.5838926174497</v>
      </c>
      <c r="F222" s="94"/>
      <c r="G222" s="94"/>
      <c r="H222" s="94"/>
      <c r="I222" s="94"/>
      <c r="J222" s="94"/>
      <c r="K222" s="96"/>
    </row>
    <row r="223" spans="1:11">
      <c r="A223" s="92">
        <v>2017</v>
      </c>
      <c r="B223" s="94">
        <f>B73/B168</f>
        <v>752.78688524590166</v>
      </c>
      <c r="C223" s="94">
        <f>C73/C168</f>
        <v>1335.5555555555557</v>
      </c>
      <c r="D223" s="94">
        <f>D73/D168</f>
        <v>1897.0955882352941</v>
      </c>
      <c r="E223" s="94"/>
      <c r="F223" s="94"/>
      <c r="G223" s="94"/>
      <c r="H223" s="94"/>
      <c r="I223" s="94"/>
      <c r="J223" s="94"/>
      <c r="K223" s="96"/>
    </row>
    <row r="224" spans="1:11">
      <c r="A224" s="92">
        <v>2018</v>
      </c>
      <c r="B224" s="94">
        <f>B74/B169</f>
        <v>797.95180722891564</v>
      </c>
      <c r="C224" s="94">
        <f>C74/C169</f>
        <v>1415.7004830917874</v>
      </c>
      <c r="D224" s="94"/>
      <c r="E224" s="94"/>
      <c r="F224" s="94"/>
      <c r="G224" s="94"/>
      <c r="H224" s="94"/>
      <c r="I224" s="94"/>
      <c r="J224" s="94"/>
      <c r="K224" s="96"/>
    </row>
    <row r="225" spans="1:11">
      <c r="A225" s="97">
        <v>2019</v>
      </c>
      <c r="B225" s="95">
        <f>B75/B170</f>
        <v>853.82716049382714</v>
      </c>
      <c r="C225" s="95"/>
      <c r="D225" s="95"/>
      <c r="E225" s="95"/>
      <c r="F225" s="95"/>
      <c r="G225" s="95"/>
      <c r="H225" s="95"/>
      <c r="I225" s="95"/>
      <c r="J225" s="95"/>
      <c r="K225" s="98"/>
    </row>
    <row r="227" spans="1:11">
      <c r="A227" s="430" t="s">
        <v>41</v>
      </c>
      <c r="B227" s="431"/>
      <c r="C227" s="431"/>
      <c r="D227" s="431"/>
      <c r="E227" s="431"/>
      <c r="F227" s="431"/>
      <c r="G227" s="431"/>
      <c r="H227" s="431"/>
      <c r="I227" s="431"/>
      <c r="J227" s="431"/>
      <c r="K227" s="432"/>
    </row>
    <row r="228" spans="1:11">
      <c r="A228" s="99" t="s">
        <v>12</v>
      </c>
      <c r="B228" s="89">
        <v>12</v>
      </c>
      <c r="C228" s="89">
        <v>24</v>
      </c>
      <c r="D228" s="89">
        <v>36</v>
      </c>
      <c r="E228" s="89">
        <v>48</v>
      </c>
      <c r="F228" s="89">
        <v>60</v>
      </c>
      <c r="G228" s="89">
        <v>72</v>
      </c>
      <c r="H228" s="89">
        <v>84</v>
      </c>
      <c r="I228" s="89">
        <v>96</v>
      </c>
      <c r="J228" s="89">
        <v>108</v>
      </c>
      <c r="K228" s="90"/>
    </row>
    <row r="229" spans="1:11">
      <c r="A229" s="91" t="s">
        <v>42</v>
      </c>
      <c r="B229" s="94">
        <f>(B204/B203-1)*100</f>
        <v>7.9996546663213319</v>
      </c>
      <c r="C229" s="94">
        <f t="shared" ref="C229:J229" si="30">(C204/C203-1)*100</f>
        <v>6.9998671625929987</v>
      </c>
      <c r="D229" s="94">
        <f t="shared" si="30"/>
        <v>6.0129155704377046</v>
      </c>
      <c r="E229" s="94">
        <f t="shared" si="30"/>
        <v>5.0000269775924089</v>
      </c>
      <c r="F229" s="94">
        <f t="shared" si="30"/>
        <v>5.9997972527751076</v>
      </c>
      <c r="G229" s="94">
        <f t="shared" si="30"/>
        <v>5.9997908983766113</v>
      </c>
      <c r="H229" s="94">
        <f t="shared" si="30"/>
        <v>6.0001344116131561</v>
      </c>
      <c r="I229" s="94">
        <f t="shared" si="30"/>
        <v>6.0000941728414192</v>
      </c>
      <c r="J229" s="94">
        <f t="shared" si="30"/>
        <v>6.0001488870691455</v>
      </c>
      <c r="K229" s="96"/>
    </row>
    <row r="230" spans="1:11">
      <c r="A230" s="91" t="s">
        <v>43</v>
      </c>
      <c r="B230" s="94">
        <f>(B205/B204-1)*100</f>
        <v>5.0005642725210464</v>
      </c>
      <c r="C230" s="94">
        <f t="shared" ref="C230:I230" si="31">(C205/C204-1)*100</f>
        <v>6.0001967561012393</v>
      </c>
      <c r="D230" s="94">
        <f t="shared" si="31"/>
        <v>5.984692889590093</v>
      </c>
      <c r="E230" s="94">
        <f t="shared" si="31"/>
        <v>5.9998674454109002</v>
      </c>
      <c r="F230" s="94">
        <f t="shared" si="31"/>
        <v>6.0002451395856138</v>
      </c>
      <c r="G230" s="94">
        <f t="shared" si="31"/>
        <v>6.0000859395212824</v>
      </c>
      <c r="H230" s="94">
        <f t="shared" si="31"/>
        <v>5.999701360411569</v>
      </c>
      <c r="I230" s="94">
        <f t="shared" si="31"/>
        <v>5.9997468226768991</v>
      </c>
      <c r="J230" s="94"/>
      <c r="K230" s="96"/>
    </row>
    <row r="231" spans="1:11">
      <c r="A231" s="91" t="s">
        <v>44</v>
      </c>
      <c r="B231" s="94">
        <f>(B206/B205-1)*100</f>
        <v>4.9996836188726856</v>
      </c>
      <c r="C231" s="94">
        <f t="shared" ref="C231:H231" si="32">(C206/C205-1)*100</f>
        <v>4.9998553022735592</v>
      </c>
      <c r="D231" s="94">
        <f t="shared" si="32"/>
        <v>6.007244834560721</v>
      </c>
      <c r="E231" s="94">
        <f t="shared" si="32"/>
        <v>4.9998922965613035</v>
      </c>
      <c r="F231" s="94">
        <f t="shared" si="32"/>
        <v>5.0000672947941416</v>
      </c>
      <c r="G231" s="94">
        <f t="shared" si="32"/>
        <v>6.0002756214726727</v>
      </c>
      <c r="H231" s="94">
        <f t="shared" si="32"/>
        <v>6.0003357247454092</v>
      </c>
      <c r="I231" s="94"/>
      <c r="J231" s="94"/>
      <c r="K231" s="96"/>
    </row>
    <row r="232" spans="1:11">
      <c r="A232" s="91" t="s">
        <v>45</v>
      </c>
      <c r="B232" s="94">
        <f t="shared" ref="B232:G237" si="33">(B207/B206-1)*100</f>
        <v>7.0001326687441301</v>
      </c>
      <c r="C232" s="94">
        <f t="shared" si="33"/>
        <v>5.0001178022806458</v>
      </c>
      <c r="D232" s="94">
        <f t="shared" si="33"/>
        <v>5.9974391159675289</v>
      </c>
      <c r="E232" s="94">
        <f t="shared" si="33"/>
        <v>4.0002530888475274</v>
      </c>
      <c r="F232" s="94">
        <f t="shared" si="33"/>
        <v>5.9999405992906318</v>
      </c>
      <c r="G232" s="94">
        <f t="shared" si="33"/>
        <v>5.9999217654163273</v>
      </c>
      <c r="H232" s="94"/>
      <c r="I232" s="94"/>
      <c r="J232" s="94"/>
      <c r="K232" s="96"/>
    </row>
    <row r="233" spans="1:11">
      <c r="A233" s="91" t="s">
        <v>46</v>
      </c>
      <c r="B233" s="94">
        <f t="shared" si="33"/>
        <v>5.9996436844888423</v>
      </c>
      <c r="C233" s="94">
        <f t="shared" si="33"/>
        <v>5.9998434570039727</v>
      </c>
      <c r="D233" s="94">
        <f t="shared" si="33"/>
        <v>6.0018109532157249</v>
      </c>
      <c r="E233" s="94">
        <f t="shared" si="33"/>
        <v>4.999740597736646</v>
      </c>
      <c r="F233" s="94">
        <f t="shared" si="33"/>
        <v>6.9999328664046567</v>
      </c>
      <c r="G233" s="94"/>
      <c r="H233" s="94"/>
      <c r="I233" s="94"/>
      <c r="J233" s="94"/>
      <c r="K233" s="96"/>
    </row>
    <row r="234" spans="1:11">
      <c r="A234" s="91" t="s">
        <v>47</v>
      </c>
      <c r="B234" s="94">
        <f t="shared" si="33"/>
        <v>4.000193305946631</v>
      </c>
      <c r="C234" s="94">
        <f t="shared" si="33"/>
        <v>5.9986784219966838</v>
      </c>
      <c r="D234" s="94">
        <f t="shared" si="33"/>
        <v>5.9986276863280397</v>
      </c>
      <c r="E234" s="94">
        <f t="shared" si="33"/>
        <v>8.0002132679123825</v>
      </c>
      <c r="F234" s="94"/>
      <c r="G234" s="94"/>
      <c r="H234" s="94"/>
      <c r="I234" s="94"/>
      <c r="J234" s="94"/>
      <c r="K234" s="96"/>
    </row>
    <row r="235" spans="1:11">
      <c r="A235" s="91" t="s">
        <v>48</v>
      </c>
      <c r="B235" s="94">
        <f t="shared" si="33"/>
        <v>6.0004554853977599</v>
      </c>
      <c r="C235" s="94">
        <f t="shared" si="33"/>
        <v>7.9999117382173246</v>
      </c>
      <c r="D235" s="94">
        <f t="shared" si="33"/>
        <v>12.999998468191066</v>
      </c>
      <c r="E235" s="94"/>
      <c r="F235" s="94"/>
      <c r="G235" s="94"/>
      <c r="H235" s="94"/>
      <c r="I235" s="94"/>
      <c r="J235" s="94"/>
      <c r="K235" s="96"/>
    </row>
    <row r="236" spans="1:11">
      <c r="A236" s="91" t="s">
        <v>49</v>
      </c>
      <c r="B236" s="94">
        <f t="shared" si="33"/>
        <v>7.9992188887843874</v>
      </c>
      <c r="C236" s="94">
        <f t="shared" si="33"/>
        <v>15.000349601105256</v>
      </c>
      <c r="D236" s="94"/>
      <c r="E236" s="94"/>
      <c r="F236" s="94"/>
      <c r="G236" s="94"/>
      <c r="H236" s="94"/>
      <c r="I236" s="94"/>
      <c r="J236" s="94"/>
      <c r="K236" s="96"/>
    </row>
    <row r="237" spans="1:11">
      <c r="A237" s="76" t="s">
        <v>50</v>
      </c>
      <c r="B237" s="95">
        <f t="shared" si="33"/>
        <v>12.000248353952436</v>
      </c>
      <c r="C237" s="95"/>
      <c r="D237" s="95"/>
      <c r="E237" s="95"/>
      <c r="F237" s="95"/>
      <c r="G237" s="95"/>
      <c r="H237" s="95"/>
      <c r="I237" s="95"/>
      <c r="J237" s="95"/>
      <c r="K237" s="98"/>
    </row>
    <row r="238" spans="1:11">
      <c r="A238" s="97"/>
    </row>
    <row r="240" spans="1:11">
      <c r="A240" t="s">
        <v>40</v>
      </c>
    </row>
    <row r="241" spans="1:11">
      <c r="A241" t="s">
        <v>51</v>
      </c>
    </row>
    <row r="242" spans="1:11">
      <c r="A242" t="s">
        <v>246</v>
      </c>
    </row>
    <row r="248" spans="1:11">
      <c r="A248" s="93" t="s">
        <v>52</v>
      </c>
    </row>
    <row r="251" spans="1:11">
      <c r="A251" s="433" t="s">
        <v>53</v>
      </c>
      <c r="B251" s="433"/>
      <c r="C251" s="433"/>
      <c r="D251" s="433"/>
      <c r="E251" s="433"/>
      <c r="F251" s="433"/>
      <c r="G251" s="433"/>
      <c r="H251" s="433"/>
      <c r="I251" s="433"/>
      <c r="J251" s="433"/>
      <c r="K251" s="433"/>
    </row>
    <row r="252" spans="1:11">
      <c r="A252" s="106" t="s">
        <v>12</v>
      </c>
      <c r="B252" s="101">
        <v>12</v>
      </c>
      <c r="C252" s="101">
        <v>24</v>
      </c>
      <c r="D252" s="101">
        <v>36</v>
      </c>
      <c r="E252" s="101">
        <v>48</v>
      </c>
      <c r="F252" s="101">
        <v>60</v>
      </c>
      <c r="G252" s="101">
        <v>72</v>
      </c>
      <c r="H252" s="101">
        <v>84</v>
      </c>
      <c r="I252" s="101">
        <v>96</v>
      </c>
      <c r="J252" s="101">
        <v>108</v>
      </c>
      <c r="K252" s="102">
        <v>120</v>
      </c>
    </row>
    <row r="253" spans="1:11">
      <c r="A253" s="103">
        <v>2010</v>
      </c>
      <c r="B253" s="77">
        <f>B28-B66</f>
        <v>724100</v>
      </c>
      <c r="C253" s="77">
        <f t="shared" ref="C253:K253" si="34">C28-C66</f>
        <v>704080</v>
      </c>
      <c r="D253" s="77">
        <f t="shared" si="34"/>
        <v>609100</v>
      </c>
      <c r="E253" s="77">
        <f t="shared" si="34"/>
        <v>541340</v>
      </c>
      <c r="F253" s="77">
        <f t="shared" si="34"/>
        <v>420360</v>
      </c>
      <c r="G253" s="77">
        <f t="shared" si="34"/>
        <v>325040</v>
      </c>
      <c r="H253" s="77">
        <f t="shared" si="34"/>
        <v>222450</v>
      </c>
      <c r="I253" s="77">
        <f t="shared" si="34"/>
        <v>155120</v>
      </c>
      <c r="J253" s="77">
        <f t="shared" si="34"/>
        <v>105980</v>
      </c>
      <c r="K253" s="77">
        <f t="shared" si="34"/>
        <v>41600</v>
      </c>
    </row>
    <row r="254" spans="1:11">
      <c r="A254" s="104">
        <v>2011</v>
      </c>
      <c r="B254" s="77">
        <f t="shared" ref="B254:J262" si="35">B29-B67</f>
        <v>925000</v>
      </c>
      <c r="C254" s="77">
        <f t="shared" si="35"/>
        <v>908590</v>
      </c>
      <c r="D254" s="77">
        <f t="shared" si="35"/>
        <v>743430</v>
      </c>
      <c r="E254" s="77">
        <f t="shared" si="35"/>
        <v>653390</v>
      </c>
      <c r="F254" s="77">
        <f t="shared" si="35"/>
        <v>534390</v>
      </c>
      <c r="G254" s="77">
        <f t="shared" si="35"/>
        <v>403050</v>
      </c>
      <c r="H254" s="77">
        <f t="shared" si="35"/>
        <v>256560</v>
      </c>
      <c r="I254" s="77">
        <f t="shared" si="35"/>
        <v>190710</v>
      </c>
      <c r="J254" s="77">
        <f t="shared" si="35"/>
        <v>130320</v>
      </c>
      <c r="K254" s="77"/>
    </row>
    <row r="255" spans="1:11">
      <c r="A255" s="104">
        <v>2012</v>
      </c>
      <c r="B255" s="77">
        <f t="shared" si="35"/>
        <v>1019490</v>
      </c>
      <c r="C255" s="77">
        <f t="shared" si="35"/>
        <v>1035490</v>
      </c>
      <c r="D255" s="77">
        <f t="shared" si="35"/>
        <v>854630</v>
      </c>
      <c r="E255" s="77">
        <f t="shared" si="35"/>
        <v>758400</v>
      </c>
      <c r="F255" s="77">
        <f t="shared" si="35"/>
        <v>613470</v>
      </c>
      <c r="G255" s="77">
        <f t="shared" si="35"/>
        <v>459590</v>
      </c>
      <c r="H255" s="77">
        <f t="shared" si="35"/>
        <v>289300</v>
      </c>
      <c r="I255" s="77">
        <f t="shared" si="35"/>
        <v>214300</v>
      </c>
      <c r="J255" s="77"/>
      <c r="K255" s="77"/>
    </row>
    <row r="256" spans="1:11">
      <c r="A256" s="104">
        <v>2013</v>
      </c>
      <c r="B256" s="77">
        <f t="shared" si="35"/>
        <v>1074670</v>
      </c>
      <c r="C256" s="77">
        <f t="shared" si="35"/>
        <v>1087370</v>
      </c>
      <c r="D256" s="77">
        <f t="shared" si="35"/>
        <v>908960</v>
      </c>
      <c r="E256" s="77">
        <f t="shared" si="35"/>
        <v>796140</v>
      </c>
      <c r="F256" s="77">
        <f t="shared" si="35"/>
        <v>614140</v>
      </c>
      <c r="G256" s="77">
        <f t="shared" si="35"/>
        <v>492890</v>
      </c>
      <c r="H256" s="77">
        <f t="shared" si="35"/>
        <v>338530</v>
      </c>
      <c r="I256" s="77"/>
      <c r="J256" s="77"/>
      <c r="K256" s="77"/>
    </row>
    <row r="257" spans="1:11">
      <c r="A257" s="104">
        <v>2014</v>
      </c>
      <c r="B257" s="77">
        <f t="shared" si="35"/>
        <v>1065400</v>
      </c>
      <c r="C257" s="77">
        <f t="shared" si="35"/>
        <v>997990</v>
      </c>
      <c r="D257" s="77">
        <f t="shared" si="35"/>
        <v>847240</v>
      </c>
      <c r="E257" s="77">
        <f t="shared" si="35"/>
        <v>690950</v>
      </c>
      <c r="F257" s="77">
        <f t="shared" si="35"/>
        <v>567660</v>
      </c>
      <c r="G257" s="77">
        <f t="shared" si="35"/>
        <v>454390</v>
      </c>
      <c r="H257" s="77"/>
      <c r="I257" s="77"/>
      <c r="J257" s="77"/>
      <c r="K257" s="77"/>
    </row>
    <row r="258" spans="1:11">
      <c r="A258" s="104">
        <v>2015</v>
      </c>
      <c r="B258" s="77">
        <f t="shared" si="35"/>
        <v>1046970</v>
      </c>
      <c r="C258" s="77">
        <f t="shared" si="35"/>
        <v>979300</v>
      </c>
      <c r="D258" s="77">
        <f t="shared" si="35"/>
        <v>831580</v>
      </c>
      <c r="E258" s="77">
        <f t="shared" si="35"/>
        <v>657910</v>
      </c>
      <c r="F258" s="77">
        <f t="shared" si="35"/>
        <v>614710</v>
      </c>
      <c r="G258" s="77"/>
      <c r="H258" s="77"/>
      <c r="I258" s="77"/>
      <c r="J258" s="77"/>
      <c r="K258" s="77"/>
    </row>
    <row r="259" spans="1:11">
      <c r="A259" s="104">
        <v>2016</v>
      </c>
      <c r="B259" s="77">
        <f t="shared" si="35"/>
        <v>904350</v>
      </c>
      <c r="C259" s="77">
        <f t="shared" si="35"/>
        <v>856870</v>
      </c>
      <c r="D259" s="77">
        <f t="shared" si="35"/>
        <v>735050</v>
      </c>
      <c r="E259" s="77">
        <f t="shared" si="35"/>
        <v>606530</v>
      </c>
      <c r="F259" s="77"/>
      <c r="G259" s="77"/>
      <c r="H259" s="77"/>
      <c r="I259" s="77"/>
      <c r="J259" s="77"/>
      <c r="K259" s="77"/>
    </row>
    <row r="260" spans="1:11">
      <c r="A260" s="104">
        <v>2017</v>
      </c>
      <c r="B260" s="77">
        <f t="shared" si="35"/>
        <v>913360</v>
      </c>
      <c r="C260" s="77">
        <f t="shared" si="35"/>
        <v>888210</v>
      </c>
      <c r="D260" s="77">
        <f t="shared" si="35"/>
        <v>842170</v>
      </c>
      <c r="E260" s="77"/>
      <c r="F260" s="77"/>
      <c r="G260" s="77"/>
      <c r="H260" s="77"/>
      <c r="I260" s="77"/>
      <c r="J260" s="77"/>
      <c r="K260" s="77"/>
    </row>
    <row r="261" spans="1:11">
      <c r="A261" s="104">
        <v>2018</v>
      </c>
      <c r="B261" s="77">
        <f t="shared" si="35"/>
        <v>771840</v>
      </c>
      <c r="C261" s="77">
        <f t="shared" si="35"/>
        <v>860160</v>
      </c>
      <c r="D261" s="77"/>
      <c r="E261" s="77"/>
      <c r="F261" s="77"/>
      <c r="G261" s="77"/>
      <c r="H261" s="77"/>
      <c r="I261" s="77"/>
      <c r="J261" s="77"/>
      <c r="K261" s="77"/>
    </row>
    <row r="262" spans="1:11">
      <c r="A262" s="105">
        <v>2019</v>
      </c>
      <c r="B262" s="77">
        <f t="shared" si="35"/>
        <v>1068210</v>
      </c>
      <c r="C262" s="77"/>
      <c r="D262" s="77"/>
      <c r="E262" s="77"/>
      <c r="F262" s="77"/>
      <c r="G262" s="77"/>
      <c r="H262" s="77"/>
      <c r="I262" s="77"/>
      <c r="J262" s="77"/>
      <c r="K262" s="77"/>
    </row>
    <row r="264" spans="1:11">
      <c r="A264" s="433" t="s">
        <v>54</v>
      </c>
      <c r="B264" s="433"/>
      <c r="C264" s="433"/>
      <c r="D264" s="433"/>
      <c r="E264" s="433"/>
      <c r="F264" s="433"/>
      <c r="G264" s="433"/>
      <c r="H264" s="433"/>
      <c r="I264" s="433"/>
      <c r="J264" s="433"/>
      <c r="K264" s="433"/>
    </row>
    <row r="265" spans="1:11">
      <c r="A265" s="106" t="s">
        <v>12</v>
      </c>
      <c r="B265" s="101">
        <v>12</v>
      </c>
      <c r="C265" s="101">
        <v>24</v>
      </c>
      <c r="D265" s="101">
        <v>36</v>
      </c>
      <c r="E265" s="101">
        <v>48</v>
      </c>
      <c r="F265" s="101">
        <v>60</v>
      </c>
      <c r="G265" s="101">
        <v>72</v>
      </c>
      <c r="H265" s="101">
        <v>84</v>
      </c>
      <c r="I265" s="101">
        <v>96</v>
      </c>
      <c r="J265" s="101">
        <v>108</v>
      </c>
      <c r="K265" s="102">
        <v>120</v>
      </c>
    </row>
    <row r="266" spans="1:11">
      <c r="A266" s="103">
        <v>2010</v>
      </c>
      <c r="B266" s="77">
        <f>B148-B161</f>
        <v>251</v>
      </c>
      <c r="C266" s="77">
        <f t="shared" ref="C266:K266" si="36">C148-C161</f>
        <v>157</v>
      </c>
      <c r="D266" s="77">
        <f t="shared" si="36"/>
        <v>110</v>
      </c>
      <c r="E266" s="77">
        <f t="shared" si="36"/>
        <v>86</v>
      </c>
      <c r="F266" s="77">
        <f t="shared" si="36"/>
        <v>62</v>
      </c>
      <c r="G266" s="77">
        <f t="shared" si="36"/>
        <v>39</v>
      </c>
      <c r="H266" s="77">
        <f t="shared" si="36"/>
        <v>23</v>
      </c>
      <c r="I266" s="77">
        <f t="shared" si="36"/>
        <v>16</v>
      </c>
      <c r="J266" s="77">
        <f t="shared" si="36"/>
        <v>8</v>
      </c>
      <c r="K266" s="77">
        <f t="shared" si="36"/>
        <v>4</v>
      </c>
    </row>
    <row r="267" spans="1:11">
      <c r="A267" s="104">
        <v>2011</v>
      </c>
      <c r="B267" s="77">
        <f t="shared" ref="B267:J275" si="37">B149-B162</f>
        <v>294</v>
      </c>
      <c r="C267" s="77">
        <f t="shared" si="37"/>
        <v>188</v>
      </c>
      <c r="D267" s="77">
        <f t="shared" si="37"/>
        <v>127</v>
      </c>
      <c r="E267" s="77">
        <f t="shared" si="37"/>
        <v>100</v>
      </c>
      <c r="F267" s="77">
        <f t="shared" si="37"/>
        <v>72</v>
      </c>
      <c r="G267" s="77">
        <f t="shared" si="37"/>
        <v>45</v>
      </c>
      <c r="H267" s="77">
        <f t="shared" si="37"/>
        <v>27</v>
      </c>
      <c r="I267" s="77">
        <f t="shared" si="37"/>
        <v>18</v>
      </c>
      <c r="J267" s="77">
        <f t="shared" si="37"/>
        <v>9</v>
      </c>
      <c r="K267" s="77"/>
    </row>
    <row r="268" spans="1:11">
      <c r="A268" s="104">
        <v>2012</v>
      </c>
      <c r="B268" s="77">
        <f t="shared" si="37"/>
        <v>309</v>
      </c>
      <c r="C268" s="77">
        <f t="shared" si="37"/>
        <v>201</v>
      </c>
      <c r="D268" s="77">
        <f t="shared" si="37"/>
        <v>139</v>
      </c>
      <c r="E268" s="77">
        <f t="shared" si="37"/>
        <v>108</v>
      </c>
      <c r="F268" s="77">
        <f t="shared" si="37"/>
        <v>78</v>
      </c>
      <c r="G268" s="77">
        <f t="shared" si="37"/>
        <v>49</v>
      </c>
      <c r="H268" s="77">
        <f t="shared" si="37"/>
        <v>29</v>
      </c>
      <c r="I268" s="77">
        <f t="shared" si="37"/>
        <v>19</v>
      </c>
      <c r="J268" s="77"/>
      <c r="K268" s="77"/>
    </row>
    <row r="269" spans="1:11">
      <c r="A269" s="104">
        <v>2013</v>
      </c>
      <c r="B269" s="77">
        <f t="shared" si="37"/>
        <v>311</v>
      </c>
      <c r="C269" s="77">
        <f t="shared" si="37"/>
        <v>202</v>
      </c>
      <c r="D269" s="77">
        <f t="shared" si="37"/>
        <v>140</v>
      </c>
      <c r="E269" s="77">
        <f t="shared" si="37"/>
        <v>110</v>
      </c>
      <c r="F269" s="77">
        <f t="shared" si="37"/>
        <v>79</v>
      </c>
      <c r="G269" s="77">
        <f t="shared" si="37"/>
        <v>49</v>
      </c>
      <c r="H269" s="77">
        <f t="shared" si="37"/>
        <v>30</v>
      </c>
      <c r="I269" s="77"/>
      <c r="J269" s="77"/>
      <c r="K269" s="77"/>
    </row>
    <row r="270" spans="1:11">
      <c r="A270" s="104">
        <v>2014</v>
      </c>
      <c r="B270" s="77">
        <f t="shared" si="37"/>
        <v>287</v>
      </c>
      <c r="C270" s="77">
        <f t="shared" si="37"/>
        <v>178</v>
      </c>
      <c r="D270" s="77">
        <f t="shared" si="37"/>
        <v>123</v>
      </c>
      <c r="E270" s="77">
        <f t="shared" si="37"/>
        <v>95</v>
      </c>
      <c r="F270" s="77">
        <f t="shared" si="37"/>
        <v>69</v>
      </c>
      <c r="G270" s="77">
        <f t="shared" si="37"/>
        <v>43</v>
      </c>
      <c r="H270" s="77"/>
      <c r="I270" s="77"/>
      <c r="J270" s="77"/>
      <c r="K270" s="77"/>
    </row>
    <row r="271" spans="1:11">
      <c r="A271" s="104">
        <v>2015</v>
      </c>
      <c r="B271" s="77">
        <f t="shared" si="37"/>
        <v>265</v>
      </c>
      <c r="C271" s="77">
        <f t="shared" si="37"/>
        <v>166</v>
      </c>
      <c r="D271" s="77">
        <f t="shared" si="37"/>
        <v>115</v>
      </c>
      <c r="E271" s="77">
        <f t="shared" si="37"/>
        <v>90</v>
      </c>
      <c r="F271" s="77">
        <f t="shared" si="37"/>
        <v>66</v>
      </c>
      <c r="G271" s="77"/>
      <c r="H271" s="77"/>
      <c r="I271" s="77"/>
      <c r="J271" s="77"/>
      <c r="K271" s="77"/>
    </row>
    <row r="272" spans="1:11">
      <c r="A272" s="104">
        <v>2016</v>
      </c>
      <c r="B272" s="77">
        <f t="shared" si="37"/>
        <v>222</v>
      </c>
      <c r="C272" s="77">
        <f t="shared" si="37"/>
        <v>137</v>
      </c>
      <c r="D272" s="77">
        <f t="shared" si="37"/>
        <v>95</v>
      </c>
      <c r="E272" s="77">
        <f t="shared" si="37"/>
        <v>74</v>
      </c>
      <c r="F272" s="77"/>
      <c r="G272" s="77"/>
      <c r="H272" s="77"/>
      <c r="I272" s="77"/>
      <c r="J272" s="77"/>
      <c r="K272" s="77"/>
    </row>
    <row r="273" spans="1:11">
      <c r="A273" s="104">
        <v>2017</v>
      </c>
      <c r="B273" s="77">
        <f t="shared" si="37"/>
        <v>211</v>
      </c>
      <c r="C273" s="77">
        <f t="shared" si="37"/>
        <v>131</v>
      </c>
      <c r="D273" s="77">
        <f t="shared" si="37"/>
        <v>88</v>
      </c>
      <c r="E273" s="77"/>
      <c r="F273" s="77"/>
      <c r="G273" s="77"/>
      <c r="H273" s="77"/>
      <c r="I273" s="77"/>
      <c r="J273" s="77"/>
      <c r="K273" s="77"/>
    </row>
    <row r="274" spans="1:11">
      <c r="A274" s="104">
        <v>2018</v>
      </c>
      <c r="B274" s="77">
        <f t="shared" si="37"/>
        <v>164</v>
      </c>
      <c r="C274" s="77">
        <f t="shared" si="37"/>
        <v>104</v>
      </c>
      <c r="D274" s="77"/>
      <c r="E274" s="77"/>
      <c r="F274" s="77"/>
      <c r="G274" s="77"/>
      <c r="H274" s="77"/>
      <c r="I274" s="77"/>
      <c r="J274" s="77"/>
      <c r="K274" s="77"/>
    </row>
    <row r="275" spans="1:11">
      <c r="A275" s="105">
        <v>2019</v>
      </c>
      <c r="B275" s="77">
        <f t="shared" si="37"/>
        <v>199</v>
      </c>
      <c r="C275" s="77"/>
      <c r="D275" s="77"/>
      <c r="E275" s="77"/>
      <c r="F275" s="77"/>
      <c r="G275" s="77"/>
      <c r="H275" s="77"/>
      <c r="I275" s="77"/>
      <c r="J275" s="77"/>
      <c r="K275" s="77"/>
    </row>
    <row r="278" spans="1:11">
      <c r="A278" s="433" t="s">
        <v>55</v>
      </c>
      <c r="B278" s="433"/>
      <c r="C278" s="433"/>
      <c r="D278" s="433"/>
      <c r="E278" s="433"/>
      <c r="F278" s="433"/>
      <c r="G278" s="433"/>
      <c r="H278" s="433"/>
      <c r="I278" s="433"/>
      <c r="J278" s="433"/>
      <c r="K278" s="433"/>
    </row>
    <row r="279" spans="1:11">
      <c r="A279" s="106" t="s">
        <v>12</v>
      </c>
      <c r="B279" s="101">
        <v>12</v>
      </c>
      <c r="C279" s="101">
        <v>24</v>
      </c>
      <c r="D279" s="101">
        <v>36</v>
      </c>
      <c r="E279" s="101">
        <v>48</v>
      </c>
      <c r="F279" s="101">
        <v>60</v>
      </c>
      <c r="G279" s="101">
        <v>72</v>
      </c>
      <c r="H279" s="101">
        <v>84</v>
      </c>
      <c r="I279" s="101">
        <v>96</v>
      </c>
      <c r="J279" s="101">
        <v>108</v>
      </c>
      <c r="K279" s="102">
        <v>120</v>
      </c>
    </row>
    <row r="280" spans="1:11">
      <c r="A280" s="103">
        <v>2010</v>
      </c>
      <c r="B280">
        <f>B253/B266</f>
        <v>2884.8605577689241</v>
      </c>
      <c r="C280" s="100">
        <f t="shared" ref="C280:K280" si="38">C253/C266</f>
        <v>4484.5859872611463</v>
      </c>
      <c r="D280" s="100">
        <f t="shared" si="38"/>
        <v>5537.272727272727</v>
      </c>
      <c r="E280" s="100">
        <f t="shared" si="38"/>
        <v>6294.6511627906975</v>
      </c>
      <c r="F280" s="100">
        <f t="shared" si="38"/>
        <v>6780</v>
      </c>
      <c r="G280" s="100">
        <f t="shared" si="38"/>
        <v>8334.3589743589746</v>
      </c>
      <c r="H280" s="100">
        <f t="shared" si="38"/>
        <v>9671.7391304347821</v>
      </c>
      <c r="I280" s="100">
        <f t="shared" si="38"/>
        <v>9695</v>
      </c>
      <c r="J280" s="100">
        <f t="shared" si="38"/>
        <v>13247.5</v>
      </c>
      <c r="K280" s="100">
        <f t="shared" si="38"/>
        <v>10400</v>
      </c>
    </row>
    <row r="281" spans="1:11">
      <c r="A281" s="104">
        <v>2011</v>
      </c>
      <c r="B281" s="100">
        <f t="shared" ref="B281:J289" si="39">B254/B267</f>
        <v>3146.2585034013605</v>
      </c>
      <c r="C281" s="100">
        <f t="shared" si="39"/>
        <v>4832.9255319148933</v>
      </c>
      <c r="D281" s="100">
        <f t="shared" si="39"/>
        <v>5853.7795275590552</v>
      </c>
      <c r="E281" s="100">
        <f t="shared" si="39"/>
        <v>6533.9</v>
      </c>
      <c r="F281" s="100">
        <f t="shared" si="39"/>
        <v>7422.083333333333</v>
      </c>
      <c r="G281" s="100">
        <f t="shared" si="39"/>
        <v>8956.6666666666661</v>
      </c>
      <c r="H281" s="100">
        <f t="shared" si="39"/>
        <v>9502.2222222222226</v>
      </c>
      <c r="I281" s="100">
        <f t="shared" si="39"/>
        <v>10595</v>
      </c>
      <c r="J281" s="100">
        <f t="shared" si="39"/>
        <v>14480</v>
      </c>
      <c r="K281" s="100"/>
    </row>
    <row r="282" spans="1:11">
      <c r="A282" s="104">
        <v>2012</v>
      </c>
      <c r="B282" s="100">
        <f t="shared" si="39"/>
        <v>3299.3203883495144</v>
      </c>
      <c r="C282" s="100">
        <f t="shared" si="39"/>
        <v>5151.6915422885568</v>
      </c>
      <c r="D282" s="100">
        <f t="shared" si="39"/>
        <v>6148.4172661870507</v>
      </c>
      <c r="E282" s="100">
        <f t="shared" si="39"/>
        <v>7022.2222222222226</v>
      </c>
      <c r="F282" s="100">
        <f t="shared" si="39"/>
        <v>7865</v>
      </c>
      <c r="G282" s="100">
        <f t="shared" si="39"/>
        <v>9379.3877551020414</v>
      </c>
      <c r="H282" s="100">
        <f t="shared" si="39"/>
        <v>9975.8620689655181</v>
      </c>
      <c r="I282" s="100">
        <f t="shared" si="39"/>
        <v>11278.947368421053</v>
      </c>
      <c r="J282" s="100"/>
      <c r="K282" s="100"/>
    </row>
    <row r="283" spans="1:11">
      <c r="A283" s="104">
        <v>2013</v>
      </c>
      <c r="B283" s="100">
        <f t="shared" si="39"/>
        <v>3455.5305466237942</v>
      </c>
      <c r="C283" s="100">
        <f t="shared" si="39"/>
        <v>5383.0198019801983</v>
      </c>
      <c r="D283" s="100">
        <f t="shared" si="39"/>
        <v>6492.5714285714284</v>
      </c>
      <c r="E283" s="100">
        <f t="shared" si="39"/>
        <v>7237.636363636364</v>
      </c>
      <c r="F283" s="100">
        <f t="shared" si="39"/>
        <v>7773.9240506329115</v>
      </c>
      <c r="G283" s="100">
        <f t="shared" si="39"/>
        <v>10058.979591836734</v>
      </c>
      <c r="H283" s="100">
        <f t="shared" si="39"/>
        <v>11284.333333333334</v>
      </c>
      <c r="I283" s="100"/>
      <c r="J283" s="100"/>
      <c r="K283" s="100"/>
    </row>
    <row r="284" spans="1:11">
      <c r="A284" s="104">
        <v>2014</v>
      </c>
      <c r="B284" s="100">
        <f t="shared" si="39"/>
        <v>3712.1951219512193</v>
      </c>
      <c r="C284" s="100">
        <f t="shared" si="39"/>
        <v>5606.6853932584272</v>
      </c>
      <c r="D284" s="100">
        <f t="shared" si="39"/>
        <v>6888.1300813008129</v>
      </c>
      <c r="E284" s="100">
        <f t="shared" si="39"/>
        <v>7273.1578947368425</v>
      </c>
      <c r="F284" s="100">
        <f t="shared" si="39"/>
        <v>8226.95652173913</v>
      </c>
      <c r="G284" s="100">
        <f t="shared" si="39"/>
        <v>10567.209302325582</v>
      </c>
      <c r="H284" s="100"/>
      <c r="I284" s="100"/>
      <c r="J284" s="100"/>
      <c r="K284" s="100"/>
    </row>
    <row r="285" spans="1:11">
      <c r="A285" s="104">
        <v>2015</v>
      </c>
      <c r="B285" s="100">
        <f t="shared" si="39"/>
        <v>3950.8301886792451</v>
      </c>
      <c r="C285" s="100">
        <f t="shared" si="39"/>
        <v>5899.3975903614455</v>
      </c>
      <c r="D285" s="100">
        <f t="shared" si="39"/>
        <v>7231.130434782609</v>
      </c>
      <c r="E285" s="100">
        <f t="shared" si="39"/>
        <v>7310.1111111111113</v>
      </c>
      <c r="F285" s="100">
        <f t="shared" si="39"/>
        <v>9313.7878787878781</v>
      </c>
      <c r="G285" s="100"/>
      <c r="H285" s="100"/>
      <c r="I285" s="100"/>
      <c r="J285" s="100"/>
      <c r="K285" s="100"/>
    </row>
    <row r="286" spans="1:11">
      <c r="A286" s="104">
        <v>2016</v>
      </c>
      <c r="B286" s="100">
        <f t="shared" si="39"/>
        <v>4073.6486486486488</v>
      </c>
      <c r="C286" s="100">
        <f t="shared" si="39"/>
        <v>6254.5255474452551</v>
      </c>
      <c r="D286" s="100">
        <f t="shared" si="39"/>
        <v>7737.3684210526317</v>
      </c>
      <c r="E286" s="100">
        <f t="shared" si="39"/>
        <v>8196.3513513513517</v>
      </c>
      <c r="F286" s="100"/>
      <c r="G286" s="100"/>
      <c r="H286" s="100"/>
      <c r="I286" s="100"/>
      <c r="J286" s="100"/>
      <c r="K286" s="100"/>
    </row>
    <row r="287" spans="1:11">
      <c r="A287" s="104">
        <v>2017</v>
      </c>
      <c r="B287" s="100">
        <f t="shared" si="39"/>
        <v>4328.7203791469192</v>
      </c>
      <c r="C287" s="100">
        <f t="shared" si="39"/>
        <v>6780.2290076335876</v>
      </c>
      <c r="D287" s="100">
        <f t="shared" si="39"/>
        <v>9570.113636363636</v>
      </c>
      <c r="E287" s="100"/>
      <c r="F287" s="100"/>
      <c r="G287" s="100"/>
      <c r="H287" s="100"/>
      <c r="I287" s="100"/>
      <c r="J287" s="100"/>
      <c r="K287" s="100"/>
    </row>
    <row r="288" spans="1:11">
      <c r="A288" s="104">
        <v>2018</v>
      </c>
      <c r="B288" s="100">
        <f t="shared" si="39"/>
        <v>4706.3414634146338</v>
      </c>
      <c r="C288" s="100">
        <f t="shared" si="39"/>
        <v>8270.7692307692305</v>
      </c>
      <c r="D288" s="100"/>
      <c r="E288" s="100"/>
      <c r="F288" s="100"/>
      <c r="G288" s="100"/>
      <c r="H288" s="100"/>
      <c r="I288" s="100"/>
      <c r="J288" s="100"/>
      <c r="K288" s="100"/>
    </row>
    <row r="289" spans="1:11">
      <c r="A289" s="105">
        <v>2019</v>
      </c>
      <c r="B289" s="100">
        <f t="shared" si="39"/>
        <v>5367.8894472361808</v>
      </c>
      <c r="C289" s="100"/>
      <c r="D289" s="100"/>
      <c r="E289" s="100"/>
      <c r="F289" s="100"/>
      <c r="G289" s="100"/>
      <c r="H289" s="100"/>
      <c r="I289" s="100"/>
      <c r="J289" s="100"/>
      <c r="K289" s="100"/>
    </row>
    <row r="291" spans="1:11">
      <c r="A291" t="s">
        <v>244</v>
      </c>
    </row>
    <row r="292" spans="1:11">
      <c r="A292" t="s">
        <v>245</v>
      </c>
    </row>
  </sheetData>
  <mergeCells count="9">
    <mergeCell ref="A227:K227"/>
    <mergeCell ref="A251:K251"/>
    <mergeCell ref="A264:K264"/>
    <mergeCell ref="A278:K278"/>
    <mergeCell ref="A40:K40"/>
    <mergeCell ref="A78:K78"/>
    <mergeCell ref="A172:K172"/>
    <mergeCell ref="A201:K201"/>
    <mergeCell ref="A214:K214"/>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22"/>
  <sheetViews>
    <sheetView workbookViewId="0">
      <selection activeCell="C109" sqref="C109:C118"/>
    </sheetView>
  </sheetViews>
  <sheetFormatPr defaultRowHeight="13.5"/>
  <sheetData>
    <row r="1" spans="1:11">
      <c r="A1" s="93" t="s">
        <v>225</v>
      </c>
    </row>
    <row r="3" spans="1:11">
      <c r="A3" t="s">
        <v>56</v>
      </c>
    </row>
    <row r="4" spans="1:11">
      <c r="A4" s="50" t="s">
        <v>11</v>
      </c>
      <c r="B4" s="51"/>
      <c r="C4" s="51"/>
      <c r="D4" s="51"/>
      <c r="E4" s="51"/>
      <c r="F4" s="51"/>
      <c r="G4" s="51"/>
      <c r="H4" s="51"/>
      <c r="I4" s="51"/>
      <c r="J4" s="51"/>
      <c r="K4" s="52"/>
    </row>
    <row r="5" spans="1:11">
      <c r="A5" s="106" t="s">
        <v>12</v>
      </c>
      <c r="B5" s="101">
        <v>12</v>
      </c>
      <c r="C5" s="101">
        <v>24</v>
      </c>
      <c r="D5" s="101">
        <v>36</v>
      </c>
      <c r="E5" s="101">
        <v>48</v>
      </c>
      <c r="F5" s="101">
        <v>60</v>
      </c>
      <c r="G5" s="101">
        <v>72</v>
      </c>
      <c r="H5" s="101">
        <v>84</v>
      </c>
      <c r="I5" s="101">
        <v>96</v>
      </c>
      <c r="J5" s="101">
        <v>108</v>
      </c>
      <c r="K5" s="102">
        <v>120</v>
      </c>
    </row>
    <row r="6" spans="1:11">
      <c r="A6" s="103">
        <v>2010</v>
      </c>
      <c r="B6" s="57">
        <v>989300</v>
      </c>
      <c r="C6" s="57">
        <v>1257600</v>
      </c>
      <c r="D6" s="57">
        <v>1454100</v>
      </c>
      <c r="E6" s="57">
        <v>1579340</v>
      </c>
      <c r="F6" s="57">
        <v>1689500</v>
      </c>
      <c r="G6" s="57">
        <v>1791040</v>
      </c>
      <c r="H6" s="57">
        <v>1906100</v>
      </c>
      <c r="I6" s="57">
        <v>1994320</v>
      </c>
      <c r="J6" s="57">
        <v>2069480</v>
      </c>
      <c r="K6" s="58">
        <v>2079680</v>
      </c>
    </row>
    <row r="7" spans="1:11">
      <c r="A7" s="104">
        <v>2011</v>
      </c>
      <c r="B7" s="60">
        <v>1250960</v>
      </c>
      <c r="C7" s="60">
        <v>1610990</v>
      </c>
      <c r="D7" s="60">
        <v>1772960</v>
      </c>
      <c r="E7" s="60">
        <v>1946060</v>
      </c>
      <c r="F7" s="60">
        <v>2091270</v>
      </c>
      <c r="G7" s="60">
        <v>2230490</v>
      </c>
      <c r="H7" s="60">
        <v>2365870</v>
      </c>
      <c r="I7" s="60">
        <v>2476300</v>
      </c>
      <c r="J7" s="60">
        <v>2563020</v>
      </c>
      <c r="K7" s="61"/>
    </row>
    <row r="8" spans="1:11">
      <c r="A8" s="104">
        <v>2012</v>
      </c>
      <c r="B8" s="60">
        <v>1378380</v>
      </c>
      <c r="C8" s="60">
        <v>1821980</v>
      </c>
      <c r="D8" s="60">
        <v>2068220</v>
      </c>
      <c r="E8" s="60">
        <v>2214200</v>
      </c>
      <c r="F8" s="60">
        <v>2400460</v>
      </c>
      <c r="G8" s="60">
        <v>2533760</v>
      </c>
      <c r="H8" s="60">
        <v>2659220</v>
      </c>
      <c r="I8" s="60">
        <v>2786580</v>
      </c>
      <c r="J8" s="60"/>
      <c r="K8" s="61"/>
    </row>
    <row r="9" spans="1:11">
      <c r="A9" s="104">
        <v>2013</v>
      </c>
      <c r="B9" s="60">
        <v>1458130</v>
      </c>
      <c r="C9" s="60">
        <v>1928320</v>
      </c>
      <c r="D9" s="60">
        <v>2196870</v>
      </c>
      <c r="E9" s="60">
        <v>2367610</v>
      </c>
      <c r="F9" s="60">
        <v>2541060</v>
      </c>
      <c r="G9" s="60">
        <v>2727240</v>
      </c>
      <c r="H9" s="60">
        <v>2880060</v>
      </c>
      <c r="I9" s="60"/>
      <c r="J9" s="60"/>
      <c r="K9" s="61"/>
    </row>
    <row r="10" spans="1:11">
      <c r="A10" s="104">
        <v>2014</v>
      </c>
      <c r="B10" s="60">
        <v>1440950</v>
      </c>
      <c r="C10" s="60">
        <v>1782650</v>
      </c>
      <c r="D10" s="60">
        <v>2048350</v>
      </c>
      <c r="E10" s="60">
        <v>2139110</v>
      </c>
      <c r="F10" s="60">
        <v>2347290</v>
      </c>
      <c r="G10" s="60">
        <v>2507180</v>
      </c>
      <c r="H10" s="60"/>
      <c r="I10" s="60"/>
      <c r="J10" s="60"/>
      <c r="K10" s="61"/>
    </row>
    <row r="11" spans="1:11">
      <c r="A11" s="104">
        <v>2015</v>
      </c>
      <c r="B11" s="60">
        <v>1411530</v>
      </c>
      <c r="C11" s="60">
        <v>1762360</v>
      </c>
      <c r="D11" s="60">
        <v>2040070</v>
      </c>
      <c r="E11" s="60">
        <v>2119120</v>
      </c>
      <c r="F11" s="60">
        <v>2400750</v>
      </c>
      <c r="G11" s="60"/>
      <c r="H11" s="60"/>
      <c r="I11" s="60"/>
      <c r="J11" s="60"/>
      <c r="K11" s="61"/>
    </row>
    <row r="12" spans="1:11">
      <c r="A12" s="104">
        <v>2016</v>
      </c>
      <c r="B12" s="60">
        <v>1226980</v>
      </c>
      <c r="C12" s="60">
        <v>1542120</v>
      </c>
      <c r="D12" s="60">
        <v>1776670</v>
      </c>
      <c r="E12" s="60">
        <v>1874570</v>
      </c>
      <c r="F12" s="60"/>
      <c r="G12" s="60"/>
      <c r="H12" s="60"/>
      <c r="I12" s="60"/>
      <c r="J12" s="60"/>
      <c r="K12" s="61"/>
    </row>
    <row r="13" spans="1:11">
      <c r="A13" s="104">
        <v>2017</v>
      </c>
      <c r="B13" s="60">
        <v>1234800</v>
      </c>
      <c r="C13" s="60">
        <v>1585370</v>
      </c>
      <c r="D13" s="60">
        <v>1874190</v>
      </c>
      <c r="E13" s="60"/>
      <c r="F13" s="60"/>
      <c r="G13" s="60"/>
      <c r="H13" s="60"/>
      <c r="I13" s="60"/>
      <c r="J13" s="60"/>
      <c r="K13" s="61"/>
    </row>
    <row r="14" spans="1:11">
      <c r="A14" s="104">
        <v>2018</v>
      </c>
      <c r="B14" s="60">
        <v>1036760</v>
      </c>
      <c r="C14" s="60">
        <v>1446260</v>
      </c>
      <c r="D14" s="60"/>
      <c r="E14" s="60"/>
      <c r="F14" s="60"/>
      <c r="G14" s="60"/>
      <c r="H14" s="60"/>
      <c r="I14" s="60"/>
      <c r="J14" s="60"/>
      <c r="K14" s="61"/>
    </row>
    <row r="15" spans="1:11">
      <c r="A15" s="105">
        <v>2019</v>
      </c>
      <c r="B15" s="62">
        <v>1414010</v>
      </c>
      <c r="C15" s="62"/>
      <c r="D15" s="62"/>
      <c r="E15" s="62"/>
      <c r="F15" s="62"/>
      <c r="G15" s="62"/>
      <c r="H15" s="62"/>
      <c r="I15" s="62"/>
      <c r="J15" s="62"/>
      <c r="K15" s="63"/>
    </row>
    <row r="16" spans="1:11">
      <c r="A16" s="100"/>
      <c r="B16" s="43"/>
      <c r="C16" s="43"/>
      <c r="D16" s="43"/>
      <c r="E16" s="43"/>
      <c r="F16" s="43"/>
      <c r="G16" s="43"/>
      <c r="H16" s="43"/>
      <c r="I16" s="43"/>
      <c r="J16" s="43"/>
      <c r="K16" s="43"/>
    </row>
    <row r="17" spans="1:11">
      <c r="A17" s="430" t="s">
        <v>57</v>
      </c>
      <c r="B17" s="431"/>
      <c r="C17" s="431"/>
      <c r="D17" s="431"/>
      <c r="E17" s="431"/>
      <c r="F17" s="431"/>
      <c r="G17" s="431"/>
      <c r="H17" s="431"/>
      <c r="I17" s="431"/>
      <c r="J17" s="431"/>
      <c r="K17" s="432"/>
    </row>
    <row r="18" spans="1:11">
      <c r="A18" s="118" t="s">
        <v>12</v>
      </c>
      <c r="B18" s="108" t="s">
        <v>58</v>
      </c>
      <c r="C18" s="108" t="s">
        <v>61</v>
      </c>
      <c r="D18" s="108" t="s">
        <v>62</v>
      </c>
      <c r="E18" s="108" t="s">
        <v>59</v>
      </c>
      <c r="F18" s="108" t="s">
        <v>60</v>
      </c>
      <c r="G18" s="108" t="s">
        <v>63</v>
      </c>
      <c r="H18" s="108" t="s">
        <v>64</v>
      </c>
      <c r="I18" s="108" t="s">
        <v>65</v>
      </c>
      <c r="J18" s="108" t="s">
        <v>66</v>
      </c>
      <c r="K18" s="109"/>
    </row>
    <row r="19" spans="1:11">
      <c r="A19" s="110">
        <v>2010</v>
      </c>
      <c r="B19" s="113">
        <f>C6/B6</f>
        <v>1.27120185990094</v>
      </c>
      <c r="C19" s="113">
        <f t="shared" ref="C19:J19" si="0">D6/C6</f>
        <v>1.15625</v>
      </c>
      <c r="D19" s="113">
        <f t="shared" si="0"/>
        <v>1.0861288769685715</v>
      </c>
      <c r="E19" s="113">
        <f t="shared" si="0"/>
        <v>1.0697506553370395</v>
      </c>
      <c r="F19" s="113">
        <f t="shared" si="0"/>
        <v>1.0601006214856465</v>
      </c>
      <c r="G19" s="113">
        <f t="shared" si="0"/>
        <v>1.0642420046453458</v>
      </c>
      <c r="H19" s="113">
        <f t="shared" si="0"/>
        <v>1.046282986202193</v>
      </c>
      <c r="I19" s="113">
        <f t="shared" si="0"/>
        <v>1.0376870311685187</v>
      </c>
      <c r="J19" s="113">
        <f t="shared" si="0"/>
        <v>1.0049287743781046</v>
      </c>
      <c r="K19" s="115"/>
    </row>
    <row r="20" spans="1:11">
      <c r="A20" s="111">
        <v>2011</v>
      </c>
      <c r="B20" s="113">
        <f>C7/B7</f>
        <v>1.2878029673210973</v>
      </c>
      <c r="C20" s="113">
        <f t="shared" ref="C20:I20" si="1">D7/C7</f>
        <v>1.1005406613324726</v>
      </c>
      <c r="D20" s="113">
        <f t="shared" si="1"/>
        <v>1.0976333363414854</v>
      </c>
      <c r="E20" s="113">
        <f t="shared" si="1"/>
        <v>1.0746174321449493</v>
      </c>
      <c r="F20" s="113">
        <f t="shared" si="1"/>
        <v>1.066571987356965</v>
      </c>
      <c r="G20" s="113">
        <f t="shared" si="1"/>
        <v>1.0606951835695295</v>
      </c>
      <c r="H20" s="113">
        <f t="shared" si="1"/>
        <v>1.0466762755350041</v>
      </c>
      <c r="I20" s="113">
        <f t="shared" si="1"/>
        <v>1.0350199895004644</v>
      </c>
      <c r="J20" s="113"/>
      <c r="K20" s="115"/>
    </row>
    <row r="21" spans="1:11">
      <c r="A21" s="111">
        <v>2012</v>
      </c>
      <c r="B21" s="113">
        <f t="shared" ref="B21:H26" si="2">C8/B8</f>
        <v>1.3218270723603069</v>
      </c>
      <c r="C21" s="113">
        <f t="shared" si="2"/>
        <v>1.1351496723344932</v>
      </c>
      <c r="D21" s="113">
        <f t="shared" si="2"/>
        <v>1.070582433203431</v>
      </c>
      <c r="E21" s="113">
        <f t="shared" si="2"/>
        <v>1.0841206756390569</v>
      </c>
      <c r="F21" s="113">
        <f t="shared" si="2"/>
        <v>1.0555310232205495</v>
      </c>
      <c r="G21" s="113">
        <f t="shared" si="2"/>
        <v>1.0495153447840364</v>
      </c>
      <c r="H21" s="113">
        <f t="shared" si="2"/>
        <v>1.0478937432781041</v>
      </c>
      <c r="I21" s="113"/>
      <c r="J21" s="113"/>
      <c r="K21" s="115"/>
    </row>
    <row r="22" spans="1:11">
      <c r="A22" s="111">
        <v>2013</v>
      </c>
      <c r="B22" s="113">
        <f t="shared" ref="B22:B27" si="3">C9/B9</f>
        <v>1.322460960271032</v>
      </c>
      <c r="C22" s="113">
        <f t="shared" si="2"/>
        <v>1.1392663043478262</v>
      </c>
      <c r="D22" s="113">
        <f t="shared" si="2"/>
        <v>1.0777196647958232</v>
      </c>
      <c r="E22" s="113">
        <f t="shared" si="2"/>
        <v>1.0732595317640996</v>
      </c>
      <c r="F22" s="113">
        <f>G9/F9</f>
        <v>1.073268635923591</v>
      </c>
      <c r="G22" s="113">
        <f t="shared" si="2"/>
        <v>1.056034672416069</v>
      </c>
      <c r="H22" s="113"/>
      <c r="I22" s="113"/>
      <c r="J22" s="113"/>
      <c r="K22" s="115"/>
    </row>
    <row r="23" spans="1:11">
      <c r="A23" s="111">
        <v>2014</v>
      </c>
      <c r="B23" s="113">
        <f t="shared" si="3"/>
        <v>1.2371352232901904</v>
      </c>
      <c r="C23" s="113">
        <f t="shared" si="2"/>
        <v>1.1490477659663982</v>
      </c>
      <c r="D23" s="113">
        <f t="shared" si="2"/>
        <v>1.0443088339395123</v>
      </c>
      <c r="E23" s="113">
        <f t="shared" si="2"/>
        <v>1.0973208483902184</v>
      </c>
      <c r="F23" s="113">
        <f t="shared" si="2"/>
        <v>1.0681168496436315</v>
      </c>
      <c r="G23" s="113"/>
      <c r="H23" s="113"/>
      <c r="I23" s="113"/>
      <c r="J23" s="113"/>
      <c r="K23" s="115"/>
    </row>
    <row r="24" spans="1:11">
      <c r="A24" s="111">
        <v>2015</v>
      </c>
      <c r="B24" s="113">
        <f t="shared" si="3"/>
        <v>1.2485459040898883</v>
      </c>
      <c r="C24" s="113">
        <f t="shared" si="2"/>
        <v>1.1575784743185273</v>
      </c>
      <c r="D24" s="113">
        <f t="shared" si="2"/>
        <v>1.0387486703887612</v>
      </c>
      <c r="E24" s="113">
        <f t="shared" si="2"/>
        <v>1.1328995054550945</v>
      </c>
      <c r="F24" s="113"/>
      <c r="G24" s="113"/>
      <c r="H24" s="113"/>
      <c r="I24" s="113"/>
      <c r="J24" s="113"/>
      <c r="K24" s="115"/>
    </row>
    <row r="25" spans="1:11">
      <c r="A25" s="111">
        <v>2016</v>
      </c>
      <c r="B25" s="113">
        <f t="shared" si="3"/>
        <v>1.2568420023146261</v>
      </c>
      <c r="C25" s="113">
        <f t="shared" si="2"/>
        <v>1.1520958161491972</v>
      </c>
      <c r="D25" s="113">
        <f t="shared" si="2"/>
        <v>1.0551030861105326</v>
      </c>
      <c r="E25" s="113"/>
      <c r="F25" s="113"/>
      <c r="G25" s="113"/>
      <c r="H25" s="113"/>
      <c r="I25" s="113"/>
      <c r="J25" s="113"/>
      <c r="K25" s="115"/>
    </row>
    <row r="26" spans="1:11">
      <c r="A26" s="111">
        <v>2017</v>
      </c>
      <c r="B26" s="113">
        <f t="shared" si="3"/>
        <v>1.2839083252348558</v>
      </c>
      <c r="C26" s="113">
        <f t="shared" si="2"/>
        <v>1.1821782927644651</v>
      </c>
      <c r="D26" s="113"/>
      <c r="E26" s="113"/>
      <c r="F26" s="113"/>
      <c r="G26" s="113"/>
      <c r="H26" s="113"/>
      <c r="I26" s="113"/>
      <c r="J26" s="113"/>
      <c r="K26" s="115"/>
    </row>
    <row r="27" spans="1:11">
      <c r="A27" s="111">
        <v>2018</v>
      </c>
      <c r="B27" s="113">
        <f t="shared" si="3"/>
        <v>1.3949805162236197</v>
      </c>
      <c r="C27" s="113"/>
      <c r="D27" s="113"/>
      <c r="E27" s="113"/>
      <c r="F27" s="113"/>
      <c r="G27" s="113"/>
      <c r="H27" s="113"/>
      <c r="I27" s="113"/>
      <c r="J27" s="113"/>
      <c r="K27" s="115"/>
    </row>
    <row r="28" spans="1:11">
      <c r="A28" s="116">
        <v>2019</v>
      </c>
      <c r="B28" s="114"/>
      <c r="C28" s="114"/>
      <c r="D28" s="114"/>
      <c r="E28" s="114"/>
      <c r="F28" s="114"/>
      <c r="G28" s="114"/>
      <c r="H28" s="114"/>
      <c r="I28" s="114"/>
      <c r="J28" s="114"/>
      <c r="K28" s="117"/>
    </row>
    <row r="30" spans="1:11">
      <c r="A30" s="118"/>
      <c r="B30" s="119" t="s">
        <v>58</v>
      </c>
      <c r="C30" s="119" t="s">
        <v>61</v>
      </c>
      <c r="D30" s="119" t="s">
        <v>62</v>
      </c>
      <c r="E30" s="119" t="s">
        <v>59</v>
      </c>
      <c r="F30" s="119" t="s">
        <v>60</v>
      </c>
      <c r="G30" s="119" t="s">
        <v>63</v>
      </c>
      <c r="H30" s="119" t="s">
        <v>64</v>
      </c>
      <c r="I30" s="119" t="s">
        <v>65</v>
      </c>
      <c r="J30" s="120" t="s">
        <v>66</v>
      </c>
    </row>
    <row r="31" spans="1:11">
      <c r="A31" s="107" t="s">
        <v>67</v>
      </c>
      <c r="B31" s="113"/>
      <c r="C31" s="113"/>
      <c r="D31" s="113"/>
      <c r="E31" s="113"/>
      <c r="F31" s="113"/>
      <c r="G31" s="113"/>
      <c r="H31" s="113"/>
      <c r="I31" s="113"/>
      <c r="J31" s="115"/>
    </row>
    <row r="32" spans="1:11">
      <c r="A32" s="107" t="s">
        <v>68</v>
      </c>
      <c r="B32" s="113">
        <f>SUM(B23:B27)/5</f>
        <v>1.2842823942306361</v>
      </c>
      <c r="C32" s="113">
        <f>SUM(C22:C26)/5</f>
        <v>1.1560333307092829</v>
      </c>
      <c r="D32" s="113">
        <f>SUM(D21:D25)/5</f>
        <v>1.0572925376876121</v>
      </c>
      <c r="E32" s="113">
        <f>SUM(E20:E24)/5</f>
        <v>1.0924435986786838</v>
      </c>
      <c r="F32" s="113">
        <f>SUM(F19:F23)/5</f>
        <v>1.0647178235260768</v>
      </c>
      <c r="G32" s="113">
        <f>SUM(G19:G22)/4</f>
        <v>1.0576218013537453</v>
      </c>
      <c r="H32" s="113">
        <f>SUM(H19:H21)/3</f>
        <v>1.0469510016717669</v>
      </c>
      <c r="I32" s="113">
        <f>SUM(I19:I20)/2</f>
        <v>1.0363535103344916</v>
      </c>
      <c r="J32" s="115">
        <f>J19</f>
        <v>1.0049287743781046</v>
      </c>
    </row>
    <row r="33" spans="1:11">
      <c r="A33" s="107" t="s">
        <v>69</v>
      </c>
      <c r="B33" s="113">
        <f>SUM(B25:B27)/3</f>
        <v>1.3119102812577006</v>
      </c>
      <c r="C33" s="113">
        <f>SUM(C24:C26)/3</f>
        <v>1.1639508610773965</v>
      </c>
      <c r="D33" s="113">
        <f>SUM(D23:D25)/3</f>
        <v>1.0460535301462688</v>
      </c>
      <c r="E33" s="113">
        <f>SUM(E22:E24)/3</f>
        <v>1.1011599618698042</v>
      </c>
      <c r="F33" s="113">
        <f>SUM(F21:F23)/3</f>
        <v>1.0656388362625906</v>
      </c>
      <c r="G33" s="113">
        <f>SUM(G20:G22)/3</f>
        <v>1.0554150669232116</v>
      </c>
      <c r="H33" s="113">
        <f>H32</f>
        <v>1.0469510016717669</v>
      </c>
      <c r="I33" s="113">
        <f>I32</f>
        <v>1.0363535103344916</v>
      </c>
      <c r="J33" s="115">
        <f>J32</f>
        <v>1.0049287743781046</v>
      </c>
    </row>
    <row r="34" spans="1:11">
      <c r="A34" s="107" t="s">
        <v>70</v>
      </c>
      <c r="B34" s="113"/>
      <c r="C34" s="113"/>
      <c r="D34" s="113"/>
      <c r="E34" s="113"/>
      <c r="F34" s="113"/>
      <c r="G34" s="113"/>
      <c r="H34" s="113"/>
      <c r="I34" s="113"/>
      <c r="J34" s="115"/>
    </row>
    <row r="35" spans="1:11">
      <c r="A35" s="107" t="s">
        <v>68</v>
      </c>
      <c r="B35" s="113">
        <f>SUM(C10:C14)/SUM(B10:B14)</f>
        <v>1.2783395423097392</v>
      </c>
      <c r="C35" s="113" cm="1">
        <f t="array" ref="C35">SUM(D9:D13)/SUM(C9:C13+D35)</f>
        <v>1.1552554163996149</v>
      </c>
      <c r="D35" s="113">
        <f>SUM(E8:E12)/SUM(D8:D12)</f>
        <v>1.0576919659867841</v>
      </c>
      <c r="E35" s="113">
        <f>SUM(F7:F11)/SUM(E7:E11)</f>
        <v>1.0922233244638933</v>
      </c>
      <c r="F35" s="113">
        <f>SUM(G6:G10)/SUM(F6:F10)</f>
        <v>1.0650548620634206</v>
      </c>
      <c r="G35" s="113">
        <f>SUM(H6:H9)/SUM(G6:G9)</f>
        <v>1.0569586093446506</v>
      </c>
      <c r="H35" s="113">
        <f>SUM(I6:I8)/SUM(H6:H8)</f>
        <v>1.0470352132894929</v>
      </c>
      <c r="I35" s="113">
        <f>SUM(J6:J7)/SUM(I6:I7)</f>
        <v>1.036209742720249</v>
      </c>
      <c r="J35" s="115">
        <f>SUM(K6)/SUM(J6)</f>
        <v>1.0049287743781046</v>
      </c>
    </row>
    <row r="36" spans="1:11">
      <c r="A36" s="107" t="s">
        <v>69</v>
      </c>
      <c r="B36" s="113">
        <f>SUM(C12:C14)/SUM(B12:B14)</f>
        <v>1.3073310580985211</v>
      </c>
      <c r="C36" s="113">
        <f>SUM(D11:D13)/SUM(C11:C13)</f>
        <v>1.163825066208575</v>
      </c>
      <c r="D36" s="113">
        <f>SUM(E10:E12)/SUM(D10:D12)</f>
        <v>1.0456446533642281</v>
      </c>
      <c r="E36" s="113">
        <f>SUM(F9:F11)/SUM(E9:E11)</f>
        <v>1.1001020247998745</v>
      </c>
      <c r="F36" s="113">
        <f>SUM(G8:G10)/SUM(F8:F10)</f>
        <v>1.0657679374273716</v>
      </c>
      <c r="G36" s="113">
        <f>SUM(H7:H9)/SUM(G7:G9)</f>
        <v>1.0552173199190014</v>
      </c>
      <c r="H36" s="113">
        <f>H35</f>
        <v>1.0470352132894929</v>
      </c>
      <c r="I36" s="113">
        <f>I35</f>
        <v>1.036209742720249</v>
      </c>
      <c r="J36" s="115">
        <f>J35</f>
        <v>1.0049287743781046</v>
      </c>
    </row>
    <row r="37" spans="1:11">
      <c r="A37" s="107" t="s">
        <v>71</v>
      </c>
      <c r="B37" s="113"/>
      <c r="C37" s="113"/>
      <c r="D37" s="113"/>
      <c r="E37" s="113"/>
      <c r="F37" s="113"/>
      <c r="G37" s="113"/>
      <c r="H37" s="113"/>
      <c r="I37" s="113"/>
      <c r="J37" s="115"/>
    </row>
    <row r="38" spans="1:11">
      <c r="A38" s="121" t="s">
        <v>72</v>
      </c>
      <c r="B38" s="114">
        <f>PRODUCT(B24:B27)^(0.25)</f>
        <v>1.294782554584377</v>
      </c>
      <c r="C38" s="114">
        <f>PRODUCT(C23:C26)^(0.25)</f>
        <v>1.160152355830862</v>
      </c>
      <c r="D38" s="114">
        <f>PRODUCT(D22:D25)^(0.25)</f>
        <v>1.0538651261236016</v>
      </c>
      <c r="E38" s="114">
        <f>PRODUCT(E21:E24)^(0.25)</f>
        <v>1.0966722385678209</v>
      </c>
      <c r="F38" s="114">
        <f>PRODUCT(F20:F23)^(0.25)</f>
        <v>1.0658524674219254</v>
      </c>
      <c r="G38" s="114">
        <f>PRODUCT(G19:G22)^(0.25)</f>
        <v>1.0576074241064335</v>
      </c>
      <c r="H38" s="114">
        <f>PRODUCT(H19:H21)^(1/3)</f>
        <v>1.0469507771864688</v>
      </c>
      <c r="I38" s="114">
        <f>PRODUCT(I19:I20)^(0.5)</f>
        <v>1.0363526523847026</v>
      </c>
      <c r="J38" s="117">
        <f>J35</f>
        <v>1.0049287743781046</v>
      </c>
    </row>
    <row r="40" spans="1:11">
      <c r="A40" t="s">
        <v>73</v>
      </c>
      <c r="B40" s="108" t="s">
        <v>58</v>
      </c>
      <c r="C40" s="108" t="s">
        <v>61</v>
      </c>
      <c r="D40" s="108" t="s">
        <v>62</v>
      </c>
      <c r="E40" s="108" t="s">
        <v>59</v>
      </c>
      <c r="F40" s="108" t="s">
        <v>60</v>
      </c>
      <c r="G40" s="108" t="s">
        <v>63</v>
      </c>
      <c r="H40" s="108" t="s">
        <v>64</v>
      </c>
      <c r="I40" s="108" t="s">
        <v>65</v>
      </c>
      <c r="J40" s="108" t="s">
        <v>66</v>
      </c>
      <c r="K40" s="175" t="s">
        <v>87</v>
      </c>
    </row>
    <row r="41" spans="1:11">
      <c r="B41">
        <f>B32</f>
        <v>1.2842823942306361</v>
      </c>
      <c r="C41">
        <f>C38</f>
        <v>1.160152355830862</v>
      </c>
      <c r="D41">
        <f>D38</f>
        <v>1.0538651261236016</v>
      </c>
      <c r="E41">
        <f>E38</f>
        <v>1.0966722385678209</v>
      </c>
      <c r="F41">
        <f>F33</f>
        <v>1.0656388362625906</v>
      </c>
      <c r="G41">
        <f>G35</f>
        <v>1.0569586093446506</v>
      </c>
      <c r="H41">
        <f>H33</f>
        <v>1.0469510016717669</v>
      </c>
      <c r="I41">
        <f>I33</f>
        <v>1.0363535103344916</v>
      </c>
      <c r="J41">
        <f>J33</f>
        <v>1.0049287743781046</v>
      </c>
      <c r="K41" s="163">
        <v>1</v>
      </c>
    </row>
    <row r="43" spans="1:11">
      <c r="A43" t="s">
        <v>186</v>
      </c>
    </row>
    <row r="44" spans="1:11">
      <c r="A44" t="s">
        <v>74</v>
      </c>
    </row>
    <row r="48" spans="1:11">
      <c r="B48" s="108" t="s">
        <v>58</v>
      </c>
      <c r="C48" s="108" t="s">
        <v>61</v>
      </c>
      <c r="D48" s="108" t="s">
        <v>62</v>
      </c>
      <c r="E48" s="108" t="s">
        <v>59</v>
      </c>
      <c r="F48" s="108" t="s">
        <v>60</v>
      </c>
      <c r="G48" s="108" t="s">
        <v>63</v>
      </c>
      <c r="H48" s="108" t="s">
        <v>64</v>
      </c>
      <c r="I48" s="108" t="s">
        <v>65</v>
      </c>
      <c r="J48" s="108" t="s">
        <v>66</v>
      </c>
      <c r="K48" s="162" t="s">
        <v>87</v>
      </c>
    </row>
    <row r="49" spans="1:13">
      <c r="A49" t="s">
        <v>75</v>
      </c>
      <c r="B49">
        <f>PRODUCT(B41:J41)</f>
        <v>2.1148278441671478</v>
      </c>
      <c r="C49">
        <f>PRODUCT(C41:J41)</f>
        <v>1.6467000199236239</v>
      </c>
      <c r="D49">
        <f>PRODUCT(D41:J41)</f>
        <v>1.4193825592366378</v>
      </c>
      <c r="E49">
        <f>PRODUCT(E41:J41)</f>
        <v>1.3468351158534941</v>
      </c>
      <c r="F49">
        <f>PRODUCT(F41:J41)</f>
        <v>1.2281108871802653</v>
      </c>
      <c r="G49">
        <f>PRODUCT(G41:J41)</f>
        <v>1.1524644611184565</v>
      </c>
      <c r="H49">
        <f>PRODUCT(H41:J41)</f>
        <v>1.0903591218515383</v>
      </c>
      <c r="I49">
        <f>PRODUCT(I41:J41)</f>
        <v>1.0414614629628871</v>
      </c>
      <c r="J49">
        <f>J41</f>
        <v>1.0049287743781046</v>
      </c>
      <c r="K49" s="161">
        <v>1</v>
      </c>
      <c r="M49" s="156"/>
    </row>
    <row r="52" spans="1:13">
      <c r="A52" s="112" t="s">
        <v>76</v>
      </c>
    </row>
    <row r="56" spans="1:13">
      <c r="A56" s="124" t="s">
        <v>13</v>
      </c>
      <c r="B56" s="125"/>
      <c r="C56" s="125"/>
      <c r="D56" s="125"/>
      <c r="E56" s="125"/>
      <c r="F56" s="125"/>
      <c r="G56" s="125"/>
      <c r="H56" s="125"/>
      <c r="I56" s="125"/>
      <c r="J56" s="125"/>
      <c r="K56" s="126"/>
    </row>
    <row r="57" spans="1:13">
      <c r="A57" s="127" t="s">
        <v>12</v>
      </c>
      <c r="B57" s="128">
        <v>12</v>
      </c>
      <c r="C57" s="128">
        <v>24</v>
      </c>
      <c r="D57" s="128">
        <v>36</v>
      </c>
      <c r="E57" s="128">
        <v>48</v>
      </c>
      <c r="F57" s="128">
        <v>60</v>
      </c>
      <c r="G57" s="128">
        <v>72</v>
      </c>
      <c r="H57" s="128">
        <v>84</v>
      </c>
      <c r="I57" s="128">
        <v>96</v>
      </c>
      <c r="J57" s="128">
        <v>108</v>
      </c>
      <c r="K57" s="129">
        <v>120</v>
      </c>
    </row>
    <row r="58" spans="1:13">
      <c r="A58" s="130">
        <v>2010</v>
      </c>
      <c r="B58" s="131">
        <v>265200</v>
      </c>
      <c r="C58" s="131">
        <v>553520</v>
      </c>
      <c r="D58" s="131">
        <v>845000</v>
      </c>
      <c r="E58" s="131">
        <v>1038000</v>
      </c>
      <c r="F58" s="131">
        <v>1269140</v>
      </c>
      <c r="G58" s="131">
        <v>1466000</v>
      </c>
      <c r="H58" s="131">
        <v>1683650</v>
      </c>
      <c r="I58" s="131">
        <v>1839200</v>
      </c>
      <c r="J58" s="131">
        <v>1963500</v>
      </c>
      <c r="K58" s="132">
        <v>2038080</v>
      </c>
    </row>
    <row r="59" spans="1:13">
      <c r="A59" s="133">
        <v>2011</v>
      </c>
      <c r="B59" s="134">
        <v>325960</v>
      </c>
      <c r="C59" s="134">
        <v>702400</v>
      </c>
      <c r="D59" s="134">
        <v>1029530</v>
      </c>
      <c r="E59" s="134">
        <v>1292670</v>
      </c>
      <c r="F59" s="134">
        <v>1556880</v>
      </c>
      <c r="G59" s="134">
        <v>1827440</v>
      </c>
      <c r="H59" s="134">
        <v>2109310</v>
      </c>
      <c r="I59" s="134">
        <v>2285590</v>
      </c>
      <c r="J59" s="134">
        <v>2432700</v>
      </c>
      <c r="K59" s="135"/>
    </row>
    <row r="60" spans="1:13">
      <c r="A60" s="133">
        <v>2012</v>
      </c>
      <c r="B60" s="134">
        <v>358890</v>
      </c>
      <c r="C60" s="134">
        <v>786490</v>
      </c>
      <c r="D60" s="134">
        <v>1213590</v>
      </c>
      <c r="E60" s="134">
        <v>1455800</v>
      </c>
      <c r="F60" s="134">
        <v>1786990</v>
      </c>
      <c r="G60" s="134">
        <v>2074170</v>
      </c>
      <c r="H60" s="134">
        <v>2369920</v>
      </c>
      <c r="I60" s="134">
        <v>2572280</v>
      </c>
      <c r="J60" s="134"/>
      <c r="K60" s="135"/>
    </row>
    <row r="61" spans="1:13">
      <c r="A61" s="133">
        <v>2013</v>
      </c>
      <c r="B61" s="134">
        <v>383460</v>
      </c>
      <c r="C61" s="134">
        <v>840950</v>
      </c>
      <c r="D61" s="134">
        <v>1287910</v>
      </c>
      <c r="E61" s="134">
        <v>1571470</v>
      </c>
      <c r="F61" s="134">
        <v>1926920</v>
      </c>
      <c r="G61" s="134">
        <v>2234350</v>
      </c>
      <c r="H61" s="134">
        <v>2541530</v>
      </c>
      <c r="I61" s="134"/>
      <c r="J61" s="134"/>
      <c r="K61" s="135"/>
    </row>
    <row r="62" spans="1:13">
      <c r="A62" s="133">
        <v>2014</v>
      </c>
      <c r="B62" s="134">
        <v>375550</v>
      </c>
      <c r="C62" s="134">
        <v>784660</v>
      </c>
      <c r="D62" s="134">
        <v>1201110</v>
      </c>
      <c r="E62" s="134">
        <v>1448160</v>
      </c>
      <c r="F62" s="134">
        <v>1779630</v>
      </c>
      <c r="G62" s="134">
        <v>2052790</v>
      </c>
      <c r="H62" s="134"/>
      <c r="I62" s="134"/>
      <c r="J62" s="134"/>
      <c r="K62" s="135"/>
    </row>
    <row r="63" spans="1:13">
      <c r="A63" s="133">
        <v>2015</v>
      </c>
      <c r="B63" s="134">
        <v>364560</v>
      </c>
      <c r="C63" s="134">
        <v>783060</v>
      </c>
      <c r="D63" s="134">
        <v>1208490</v>
      </c>
      <c r="E63" s="134">
        <v>1461210</v>
      </c>
      <c r="F63" s="134">
        <v>1786040</v>
      </c>
      <c r="G63" s="134"/>
      <c r="H63" s="134"/>
      <c r="I63" s="134"/>
      <c r="J63" s="134"/>
      <c r="K63" s="135"/>
    </row>
    <row r="64" spans="1:13">
      <c r="A64" s="133">
        <v>2016</v>
      </c>
      <c r="B64" s="134">
        <v>322630</v>
      </c>
      <c r="C64" s="134">
        <v>685250</v>
      </c>
      <c r="D64" s="134">
        <v>1041620</v>
      </c>
      <c r="E64" s="134">
        <v>1268040</v>
      </c>
      <c r="F64" s="134"/>
      <c r="G64" s="134"/>
      <c r="H64" s="134"/>
      <c r="I64" s="134"/>
      <c r="J64" s="134"/>
      <c r="K64" s="135"/>
    </row>
    <row r="65" spans="1:11">
      <c r="A65" s="133">
        <v>2017</v>
      </c>
      <c r="B65" s="134">
        <v>321440</v>
      </c>
      <c r="C65" s="134">
        <v>697160</v>
      </c>
      <c r="D65" s="134">
        <v>1032020</v>
      </c>
      <c r="E65" s="134"/>
      <c r="F65" s="134"/>
      <c r="G65" s="134"/>
      <c r="H65" s="134"/>
      <c r="I65" s="134"/>
      <c r="J65" s="134"/>
      <c r="K65" s="135"/>
    </row>
    <row r="66" spans="1:11">
      <c r="A66" s="133">
        <v>2018</v>
      </c>
      <c r="B66" s="134">
        <v>264920</v>
      </c>
      <c r="C66" s="134">
        <v>586100</v>
      </c>
      <c r="D66" s="134"/>
      <c r="E66" s="134"/>
      <c r="F66" s="134"/>
      <c r="G66" s="134"/>
      <c r="H66" s="134"/>
      <c r="I66" s="134"/>
      <c r="J66" s="134"/>
      <c r="K66" s="135"/>
    </row>
    <row r="67" spans="1:11">
      <c r="A67" s="123">
        <v>2019</v>
      </c>
      <c r="B67" s="136">
        <v>345800</v>
      </c>
      <c r="C67" s="136"/>
      <c r="D67" s="136"/>
      <c r="E67" s="136"/>
      <c r="F67" s="136"/>
      <c r="G67" s="136"/>
      <c r="H67" s="136"/>
      <c r="I67" s="136"/>
      <c r="J67" s="136"/>
      <c r="K67" s="137"/>
    </row>
    <row r="69" spans="1:11">
      <c r="A69" s="430" t="s">
        <v>77</v>
      </c>
      <c r="B69" s="431"/>
      <c r="C69" s="431"/>
      <c r="D69" s="431"/>
      <c r="E69" s="431"/>
      <c r="F69" s="431"/>
      <c r="G69" s="431"/>
      <c r="H69" s="431"/>
      <c r="I69" s="431"/>
      <c r="J69" s="431"/>
      <c r="K69" s="432"/>
    </row>
    <row r="70" spans="1:11">
      <c r="A70" s="144" t="s">
        <v>12</v>
      </c>
      <c r="B70" s="128" t="s">
        <v>58</v>
      </c>
      <c r="C70" s="128" t="s">
        <v>61</v>
      </c>
      <c r="D70" s="128" t="s">
        <v>62</v>
      </c>
      <c r="E70" s="128" t="s">
        <v>59</v>
      </c>
      <c r="F70" s="128" t="s">
        <v>60</v>
      </c>
      <c r="G70" s="128" t="s">
        <v>63</v>
      </c>
      <c r="H70" s="128" t="s">
        <v>64</v>
      </c>
      <c r="I70" s="128" t="s">
        <v>65</v>
      </c>
      <c r="J70" s="128" t="s">
        <v>66</v>
      </c>
      <c r="K70" s="129"/>
    </row>
    <row r="71" spans="1:11">
      <c r="A71" s="130">
        <v>2010</v>
      </c>
      <c r="B71" s="139">
        <f>C58/B58</f>
        <v>2.0871794871794873</v>
      </c>
      <c r="C71" s="139">
        <f t="shared" ref="C71:J71" si="4">D58/C58</f>
        <v>1.5265934383581443</v>
      </c>
      <c r="D71" s="139">
        <f t="shared" si="4"/>
        <v>1.2284023668639052</v>
      </c>
      <c r="E71" s="139">
        <f t="shared" si="4"/>
        <v>1.2226782273603083</v>
      </c>
      <c r="F71" s="139">
        <f t="shared" si="4"/>
        <v>1.1551129111051579</v>
      </c>
      <c r="G71" s="139">
        <f t="shared" si="4"/>
        <v>1.1484652114597544</v>
      </c>
      <c r="H71" s="139">
        <f t="shared" si="4"/>
        <v>1.0923885605678141</v>
      </c>
      <c r="I71" s="139">
        <f t="shared" si="4"/>
        <v>1.0675837320574162</v>
      </c>
      <c r="J71" s="139">
        <f t="shared" si="4"/>
        <v>1.0379831932773109</v>
      </c>
      <c r="K71" s="141"/>
    </row>
    <row r="72" spans="1:11">
      <c r="A72" s="133">
        <v>2011</v>
      </c>
      <c r="B72" s="139">
        <f>C59/B59</f>
        <v>2.1548656276843783</v>
      </c>
      <c r="C72" s="139">
        <f t="shared" ref="C72:I72" si="5">D59/C59</f>
        <v>1.4657317767653759</v>
      </c>
      <c r="D72" s="139">
        <f t="shared" si="5"/>
        <v>1.2555923576777752</v>
      </c>
      <c r="E72" s="139">
        <f t="shared" si="5"/>
        <v>1.2043909118336467</v>
      </c>
      <c r="F72" s="139">
        <f t="shared" si="5"/>
        <v>1.1737834643646268</v>
      </c>
      <c r="G72" s="139">
        <f t="shared" si="5"/>
        <v>1.1542430941645143</v>
      </c>
      <c r="H72" s="139">
        <f t="shared" si="5"/>
        <v>1.0835723530443604</v>
      </c>
      <c r="I72" s="139">
        <f t="shared" si="5"/>
        <v>1.0643641247992859</v>
      </c>
      <c r="J72" s="139"/>
      <c r="K72" s="141"/>
    </row>
    <row r="73" spans="1:11">
      <c r="A73" s="133">
        <v>2012</v>
      </c>
      <c r="B73" s="139">
        <f t="shared" ref="B73:H73" si="6">C60/B60</f>
        <v>2.1914514196550474</v>
      </c>
      <c r="C73" s="139">
        <f t="shared" si="6"/>
        <v>1.5430456839883533</v>
      </c>
      <c r="D73" s="139">
        <f t="shared" si="6"/>
        <v>1.1995814072297892</v>
      </c>
      <c r="E73" s="139">
        <f t="shared" si="6"/>
        <v>1.2274969089160599</v>
      </c>
      <c r="F73" s="139">
        <f t="shared" si="6"/>
        <v>1.1607059916395728</v>
      </c>
      <c r="G73" s="139">
        <f t="shared" si="6"/>
        <v>1.1425871553440654</v>
      </c>
      <c r="H73" s="139">
        <f t="shared" si="6"/>
        <v>1.0853868485012153</v>
      </c>
      <c r="I73" s="139"/>
      <c r="J73" s="139"/>
      <c r="K73" s="141"/>
    </row>
    <row r="74" spans="1:11">
      <c r="A74" s="133">
        <v>2013</v>
      </c>
      <c r="B74" s="139">
        <f t="shared" ref="B74:G74" si="7">C61/B61</f>
        <v>2.1930579460699944</v>
      </c>
      <c r="C74" s="139">
        <f t="shared" si="7"/>
        <v>1.5314941435281526</v>
      </c>
      <c r="D74" s="139">
        <f t="shared" si="7"/>
        <v>1.2201706640991994</v>
      </c>
      <c r="E74" s="139">
        <f t="shared" si="7"/>
        <v>1.2261894913679547</v>
      </c>
      <c r="F74" s="139">
        <f t="shared" si="7"/>
        <v>1.159544765740145</v>
      </c>
      <c r="G74" s="139">
        <f t="shared" si="7"/>
        <v>1.137480699084745</v>
      </c>
      <c r="H74" s="139"/>
      <c r="I74" s="139"/>
      <c r="J74" s="139"/>
      <c r="K74" s="141"/>
    </row>
    <row r="75" spans="1:11">
      <c r="A75" s="133">
        <v>2014</v>
      </c>
      <c r="B75" s="139">
        <f>C62/B62</f>
        <v>2.0893622686726134</v>
      </c>
      <c r="C75" s="139">
        <f>D62/C62</f>
        <v>1.5307394285422986</v>
      </c>
      <c r="D75" s="139">
        <f>E62/D62</f>
        <v>1.2056847416140071</v>
      </c>
      <c r="E75" s="139">
        <f>F62/E62</f>
        <v>1.2288904540934704</v>
      </c>
      <c r="F75" s="139">
        <f>G62/F62</f>
        <v>1.1534925799182976</v>
      </c>
      <c r="G75" s="139"/>
      <c r="H75" s="139"/>
      <c r="I75" s="139"/>
      <c r="J75" s="139"/>
      <c r="K75" s="141"/>
    </row>
    <row r="76" spans="1:11">
      <c r="A76" s="133">
        <v>2015</v>
      </c>
      <c r="B76" s="139">
        <f>C63/B63</f>
        <v>2.1479591836734695</v>
      </c>
      <c r="C76" s="139">
        <f>D63/C63</f>
        <v>1.5432917017853038</v>
      </c>
      <c r="D76" s="139">
        <f>E63/D63</f>
        <v>1.209120472655959</v>
      </c>
      <c r="E76" s="139">
        <f>F63/E63</f>
        <v>1.2223020647271781</v>
      </c>
      <c r="F76" s="139"/>
      <c r="G76" s="139"/>
      <c r="H76" s="139"/>
      <c r="I76" s="139"/>
      <c r="J76" s="139"/>
      <c r="K76" s="141"/>
    </row>
    <row r="77" spans="1:11">
      <c r="A77" s="133">
        <v>2016</v>
      </c>
      <c r="B77" s="139">
        <f>C64/B64</f>
        <v>2.1239500356445462</v>
      </c>
      <c r="C77" s="139">
        <f>D64/C64</f>
        <v>1.5200583728566217</v>
      </c>
      <c r="D77" s="139">
        <f>E64/D64</f>
        <v>1.2173729383076362</v>
      </c>
      <c r="E77" s="139"/>
      <c r="F77" s="139"/>
      <c r="G77" s="139"/>
      <c r="H77" s="139"/>
      <c r="I77" s="139"/>
      <c r="J77" s="139"/>
      <c r="K77" s="141"/>
    </row>
    <row r="78" spans="1:11">
      <c r="A78" s="133">
        <v>2017</v>
      </c>
      <c r="B78" s="139">
        <f>C65/B65</f>
        <v>2.1688651070184171</v>
      </c>
      <c r="C78" s="139">
        <f>D65/C65</f>
        <v>1.4803201560617363</v>
      </c>
      <c r="D78" s="139"/>
      <c r="E78" s="139"/>
      <c r="F78" s="139"/>
      <c r="G78" s="139"/>
      <c r="H78" s="139"/>
      <c r="I78" s="139"/>
      <c r="J78" s="139"/>
      <c r="K78" s="141"/>
    </row>
    <row r="79" spans="1:11">
      <c r="A79" s="133">
        <v>2018</v>
      </c>
      <c r="B79" s="139">
        <f>C66/B66</f>
        <v>2.2123659972821983</v>
      </c>
      <c r="C79" s="139"/>
      <c r="D79" s="139"/>
      <c r="E79" s="139"/>
      <c r="F79" s="139"/>
      <c r="G79" s="139"/>
      <c r="H79" s="139"/>
      <c r="I79" s="139"/>
      <c r="J79" s="139"/>
      <c r="K79" s="141"/>
    </row>
    <row r="80" spans="1:11">
      <c r="A80" s="142">
        <v>2019</v>
      </c>
      <c r="B80" s="140"/>
      <c r="C80" s="140"/>
      <c r="D80" s="140"/>
      <c r="E80" s="140"/>
      <c r="F80" s="140"/>
      <c r="G80" s="140"/>
      <c r="H80" s="140"/>
      <c r="I80" s="140"/>
      <c r="J80" s="140"/>
      <c r="K80" s="143"/>
    </row>
    <row r="82" spans="1:11">
      <c r="A82" s="144"/>
      <c r="B82" s="145" t="s">
        <v>58</v>
      </c>
      <c r="C82" s="145" t="s">
        <v>61</v>
      </c>
      <c r="D82" s="145" t="s">
        <v>62</v>
      </c>
      <c r="E82" s="145" t="s">
        <v>59</v>
      </c>
      <c r="F82" s="145" t="s">
        <v>60</v>
      </c>
      <c r="G82" s="145" t="s">
        <v>63</v>
      </c>
      <c r="H82" s="145" t="s">
        <v>64</v>
      </c>
      <c r="I82" s="145" t="s">
        <v>65</v>
      </c>
      <c r="J82" s="146" t="s">
        <v>66</v>
      </c>
    </row>
    <row r="83" spans="1:11">
      <c r="A83" s="147" t="s">
        <v>67</v>
      </c>
      <c r="B83" s="139"/>
      <c r="C83" s="139"/>
      <c r="D83" s="139"/>
      <c r="E83" s="139"/>
      <c r="F83" s="139"/>
      <c r="G83" s="139"/>
      <c r="H83" s="139"/>
      <c r="I83" s="139"/>
      <c r="J83" s="141"/>
    </row>
    <row r="84" spans="1:11">
      <c r="A84" s="147" t="s">
        <v>68</v>
      </c>
      <c r="B84" s="139">
        <f>SUM(B75:B79)/5</f>
        <v>2.1485005184582491</v>
      </c>
      <c r="C84" s="139">
        <f>SUM(C74:C78)/5</f>
        <v>1.5211807605548227</v>
      </c>
      <c r="D84" s="139">
        <f>SUM(D73:D77)/5</f>
        <v>1.2103860447813184</v>
      </c>
      <c r="E84" s="139">
        <f>SUM(E72:E76)/5</f>
        <v>1.221853966187662</v>
      </c>
      <c r="F84" s="139">
        <f>SUM(F71:F75)/5</f>
        <v>1.16052794255356</v>
      </c>
      <c r="G84" s="139">
        <f>SUM(G71:G74)/4</f>
        <v>1.1456940400132698</v>
      </c>
      <c r="H84" s="139">
        <f>SUM(H71:H73)/3</f>
        <v>1.0871159207044632</v>
      </c>
      <c r="I84" s="139">
        <f>SUM(I71:I72)/2</f>
        <v>1.0659739284283511</v>
      </c>
      <c r="J84" s="141">
        <f>J71</f>
        <v>1.0379831932773109</v>
      </c>
    </row>
    <row r="85" spans="1:11">
      <c r="A85" s="147" t="s">
        <v>69</v>
      </c>
      <c r="B85" s="139">
        <f>SUM(B77:B79)/3</f>
        <v>2.1683937133150537</v>
      </c>
      <c r="C85" s="139">
        <f>SUM(C76:C78)/3</f>
        <v>1.5145567435678871</v>
      </c>
      <c r="D85" s="139">
        <f>SUM(D75:D77)/3</f>
        <v>1.2107260508592008</v>
      </c>
      <c r="E85" s="139">
        <f>SUM(E74:E76)/3</f>
        <v>1.2257940033962011</v>
      </c>
      <c r="F85" s="139">
        <f>SUM(F73:F75)/3</f>
        <v>1.1579144457660051</v>
      </c>
      <c r="G85" s="139">
        <f>SUM(G72:G74)/3</f>
        <v>1.1447703161977749</v>
      </c>
      <c r="H85" s="139">
        <f>H84</f>
        <v>1.0871159207044632</v>
      </c>
      <c r="I85" s="139">
        <f>I84</f>
        <v>1.0659739284283511</v>
      </c>
      <c r="J85" s="141">
        <f>J84</f>
        <v>1.0379831932773109</v>
      </c>
    </row>
    <row r="86" spans="1:11">
      <c r="A86" s="147" t="s">
        <v>70</v>
      </c>
      <c r="B86" s="139"/>
      <c r="C86" s="139"/>
      <c r="D86" s="139"/>
      <c r="E86" s="139"/>
      <c r="F86" s="139"/>
      <c r="G86" s="139"/>
      <c r="H86" s="139"/>
      <c r="I86" s="139"/>
      <c r="J86" s="141"/>
    </row>
    <row r="87" spans="1:11">
      <c r="A87" s="147" t="s">
        <v>68</v>
      </c>
      <c r="B87" s="139">
        <f>SUM(C62:C66)/SUM(B62:B66)</f>
        <v>2.1443393366078469</v>
      </c>
      <c r="C87" s="139" cm="1">
        <f t="array" ref="C87">SUM(D61:D65)/SUM(C61:C65+D87)</f>
        <v>1.522294646301916</v>
      </c>
      <c r="D87" s="139">
        <f>SUM(E60:E64)/SUM(D60:D64)</f>
        <v>1.2103173003265735</v>
      </c>
      <c r="E87" s="139">
        <f>SUM(F59:F63)/SUM(E59:E63)</f>
        <v>1.2223102896403668</v>
      </c>
      <c r="F87" s="139">
        <f>SUM(G58:G62)/SUM(F58:F62)</f>
        <v>1.1604880546567367</v>
      </c>
      <c r="G87" s="139">
        <f>SUM(H58:H61)/SUM(G58:G61)</f>
        <v>1.1450218101647469</v>
      </c>
      <c r="H87" s="139">
        <f>SUM(I58:I60)/SUM(H58:H60)</f>
        <v>1.0866786307700296</v>
      </c>
      <c r="I87" s="139">
        <f>SUM(J58:J59)/SUM(I58:I59)</f>
        <v>1.0657997134399571</v>
      </c>
      <c r="J87" s="141">
        <f>SUM(K58)/SUM(J58)</f>
        <v>1.0379831932773109</v>
      </c>
    </row>
    <row r="88" spans="1:11">
      <c r="A88" s="147" t="s">
        <v>69</v>
      </c>
      <c r="B88" s="139">
        <f>SUM(C64:C66)/SUM(B64:B66)</f>
        <v>2.1656013817533748</v>
      </c>
      <c r="C88" s="139">
        <f>SUM(D63:D65)/SUM(C63:C65)</f>
        <v>1.5156663449505188</v>
      </c>
      <c r="D88" s="139">
        <f>SUM(E62:E64)/SUM(D62:D64)</f>
        <v>1.2104154472911028</v>
      </c>
      <c r="E88" s="139">
        <f>SUM(F61:F63)/SUM(E61:E63)</f>
        <v>1.2257947170619794</v>
      </c>
      <c r="F88" s="139">
        <f>SUM(G60:G62)/SUM(F60:F62)</f>
        <v>1.1579618970645522</v>
      </c>
      <c r="G88" s="139">
        <f>SUM(H59:H61)/SUM(G59:G61)</f>
        <v>1.1441991147269539</v>
      </c>
      <c r="H88" s="139">
        <f>H87</f>
        <v>1.0866786307700296</v>
      </c>
      <c r="I88" s="139">
        <f>I87</f>
        <v>1.0657997134399571</v>
      </c>
      <c r="J88" s="141">
        <f>J87</f>
        <v>1.0379831932773109</v>
      </c>
    </row>
    <row r="89" spans="1:11">
      <c r="A89" s="147" t="s">
        <v>71</v>
      </c>
      <c r="B89" s="139"/>
      <c r="C89" s="139"/>
      <c r="D89" s="139"/>
      <c r="E89" s="139"/>
      <c r="F89" s="139"/>
      <c r="G89" s="139"/>
      <c r="H89" s="139"/>
      <c r="I89" s="139"/>
      <c r="J89" s="141"/>
    </row>
    <row r="90" spans="1:11">
      <c r="A90" s="148" t="s">
        <v>72</v>
      </c>
      <c r="B90" s="140">
        <f>PRODUCT(B76:B79)^(0.25)</f>
        <v>2.1630420352937931</v>
      </c>
      <c r="C90" s="140">
        <f>PRODUCT(C75:C78)^(0.25)</f>
        <v>1.5184178554018291</v>
      </c>
      <c r="D90" s="140">
        <f>PRODUCT(D74:D77)^(0.25)</f>
        <v>1.2130728714998429</v>
      </c>
      <c r="E90" s="140">
        <f>PRODUCT(E73:E76)^(0.25)</f>
        <v>1.2262172695480642</v>
      </c>
      <c r="F90" s="140">
        <f>PRODUCT(F72:F75)^(0.25)</f>
        <v>1.161858219154601</v>
      </c>
      <c r="G90" s="140">
        <f>PRODUCT(G71:G74)^(0.25)</f>
        <v>1.1456768185793893</v>
      </c>
      <c r="H90" s="140">
        <f>PRODUCT(H71:H73)^(1/3)</f>
        <v>1.0871092841653947</v>
      </c>
      <c r="I90" s="140">
        <f>PRODUCT(I71:I72)^(0.5)</f>
        <v>1.0659727128877394</v>
      </c>
      <c r="J90" s="143">
        <f>J87</f>
        <v>1.0379831932773109</v>
      </c>
    </row>
    <row r="93" spans="1:11">
      <c r="A93" s="122" t="s">
        <v>73</v>
      </c>
      <c r="B93" s="128" t="s">
        <v>58</v>
      </c>
      <c r="C93" s="128" t="s">
        <v>61</v>
      </c>
      <c r="D93" s="128" t="s">
        <v>62</v>
      </c>
      <c r="E93" s="128" t="s">
        <v>59</v>
      </c>
      <c r="F93" s="128" t="s">
        <v>60</v>
      </c>
      <c r="G93" s="128" t="s">
        <v>63</v>
      </c>
      <c r="H93" s="128" t="s">
        <v>64</v>
      </c>
      <c r="I93" s="128" t="s">
        <v>65</v>
      </c>
      <c r="J93" s="128" t="s">
        <v>66</v>
      </c>
      <c r="K93" s="160" t="s">
        <v>87</v>
      </c>
    </row>
    <row r="94" spans="1:11">
      <c r="B94" s="140">
        <f>B90</f>
        <v>2.1630420352937931</v>
      </c>
      <c r="C94">
        <f>C84</f>
        <v>1.5211807605548227</v>
      </c>
      <c r="D94">
        <f>D87</f>
        <v>1.2103173003265735</v>
      </c>
      <c r="E94">
        <f>E87</f>
        <v>1.2223102896403668</v>
      </c>
      <c r="F94">
        <f>F84</f>
        <v>1.16052794255356</v>
      </c>
      <c r="G94">
        <f>G87</f>
        <v>1.1450218101647469</v>
      </c>
      <c r="H94">
        <f>H90</f>
        <v>1.0871092841653947</v>
      </c>
      <c r="I94">
        <f>I87</f>
        <v>1.0657997134399571</v>
      </c>
      <c r="J94">
        <f>J90</f>
        <v>1.0379831932773109</v>
      </c>
      <c r="K94" s="156">
        <v>1</v>
      </c>
    </row>
    <row r="96" spans="1:11">
      <c r="A96" t="s">
        <v>78</v>
      </c>
    </row>
    <row r="97" spans="1:15">
      <c r="A97" s="122"/>
      <c r="B97" s="128" t="s">
        <v>58</v>
      </c>
      <c r="C97" s="128" t="s">
        <v>61</v>
      </c>
      <c r="D97" s="128" t="s">
        <v>62</v>
      </c>
      <c r="E97" s="128" t="s">
        <v>59</v>
      </c>
      <c r="F97" s="128" t="s">
        <v>60</v>
      </c>
      <c r="G97" s="128" t="s">
        <v>63</v>
      </c>
      <c r="H97" s="128" t="s">
        <v>64</v>
      </c>
      <c r="I97" s="128" t="s">
        <v>65</v>
      </c>
      <c r="J97" s="128" t="s">
        <v>66</v>
      </c>
      <c r="K97" s="160" t="s">
        <v>87</v>
      </c>
    </row>
    <row r="98" spans="1:15">
      <c r="A98" s="122" t="s">
        <v>75</v>
      </c>
      <c r="B98" s="122">
        <f>PRODUCT(B94:J94)</f>
        <v>7.7792007387500295</v>
      </c>
      <c r="C98" s="122">
        <f>PRODUCT(C94:J94)</f>
        <v>3.596416811055374</v>
      </c>
      <c r="D98" s="122">
        <f>PRODUCT(D94:J94)</f>
        <v>2.364227121662811</v>
      </c>
      <c r="E98" s="122">
        <f>PRODUCT(E94:J94)</f>
        <v>1.9533944702144506</v>
      </c>
      <c r="F98" s="122">
        <f>PRODUCT(F94:J94)</f>
        <v>1.5981166867123293</v>
      </c>
      <c r="G98" s="122">
        <f>PRODUCT(G94:J94)</f>
        <v>1.3770600673310149</v>
      </c>
      <c r="H98" s="122">
        <f>PRODUCT(H94:J94)</f>
        <v>1.2026496396019584</v>
      </c>
      <c r="I98" s="122">
        <f>PRODUCT(I94:J94)</f>
        <v>1.1062821899504496</v>
      </c>
      <c r="J98" s="122">
        <f>J94</f>
        <v>1.0379831932773109</v>
      </c>
      <c r="K98">
        <v>1</v>
      </c>
    </row>
    <row r="100" spans="1:15">
      <c r="A100" t="s">
        <v>187</v>
      </c>
    </row>
    <row r="103" spans="1:15">
      <c r="A103" s="138" t="s">
        <v>79</v>
      </c>
    </row>
    <row r="105" spans="1:15">
      <c r="A105" s="433" t="s">
        <v>80</v>
      </c>
      <c r="B105" s="433"/>
      <c r="C105" s="433"/>
      <c r="D105" s="433"/>
      <c r="E105" s="433"/>
      <c r="F105" s="433"/>
      <c r="G105" s="433"/>
      <c r="H105" s="433"/>
      <c r="I105" s="433"/>
      <c r="J105" s="433"/>
    </row>
    <row r="106" spans="1:15">
      <c r="G106" s="434" t="s">
        <v>85</v>
      </c>
      <c r="H106" s="434"/>
      <c r="I106" s="434"/>
      <c r="L106" s="433" t="s">
        <v>90</v>
      </c>
      <c r="M106" s="433"/>
      <c r="N106" s="433"/>
      <c r="O106" s="433"/>
    </row>
    <row r="107" spans="1:15">
      <c r="C107" t="s">
        <v>82</v>
      </c>
      <c r="E107" t="s">
        <v>75</v>
      </c>
      <c r="F107" s="128"/>
      <c r="G107" s="433" t="s">
        <v>86</v>
      </c>
      <c r="H107" s="433"/>
      <c r="I107" s="433"/>
      <c r="J107" s="434" t="s">
        <v>88</v>
      </c>
      <c r="K107" s="435"/>
      <c r="L107" s="436" t="s">
        <v>91</v>
      </c>
      <c r="M107" s="433"/>
      <c r="N107" s="433" t="s">
        <v>92</v>
      </c>
      <c r="O107" s="433"/>
    </row>
    <row r="108" spans="1:15">
      <c r="A108" s="144" t="s">
        <v>12</v>
      </c>
      <c r="B108" t="s">
        <v>81</v>
      </c>
      <c r="C108" t="s">
        <v>83</v>
      </c>
      <c r="D108" t="s">
        <v>84</v>
      </c>
      <c r="E108" s="156" t="s">
        <v>83</v>
      </c>
      <c r="F108" s="156" t="s">
        <v>84</v>
      </c>
      <c r="G108" s="128"/>
      <c r="H108" s="156" t="s">
        <v>83</v>
      </c>
      <c r="I108" s="156" t="s">
        <v>84</v>
      </c>
      <c r="J108" s="434" t="s">
        <v>89</v>
      </c>
      <c r="K108" s="435"/>
      <c r="L108" s="163" t="s">
        <v>83</v>
      </c>
      <c r="M108" s="163" t="s">
        <v>84</v>
      </c>
      <c r="N108" s="163" t="s">
        <v>83</v>
      </c>
      <c r="O108" s="163" t="s">
        <v>84</v>
      </c>
    </row>
    <row r="109" spans="1:15">
      <c r="A109" s="130">
        <v>2010</v>
      </c>
      <c r="B109" s="128">
        <v>120</v>
      </c>
      <c r="C109" s="132">
        <v>2079680</v>
      </c>
      <c r="D109" s="149">
        <v>2038080</v>
      </c>
      <c r="E109" s="156">
        <v>1</v>
      </c>
      <c r="F109" s="156">
        <v>1</v>
      </c>
      <c r="G109" s="128"/>
      <c r="H109" s="128">
        <f>C109*E109</f>
        <v>2079680</v>
      </c>
      <c r="I109" s="128">
        <f>D109*F109</f>
        <v>2038080</v>
      </c>
      <c r="K109" s="128">
        <f t="shared" ref="K109:K117" si="8">C109-D109</f>
        <v>41600</v>
      </c>
      <c r="L109" s="176">
        <f>H109-C109</f>
        <v>0</v>
      </c>
      <c r="M109" s="176">
        <f>I109-C109</f>
        <v>-41600</v>
      </c>
      <c r="N109" s="176">
        <f>L109+K109</f>
        <v>41600</v>
      </c>
      <c r="O109" s="176">
        <f>M109+K109</f>
        <v>0</v>
      </c>
    </row>
    <row r="110" spans="1:15">
      <c r="A110" s="133">
        <v>2011</v>
      </c>
      <c r="B110" s="128">
        <v>108</v>
      </c>
      <c r="C110" s="134">
        <v>2563020</v>
      </c>
      <c r="D110" s="152">
        <v>2432700</v>
      </c>
      <c r="E110" s="156">
        <f>J49</f>
        <v>1.0049287743781046</v>
      </c>
      <c r="F110" s="156">
        <f>J98</f>
        <v>1.0379831932773109</v>
      </c>
      <c r="G110" s="128"/>
      <c r="H110" s="157">
        <f>C110*E110</f>
        <v>2575652.5473065698</v>
      </c>
      <c r="I110" s="157">
        <f t="shared" ref="I110:I118" si="9">D110*F110</f>
        <v>2525101.7142857141</v>
      </c>
      <c r="K110" s="167">
        <f t="shared" si="8"/>
        <v>130320</v>
      </c>
      <c r="L110" s="176">
        <f t="shared" ref="L110:L118" si="10">H110-C110</f>
        <v>12632.547306569759</v>
      </c>
      <c r="M110" s="176">
        <f t="shared" ref="M110:M117" si="11">I110-C110</f>
        <v>-37918.285714285914</v>
      </c>
      <c r="N110" s="176">
        <f t="shared" ref="N110:N118" si="12">L110+K110</f>
        <v>142952.54730656976</v>
      </c>
      <c r="O110" s="176">
        <f t="shared" ref="O110:O118" si="13">M110+K110</f>
        <v>92401.714285714086</v>
      </c>
    </row>
    <row r="111" spans="1:15">
      <c r="A111" s="133">
        <v>2012</v>
      </c>
      <c r="B111" s="128">
        <v>96</v>
      </c>
      <c r="C111" s="134">
        <v>2786580</v>
      </c>
      <c r="D111" s="153">
        <v>2572280</v>
      </c>
      <c r="E111" s="156">
        <f>I49</f>
        <v>1.0414614629628871</v>
      </c>
      <c r="F111" s="156">
        <f>I98</f>
        <v>1.1062821899504496</v>
      </c>
      <c r="G111" s="128"/>
      <c r="H111" s="157">
        <f>C111*E111</f>
        <v>2902115.6834631218</v>
      </c>
      <c r="I111" s="157">
        <f t="shared" si="9"/>
        <v>2845667.5515657426</v>
      </c>
      <c r="K111" s="167">
        <f t="shared" si="8"/>
        <v>214300</v>
      </c>
      <c r="L111" s="176">
        <f t="shared" si="10"/>
        <v>115535.68346312176</v>
      </c>
      <c r="M111" s="176">
        <f t="shared" si="11"/>
        <v>59087.551565742586</v>
      </c>
      <c r="N111" s="176">
        <f t="shared" si="12"/>
        <v>329835.68346312176</v>
      </c>
      <c r="O111" s="176">
        <f t="shared" si="13"/>
        <v>273387.55156574259</v>
      </c>
    </row>
    <row r="112" spans="1:15">
      <c r="A112" s="133">
        <v>2013</v>
      </c>
      <c r="B112" s="128">
        <v>84</v>
      </c>
      <c r="C112" s="134">
        <v>2880060</v>
      </c>
      <c r="D112" s="154">
        <v>2541530</v>
      </c>
      <c r="E112" s="156">
        <f>H49</f>
        <v>1.0903591218515383</v>
      </c>
      <c r="F112" s="156">
        <f>H98</f>
        <v>1.2026496396019584</v>
      </c>
      <c r="G112" s="128"/>
      <c r="H112" s="157">
        <f>C112*E112</f>
        <v>3140299.6924797413</v>
      </c>
      <c r="I112" s="157">
        <f t="shared" si="9"/>
        <v>3056570.1385375652</v>
      </c>
      <c r="K112" s="167">
        <f t="shared" si="8"/>
        <v>338530</v>
      </c>
      <c r="L112" s="176">
        <f t="shared" si="10"/>
        <v>260239.69247974129</v>
      </c>
      <c r="M112" s="176">
        <f t="shared" si="11"/>
        <v>176510.13853756525</v>
      </c>
      <c r="N112" s="176">
        <f t="shared" si="12"/>
        <v>598769.69247974129</v>
      </c>
      <c r="O112" s="176">
        <f t="shared" si="13"/>
        <v>515040.13853756525</v>
      </c>
    </row>
    <row r="113" spans="1:15">
      <c r="A113" s="133">
        <v>2014</v>
      </c>
      <c r="B113" s="128">
        <v>72</v>
      </c>
      <c r="C113" s="134">
        <v>2507180</v>
      </c>
      <c r="D113" s="154">
        <v>2052790</v>
      </c>
      <c r="E113" s="156">
        <f>G49</f>
        <v>1.1524644611184565</v>
      </c>
      <c r="F113" s="156">
        <f>G98</f>
        <v>1.3770600673310149</v>
      </c>
      <c r="G113" s="128"/>
      <c r="H113" s="157">
        <f t="shared" ref="H113:H118" si="14">C113*E113</f>
        <v>2889435.8476269715</v>
      </c>
      <c r="I113" s="157">
        <f t="shared" si="9"/>
        <v>2826815.1356164343</v>
      </c>
      <c r="K113" s="167">
        <f t="shared" si="8"/>
        <v>454390</v>
      </c>
      <c r="L113" s="176">
        <f t="shared" si="10"/>
        <v>382255.84762697155</v>
      </c>
      <c r="M113" s="176">
        <f t="shared" si="11"/>
        <v>319635.13561643427</v>
      </c>
      <c r="N113" s="176">
        <f t="shared" si="12"/>
        <v>836645.84762697155</v>
      </c>
      <c r="O113" s="176">
        <f t="shared" si="13"/>
        <v>774025.13561643427</v>
      </c>
    </row>
    <row r="114" spans="1:15">
      <c r="A114" s="133">
        <v>2015</v>
      </c>
      <c r="B114" s="128">
        <v>60</v>
      </c>
      <c r="C114" s="150">
        <v>2400750</v>
      </c>
      <c r="D114" s="155">
        <v>1786040</v>
      </c>
      <c r="E114" s="156">
        <f>H49</f>
        <v>1.0903591218515383</v>
      </c>
      <c r="F114" s="156">
        <f>F98</f>
        <v>1.5981166867123293</v>
      </c>
      <c r="G114" s="128"/>
      <c r="H114" s="157">
        <f t="shared" si="14"/>
        <v>2617679.6617850806</v>
      </c>
      <c r="I114" s="157">
        <f t="shared" si="9"/>
        <v>2854300.3271356886</v>
      </c>
      <c r="K114" s="167">
        <f t="shared" si="8"/>
        <v>614710</v>
      </c>
      <c r="L114" s="176">
        <f t="shared" si="10"/>
        <v>216929.66178508056</v>
      </c>
      <c r="M114" s="176">
        <f t="shared" si="11"/>
        <v>453550.32713568863</v>
      </c>
      <c r="N114" s="176">
        <f t="shared" si="12"/>
        <v>831639.66178508056</v>
      </c>
      <c r="O114" s="176">
        <f t="shared" si="13"/>
        <v>1068260.3271356886</v>
      </c>
    </row>
    <row r="115" spans="1:15">
      <c r="A115" s="133">
        <v>2016</v>
      </c>
      <c r="B115" s="128">
        <v>48</v>
      </c>
      <c r="C115" s="150">
        <v>1874570</v>
      </c>
      <c r="D115" s="155">
        <v>1268040</v>
      </c>
      <c r="E115" s="156">
        <f>E49</f>
        <v>1.3468351158534941</v>
      </c>
      <c r="F115" s="156">
        <v>1.9533940000000001</v>
      </c>
      <c r="G115" s="128"/>
      <c r="H115" s="157">
        <f t="shared" si="14"/>
        <v>2524736.7031254843</v>
      </c>
      <c r="I115" s="157">
        <f t="shared" si="9"/>
        <v>2476981.7277600002</v>
      </c>
      <c r="K115" s="167">
        <f t="shared" si="8"/>
        <v>606530</v>
      </c>
      <c r="L115" s="176">
        <f t="shared" si="10"/>
        <v>650166.70312548429</v>
      </c>
      <c r="M115" s="176">
        <f t="shared" si="11"/>
        <v>602411.72776000015</v>
      </c>
      <c r="N115" s="176">
        <f t="shared" si="12"/>
        <v>1256696.7031254843</v>
      </c>
      <c r="O115" s="176">
        <f t="shared" si="13"/>
        <v>1208941.7277600002</v>
      </c>
    </row>
    <row r="116" spans="1:15">
      <c r="A116" s="133">
        <v>2017</v>
      </c>
      <c r="B116" s="128">
        <v>36</v>
      </c>
      <c r="C116" s="150">
        <v>1874190</v>
      </c>
      <c r="D116" s="158">
        <v>1032020</v>
      </c>
      <c r="E116" s="156">
        <f>D49</f>
        <v>1.4193825592366378</v>
      </c>
      <c r="F116" s="156">
        <v>2.3642270000000001</v>
      </c>
      <c r="G116" s="128"/>
      <c r="H116" s="157">
        <f t="shared" si="14"/>
        <v>2660192.598695714</v>
      </c>
      <c r="I116" s="157">
        <f t="shared" si="9"/>
        <v>2439929.5485399999</v>
      </c>
      <c r="K116" s="167">
        <f t="shared" si="8"/>
        <v>842170</v>
      </c>
      <c r="L116" s="176">
        <f t="shared" si="10"/>
        <v>786002.59869571403</v>
      </c>
      <c r="M116" s="176">
        <f t="shared" si="11"/>
        <v>565739.54853999987</v>
      </c>
      <c r="N116" s="176">
        <f t="shared" si="12"/>
        <v>1628172.598695714</v>
      </c>
      <c r="O116" s="176">
        <f t="shared" si="13"/>
        <v>1407909.5485399999</v>
      </c>
    </row>
    <row r="117" spans="1:15">
      <c r="A117" s="133">
        <v>2018</v>
      </c>
      <c r="B117" s="128">
        <f>24</f>
        <v>24</v>
      </c>
      <c r="C117" s="150">
        <v>1446260</v>
      </c>
      <c r="D117" s="158">
        <v>586100</v>
      </c>
      <c r="E117" s="156">
        <f>C49</f>
        <v>1.6467000199236239</v>
      </c>
      <c r="F117">
        <f>C98</f>
        <v>3.596416811055374</v>
      </c>
      <c r="H117" s="157">
        <f t="shared" si="14"/>
        <v>2381556.3708147402</v>
      </c>
      <c r="I117" s="157">
        <f t="shared" si="9"/>
        <v>2107859.8929595547</v>
      </c>
      <c r="K117" s="167">
        <f t="shared" si="8"/>
        <v>860160</v>
      </c>
      <c r="L117" s="176">
        <f>H117-C117</f>
        <v>935296.37081474019</v>
      </c>
      <c r="M117" s="176">
        <f t="shared" si="11"/>
        <v>661599.89295955468</v>
      </c>
      <c r="N117" s="176">
        <f t="shared" si="12"/>
        <v>1795456.3708147402</v>
      </c>
      <c r="O117" s="176">
        <f t="shared" si="13"/>
        <v>1521759.8929595547</v>
      </c>
    </row>
    <row r="118" spans="1:15">
      <c r="A118" s="142">
        <v>2019</v>
      </c>
      <c r="B118" s="128">
        <v>12</v>
      </c>
      <c r="C118" s="151">
        <v>1414010</v>
      </c>
      <c r="D118" s="159">
        <v>345800</v>
      </c>
      <c r="E118" s="156">
        <f>B49</f>
        <v>2.1148278441671478</v>
      </c>
      <c r="F118" s="156">
        <f>B98</f>
        <v>7.7792007387500295</v>
      </c>
      <c r="H118" s="157">
        <f t="shared" si="14"/>
        <v>2990387.7199307885</v>
      </c>
      <c r="I118" s="157">
        <f t="shared" si="9"/>
        <v>2690047.6154597602</v>
      </c>
      <c r="K118" s="167">
        <f>C118-D118</f>
        <v>1068210</v>
      </c>
      <c r="L118" s="176">
        <f t="shared" si="10"/>
        <v>1576377.7199307885</v>
      </c>
      <c r="M118" s="176">
        <f>I118-C118</f>
        <v>1276037.6154597602</v>
      </c>
      <c r="N118" s="176">
        <f t="shared" si="12"/>
        <v>2644587.7199307885</v>
      </c>
      <c r="O118" s="176">
        <f t="shared" si="13"/>
        <v>2344247.6154597602</v>
      </c>
    </row>
    <row r="120" spans="1:15">
      <c r="A120" t="s">
        <v>93</v>
      </c>
    </row>
    <row r="121" spans="1:15">
      <c r="A121" t="s">
        <v>188</v>
      </c>
      <c r="E121" s="156"/>
    </row>
    <row r="122" spans="1:15">
      <c r="A122" t="s">
        <v>189</v>
      </c>
    </row>
  </sheetData>
  <dataConsolidate link="1"/>
  <mergeCells count="10">
    <mergeCell ref="A17:K17"/>
    <mergeCell ref="A69:K69"/>
    <mergeCell ref="A105:J105"/>
    <mergeCell ref="G106:I106"/>
    <mergeCell ref="L106:O106"/>
    <mergeCell ref="N107:O107"/>
    <mergeCell ref="G107:I107"/>
    <mergeCell ref="J107:K107"/>
    <mergeCell ref="J108:K108"/>
    <mergeCell ref="L107:M107"/>
  </mergeCells>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39"/>
  <sheetViews>
    <sheetView topLeftCell="A68" zoomScaleNormal="100" workbookViewId="0">
      <selection activeCell="H328" sqref="H328"/>
    </sheetView>
  </sheetViews>
  <sheetFormatPr defaultRowHeight="13.5"/>
  <sheetData>
    <row r="1" spans="1:11">
      <c r="A1" t="s">
        <v>94</v>
      </c>
    </row>
    <row r="4" spans="1:11">
      <c r="A4" s="164" t="s">
        <v>15</v>
      </c>
      <c r="B4" s="165"/>
      <c r="C4" s="165"/>
      <c r="D4" s="165"/>
      <c r="E4" s="165"/>
      <c r="F4" s="165"/>
      <c r="G4" s="165"/>
      <c r="H4" s="165"/>
      <c r="I4" s="165"/>
      <c r="J4" s="165"/>
      <c r="K4" s="166"/>
    </row>
    <row r="5" spans="1:11">
      <c r="A5" s="183" t="s">
        <v>12</v>
      </c>
      <c r="B5" s="167">
        <v>12</v>
      </c>
      <c r="C5" s="167">
        <v>24</v>
      </c>
      <c r="D5" s="167">
        <v>36</v>
      </c>
      <c r="E5" s="167">
        <v>48</v>
      </c>
      <c r="F5" s="167">
        <v>60</v>
      </c>
      <c r="G5" s="167">
        <v>72</v>
      </c>
      <c r="H5" s="167">
        <v>84</v>
      </c>
      <c r="I5" s="167">
        <v>96</v>
      </c>
      <c r="J5" s="167">
        <v>108</v>
      </c>
      <c r="K5" s="168">
        <v>120</v>
      </c>
    </row>
    <row r="6" spans="1:11">
      <c r="A6" s="186">
        <v>2010</v>
      </c>
      <c r="B6" s="169">
        <v>510</v>
      </c>
      <c r="C6" s="169">
        <v>629</v>
      </c>
      <c r="D6" s="169">
        <v>676</v>
      </c>
      <c r="E6" s="169">
        <v>692</v>
      </c>
      <c r="F6" s="169">
        <v>713</v>
      </c>
      <c r="G6" s="169">
        <v>733</v>
      </c>
      <c r="H6" s="169">
        <v>755</v>
      </c>
      <c r="I6" s="169">
        <v>760</v>
      </c>
      <c r="J6" s="169">
        <v>770</v>
      </c>
      <c r="K6" s="170">
        <v>772</v>
      </c>
    </row>
    <row r="7" spans="1:11">
      <c r="A7" s="189">
        <v>2011</v>
      </c>
      <c r="B7" s="171">
        <v>597</v>
      </c>
      <c r="C7" s="171">
        <v>753</v>
      </c>
      <c r="D7" s="171">
        <v>777</v>
      </c>
      <c r="E7" s="171">
        <v>813</v>
      </c>
      <c r="F7" s="171">
        <v>833</v>
      </c>
      <c r="G7" s="171">
        <v>862</v>
      </c>
      <c r="H7" s="171">
        <v>884</v>
      </c>
      <c r="I7" s="171">
        <v>891</v>
      </c>
      <c r="J7" s="171">
        <v>900</v>
      </c>
      <c r="K7" s="172"/>
    </row>
    <row r="8" spans="1:11">
      <c r="A8" s="189">
        <v>2012</v>
      </c>
      <c r="B8" s="171">
        <v>626</v>
      </c>
      <c r="C8" s="171">
        <v>803</v>
      </c>
      <c r="D8" s="171">
        <v>856</v>
      </c>
      <c r="E8" s="171">
        <v>872</v>
      </c>
      <c r="F8" s="171">
        <v>902</v>
      </c>
      <c r="G8" s="171">
        <v>923</v>
      </c>
      <c r="H8" s="171">
        <v>937</v>
      </c>
      <c r="I8" s="171">
        <v>946</v>
      </c>
      <c r="J8" s="171"/>
      <c r="K8" s="172"/>
    </row>
    <row r="9" spans="1:11">
      <c r="A9" s="189">
        <v>2013</v>
      </c>
      <c r="B9" s="171">
        <v>631</v>
      </c>
      <c r="C9" s="171">
        <v>810</v>
      </c>
      <c r="D9" s="171">
        <v>857</v>
      </c>
      <c r="E9" s="171">
        <v>888</v>
      </c>
      <c r="F9" s="171">
        <v>909</v>
      </c>
      <c r="G9" s="171">
        <v>938</v>
      </c>
      <c r="H9" s="171">
        <v>957</v>
      </c>
      <c r="I9" s="171"/>
      <c r="J9" s="171"/>
      <c r="K9" s="172"/>
    </row>
    <row r="10" spans="1:11">
      <c r="A10" s="189">
        <v>2014</v>
      </c>
      <c r="B10" s="171">
        <v>583</v>
      </c>
      <c r="C10" s="171">
        <v>713</v>
      </c>
      <c r="D10" s="171">
        <v>754</v>
      </c>
      <c r="E10" s="171">
        <v>772</v>
      </c>
      <c r="F10" s="171">
        <v>792</v>
      </c>
      <c r="G10" s="171">
        <v>813</v>
      </c>
      <c r="H10" s="171"/>
      <c r="I10" s="171"/>
      <c r="J10" s="171"/>
      <c r="K10" s="172"/>
    </row>
    <row r="11" spans="1:11">
      <c r="A11" s="189">
        <v>2015</v>
      </c>
      <c r="B11" s="171">
        <v>539</v>
      </c>
      <c r="C11" s="171">
        <v>665</v>
      </c>
      <c r="D11" s="171">
        <v>709</v>
      </c>
      <c r="E11" s="171">
        <v>728</v>
      </c>
      <c r="F11" s="171">
        <v>757</v>
      </c>
      <c r="G11" s="171"/>
      <c r="H11" s="171"/>
      <c r="I11" s="171"/>
      <c r="J11" s="171"/>
      <c r="K11" s="172"/>
    </row>
    <row r="12" spans="1:11">
      <c r="A12" s="189">
        <v>2016</v>
      </c>
      <c r="B12" s="171">
        <v>450</v>
      </c>
      <c r="C12" s="171">
        <v>549</v>
      </c>
      <c r="D12" s="171">
        <v>582</v>
      </c>
      <c r="E12" s="171">
        <v>596</v>
      </c>
      <c r="F12" s="171"/>
      <c r="G12" s="171"/>
      <c r="H12" s="171"/>
      <c r="I12" s="171"/>
      <c r="J12" s="171"/>
      <c r="K12" s="172"/>
    </row>
    <row r="13" spans="1:11">
      <c r="A13" s="189">
        <v>2017</v>
      </c>
      <c r="B13" s="171">
        <v>427</v>
      </c>
      <c r="C13" s="171">
        <v>522</v>
      </c>
      <c r="D13" s="171">
        <v>544</v>
      </c>
      <c r="E13" s="171"/>
      <c r="F13" s="171"/>
      <c r="G13" s="171"/>
      <c r="H13" s="171"/>
      <c r="I13" s="171"/>
      <c r="J13" s="171"/>
      <c r="K13" s="172"/>
    </row>
    <row r="14" spans="1:11">
      <c r="A14" s="189">
        <v>2018</v>
      </c>
      <c r="B14" s="171">
        <v>332</v>
      </c>
      <c r="C14" s="171">
        <v>414</v>
      </c>
      <c r="D14" s="171"/>
      <c r="E14" s="171"/>
      <c r="F14" s="171"/>
      <c r="G14" s="171"/>
      <c r="H14" s="171"/>
      <c r="I14" s="171"/>
      <c r="J14" s="171"/>
      <c r="K14" s="172"/>
    </row>
    <row r="15" spans="1:11">
      <c r="A15" s="179">
        <v>2019</v>
      </c>
      <c r="B15" s="173">
        <v>405</v>
      </c>
      <c r="C15" s="173"/>
      <c r="D15" s="173"/>
      <c r="E15" s="173"/>
      <c r="F15" s="173"/>
      <c r="G15" s="173"/>
      <c r="H15" s="173"/>
      <c r="I15" s="173"/>
      <c r="J15" s="173"/>
      <c r="K15" s="174"/>
    </row>
    <row r="19" spans="1:11">
      <c r="A19" s="430" t="s">
        <v>95</v>
      </c>
      <c r="B19" s="431"/>
      <c r="C19" s="431"/>
      <c r="D19" s="431"/>
      <c r="E19" s="431"/>
      <c r="F19" s="431"/>
      <c r="G19" s="431"/>
      <c r="H19" s="431"/>
      <c r="I19" s="431"/>
      <c r="J19" s="431"/>
      <c r="K19" s="432"/>
    </row>
    <row r="20" spans="1:11">
      <c r="A20" s="183" t="s">
        <v>12</v>
      </c>
      <c r="B20" s="184" t="s">
        <v>58</v>
      </c>
      <c r="C20" s="184" t="s">
        <v>61</v>
      </c>
      <c r="D20" s="184" t="s">
        <v>62</v>
      </c>
      <c r="E20" s="184" t="s">
        <v>59</v>
      </c>
      <c r="F20" s="184" t="s">
        <v>60</v>
      </c>
      <c r="G20" s="184" t="s">
        <v>63</v>
      </c>
      <c r="H20" s="184" t="s">
        <v>64</v>
      </c>
      <c r="I20" s="184" t="s">
        <v>65</v>
      </c>
      <c r="J20" s="184" t="s">
        <v>66</v>
      </c>
      <c r="K20" s="185"/>
    </row>
    <row r="21" spans="1:11">
      <c r="A21" s="186">
        <v>2010</v>
      </c>
      <c r="B21" s="194">
        <f t="shared" ref="B21:J21" si="0">C6/B6</f>
        <v>1.2333333333333334</v>
      </c>
      <c r="C21" s="194">
        <f t="shared" si="0"/>
        <v>1.0747217806041336</v>
      </c>
      <c r="D21" s="194">
        <f t="shared" si="0"/>
        <v>1.0236686390532543</v>
      </c>
      <c r="E21" s="194">
        <f t="shared" si="0"/>
        <v>1.0303468208092486</v>
      </c>
      <c r="F21" s="194">
        <f t="shared" si="0"/>
        <v>1.0280504908835906</v>
      </c>
      <c r="G21" s="194">
        <f t="shared" si="0"/>
        <v>1.0300136425648021</v>
      </c>
      <c r="H21" s="194">
        <f t="shared" si="0"/>
        <v>1.0066225165562914</v>
      </c>
      <c r="I21" s="194">
        <f t="shared" si="0"/>
        <v>1.013157894736842</v>
      </c>
      <c r="J21" s="194">
        <f t="shared" si="0"/>
        <v>1.0025974025974025</v>
      </c>
      <c r="K21" s="196"/>
    </row>
    <row r="22" spans="1:11">
      <c r="A22" s="189">
        <v>2011</v>
      </c>
      <c r="B22" s="194">
        <f t="shared" ref="B22:I22" si="1">C7/B7</f>
        <v>1.2613065326633166</v>
      </c>
      <c r="C22" s="194">
        <f t="shared" si="1"/>
        <v>1.0318725099601593</v>
      </c>
      <c r="D22" s="194">
        <f t="shared" si="1"/>
        <v>1.0463320463320462</v>
      </c>
      <c r="E22" s="194">
        <f t="shared" si="1"/>
        <v>1.0246002460024601</v>
      </c>
      <c r="F22" s="194">
        <f t="shared" si="1"/>
        <v>1.034813925570228</v>
      </c>
      <c r="G22" s="194">
        <f t="shared" si="1"/>
        <v>1.0255220417633411</v>
      </c>
      <c r="H22" s="194">
        <f t="shared" si="1"/>
        <v>1.0079185520361991</v>
      </c>
      <c r="I22" s="194">
        <f t="shared" si="1"/>
        <v>1.0101010101010102</v>
      </c>
      <c r="J22" s="194"/>
      <c r="K22" s="196"/>
    </row>
    <row r="23" spans="1:11">
      <c r="A23" s="189">
        <v>2012</v>
      </c>
      <c r="B23" s="194">
        <f t="shared" ref="B23:H23" si="2">C8/B8</f>
        <v>1.2827476038338659</v>
      </c>
      <c r="C23" s="194">
        <f t="shared" si="2"/>
        <v>1.0660024906600249</v>
      </c>
      <c r="D23" s="194">
        <f t="shared" si="2"/>
        <v>1.0186915887850467</v>
      </c>
      <c r="E23" s="194">
        <f t="shared" si="2"/>
        <v>1.0344036697247707</v>
      </c>
      <c r="F23" s="194">
        <f t="shared" si="2"/>
        <v>1.0232815964523281</v>
      </c>
      <c r="G23" s="194">
        <f t="shared" si="2"/>
        <v>1.0151679306608885</v>
      </c>
      <c r="H23" s="194">
        <f t="shared" si="2"/>
        <v>1.0096051227321239</v>
      </c>
      <c r="I23" s="194"/>
      <c r="J23" s="194"/>
      <c r="K23" s="196"/>
    </row>
    <row r="24" spans="1:11">
      <c r="A24" s="189">
        <v>2013</v>
      </c>
      <c r="B24" s="194">
        <f t="shared" ref="B24:G24" si="3">C9/B9</f>
        <v>1.2836767036450079</v>
      </c>
      <c r="C24" s="194">
        <f t="shared" si="3"/>
        <v>1.0580246913580247</v>
      </c>
      <c r="D24" s="194">
        <f t="shared" si="3"/>
        <v>1.0361726954492416</v>
      </c>
      <c r="E24" s="194">
        <f t="shared" si="3"/>
        <v>1.0236486486486487</v>
      </c>
      <c r="F24" s="194">
        <f t="shared" si="3"/>
        <v>1.0319031903190319</v>
      </c>
      <c r="G24" s="194">
        <f t="shared" si="3"/>
        <v>1.0202558635394456</v>
      </c>
      <c r="H24" s="194"/>
      <c r="I24" s="194"/>
      <c r="J24" s="194"/>
      <c r="K24" s="196"/>
    </row>
    <row r="25" spans="1:11">
      <c r="A25" s="189">
        <v>2014</v>
      </c>
      <c r="B25" s="194">
        <f>C10/B10</f>
        <v>1.222984562607204</v>
      </c>
      <c r="C25" s="194">
        <f>D10/C10</f>
        <v>1.0575035063113605</v>
      </c>
      <c r="D25" s="194">
        <f>E10/D10</f>
        <v>1.0238726790450929</v>
      </c>
      <c r="E25" s="194">
        <f>F10/E10</f>
        <v>1.0259067357512954</v>
      </c>
      <c r="F25" s="194">
        <f>G10/F10</f>
        <v>1.0265151515151516</v>
      </c>
      <c r="G25" s="194"/>
      <c r="H25" s="194"/>
      <c r="I25" s="194"/>
      <c r="J25" s="194"/>
      <c r="K25" s="196"/>
    </row>
    <row r="26" spans="1:11">
      <c r="A26" s="189">
        <v>2015</v>
      </c>
      <c r="B26" s="194">
        <f>C11/B11</f>
        <v>1.2337662337662338</v>
      </c>
      <c r="C26" s="194">
        <f>D11/C11</f>
        <v>1.0661654135338345</v>
      </c>
      <c r="D26" s="194">
        <f>E11/D11</f>
        <v>1.0267983074753173</v>
      </c>
      <c r="E26" s="194">
        <f>F11/E11</f>
        <v>1.0398351648351649</v>
      </c>
      <c r="F26" s="194"/>
      <c r="G26" s="194"/>
      <c r="H26" s="194"/>
      <c r="I26" s="194"/>
      <c r="J26" s="194"/>
      <c r="K26" s="196"/>
    </row>
    <row r="27" spans="1:11">
      <c r="A27" s="189">
        <v>2016</v>
      </c>
      <c r="B27" s="194">
        <f>C12/B12</f>
        <v>1.22</v>
      </c>
      <c r="C27" s="194">
        <f>D12/C12</f>
        <v>1.0601092896174864</v>
      </c>
      <c r="D27" s="194">
        <f>E12/D12</f>
        <v>1.0240549828178693</v>
      </c>
      <c r="E27" s="194"/>
      <c r="F27" s="194"/>
      <c r="G27" s="194"/>
      <c r="H27" s="194"/>
      <c r="I27" s="194"/>
      <c r="J27" s="194"/>
      <c r="K27" s="196"/>
    </row>
    <row r="28" spans="1:11">
      <c r="A28" s="189">
        <v>2017</v>
      </c>
      <c r="B28" s="194">
        <f>C13/B13</f>
        <v>1.2224824355971897</v>
      </c>
      <c r="C28" s="194">
        <f>D13/C13</f>
        <v>1.0421455938697317</v>
      </c>
      <c r="D28" s="194"/>
      <c r="E28" s="194"/>
      <c r="F28" s="194"/>
      <c r="G28" s="194"/>
      <c r="H28" s="194"/>
      <c r="I28" s="194"/>
      <c r="J28" s="194"/>
      <c r="K28" s="196"/>
    </row>
    <row r="29" spans="1:11">
      <c r="A29" s="197">
        <v>2018</v>
      </c>
      <c r="B29" s="195">
        <f>C14/B14</f>
        <v>1.2469879518072289</v>
      </c>
      <c r="C29" s="195"/>
      <c r="D29" s="195"/>
      <c r="E29" s="195"/>
      <c r="F29" s="195"/>
      <c r="G29" s="195"/>
      <c r="H29" s="195"/>
      <c r="I29" s="195"/>
      <c r="J29" s="195"/>
      <c r="K29" s="198"/>
    </row>
    <row r="30" spans="1:11">
      <c r="A30" s="179"/>
      <c r="B30" s="178"/>
    </row>
    <row r="32" spans="1:11">
      <c r="A32" s="199"/>
      <c r="B32" s="200" t="s">
        <v>58</v>
      </c>
      <c r="C32" s="200" t="s">
        <v>61</v>
      </c>
      <c r="D32" s="200" t="s">
        <v>62</v>
      </c>
      <c r="E32" s="200" t="s">
        <v>59</v>
      </c>
      <c r="F32" s="200" t="s">
        <v>60</v>
      </c>
      <c r="G32" s="200" t="s">
        <v>63</v>
      </c>
      <c r="H32" s="200" t="s">
        <v>64</v>
      </c>
      <c r="I32" s="200" t="s">
        <v>65</v>
      </c>
      <c r="J32" s="201" t="s">
        <v>66</v>
      </c>
    </row>
    <row r="33" spans="1:11">
      <c r="A33" s="202" t="s">
        <v>67</v>
      </c>
      <c r="B33" s="194"/>
      <c r="C33" s="194"/>
      <c r="D33" s="194"/>
      <c r="E33" s="194"/>
      <c r="F33" s="194"/>
      <c r="G33" s="194"/>
      <c r="H33" s="194"/>
      <c r="I33" s="194"/>
      <c r="J33" s="196"/>
    </row>
    <row r="34" spans="1:11">
      <c r="A34" s="202" t="s">
        <v>68</v>
      </c>
      <c r="B34" s="194">
        <f>SUM(B25:B29)/5</f>
        <v>1.2292442367555712</v>
      </c>
      <c r="C34" s="194">
        <f>SUM(C24:C28)/5</f>
        <v>1.0567896989380876</v>
      </c>
      <c r="D34" s="194">
        <f>SUM(D23:D27)/5</f>
        <v>1.0259180507145136</v>
      </c>
      <c r="E34" s="194">
        <f>SUM(E22:E26)/5</f>
        <v>1.0296788929924678</v>
      </c>
      <c r="F34" s="194">
        <f>SUM(F21:F25)/5</f>
        <v>1.0289128709480659</v>
      </c>
      <c r="G34" s="194">
        <f>SUM(G21:G24)/4</f>
        <v>1.0227398696321195</v>
      </c>
      <c r="H34" s="194">
        <f>SUM(H21:H23)/3</f>
        <v>1.008048730441538</v>
      </c>
      <c r="I34" s="194">
        <f>SUM(I21:I22)/2</f>
        <v>1.011629452418926</v>
      </c>
      <c r="J34" s="196">
        <f>J21</f>
        <v>1.0025974025974025</v>
      </c>
    </row>
    <row r="35" spans="1:11">
      <c r="A35" s="202" t="s">
        <v>69</v>
      </c>
      <c r="B35" s="194">
        <f>SUM(B27:B29)/3</f>
        <v>1.2298234624681395</v>
      </c>
      <c r="C35" s="194">
        <f>SUM(C26:C28)/3</f>
        <v>1.0561400990070176</v>
      </c>
      <c r="D35" s="194">
        <f>SUM(D25:D27)/3</f>
        <v>1.0249086564460932</v>
      </c>
      <c r="E35" s="194">
        <f>SUM(E24:E26)/3</f>
        <v>1.0297968497450363</v>
      </c>
      <c r="F35" s="194">
        <f>SUM(F23:F25)/3</f>
        <v>1.0272333127621704</v>
      </c>
      <c r="G35" s="194">
        <f>SUM(G22:G24)/3</f>
        <v>1.0203152786545584</v>
      </c>
      <c r="H35" s="194">
        <f>H34</f>
        <v>1.008048730441538</v>
      </c>
      <c r="I35" s="194">
        <f>I34</f>
        <v>1.011629452418926</v>
      </c>
      <c r="J35" s="196">
        <f>J34</f>
        <v>1.0025974025974025</v>
      </c>
    </row>
    <row r="36" spans="1:11">
      <c r="A36" s="202" t="s">
        <v>70</v>
      </c>
      <c r="B36" s="194"/>
      <c r="C36" s="194"/>
      <c r="D36" s="194"/>
      <c r="E36" s="194"/>
      <c r="F36" s="194"/>
      <c r="G36" s="194"/>
      <c r="H36" s="194"/>
      <c r="I36" s="194"/>
      <c r="J36" s="196"/>
    </row>
    <row r="37" spans="1:11">
      <c r="A37" s="202" t="s">
        <v>68</v>
      </c>
      <c r="B37" s="194">
        <f>SUM(C10:C14)/SUM(B10:B14)</f>
        <v>1.2282282282282282</v>
      </c>
      <c r="C37" s="194">
        <f>SUM(D9:D13)/SUM(C9:C13)</f>
        <v>1.0573795642835226</v>
      </c>
      <c r="D37" s="194">
        <f>SUM(E8:E12)/SUM(D8:D12)</f>
        <v>1.0260777009047366</v>
      </c>
      <c r="E37" s="194">
        <f>SUM(F7:F11)/SUM(E7:E11)</f>
        <v>1.0294623127915541</v>
      </c>
      <c r="F37" s="194">
        <f>SUM(G6:G10)/SUM(F6:F10)</f>
        <v>1.0289226319595084</v>
      </c>
      <c r="G37" s="194">
        <f>SUM(H6:H9)/SUM(G6:G9)</f>
        <v>1.0222800925925926</v>
      </c>
      <c r="H37" s="194">
        <f>SUM(I6:I8)/SUM(H6:H8)</f>
        <v>1.0081521739130435</v>
      </c>
      <c r="I37" s="194">
        <f>SUM(J6:J7)/SUM(I6:I7)</f>
        <v>1.0115081768625076</v>
      </c>
      <c r="J37" s="196">
        <f>SUM(K6)/SUM(J6)</f>
        <v>1.0025974025974025</v>
      </c>
    </row>
    <row r="38" spans="1:11">
      <c r="A38" s="202" t="s">
        <v>69</v>
      </c>
      <c r="B38" s="194">
        <f>SUM(C12:C14)/SUM(B12:B14)</f>
        <v>1.2282878411910669</v>
      </c>
      <c r="C38" s="194">
        <f>SUM(D11:D13)/SUM(C11:C13)</f>
        <v>1.0570276497695852</v>
      </c>
      <c r="D38" s="194">
        <f>SUM(E10:E12)/SUM(D10:D12)</f>
        <v>1.0249388753056234</v>
      </c>
      <c r="E38" s="194">
        <f>SUM(F9:F11)/SUM(E9:E11)</f>
        <v>1.0293132328308208</v>
      </c>
      <c r="F38" s="194">
        <f>SUM(G8:G10)/SUM(F8:F10)</f>
        <v>1.0272762197464465</v>
      </c>
      <c r="G38" s="194">
        <f>SUM(H7:H9)/SUM(G7:G9)</f>
        <v>1.0201983106867425</v>
      </c>
      <c r="H38" s="194">
        <f>H37</f>
        <v>1.0081521739130435</v>
      </c>
      <c r="I38" s="194">
        <f>I37</f>
        <v>1.0115081768625076</v>
      </c>
      <c r="J38" s="196">
        <f>J37</f>
        <v>1.0025974025974025</v>
      </c>
    </row>
    <row r="39" spans="1:11">
      <c r="A39" s="202" t="s">
        <v>71</v>
      </c>
      <c r="B39" s="194"/>
      <c r="C39" s="194"/>
      <c r="D39" s="194"/>
      <c r="E39" s="194"/>
      <c r="F39" s="194"/>
      <c r="G39" s="194"/>
      <c r="H39" s="194"/>
      <c r="I39" s="194"/>
      <c r="J39" s="196"/>
    </row>
    <row r="40" spans="1:11">
      <c r="A40" s="203" t="s">
        <v>72</v>
      </c>
      <c r="B40" s="195">
        <f>PRODUCT(B26:B29)^(0.25)</f>
        <v>1.2307629073829776</v>
      </c>
      <c r="C40" s="195">
        <f>PRODUCT(C25:C28)^(0.25)</f>
        <v>1.0564437075795168</v>
      </c>
      <c r="D40" s="195">
        <f>PRODUCT(D24:D27)^(0.25)</f>
        <v>1.0277124775906139</v>
      </c>
      <c r="E40" s="195">
        <f>PRODUCT(E23:E26)^(0.25)</f>
        <v>1.0309280062965429</v>
      </c>
      <c r="F40" s="195">
        <f>PRODUCT(F22:F25)^(0.25)</f>
        <v>1.0291186217483066</v>
      </c>
      <c r="G40" s="195">
        <f>PRODUCT(G21:G24)^(0.25)</f>
        <v>1.0227246919064807</v>
      </c>
      <c r="H40" s="195">
        <f>PRODUCT(H21:H23)^(1/3)</f>
        <v>1.0080479909238176</v>
      </c>
      <c r="I40" s="195">
        <f>PRODUCT(I21:I22)^(0.5)</f>
        <v>1.0116282977781399</v>
      </c>
      <c r="J40" s="198">
        <f>J37</f>
        <v>1.0025974025974025</v>
      </c>
    </row>
    <row r="42" spans="1:11">
      <c r="A42" s="178" t="s">
        <v>73</v>
      </c>
      <c r="B42" s="184" t="s">
        <v>58</v>
      </c>
      <c r="C42" s="184" t="s">
        <v>61</v>
      </c>
      <c r="D42" s="184" t="s">
        <v>62</v>
      </c>
      <c r="E42" s="184" t="s">
        <v>59</v>
      </c>
      <c r="F42" s="184" t="s">
        <v>60</v>
      </c>
      <c r="G42" s="184" t="s">
        <v>63</v>
      </c>
      <c r="H42" s="184" t="s">
        <v>64</v>
      </c>
      <c r="I42" s="184" t="s">
        <v>65</v>
      </c>
      <c r="J42" s="184" t="s">
        <v>66</v>
      </c>
      <c r="K42" s="204" t="s">
        <v>87</v>
      </c>
    </row>
    <row r="43" spans="1:11">
      <c r="A43" s="178"/>
      <c r="B43" s="178">
        <f>B34</f>
        <v>1.2292442367555712</v>
      </c>
      <c r="C43" s="178">
        <f>C40</f>
        <v>1.0564437075795168</v>
      </c>
      <c r="D43" s="178">
        <f>D34</f>
        <v>1.0259180507145136</v>
      </c>
      <c r="E43" s="178">
        <f>E35</f>
        <v>1.0297968497450363</v>
      </c>
      <c r="F43" s="178">
        <f>F38</f>
        <v>1.0272762197464465</v>
      </c>
      <c r="G43" s="178">
        <f>G40</f>
        <v>1.0227246919064807</v>
      </c>
      <c r="H43" s="178">
        <f>H35</f>
        <v>1.008048730441538</v>
      </c>
      <c r="I43" s="178">
        <f>I40</f>
        <v>1.0116282977781399</v>
      </c>
      <c r="J43" s="178">
        <f>J35</f>
        <v>1.0025974025974025</v>
      </c>
      <c r="K43" s="178">
        <v>1</v>
      </c>
    </row>
    <row r="45" spans="1:11">
      <c r="A45" t="s">
        <v>220</v>
      </c>
    </row>
    <row r="46" spans="1:11">
      <c r="A46" t="s">
        <v>221</v>
      </c>
    </row>
    <row r="48" spans="1:11">
      <c r="A48" s="205"/>
      <c r="B48" s="206" t="s">
        <v>58</v>
      </c>
      <c r="C48" s="206" t="s">
        <v>61</v>
      </c>
      <c r="D48" s="206" t="s">
        <v>62</v>
      </c>
      <c r="E48" s="206" t="s">
        <v>59</v>
      </c>
      <c r="F48" s="206" t="s">
        <v>60</v>
      </c>
      <c r="G48" s="206" t="s">
        <v>63</v>
      </c>
      <c r="H48" s="206" t="s">
        <v>64</v>
      </c>
      <c r="I48" s="206" t="s">
        <v>65</v>
      </c>
      <c r="J48" s="206" t="s">
        <v>66</v>
      </c>
      <c r="K48" s="208" t="s">
        <v>87</v>
      </c>
    </row>
    <row r="49" spans="1:11">
      <c r="A49" s="205" t="s">
        <v>75</v>
      </c>
      <c r="B49" s="205">
        <f t="shared" ref="B49:K49" si="4">PRODUCT(B43:J43)</f>
        <v>1.4737500033475031</v>
      </c>
      <c r="C49" s="205">
        <f t="shared" si="4"/>
        <v>1.1989073930802172</v>
      </c>
      <c r="D49" s="205">
        <f t="shared" si="4"/>
        <v>1.1348521312385946</v>
      </c>
      <c r="E49" s="205">
        <f t="shared" si="4"/>
        <v>1.1061820487983542</v>
      </c>
      <c r="F49" s="205">
        <f t="shared" si="4"/>
        <v>1.0741750172106566</v>
      </c>
      <c r="G49" s="205">
        <f t="shared" si="4"/>
        <v>1.0456535414358037</v>
      </c>
      <c r="H49" s="205">
        <f t="shared" si="4"/>
        <v>1.022419376114388</v>
      </c>
      <c r="I49" s="205">
        <f t="shared" si="4"/>
        <v>1.0142559037463947</v>
      </c>
      <c r="J49" s="205">
        <f t="shared" si="4"/>
        <v>1.0025974025974025</v>
      </c>
      <c r="K49" s="205">
        <f t="shared" si="4"/>
        <v>1</v>
      </c>
    </row>
    <row r="55" spans="1:11">
      <c r="A55" s="405" t="s">
        <v>96</v>
      </c>
    </row>
    <row r="59" spans="1:11">
      <c r="A59" s="180" t="s">
        <v>14</v>
      </c>
      <c r="B59" s="181"/>
      <c r="C59" s="181"/>
      <c r="D59" s="181"/>
      <c r="E59" s="181"/>
      <c r="F59" s="181"/>
      <c r="G59" s="181"/>
      <c r="H59" s="181"/>
      <c r="I59" s="181"/>
      <c r="J59" s="181"/>
      <c r="K59" s="182"/>
    </row>
    <row r="60" spans="1:11">
      <c r="A60" s="183" t="s">
        <v>12</v>
      </c>
      <c r="B60" s="184">
        <v>12</v>
      </c>
      <c r="C60" s="184">
        <v>24</v>
      </c>
      <c r="D60" s="184">
        <v>36</v>
      </c>
      <c r="E60" s="184">
        <v>48</v>
      </c>
      <c r="F60" s="184">
        <v>60</v>
      </c>
      <c r="G60" s="184">
        <v>72</v>
      </c>
      <c r="H60" s="184">
        <v>84</v>
      </c>
      <c r="I60" s="184">
        <v>96</v>
      </c>
      <c r="J60" s="184">
        <v>108</v>
      </c>
      <c r="K60" s="185">
        <v>120</v>
      </c>
    </row>
    <row r="61" spans="1:11">
      <c r="A61" s="186">
        <v>2010</v>
      </c>
      <c r="B61" s="187">
        <v>761</v>
      </c>
      <c r="C61" s="187">
        <v>786</v>
      </c>
      <c r="D61" s="187">
        <v>786</v>
      </c>
      <c r="E61" s="187">
        <v>778</v>
      </c>
      <c r="F61" s="187">
        <v>775</v>
      </c>
      <c r="G61" s="187">
        <v>772</v>
      </c>
      <c r="H61" s="187">
        <v>778</v>
      </c>
      <c r="I61" s="187">
        <v>776</v>
      </c>
      <c r="J61" s="187">
        <v>778</v>
      </c>
      <c r="K61" s="188">
        <v>776</v>
      </c>
    </row>
    <row r="62" spans="1:11">
      <c r="A62" s="189">
        <v>2011</v>
      </c>
      <c r="B62" s="190">
        <v>891</v>
      </c>
      <c r="C62" s="190">
        <v>941</v>
      </c>
      <c r="D62" s="190">
        <v>904</v>
      </c>
      <c r="E62" s="190">
        <v>913</v>
      </c>
      <c r="F62" s="190">
        <v>905</v>
      </c>
      <c r="G62" s="190">
        <v>907</v>
      </c>
      <c r="H62" s="190">
        <v>911</v>
      </c>
      <c r="I62" s="190">
        <v>909</v>
      </c>
      <c r="J62" s="190">
        <v>909</v>
      </c>
      <c r="K62" s="191"/>
    </row>
    <row r="63" spans="1:11">
      <c r="A63" s="189">
        <v>2012</v>
      </c>
      <c r="B63" s="190">
        <v>935</v>
      </c>
      <c r="C63" s="190">
        <v>1004</v>
      </c>
      <c r="D63" s="190">
        <v>995</v>
      </c>
      <c r="E63" s="190">
        <v>980</v>
      </c>
      <c r="F63" s="190">
        <v>980</v>
      </c>
      <c r="G63" s="190">
        <v>972</v>
      </c>
      <c r="H63" s="190">
        <v>966</v>
      </c>
      <c r="I63" s="190">
        <v>965</v>
      </c>
      <c r="J63" s="190"/>
      <c r="K63" s="191"/>
    </row>
    <row r="64" spans="1:11">
      <c r="A64" s="189">
        <v>2013</v>
      </c>
      <c r="B64" s="190">
        <v>942</v>
      </c>
      <c r="C64" s="190">
        <v>1012</v>
      </c>
      <c r="D64" s="190">
        <v>997</v>
      </c>
      <c r="E64" s="190">
        <v>998</v>
      </c>
      <c r="F64" s="190">
        <v>988</v>
      </c>
      <c r="G64" s="190">
        <v>987</v>
      </c>
      <c r="H64" s="190">
        <v>987</v>
      </c>
      <c r="I64" s="190"/>
      <c r="J64" s="190"/>
      <c r="K64" s="191"/>
    </row>
    <row r="65" spans="1:11">
      <c r="A65" s="189">
        <v>2014</v>
      </c>
      <c r="B65" s="190">
        <v>870</v>
      </c>
      <c r="C65" s="190">
        <v>891</v>
      </c>
      <c r="D65" s="190">
        <v>877</v>
      </c>
      <c r="E65" s="190">
        <v>867</v>
      </c>
      <c r="F65" s="190">
        <v>861</v>
      </c>
      <c r="G65" s="190">
        <v>856</v>
      </c>
      <c r="H65" s="190"/>
      <c r="I65" s="190"/>
      <c r="J65" s="190"/>
      <c r="K65" s="191"/>
    </row>
    <row r="66" spans="1:11">
      <c r="A66" s="189">
        <v>2015</v>
      </c>
      <c r="B66" s="190">
        <v>804</v>
      </c>
      <c r="C66" s="190">
        <v>831</v>
      </c>
      <c r="D66" s="190">
        <v>824</v>
      </c>
      <c r="E66" s="190">
        <v>818</v>
      </c>
      <c r="F66" s="190">
        <v>823</v>
      </c>
      <c r="G66" s="190"/>
      <c r="H66" s="190"/>
      <c r="I66" s="190"/>
      <c r="J66" s="190"/>
      <c r="K66" s="191"/>
    </row>
    <row r="67" spans="1:11">
      <c r="A67" s="189">
        <v>2016</v>
      </c>
      <c r="B67" s="190">
        <v>672</v>
      </c>
      <c r="C67" s="190">
        <v>686</v>
      </c>
      <c r="D67" s="190">
        <v>677</v>
      </c>
      <c r="E67" s="190">
        <v>670</v>
      </c>
      <c r="F67" s="190"/>
      <c r="G67" s="190"/>
      <c r="H67" s="190"/>
      <c r="I67" s="190"/>
      <c r="J67" s="190"/>
      <c r="K67" s="191"/>
    </row>
    <row r="68" spans="1:11">
      <c r="A68" s="189">
        <v>2017</v>
      </c>
      <c r="B68" s="190">
        <v>638</v>
      </c>
      <c r="C68" s="190">
        <v>653</v>
      </c>
      <c r="D68" s="190">
        <v>632</v>
      </c>
      <c r="E68" s="190"/>
      <c r="F68" s="190"/>
      <c r="G68" s="190"/>
      <c r="H68" s="190"/>
      <c r="I68" s="190"/>
      <c r="J68" s="190"/>
      <c r="K68" s="191"/>
    </row>
    <row r="69" spans="1:11">
      <c r="A69" s="197">
        <v>2018</v>
      </c>
      <c r="B69" s="190">
        <v>496</v>
      </c>
      <c r="C69" s="190">
        <v>518</v>
      </c>
      <c r="D69" s="190"/>
      <c r="E69" s="190"/>
      <c r="F69" s="190"/>
      <c r="G69" s="190"/>
      <c r="H69" s="190"/>
      <c r="I69" s="190"/>
      <c r="J69" s="190"/>
      <c r="K69" s="191"/>
    </row>
    <row r="70" spans="1:11">
      <c r="A70" s="179">
        <f>2019</f>
        <v>2019</v>
      </c>
      <c r="B70" s="192">
        <v>604</v>
      </c>
      <c r="C70" s="192"/>
      <c r="D70" s="192"/>
      <c r="E70" s="192"/>
      <c r="F70" s="192"/>
      <c r="G70" s="192"/>
      <c r="H70" s="192"/>
      <c r="I70" s="192"/>
      <c r="J70" s="192"/>
      <c r="K70" s="193"/>
    </row>
    <row r="71" spans="1:11">
      <c r="A71" s="178"/>
      <c r="B71" s="178"/>
      <c r="C71" s="178"/>
      <c r="D71" s="178"/>
      <c r="E71" s="178"/>
      <c r="F71" s="178"/>
      <c r="G71" s="178"/>
      <c r="H71" s="178"/>
      <c r="I71" s="178"/>
      <c r="J71" s="178"/>
      <c r="K71" s="178"/>
    </row>
    <row r="72" spans="1:11">
      <c r="A72" s="178"/>
      <c r="B72" s="178"/>
      <c r="C72" s="178"/>
      <c r="D72" s="178"/>
      <c r="E72" s="178"/>
      <c r="F72" s="178"/>
      <c r="G72" s="178"/>
      <c r="H72" s="178"/>
      <c r="I72" s="178"/>
      <c r="J72" s="178"/>
      <c r="K72" s="178"/>
    </row>
    <row r="73" spans="1:11">
      <c r="A73" s="178"/>
      <c r="B73" s="178"/>
      <c r="C73" s="178"/>
      <c r="D73" s="178"/>
      <c r="E73" s="178"/>
      <c r="F73" s="178"/>
      <c r="G73" s="178"/>
      <c r="H73" s="178"/>
      <c r="I73" s="178"/>
      <c r="J73" s="178"/>
      <c r="K73" s="178"/>
    </row>
    <row r="74" spans="1:11">
      <c r="A74" s="430" t="s">
        <v>57</v>
      </c>
      <c r="B74" s="431"/>
      <c r="C74" s="431"/>
      <c r="D74" s="431"/>
      <c r="E74" s="431"/>
      <c r="F74" s="431"/>
      <c r="G74" s="431"/>
      <c r="H74" s="431"/>
      <c r="I74" s="431"/>
      <c r="J74" s="431"/>
      <c r="K74" s="432"/>
    </row>
    <row r="75" spans="1:11">
      <c r="A75" s="183" t="s">
        <v>12</v>
      </c>
      <c r="B75" s="184" t="s">
        <v>58</v>
      </c>
      <c r="C75" s="184" t="s">
        <v>61</v>
      </c>
      <c r="D75" s="184" t="s">
        <v>62</v>
      </c>
      <c r="E75" s="184" t="s">
        <v>59</v>
      </c>
      <c r="F75" s="184" t="s">
        <v>60</v>
      </c>
      <c r="G75" s="184" t="s">
        <v>63</v>
      </c>
      <c r="H75" s="184" t="s">
        <v>64</v>
      </c>
      <c r="I75" s="184" t="s">
        <v>65</v>
      </c>
      <c r="J75" s="184" t="s">
        <v>66</v>
      </c>
      <c r="K75" s="185"/>
    </row>
    <row r="76" spans="1:11">
      <c r="A76" s="186">
        <v>2010</v>
      </c>
      <c r="B76" s="194">
        <f t="shared" ref="B76:J76" si="5">C61/B61</f>
        <v>1.0328515111695138</v>
      </c>
      <c r="C76" s="194">
        <f t="shared" si="5"/>
        <v>1</v>
      </c>
      <c r="D76" s="194">
        <f t="shared" si="5"/>
        <v>0.98982188295165396</v>
      </c>
      <c r="E76" s="194">
        <f t="shared" si="5"/>
        <v>0.99614395886889462</v>
      </c>
      <c r="F76" s="194">
        <f t="shared" si="5"/>
        <v>0.99612903225806448</v>
      </c>
      <c r="G76" s="194">
        <f t="shared" si="5"/>
        <v>1.0077720207253886</v>
      </c>
      <c r="H76" s="194">
        <f t="shared" si="5"/>
        <v>0.99742930591259638</v>
      </c>
      <c r="I76" s="194">
        <f t="shared" si="5"/>
        <v>1.0025773195876289</v>
      </c>
      <c r="J76" s="194">
        <f t="shared" si="5"/>
        <v>0.99742930591259638</v>
      </c>
      <c r="K76" s="196"/>
    </row>
    <row r="77" spans="1:11">
      <c r="A77" s="189">
        <v>2011</v>
      </c>
      <c r="B77" s="194">
        <f t="shared" ref="B77:I77" si="6">C62/B62</f>
        <v>1.0561167227833894</v>
      </c>
      <c r="C77" s="194">
        <f t="shared" si="6"/>
        <v>0.96068012752391074</v>
      </c>
      <c r="D77" s="194">
        <f t="shared" si="6"/>
        <v>1.0099557522123894</v>
      </c>
      <c r="E77" s="194">
        <f t="shared" si="6"/>
        <v>0.99123767798466589</v>
      </c>
      <c r="F77" s="194">
        <f t="shared" si="6"/>
        <v>1.0022099447513813</v>
      </c>
      <c r="G77" s="194">
        <f t="shared" si="6"/>
        <v>1.0044101433296582</v>
      </c>
      <c r="H77" s="194">
        <f t="shared" si="6"/>
        <v>0.99780461031833145</v>
      </c>
      <c r="I77" s="194">
        <f t="shared" si="6"/>
        <v>1</v>
      </c>
      <c r="J77" s="194"/>
      <c r="K77" s="196"/>
    </row>
    <row r="78" spans="1:11">
      <c r="A78" s="189">
        <v>2012</v>
      </c>
      <c r="B78" s="194">
        <f t="shared" ref="B78:H78" si="7">C63/B63</f>
        <v>1.0737967914438502</v>
      </c>
      <c r="C78" s="194">
        <f t="shared" si="7"/>
        <v>0.99103585657370519</v>
      </c>
      <c r="D78" s="194">
        <f t="shared" si="7"/>
        <v>0.98492462311557794</v>
      </c>
      <c r="E78" s="194">
        <f t="shared" si="7"/>
        <v>1</v>
      </c>
      <c r="F78" s="194">
        <f t="shared" si="7"/>
        <v>0.99183673469387756</v>
      </c>
      <c r="G78" s="194">
        <f t="shared" si="7"/>
        <v>0.99382716049382713</v>
      </c>
      <c r="H78" s="194">
        <f t="shared" si="7"/>
        <v>0.99896480331262938</v>
      </c>
      <c r="I78" s="194"/>
      <c r="J78" s="194"/>
      <c r="K78" s="196"/>
    </row>
    <row r="79" spans="1:11">
      <c r="A79" s="189">
        <v>2013</v>
      </c>
      <c r="B79" s="194">
        <f t="shared" ref="B79:G79" si="8">C64/B64</f>
        <v>1.0743099787685775</v>
      </c>
      <c r="C79" s="194">
        <f t="shared" si="8"/>
        <v>0.9851778656126482</v>
      </c>
      <c r="D79" s="194">
        <f t="shared" si="8"/>
        <v>1.0010030090270812</v>
      </c>
      <c r="E79" s="194">
        <f t="shared" si="8"/>
        <v>0.98997995991983967</v>
      </c>
      <c r="F79" s="194">
        <f t="shared" si="8"/>
        <v>0.99898785425101211</v>
      </c>
      <c r="G79" s="194">
        <f t="shared" si="8"/>
        <v>1</v>
      </c>
      <c r="H79" s="194"/>
      <c r="I79" s="194"/>
      <c r="J79" s="194"/>
      <c r="K79" s="196"/>
    </row>
    <row r="80" spans="1:11">
      <c r="A80" s="189">
        <v>2014</v>
      </c>
      <c r="B80" s="194">
        <f>C65/B65</f>
        <v>1.0241379310344827</v>
      </c>
      <c r="C80" s="194">
        <f>D65/C65</f>
        <v>0.98428731762065091</v>
      </c>
      <c r="D80" s="194">
        <f>E65/D65</f>
        <v>0.98859749144811859</v>
      </c>
      <c r="E80" s="194">
        <f>F65/E65</f>
        <v>0.99307958477508651</v>
      </c>
      <c r="F80" s="194">
        <f>G65/F65</f>
        <v>0.9941927990708479</v>
      </c>
      <c r="G80" s="194"/>
      <c r="H80" s="194"/>
      <c r="I80" s="194"/>
      <c r="J80" s="194"/>
      <c r="K80" s="196"/>
    </row>
    <row r="81" spans="1:11">
      <c r="A81" s="189">
        <v>2015</v>
      </c>
      <c r="B81" s="194">
        <f>C66/B66</f>
        <v>1.0335820895522387</v>
      </c>
      <c r="C81" s="194">
        <f>D66/C66</f>
        <v>0.99157641395908547</v>
      </c>
      <c r="D81" s="194">
        <f>E66/D66</f>
        <v>0.99271844660194175</v>
      </c>
      <c r="E81" s="194">
        <f>F66/E66</f>
        <v>1.0061124694376529</v>
      </c>
      <c r="F81" s="194"/>
      <c r="G81" s="194"/>
      <c r="H81" s="194"/>
      <c r="I81" s="194"/>
      <c r="J81" s="194"/>
      <c r="K81" s="196"/>
    </row>
    <row r="82" spans="1:11">
      <c r="A82" s="189">
        <v>2016</v>
      </c>
      <c r="B82" s="194">
        <f>C67/B67</f>
        <v>1.0208333333333333</v>
      </c>
      <c r="C82" s="194">
        <f>D67/C67</f>
        <v>0.98688046647230321</v>
      </c>
      <c r="D82" s="194">
        <f>E67/D67</f>
        <v>0.98966026587887745</v>
      </c>
      <c r="E82" s="194"/>
      <c r="F82" s="194"/>
      <c r="G82" s="194"/>
      <c r="H82" s="194"/>
      <c r="I82" s="194"/>
      <c r="J82" s="194"/>
      <c r="K82" s="196"/>
    </row>
    <row r="83" spans="1:11">
      <c r="A83" s="189">
        <v>2017</v>
      </c>
      <c r="B83" s="194">
        <f>C68/B68</f>
        <v>1.0235109717868338</v>
      </c>
      <c r="C83" s="194">
        <f>D68/C68</f>
        <v>0.96784073506891266</v>
      </c>
      <c r="D83" s="194"/>
      <c r="E83" s="194"/>
      <c r="F83" s="194"/>
      <c r="G83" s="194"/>
      <c r="H83" s="194"/>
      <c r="I83" s="194"/>
      <c r="J83" s="194"/>
      <c r="K83" s="196"/>
    </row>
    <row r="84" spans="1:11">
      <c r="A84" s="197">
        <v>2018</v>
      </c>
      <c r="B84" s="195">
        <f>C69/B69</f>
        <v>1.0443548387096775</v>
      </c>
      <c r="C84" s="195"/>
      <c r="D84" s="195"/>
      <c r="E84" s="195"/>
      <c r="F84" s="195"/>
      <c r="G84" s="195"/>
      <c r="H84" s="195"/>
      <c r="I84" s="195"/>
      <c r="J84" s="195"/>
      <c r="K84" s="198"/>
    </row>
    <row r="88" spans="1:11">
      <c r="A88" s="199"/>
      <c r="B88" s="200" t="s">
        <v>58</v>
      </c>
      <c r="C88" s="200" t="s">
        <v>61</v>
      </c>
      <c r="D88" s="200" t="s">
        <v>62</v>
      </c>
      <c r="E88" s="200" t="s">
        <v>59</v>
      </c>
      <c r="F88" s="200" t="s">
        <v>60</v>
      </c>
      <c r="G88" s="200" t="s">
        <v>63</v>
      </c>
      <c r="H88" s="200" t="s">
        <v>64</v>
      </c>
      <c r="I88" s="200" t="s">
        <v>65</v>
      </c>
      <c r="J88" s="201" t="s">
        <v>66</v>
      </c>
    </row>
    <row r="89" spans="1:11">
      <c r="A89" s="202" t="s">
        <v>67</v>
      </c>
      <c r="B89" s="194"/>
      <c r="C89" s="194"/>
      <c r="D89" s="194"/>
      <c r="E89" s="194"/>
      <c r="F89" s="194"/>
      <c r="G89" s="194"/>
      <c r="H89" s="194"/>
      <c r="I89" s="194"/>
      <c r="J89" s="196"/>
    </row>
    <row r="90" spans="1:11">
      <c r="A90" s="202" t="s">
        <v>68</v>
      </c>
      <c r="B90" s="194">
        <f>SUM(B80:B84)/5</f>
        <v>1.0292838328833132</v>
      </c>
      <c r="C90" s="194">
        <f>SUM(C79:C83)/5</f>
        <v>0.98315255974672022</v>
      </c>
      <c r="D90" s="194">
        <f>SUM(D78:D82)/5</f>
        <v>0.99138076721431934</v>
      </c>
      <c r="E90" s="194">
        <f>SUM(E78:E82)/5</f>
        <v>0.79783440282651574</v>
      </c>
      <c r="F90" s="194">
        <f>SUM(F76:F80)/5</f>
        <v>0.99667127300503666</v>
      </c>
      <c r="G90" s="194">
        <f>SUM(G76:G79)/4</f>
        <v>1.0015023311372184</v>
      </c>
      <c r="H90" s="194">
        <f>SUM(H76:H78)/3</f>
        <v>0.99806623984785237</v>
      </c>
      <c r="I90" s="194">
        <f>SUM(I76:I77)/2</f>
        <v>1.0012886597938144</v>
      </c>
      <c r="J90" s="196">
        <f>J76</f>
        <v>0.99742930591259638</v>
      </c>
    </row>
    <row r="91" spans="1:11">
      <c r="A91" s="202" t="s">
        <v>69</v>
      </c>
      <c r="B91" s="194">
        <f>SUM(B82:B84)/3</f>
        <v>1.0295663812766149</v>
      </c>
      <c r="C91" s="194">
        <f>SUM(C81:C83)/3</f>
        <v>0.98209920516676708</v>
      </c>
      <c r="D91" s="194">
        <f>SUM(D80:D82)/3</f>
        <v>0.99032540130964586</v>
      </c>
      <c r="E91" s="194">
        <f>SUM(E79:E81)/3</f>
        <v>0.99639067137752635</v>
      </c>
      <c r="F91" s="194">
        <f>SUM(F78:F80)/3</f>
        <v>0.99500579600524597</v>
      </c>
      <c r="G91" s="194">
        <f>SUM(G76:G79)/3</f>
        <v>1.3353364415162912</v>
      </c>
      <c r="H91" s="194">
        <f>H90</f>
        <v>0.99806623984785237</v>
      </c>
      <c r="I91" s="194">
        <f>I90</f>
        <v>1.0012886597938144</v>
      </c>
      <c r="J91" s="196">
        <f>J90</f>
        <v>0.99742930591259638</v>
      </c>
    </row>
    <row r="92" spans="1:11">
      <c r="A92" s="202" t="s">
        <v>70</v>
      </c>
      <c r="B92" s="194"/>
      <c r="C92" s="194"/>
      <c r="D92" s="194"/>
      <c r="E92" s="194"/>
      <c r="F92" s="194"/>
      <c r="G92" s="194"/>
      <c r="H92" s="194"/>
      <c r="I92" s="194"/>
      <c r="J92" s="196"/>
    </row>
    <row r="93" spans="1:11">
      <c r="A93" s="202" t="s">
        <v>68</v>
      </c>
      <c r="B93" s="194">
        <f>SUM(C65:C69)/SUM(B65:B69)</f>
        <v>1.028448275862069</v>
      </c>
      <c r="C93" s="194">
        <f>SUM(D64:D68)/SUM(C64:C68)</f>
        <v>0.98379572796464521</v>
      </c>
      <c r="D93" s="194">
        <f>SUM(E63:E67)/SUM(D63:D67)</f>
        <v>0.99153318077803199</v>
      </c>
      <c r="E93" s="194">
        <f>SUM(F62:F66)/SUM(E62:E66)</f>
        <v>0.99584790209790208</v>
      </c>
      <c r="F93" s="194">
        <f>SUM(G61:G65)/SUM(F61:F65)</f>
        <v>0.99667332002661346</v>
      </c>
      <c r="G93" s="194">
        <f>SUM(H61:H64)/SUM(G61:G64)</f>
        <v>1.0010995052226499</v>
      </c>
      <c r="H93" s="194">
        <f>SUM(I61:I63)/SUM(H61:H63)</f>
        <v>0.99811676082862522</v>
      </c>
      <c r="I93" s="194">
        <f>SUM(J61:J62)/SUM(I61:I62)</f>
        <v>1.0011869436201781</v>
      </c>
      <c r="J93" s="196">
        <f>SUM(K61)/SUM(J61)</f>
        <v>0.99742930591259638</v>
      </c>
    </row>
    <row r="94" spans="1:11">
      <c r="A94" s="202" t="s">
        <v>69</v>
      </c>
      <c r="B94" s="194">
        <f>SUM(C67:C69)/SUM(B67:B69)</f>
        <v>1.0282392026578073</v>
      </c>
      <c r="C94" s="194">
        <f>SUM(D66:D68)/SUM(C66:C68)</f>
        <v>0.98294930875576036</v>
      </c>
      <c r="D94" s="244">
        <f>SUM(E65:E67)/SUM(D65:D67)</f>
        <v>0.99032800672834309</v>
      </c>
      <c r="E94" s="244">
        <f>SUM(F64:F66)/SUM(E64:E66)</f>
        <v>0.99590011181513227</v>
      </c>
      <c r="F94" s="244">
        <f>SUM(G63:G65)/SUM(F63:F65)</f>
        <v>0.99505125486037471</v>
      </c>
      <c r="G94" s="244">
        <f>SUM(H62:H64)/SUM(G62:G64)</f>
        <v>0.99930216329378929</v>
      </c>
      <c r="H94" s="244">
        <f>H93</f>
        <v>0.99811676082862522</v>
      </c>
      <c r="I94" s="244">
        <f>I93</f>
        <v>1.0011869436201781</v>
      </c>
      <c r="J94" s="246">
        <f>J93</f>
        <v>0.99742930591259638</v>
      </c>
    </row>
    <row r="95" spans="1:11">
      <c r="A95" s="202" t="s">
        <v>71</v>
      </c>
      <c r="B95" s="194"/>
      <c r="C95" s="194"/>
      <c r="D95" s="194"/>
      <c r="E95" s="194"/>
      <c r="F95" s="194"/>
      <c r="G95" s="194"/>
      <c r="H95" s="194"/>
      <c r="I95" s="194"/>
      <c r="J95" s="196"/>
    </row>
    <row r="96" spans="1:11">
      <c r="A96" s="203" t="s">
        <v>72</v>
      </c>
      <c r="B96" s="195">
        <f>PRODUCT(B81:B84)^(0.25)</f>
        <v>1.0305287227415167</v>
      </c>
      <c r="C96" s="195">
        <f>PRODUCT(C80:C83)^(0.25)</f>
        <v>0.9826053667308372</v>
      </c>
      <c r="D96" s="195">
        <f>PRODUCT(D79:D82)^(0.25)</f>
        <v>0.99298291972068575</v>
      </c>
      <c r="E96" s="195">
        <f>PRODUCT(E78:E81)^(0.25)</f>
        <v>0.99727342715968148</v>
      </c>
      <c r="F96" s="195">
        <f>PRODUCT(F77:F80)^(0.25)</f>
        <v>0.99679862352143789</v>
      </c>
      <c r="G96" s="195">
        <f>PRODUCT(G76:G79)^(0.25)</f>
        <v>1.0014887198073781</v>
      </c>
      <c r="H96" s="195">
        <f>PRODUCT(H76:H78)^(1/3)</f>
        <v>0.99806602589221871</v>
      </c>
      <c r="I96" s="195">
        <f>PRODUCT(I76:I77)^(0.5)</f>
        <v>1.0012878305400645</v>
      </c>
      <c r="J96" s="198">
        <f>J93</f>
        <v>0.99742930591259638</v>
      </c>
    </row>
    <row r="99" spans="1:11">
      <c r="A99" s="205" t="s">
        <v>73</v>
      </c>
      <c r="B99" s="206" t="s">
        <v>58</v>
      </c>
      <c r="C99" s="206" t="s">
        <v>61</v>
      </c>
      <c r="D99" s="206" t="s">
        <v>62</v>
      </c>
      <c r="E99" s="206" t="s">
        <v>59</v>
      </c>
      <c r="F99" s="206" t="s">
        <v>60</v>
      </c>
      <c r="G99" s="206" t="s">
        <v>63</v>
      </c>
      <c r="H99" s="206" t="s">
        <v>64</v>
      </c>
      <c r="I99" s="206" t="s">
        <v>65</v>
      </c>
      <c r="J99" s="206" t="s">
        <v>66</v>
      </c>
      <c r="K99" s="208" t="s">
        <v>87</v>
      </c>
    </row>
    <row r="100" spans="1:11">
      <c r="A100" s="205"/>
      <c r="B100" s="205">
        <f>B91</f>
        <v>1.0295663812766149</v>
      </c>
      <c r="C100" s="205">
        <f>C90</f>
        <v>0.98315255974672022</v>
      </c>
      <c r="D100" s="205">
        <f>D91</f>
        <v>0.99032540130964586</v>
      </c>
      <c r="E100" s="205">
        <f>E96</f>
        <v>0.99727342715968148</v>
      </c>
      <c r="F100" s="205">
        <f>F93</f>
        <v>0.99667332002661346</v>
      </c>
      <c r="G100" s="205">
        <f>G93</f>
        <v>1.0010995052226499</v>
      </c>
      <c r="H100" s="205">
        <f>H96</f>
        <v>0.99806602589221871</v>
      </c>
      <c r="I100" s="205">
        <f>I96</f>
        <v>1.0012878305400645</v>
      </c>
      <c r="J100" s="205">
        <f>J96</f>
        <v>0.99742930591259638</v>
      </c>
      <c r="K100" s="205">
        <v>1</v>
      </c>
    </row>
    <row r="102" spans="1:11">
      <c r="A102" t="s">
        <v>97</v>
      </c>
    </row>
    <row r="103" spans="1:11">
      <c r="A103" t="s">
        <v>98</v>
      </c>
    </row>
    <row r="104" spans="1:11">
      <c r="A104" t="s">
        <v>99</v>
      </c>
    </row>
    <row r="106" spans="1:11">
      <c r="A106" s="209"/>
      <c r="B106" s="216" t="s">
        <v>58</v>
      </c>
      <c r="C106" s="216" t="s">
        <v>61</v>
      </c>
      <c r="D106" s="216" t="s">
        <v>62</v>
      </c>
      <c r="E106" s="216" t="s">
        <v>59</v>
      </c>
      <c r="F106" s="216" t="s">
        <v>60</v>
      </c>
      <c r="G106" s="216" t="s">
        <v>63</v>
      </c>
      <c r="H106" s="216" t="s">
        <v>64</v>
      </c>
      <c r="I106" s="216" t="s">
        <v>65</v>
      </c>
      <c r="J106" s="216" t="s">
        <v>66</v>
      </c>
      <c r="K106" s="231" t="s">
        <v>87</v>
      </c>
    </row>
    <row r="107" spans="1:11">
      <c r="A107" s="209" t="s">
        <v>75</v>
      </c>
      <c r="B107" s="209">
        <f>PRODUCT(B100:J100)</f>
        <v>0.99425514544408589</v>
      </c>
      <c r="C107" s="209">
        <f t="shared" ref="C107:K107" si="9">PRODUCT(C100:K100)</f>
        <v>0.96570280802220387</v>
      </c>
      <c r="D107" s="209">
        <f t="shared" si="9"/>
        <v>0.98225122688078881</v>
      </c>
      <c r="E107" s="209">
        <f t="shared" si="9"/>
        <v>0.99184694806557561</v>
      </c>
      <c r="F107" s="209">
        <f>PRODUCT(F100:N100)</f>
        <v>0.9945586847635548</v>
      </c>
      <c r="G107" s="209">
        <f t="shared" si="9"/>
        <v>0.99787830654180443</v>
      </c>
      <c r="H107" s="209">
        <f t="shared" si="9"/>
        <v>0.99678233915405923</v>
      </c>
      <c r="I107" s="209">
        <f t="shared" si="9"/>
        <v>0.99871382583430601</v>
      </c>
      <c r="J107" s="209">
        <f t="shared" si="9"/>
        <v>0.99742930591259638</v>
      </c>
      <c r="K107" s="209">
        <f t="shared" si="9"/>
        <v>1</v>
      </c>
    </row>
    <row r="114" spans="1:12">
      <c r="A114" s="207" t="s">
        <v>100</v>
      </c>
    </row>
    <row r="118" spans="1:12">
      <c r="A118" s="433" t="s">
        <v>101</v>
      </c>
      <c r="B118" s="433"/>
      <c r="C118" s="433"/>
      <c r="D118" s="433"/>
      <c r="E118" s="433"/>
      <c r="F118" s="433"/>
      <c r="G118" s="433"/>
      <c r="H118" s="433"/>
      <c r="I118" s="433"/>
      <c r="J118" s="433"/>
    </row>
    <row r="119" spans="1:12">
      <c r="C119" s="209"/>
      <c r="D119" s="209"/>
      <c r="F119" s="209"/>
      <c r="H119" s="209"/>
      <c r="I119" s="230" t="s">
        <v>104</v>
      </c>
      <c r="J119" s="230"/>
      <c r="K119" s="433" t="s">
        <v>106</v>
      </c>
      <c r="L119" s="433"/>
    </row>
    <row r="120" spans="1:12">
      <c r="C120" s="209" t="s">
        <v>102</v>
      </c>
      <c r="D120" s="209"/>
      <c r="F120" s="209" t="s">
        <v>75</v>
      </c>
      <c r="H120" s="216"/>
      <c r="I120" s="210" t="s">
        <v>86</v>
      </c>
      <c r="J120" s="210"/>
      <c r="K120" s="434" t="s">
        <v>105</v>
      </c>
      <c r="L120" s="435"/>
    </row>
    <row r="121" spans="1:12">
      <c r="A121" s="228" t="s">
        <v>12</v>
      </c>
      <c r="B121" s="209" t="s">
        <v>81</v>
      </c>
      <c r="C121" s="209" t="s">
        <v>103</v>
      </c>
      <c r="D121" s="209" t="s">
        <v>83</v>
      </c>
      <c r="E121" s="209" t="s">
        <v>103</v>
      </c>
      <c r="F121" s="209" t="s">
        <v>83</v>
      </c>
      <c r="H121" s="216"/>
      <c r="I121" s="209" t="s">
        <v>103</v>
      </c>
      <c r="J121" s="209" t="s">
        <v>83</v>
      </c>
      <c r="K121" s="434" t="s">
        <v>89</v>
      </c>
      <c r="L121" s="435"/>
    </row>
    <row r="122" spans="1:12">
      <c r="A122" s="218">
        <v>2010</v>
      </c>
      <c r="B122" s="216">
        <v>120</v>
      </c>
      <c r="C122" s="229">
        <f>Input!K64</f>
        <v>772</v>
      </c>
      <c r="D122" s="229">
        <f>Input!K51</f>
        <v>776</v>
      </c>
      <c r="E122">
        <f>K49</f>
        <v>1</v>
      </c>
      <c r="F122">
        <f>K107</f>
        <v>1</v>
      </c>
      <c r="I122">
        <f>PRODUCT(C122,E122)</f>
        <v>772</v>
      </c>
      <c r="J122">
        <f>PRODUCT(D122,F122)</f>
        <v>776</v>
      </c>
      <c r="L122" s="286">
        <f>I122</f>
        <v>772</v>
      </c>
    </row>
    <row r="123" spans="1:12">
      <c r="A123" s="221">
        <v>2011</v>
      </c>
      <c r="B123" s="216">
        <v>108</v>
      </c>
      <c r="C123" s="229">
        <f>Input!J65</f>
        <v>900</v>
      </c>
      <c r="D123" s="229">
        <f>Input!J52</f>
        <v>909</v>
      </c>
      <c r="E123">
        <f>J49</f>
        <v>1.0025974025974025</v>
      </c>
      <c r="F123">
        <f>J107</f>
        <v>0.99742930591259638</v>
      </c>
      <c r="I123" s="209">
        <f t="shared" ref="I123:I131" si="10">PRODUCT(C123,E123)</f>
        <v>902.33766233766221</v>
      </c>
      <c r="J123" s="209">
        <f t="shared" ref="J123:J131" si="11">PRODUCT(D123,F123)</f>
        <v>906.66323907455012</v>
      </c>
      <c r="L123" s="286">
        <f>I123</f>
        <v>902.33766233766221</v>
      </c>
    </row>
    <row r="124" spans="1:12">
      <c r="A124" s="221">
        <v>2012</v>
      </c>
      <c r="B124" s="216">
        <v>96</v>
      </c>
      <c r="C124" s="229">
        <f>Input!I66</f>
        <v>946</v>
      </c>
      <c r="D124" s="229">
        <f>Input!I53</f>
        <v>965</v>
      </c>
      <c r="E124">
        <f>I49</f>
        <v>1.0142559037463947</v>
      </c>
      <c r="F124">
        <f>I107</f>
        <v>0.99871382583430601</v>
      </c>
      <c r="I124" s="209">
        <f t="shared" si="10"/>
        <v>959.48608494408938</v>
      </c>
      <c r="J124" s="209">
        <f t="shared" si="11"/>
        <v>963.75884193010529</v>
      </c>
      <c r="L124" s="286">
        <f>SUM(I124:J124)/2</f>
        <v>961.62246343709739</v>
      </c>
    </row>
    <row r="125" spans="1:12">
      <c r="A125" s="221">
        <v>2013</v>
      </c>
      <c r="B125" s="216">
        <v>84</v>
      </c>
      <c r="C125" s="229">
        <f>Input!H67</f>
        <v>957</v>
      </c>
      <c r="D125" s="229">
        <f>Input!H54</f>
        <v>987</v>
      </c>
      <c r="E125">
        <f>H49</f>
        <v>1.022419376114388</v>
      </c>
      <c r="F125">
        <f>H107</f>
        <v>0.99678233915405923</v>
      </c>
      <c r="I125" s="209">
        <f t="shared" si="10"/>
        <v>978.45534294146933</v>
      </c>
      <c r="J125" s="209">
        <f t="shared" si="11"/>
        <v>983.82416874505645</v>
      </c>
      <c r="L125" s="286">
        <f>SUM(I125:J125)/2</f>
        <v>981.13975584326295</v>
      </c>
    </row>
    <row r="126" spans="1:12">
      <c r="A126" s="221">
        <v>2014</v>
      </c>
      <c r="B126" s="216">
        <v>72</v>
      </c>
      <c r="C126" s="229">
        <f>Input!G68</f>
        <v>813</v>
      </c>
      <c r="D126" s="229">
        <f>Input!G55</f>
        <v>856</v>
      </c>
      <c r="E126">
        <f>G49</f>
        <v>1.0456535414358037</v>
      </c>
      <c r="F126">
        <f>G107</f>
        <v>0.99787830654180443</v>
      </c>
      <c r="I126" s="209">
        <f t="shared" si="10"/>
        <v>850.11632918730845</v>
      </c>
      <c r="J126" s="209">
        <f t="shared" si="11"/>
        <v>854.1838303997846</v>
      </c>
      <c r="L126" s="286">
        <f>I126</f>
        <v>850.11632918730845</v>
      </c>
    </row>
    <row r="127" spans="1:12">
      <c r="A127" s="221">
        <v>2015</v>
      </c>
      <c r="B127" s="216">
        <v>60</v>
      </c>
      <c r="C127" s="229">
        <f>Input!F69</f>
        <v>757</v>
      </c>
      <c r="D127" s="229">
        <f>Input!F56</f>
        <v>823</v>
      </c>
      <c r="E127">
        <f>F49</f>
        <v>1.0741750172106566</v>
      </c>
      <c r="F127">
        <f>F107</f>
        <v>0.9945586847635548</v>
      </c>
      <c r="I127" s="209">
        <f t="shared" si="10"/>
        <v>813.15048802846707</v>
      </c>
      <c r="J127" s="209">
        <f t="shared" si="11"/>
        <v>818.52179756040562</v>
      </c>
      <c r="L127" s="286">
        <f>J127</f>
        <v>818.52179756040562</v>
      </c>
    </row>
    <row r="128" spans="1:12">
      <c r="A128" s="221">
        <v>2016</v>
      </c>
      <c r="B128" s="216">
        <v>48</v>
      </c>
      <c r="C128" s="229">
        <f>Input!E70</f>
        <v>596</v>
      </c>
      <c r="D128" s="229">
        <f>Input!E57</f>
        <v>670</v>
      </c>
      <c r="E128">
        <f>E49</f>
        <v>1.1061820487983542</v>
      </c>
      <c r="F128">
        <f>E107</f>
        <v>0.99184694806557561</v>
      </c>
      <c r="I128" s="209">
        <f t="shared" si="10"/>
        <v>659.28450108381912</v>
      </c>
      <c r="J128" s="209">
        <f t="shared" si="11"/>
        <v>664.53745520393568</v>
      </c>
      <c r="L128" s="286">
        <f>I128</f>
        <v>659.28450108381912</v>
      </c>
    </row>
    <row r="129" spans="1:12">
      <c r="A129" s="221">
        <v>2017</v>
      </c>
      <c r="B129" s="216">
        <v>36</v>
      </c>
      <c r="C129" s="229">
        <f>Input!D71</f>
        <v>544</v>
      </c>
      <c r="D129" s="229">
        <f>Input!D58</f>
        <v>632</v>
      </c>
      <c r="E129">
        <f>D49</f>
        <v>1.1348521312385946</v>
      </c>
      <c r="F129">
        <f>D107</f>
        <v>0.98225122688078881</v>
      </c>
      <c r="I129" s="209">
        <f t="shared" si="10"/>
        <v>617.35955939379551</v>
      </c>
      <c r="J129" s="209">
        <f t="shared" si="11"/>
        <v>620.78277538865848</v>
      </c>
      <c r="L129" s="286">
        <f>J129</f>
        <v>620.78277538865848</v>
      </c>
    </row>
    <row r="130" spans="1:12">
      <c r="A130" s="221">
        <v>2018</v>
      </c>
      <c r="B130" s="216">
        <v>24</v>
      </c>
      <c r="C130" s="229">
        <f>Input!C72</f>
        <v>414</v>
      </c>
      <c r="D130" s="229">
        <f>Input!C59</f>
        <v>518</v>
      </c>
      <c r="E130">
        <f>C49</f>
        <v>1.1989073930802172</v>
      </c>
      <c r="F130">
        <f>C107</f>
        <v>0.96570280802220387</v>
      </c>
      <c r="I130" s="209">
        <f t="shared" si="10"/>
        <v>496.3476607352099</v>
      </c>
      <c r="J130" s="209">
        <f t="shared" si="11"/>
        <v>500.23405455550159</v>
      </c>
      <c r="L130" s="286">
        <f>I130</f>
        <v>496.3476607352099</v>
      </c>
    </row>
    <row r="131" spans="1:12">
      <c r="A131" s="227">
        <v>2019</v>
      </c>
      <c r="B131" s="216">
        <v>12</v>
      </c>
      <c r="C131" s="229">
        <f>Input!B73</f>
        <v>405</v>
      </c>
      <c r="D131" s="229">
        <f>Input!B60</f>
        <v>604</v>
      </c>
      <c r="E131">
        <f>B49</f>
        <v>1.4737500033475031</v>
      </c>
      <c r="F131" s="209">
        <f>B107</f>
        <v>0.99425514544408589</v>
      </c>
      <c r="I131" s="209">
        <f t="shared" si="10"/>
        <v>596.86875135573871</v>
      </c>
      <c r="J131" s="209">
        <f t="shared" si="11"/>
        <v>600.53010784822789</v>
      </c>
      <c r="L131" s="286">
        <f>SUM(I131:J131)/2</f>
        <v>598.6994296019833</v>
      </c>
    </row>
    <row r="133" spans="1:12">
      <c r="A133" t="s">
        <v>107</v>
      </c>
      <c r="C133" s="229">
        <f>SUM(C122:C131)</f>
        <v>7104</v>
      </c>
      <c r="D133" s="229">
        <f>SUM(D122:D131)</f>
        <v>7740</v>
      </c>
      <c r="I133">
        <f>SUM(I122:I131)</f>
        <v>7645.4063800075592</v>
      </c>
      <c r="J133">
        <f>SUM(J122:J131)</f>
        <v>7689.0362707062259</v>
      </c>
      <c r="L133" s="286"/>
    </row>
    <row r="135" spans="1:12">
      <c r="A135" t="s">
        <v>108</v>
      </c>
    </row>
    <row r="141" spans="1:12">
      <c r="A141" s="226" t="s">
        <v>109</v>
      </c>
    </row>
    <row r="143" spans="1:12">
      <c r="A143" s="212" t="s">
        <v>11</v>
      </c>
      <c r="B143" s="213"/>
      <c r="C143" s="213"/>
      <c r="D143" s="213"/>
      <c r="E143" s="213"/>
      <c r="F143" s="213"/>
      <c r="G143" s="213"/>
      <c r="H143" s="213"/>
      <c r="I143" s="213"/>
      <c r="J143" s="213"/>
      <c r="K143" s="214"/>
    </row>
    <row r="144" spans="1:12">
      <c r="A144" s="228" t="s">
        <v>12</v>
      </c>
      <c r="B144" s="216">
        <v>12</v>
      </c>
      <c r="C144" s="216">
        <v>24</v>
      </c>
      <c r="D144" s="216">
        <v>36</v>
      </c>
      <c r="E144" s="216">
        <v>48</v>
      </c>
      <c r="F144" s="216">
        <v>60</v>
      </c>
      <c r="G144" s="216">
        <v>72</v>
      </c>
      <c r="H144" s="216">
        <v>84</v>
      </c>
      <c r="I144" s="216">
        <v>96</v>
      </c>
      <c r="J144" s="216">
        <v>108</v>
      </c>
      <c r="K144" s="217">
        <v>120</v>
      </c>
    </row>
    <row r="145" spans="1:11">
      <c r="A145" s="218">
        <v>2010</v>
      </c>
      <c r="B145" s="219">
        <v>989300</v>
      </c>
      <c r="C145" s="219">
        <v>1257600</v>
      </c>
      <c r="D145" s="219">
        <v>1454100</v>
      </c>
      <c r="E145" s="219">
        <v>1579340</v>
      </c>
      <c r="F145" s="219">
        <v>1689500</v>
      </c>
      <c r="G145" s="219">
        <v>1791040</v>
      </c>
      <c r="H145" s="219">
        <v>1906100</v>
      </c>
      <c r="I145" s="219">
        <v>1994320</v>
      </c>
      <c r="J145" s="219">
        <v>2069480</v>
      </c>
      <c r="K145" s="220">
        <v>2079680</v>
      </c>
    </row>
    <row r="146" spans="1:11">
      <c r="A146" s="221">
        <v>2011</v>
      </c>
      <c r="B146" s="222">
        <v>1250960</v>
      </c>
      <c r="C146" s="222">
        <v>1610990</v>
      </c>
      <c r="D146" s="222">
        <v>1772960</v>
      </c>
      <c r="E146" s="222">
        <v>1946060</v>
      </c>
      <c r="F146" s="222">
        <v>2091270</v>
      </c>
      <c r="G146" s="222">
        <v>2230490</v>
      </c>
      <c r="H146" s="222">
        <v>2365870</v>
      </c>
      <c r="I146" s="222">
        <v>2476300</v>
      </c>
      <c r="J146" s="222">
        <v>2563020</v>
      </c>
      <c r="K146" s="223"/>
    </row>
    <row r="147" spans="1:11">
      <c r="A147" s="221">
        <v>2012</v>
      </c>
      <c r="B147" s="222">
        <v>1378380</v>
      </c>
      <c r="C147" s="222">
        <v>1821980</v>
      </c>
      <c r="D147" s="222">
        <v>2068220</v>
      </c>
      <c r="E147" s="222">
        <v>2214200</v>
      </c>
      <c r="F147" s="222">
        <v>2400460</v>
      </c>
      <c r="G147" s="222">
        <v>2533760</v>
      </c>
      <c r="H147" s="222">
        <v>2659220</v>
      </c>
      <c r="I147" s="222">
        <v>2786580</v>
      </c>
      <c r="J147" s="222"/>
      <c r="K147" s="223"/>
    </row>
    <row r="148" spans="1:11">
      <c r="A148" s="221">
        <v>2013</v>
      </c>
      <c r="B148" s="222">
        <v>1458130</v>
      </c>
      <c r="C148" s="222">
        <v>1928320</v>
      </c>
      <c r="D148" s="222">
        <v>2196870</v>
      </c>
      <c r="E148" s="222">
        <v>2367610</v>
      </c>
      <c r="F148" s="222">
        <v>2541060</v>
      </c>
      <c r="G148" s="222">
        <v>2727240</v>
      </c>
      <c r="H148" s="222">
        <v>2880060</v>
      </c>
      <c r="I148" s="222"/>
      <c r="J148" s="222"/>
      <c r="K148" s="223"/>
    </row>
    <row r="149" spans="1:11">
      <c r="A149" s="221">
        <v>2014</v>
      </c>
      <c r="B149" s="222">
        <v>1440950</v>
      </c>
      <c r="C149" s="222">
        <v>1782650</v>
      </c>
      <c r="D149" s="222">
        <v>2048350</v>
      </c>
      <c r="E149" s="222">
        <v>2139110</v>
      </c>
      <c r="F149" s="222">
        <v>2347290</v>
      </c>
      <c r="G149" s="222">
        <v>2507180</v>
      </c>
      <c r="H149" s="222"/>
      <c r="I149" s="222"/>
      <c r="J149" s="222"/>
      <c r="K149" s="223"/>
    </row>
    <row r="150" spans="1:11">
      <c r="A150" s="221">
        <v>2015</v>
      </c>
      <c r="B150" s="222">
        <v>1411530</v>
      </c>
      <c r="C150" s="222">
        <v>1762360</v>
      </c>
      <c r="D150" s="222">
        <v>2040070</v>
      </c>
      <c r="E150" s="222">
        <v>2119120</v>
      </c>
      <c r="F150" s="222">
        <v>2400750</v>
      </c>
      <c r="G150" s="222"/>
      <c r="H150" s="222"/>
      <c r="I150" s="222"/>
      <c r="J150" s="222"/>
      <c r="K150" s="223"/>
    </row>
    <row r="151" spans="1:11">
      <c r="A151" s="221">
        <v>2016</v>
      </c>
      <c r="B151" s="222">
        <v>1226980</v>
      </c>
      <c r="C151" s="222">
        <v>1542120</v>
      </c>
      <c r="D151" s="222">
        <v>1776670</v>
      </c>
      <c r="E151" s="222">
        <v>1874570</v>
      </c>
      <c r="F151" s="222"/>
      <c r="G151" s="222"/>
      <c r="H151" s="222"/>
      <c r="I151" s="222"/>
      <c r="J151" s="222"/>
      <c r="K151" s="223"/>
    </row>
    <row r="152" spans="1:11">
      <c r="A152" s="221">
        <v>2017</v>
      </c>
      <c r="B152" s="222">
        <v>1234800</v>
      </c>
      <c r="C152" s="222">
        <v>1585370</v>
      </c>
      <c r="D152" s="222">
        <v>1874190</v>
      </c>
      <c r="E152" s="222"/>
      <c r="F152" s="222"/>
      <c r="G152" s="222"/>
      <c r="H152" s="222"/>
      <c r="I152" s="222"/>
      <c r="J152" s="222"/>
      <c r="K152" s="223"/>
    </row>
    <row r="153" spans="1:11">
      <c r="A153" s="221">
        <v>2018</v>
      </c>
      <c r="B153" s="222">
        <v>1036760</v>
      </c>
      <c r="C153" s="222">
        <v>1446260</v>
      </c>
      <c r="D153" s="222"/>
      <c r="E153" s="222"/>
      <c r="F153" s="222"/>
      <c r="G153" s="222"/>
      <c r="H153" s="222"/>
      <c r="I153" s="222"/>
      <c r="J153" s="222"/>
      <c r="K153" s="223"/>
    </row>
    <row r="154" spans="1:11">
      <c r="A154" s="227">
        <v>2019</v>
      </c>
      <c r="B154" s="224">
        <v>1414010</v>
      </c>
      <c r="C154" s="224"/>
      <c r="D154" s="224"/>
      <c r="E154" s="224"/>
      <c r="F154" s="224"/>
      <c r="G154" s="224"/>
      <c r="H154" s="224"/>
      <c r="I154" s="224"/>
      <c r="J154" s="224"/>
      <c r="K154" s="225"/>
    </row>
    <row r="156" spans="1:11">
      <c r="A156" s="212" t="s">
        <v>14</v>
      </c>
      <c r="B156" s="213"/>
      <c r="C156" s="213"/>
      <c r="D156" s="213"/>
      <c r="E156" s="213"/>
      <c r="F156" s="213"/>
      <c r="G156" s="213"/>
      <c r="H156" s="213"/>
      <c r="I156" s="213"/>
      <c r="J156" s="213"/>
      <c r="K156" s="214"/>
    </row>
    <row r="157" spans="1:11">
      <c r="A157" s="215" t="s">
        <v>12</v>
      </c>
      <c r="B157" s="216">
        <v>12</v>
      </c>
      <c r="C157" s="216">
        <v>24</v>
      </c>
      <c r="D157" s="216">
        <v>36</v>
      </c>
      <c r="E157" s="216">
        <v>48</v>
      </c>
      <c r="F157" s="216">
        <v>60</v>
      </c>
      <c r="G157" s="216">
        <v>72</v>
      </c>
      <c r="H157" s="216">
        <v>84</v>
      </c>
      <c r="I157" s="216">
        <v>96</v>
      </c>
      <c r="J157" s="216">
        <v>108</v>
      </c>
      <c r="K157" s="217">
        <v>120</v>
      </c>
    </row>
    <row r="158" spans="1:11">
      <c r="A158" s="218">
        <v>2010</v>
      </c>
      <c r="B158" s="219">
        <v>761</v>
      </c>
      <c r="C158" s="219">
        <v>786</v>
      </c>
      <c r="D158" s="219">
        <v>786</v>
      </c>
      <c r="E158" s="219">
        <v>778</v>
      </c>
      <c r="F158" s="219">
        <v>775</v>
      </c>
      <c r="G158" s="219">
        <v>772</v>
      </c>
      <c r="H158" s="219">
        <v>778</v>
      </c>
      <c r="I158" s="219">
        <v>776</v>
      </c>
      <c r="J158" s="219">
        <v>778</v>
      </c>
      <c r="K158" s="220">
        <v>776</v>
      </c>
    </row>
    <row r="159" spans="1:11">
      <c r="A159" s="221">
        <v>2011</v>
      </c>
      <c r="B159" s="222">
        <v>891</v>
      </c>
      <c r="C159" s="222">
        <v>941</v>
      </c>
      <c r="D159" s="222">
        <v>904</v>
      </c>
      <c r="E159" s="222">
        <v>913</v>
      </c>
      <c r="F159" s="222">
        <v>905</v>
      </c>
      <c r="G159" s="222">
        <v>907</v>
      </c>
      <c r="H159" s="222">
        <v>911</v>
      </c>
      <c r="I159" s="222">
        <v>909</v>
      </c>
      <c r="J159" s="222">
        <v>909</v>
      </c>
      <c r="K159" s="223"/>
    </row>
    <row r="160" spans="1:11">
      <c r="A160" s="221">
        <v>2012</v>
      </c>
      <c r="B160" s="222">
        <v>935</v>
      </c>
      <c r="C160" s="222">
        <v>1004</v>
      </c>
      <c r="D160" s="222">
        <v>995</v>
      </c>
      <c r="E160" s="222">
        <v>980</v>
      </c>
      <c r="F160" s="222">
        <v>980</v>
      </c>
      <c r="G160" s="222">
        <v>972</v>
      </c>
      <c r="H160" s="222">
        <v>966</v>
      </c>
      <c r="I160" s="222">
        <v>965</v>
      </c>
      <c r="J160" s="222"/>
      <c r="K160" s="223"/>
    </row>
    <row r="161" spans="1:11">
      <c r="A161" s="221">
        <v>2013</v>
      </c>
      <c r="B161" s="222">
        <v>942</v>
      </c>
      <c r="C161" s="222">
        <v>1012</v>
      </c>
      <c r="D161" s="222">
        <v>997</v>
      </c>
      <c r="E161" s="222">
        <v>998</v>
      </c>
      <c r="F161" s="222">
        <v>988</v>
      </c>
      <c r="G161" s="222">
        <v>987</v>
      </c>
      <c r="H161" s="222">
        <v>987</v>
      </c>
      <c r="I161" s="222"/>
      <c r="J161" s="222"/>
      <c r="K161" s="223"/>
    </row>
    <row r="162" spans="1:11">
      <c r="A162" s="221">
        <v>2014</v>
      </c>
      <c r="B162" s="222">
        <v>870</v>
      </c>
      <c r="C162" s="222">
        <v>891</v>
      </c>
      <c r="D162" s="222">
        <v>877</v>
      </c>
      <c r="E162" s="222">
        <v>867</v>
      </c>
      <c r="F162" s="222">
        <v>861</v>
      </c>
      <c r="G162" s="222">
        <v>856</v>
      </c>
      <c r="H162" s="222"/>
      <c r="I162" s="222"/>
      <c r="J162" s="222"/>
      <c r="K162" s="223"/>
    </row>
    <row r="163" spans="1:11">
      <c r="A163" s="221">
        <v>2015</v>
      </c>
      <c r="B163" s="222">
        <v>804</v>
      </c>
      <c r="C163" s="222">
        <v>831</v>
      </c>
      <c r="D163" s="222">
        <v>824</v>
      </c>
      <c r="E163" s="222">
        <v>818</v>
      </c>
      <c r="F163" s="222">
        <v>823</v>
      </c>
      <c r="G163" s="222"/>
      <c r="H163" s="222"/>
      <c r="I163" s="222"/>
      <c r="J163" s="222"/>
      <c r="K163" s="223"/>
    </row>
    <row r="164" spans="1:11">
      <c r="A164" s="221">
        <v>2016</v>
      </c>
      <c r="B164" s="222">
        <v>672</v>
      </c>
      <c r="C164" s="222">
        <v>686</v>
      </c>
      <c r="D164" s="222">
        <v>677</v>
      </c>
      <c r="E164" s="222">
        <v>670</v>
      </c>
      <c r="F164" s="222"/>
      <c r="G164" s="222"/>
      <c r="H164" s="222"/>
      <c r="I164" s="222"/>
      <c r="J164" s="222"/>
      <c r="K164" s="223"/>
    </row>
    <row r="165" spans="1:11">
      <c r="A165" s="221">
        <v>2017</v>
      </c>
      <c r="B165" s="222">
        <v>638</v>
      </c>
      <c r="C165" s="222">
        <v>653</v>
      </c>
      <c r="D165" s="222">
        <v>632</v>
      </c>
      <c r="E165" s="222"/>
      <c r="F165" s="222"/>
      <c r="G165" s="222"/>
      <c r="H165" s="222"/>
      <c r="I165" s="222"/>
      <c r="J165" s="222"/>
      <c r="K165" s="223"/>
    </row>
    <row r="166" spans="1:11">
      <c r="A166" s="227">
        <v>2018</v>
      </c>
      <c r="B166" s="222">
        <v>496</v>
      </c>
      <c r="C166" s="222">
        <v>518</v>
      </c>
      <c r="D166" s="222"/>
      <c r="E166" s="222"/>
      <c r="F166" s="222"/>
      <c r="G166" s="222"/>
      <c r="H166" s="222"/>
      <c r="I166" s="222"/>
      <c r="J166" s="222"/>
      <c r="K166" s="223"/>
    </row>
    <row r="167" spans="1:11">
      <c r="A167" s="211">
        <f>2019</f>
        <v>2019</v>
      </c>
      <c r="B167" s="224">
        <v>604</v>
      </c>
      <c r="C167" s="224"/>
      <c r="D167" s="224"/>
      <c r="E167" s="224"/>
      <c r="F167" s="224"/>
      <c r="G167" s="224"/>
      <c r="H167" s="224"/>
      <c r="I167" s="224"/>
      <c r="J167" s="224"/>
      <c r="K167" s="225"/>
    </row>
    <row r="169" spans="1:11">
      <c r="A169" s="430" t="s">
        <v>110</v>
      </c>
      <c r="B169" s="431"/>
      <c r="C169" s="431"/>
      <c r="D169" s="431"/>
      <c r="E169" s="431"/>
      <c r="F169" s="431"/>
      <c r="G169" s="431"/>
      <c r="H169" s="431"/>
      <c r="I169" s="431"/>
      <c r="J169" s="431"/>
      <c r="K169" s="432"/>
    </row>
    <row r="170" spans="1:11">
      <c r="A170" s="297" t="s">
        <v>12</v>
      </c>
      <c r="B170" s="298">
        <v>12</v>
      </c>
      <c r="C170" s="298">
        <v>24</v>
      </c>
      <c r="D170" s="298">
        <v>36</v>
      </c>
      <c r="E170" s="298">
        <v>48</v>
      </c>
      <c r="F170" s="298">
        <v>60</v>
      </c>
      <c r="G170" s="298">
        <v>72</v>
      </c>
      <c r="H170" s="298">
        <v>84</v>
      </c>
      <c r="I170" s="298">
        <v>96</v>
      </c>
      <c r="J170" s="298">
        <v>108</v>
      </c>
      <c r="K170" s="299">
        <v>120</v>
      </c>
    </row>
    <row r="171" spans="1:11">
      <c r="A171" s="300">
        <v>2010</v>
      </c>
      <c r="B171" s="303">
        <f>B145/B158</f>
        <v>1300</v>
      </c>
      <c r="C171" s="303">
        <f t="shared" ref="C171:J172" si="12">C145/C158</f>
        <v>1600</v>
      </c>
      <c r="D171" s="303">
        <f t="shared" si="12"/>
        <v>1850</v>
      </c>
      <c r="E171" s="303">
        <f t="shared" si="12"/>
        <v>2030</v>
      </c>
      <c r="F171" s="303">
        <f t="shared" si="12"/>
        <v>2180</v>
      </c>
      <c r="G171" s="303">
        <f t="shared" si="12"/>
        <v>2320</v>
      </c>
      <c r="H171" s="303">
        <f t="shared" si="12"/>
        <v>2450</v>
      </c>
      <c r="I171" s="303">
        <f t="shared" si="12"/>
        <v>2570</v>
      </c>
      <c r="J171" s="303">
        <f t="shared" si="12"/>
        <v>2660</v>
      </c>
      <c r="K171" s="305">
        <f>K145/K158</f>
        <v>2680</v>
      </c>
    </row>
    <row r="172" spans="1:11">
      <c r="A172" s="301">
        <v>2011</v>
      </c>
      <c r="B172" s="303">
        <f t="shared" ref="B172:I179" si="13">B146/B159</f>
        <v>1403.9955106621774</v>
      </c>
      <c r="C172" s="303">
        <f t="shared" si="13"/>
        <v>1711.9978746014879</v>
      </c>
      <c r="D172" s="303">
        <f t="shared" si="13"/>
        <v>1961.2389380530974</v>
      </c>
      <c r="E172" s="303">
        <f t="shared" si="13"/>
        <v>2131.5005476451261</v>
      </c>
      <c r="F172" s="303">
        <f t="shared" si="13"/>
        <v>2310.7955801104972</v>
      </c>
      <c r="G172" s="303">
        <f t="shared" si="13"/>
        <v>2459.1951488423374</v>
      </c>
      <c r="H172" s="303">
        <f t="shared" si="13"/>
        <v>2597.0032930845223</v>
      </c>
      <c r="I172" s="303">
        <f t="shared" si="13"/>
        <v>2724.2024202420243</v>
      </c>
      <c r="J172" s="303">
        <f t="shared" si="12"/>
        <v>2819.6039603960394</v>
      </c>
      <c r="K172" s="305"/>
    </row>
    <row r="173" spans="1:11">
      <c r="A173" s="301">
        <v>2012</v>
      </c>
      <c r="B173" s="303">
        <f t="shared" si="13"/>
        <v>1474.2032085561498</v>
      </c>
      <c r="C173" s="303">
        <f t="shared" si="13"/>
        <v>1814.7211155378486</v>
      </c>
      <c r="D173" s="303">
        <f t="shared" si="13"/>
        <v>2078.6130653266332</v>
      </c>
      <c r="E173" s="303">
        <f t="shared" si="13"/>
        <v>2259.387755102041</v>
      </c>
      <c r="F173" s="303">
        <f t="shared" si="13"/>
        <v>2449.4489795918366</v>
      </c>
      <c r="G173" s="303">
        <f t="shared" si="13"/>
        <v>2606.7489711934159</v>
      </c>
      <c r="H173" s="303">
        <f t="shared" si="13"/>
        <v>2752.8157349896478</v>
      </c>
      <c r="I173" s="303">
        <f t="shared" si="13"/>
        <v>2887.6476683937822</v>
      </c>
      <c r="J173" s="303"/>
      <c r="K173" s="305"/>
    </row>
    <row r="174" spans="1:11">
      <c r="A174" s="301">
        <v>2013</v>
      </c>
      <c r="B174" s="303">
        <f t="shared" si="13"/>
        <v>1547.9087048832271</v>
      </c>
      <c r="C174" s="303">
        <f t="shared" si="13"/>
        <v>1905.4545454545455</v>
      </c>
      <c r="D174" s="303">
        <f t="shared" si="13"/>
        <v>2203.4804413239717</v>
      </c>
      <c r="E174" s="303">
        <f t="shared" si="13"/>
        <v>2372.3547094188375</v>
      </c>
      <c r="F174" s="303">
        <f t="shared" si="13"/>
        <v>2571.9230769230771</v>
      </c>
      <c r="G174" s="303">
        <f t="shared" si="13"/>
        <v>2763.161094224924</v>
      </c>
      <c r="H174" s="303">
        <f t="shared" si="13"/>
        <v>2917.9939209726444</v>
      </c>
      <c r="I174" s="303"/>
      <c r="J174" s="303"/>
      <c r="K174" s="305"/>
    </row>
    <row r="175" spans="1:11">
      <c r="A175" s="301">
        <v>2014</v>
      </c>
      <c r="B175" s="303">
        <f t="shared" si="13"/>
        <v>1656.2643678160919</v>
      </c>
      <c r="C175" s="303">
        <f t="shared" si="13"/>
        <v>2000.7295173961841</v>
      </c>
      <c r="D175" s="303">
        <f t="shared" si="13"/>
        <v>2335.6328392246296</v>
      </c>
      <c r="E175" s="303">
        <f t="shared" si="13"/>
        <v>2467.2549019607845</v>
      </c>
      <c r="F175" s="303">
        <f t="shared" si="13"/>
        <v>2726.2369337979094</v>
      </c>
      <c r="G175" s="303">
        <f t="shared" si="13"/>
        <v>2928.9485981308412</v>
      </c>
      <c r="H175" s="303"/>
      <c r="I175" s="303"/>
      <c r="J175" s="303"/>
      <c r="K175" s="305"/>
    </row>
    <row r="176" spans="1:11">
      <c r="A176" s="301">
        <v>2015</v>
      </c>
      <c r="B176" s="303">
        <f t="shared" si="13"/>
        <v>1755.6343283582089</v>
      </c>
      <c r="C176" s="303">
        <f t="shared" si="13"/>
        <v>2120.7701564380263</v>
      </c>
      <c r="D176" s="303">
        <f t="shared" si="13"/>
        <v>2475.8131067961167</v>
      </c>
      <c r="E176" s="303">
        <f t="shared" si="13"/>
        <v>2590.6112469437653</v>
      </c>
      <c r="F176" s="303">
        <f t="shared" si="13"/>
        <v>2917.0716889428918</v>
      </c>
      <c r="G176" s="303"/>
      <c r="H176" s="303"/>
      <c r="I176" s="303"/>
      <c r="J176" s="303"/>
      <c r="K176" s="305"/>
    </row>
    <row r="177" spans="1:11">
      <c r="A177" s="301">
        <v>2016</v>
      </c>
      <c r="B177" s="303">
        <f t="shared" si="13"/>
        <v>1825.8630952380952</v>
      </c>
      <c r="C177" s="303">
        <f t="shared" si="13"/>
        <v>2247.9883381924196</v>
      </c>
      <c r="D177" s="303">
        <f t="shared" si="13"/>
        <v>2624.3279172821271</v>
      </c>
      <c r="E177" s="303">
        <f t="shared" si="13"/>
        <v>2797.8656716417909</v>
      </c>
      <c r="F177" s="303"/>
      <c r="G177" s="303"/>
      <c r="H177" s="303"/>
      <c r="I177" s="303"/>
      <c r="J177" s="303"/>
      <c r="K177" s="305"/>
    </row>
    <row r="178" spans="1:11">
      <c r="A178" s="301">
        <v>2017</v>
      </c>
      <c r="B178" s="303">
        <f t="shared" si="13"/>
        <v>1935.4231974921629</v>
      </c>
      <c r="C178" s="303">
        <f t="shared" si="13"/>
        <v>2427.8254211332314</v>
      </c>
      <c r="D178" s="303">
        <f t="shared" si="13"/>
        <v>2965.4905063291139</v>
      </c>
      <c r="E178" s="303"/>
      <c r="F178" s="303"/>
      <c r="G178" s="303"/>
      <c r="H178" s="303"/>
      <c r="I178" s="303"/>
      <c r="J178" s="303"/>
      <c r="K178" s="305"/>
    </row>
    <row r="179" spans="1:11">
      <c r="A179" s="306">
        <v>2018</v>
      </c>
      <c r="B179" s="303">
        <f t="shared" si="13"/>
        <v>2090.2419354838707</v>
      </c>
      <c r="C179" s="303">
        <f t="shared" si="13"/>
        <v>2792.0077220077219</v>
      </c>
      <c r="D179" s="303"/>
      <c r="E179" s="303"/>
      <c r="F179" s="303"/>
      <c r="G179" s="303"/>
      <c r="H179" s="303"/>
      <c r="I179" s="303"/>
      <c r="J179" s="303"/>
      <c r="K179" s="305"/>
    </row>
    <row r="180" spans="1:11">
      <c r="A180" s="306">
        <f>2019</f>
        <v>2019</v>
      </c>
      <c r="B180" s="304">
        <f>B154/B167</f>
        <v>2341.0761589403974</v>
      </c>
      <c r="C180" s="304"/>
      <c r="D180" s="304"/>
      <c r="E180" s="304"/>
      <c r="F180" s="304"/>
      <c r="G180" s="304"/>
      <c r="H180" s="304"/>
      <c r="I180" s="304"/>
      <c r="J180" s="304"/>
      <c r="K180" s="307"/>
    </row>
    <row r="184" spans="1:11">
      <c r="A184" s="430" t="s">
        <v>57</v>
      </c>
      <c r="B184" s="431"/>
      <c r="C184" s="431"/>
      <c r="D184" s="431"/>
      <c r="E184" s="431"/>
      <c r="F184" s="431"/>
      <c r="G184" s="431"/>
      <c r="H184" s="431"/>
      <c r="I184" s="431"/>
      <c r="J184" s="431"/>
      <c r="K184" s="432"/>
    </row>
    <row r="185" spans="1:11">
      <c r="A185" s="232" t="s">
        <v>12</v>
      </c>
      <c r="B185" s="233" t="s">
        <v>58</v>
      </c>
      <c r="C185" s="233" t="s">
        <v>61</v>
      </c>
      <c r="D185" s="233" t="s">
        <v>62</v>
      </c>
      <c r="E185" s="233" t="s">
        <v>59</v>
      </c>
      <c r="F185" s="233" t="s">
        <v>60</v>
      </c>
      <c r="G185" s="233" t="s">
        <v>63</v>
      </c>
      <c r="H185" s="233" t="s">
        <v>64</v>
      </c>
      <c r="I185" s="233" t="s">
        <v>65</v>
      </c>
      <c r="J185" s="233" t="s">
        <v>66</v>
      </c>
      <c r="K185" s="234"/>
    </row>
    <row r="186" spans="1:11">
      <c r="A186" s="235">
        <v>2010</v>
      </c>
      <c r="B186" s="237">
        <f t="shared" ref="B186:J186" si="14">C171/B171</f>
        <v>1.2307692307692308</v>
      </c>
      <c r="C186" s="237">
        <f t="shared" si="14"/>
        <v>1.15625</v>
      </c>
      <c r="D186" s="237">
        <f t="shared" si="14"/>
        <v>1.0972972972972972</v>
      </c>
      <c r="E186" s="237">
        <f t="shared" si="14"/>
        <v>1.0738916256157636</v>
      </c>
      <c r="F186" s="237">
        <f t="shared" si="14"/>
        <v>1.0642201834862386</v>
      </c>
      <c r="G186" s="237">
        <f t="shared" si="14"/>
        <v>1.0560344827586208</v>
      </c>
      <c r="H186" s="237">
        <f t="shared" si="14"/>
        <v>1.0489795918367346</v>
      </c>
      <c r="I186" s="237">
        <f t="shared" si="14"/>
        <v>1.0350194552529184</v>
      </c>
      <c r="J186" s="237">
        <f t="shared" si="14"/>
        <v>1.0075187969924813</v>
      </c>
      <c r="K186" s="239"/>
    </row>
    <row r="187" spans="1:11">
      <c r="A187" s="236">
        <v>2011</v>
      </c>
      <c r="B187" s="237">
        <f t="shared" ref="B187:I187" si="15">C172/B172</f>
        <v>1.2193756045516448</v>
      </c>
      <c r="C187" s="237">
        <f t="shared" si="15"/>
        <v>1.1455849140640006</v>
      </c>
      <c r="D187" s="237">
        <f t="shared" si="15"/>
        <v>1.0868132925002221</v>
      </c>
      <c r="E187" s="237">
        <f t="shared" si="15"/>
        <v>1.0841168127605951</v>
      </c>
      <c r="F187" s="237">
        <f t="shared" si="15"/>
        <v>1.0642201196891437</v>
      </c>
      <c r="G187" s="237">
        <f t="shared" si="15"/>
        <v>1.0560379050467215</v>
      </c>
      <c r="H187" s="237">
        <f t="shared" si="15"/>
        <v>1.0489791936329911</v>
      </c>
      <c r="I187" s="237">
        <f t="shared" si="15"/>
        <v>1.0350199895004644</v>
      </c>
      <c r="J187" s="237"/>
      <c r="K187" s="239"/>
    </row>
    <row r="188" spans="1:11">
      <c r="A188" s="236">
        <v>2012</v>
      </c>
      <c r="B188" s="237">
        <f t="shared" ref="B188:H188" si="16">C173/B173</f>
        <v>1.2309843751562619</v>
      </c>
      <c r="C188" s="237">
        <f t="shared" si="16"/>
        <v>1.1454173578128957</v>
      </c>
      <c r="D188" s="237">
        <f t="shared" si="16"/>
        <v>1.0869688990177693</v>
      </c>
      <c r="E188" s="237">
        <f t="shared" si="16"/>
        <v>1.0841206756390569</v>
      </c>
      <c r="F188" s="237">
        <f t="shared" si="16"/>
        <v>1.064218521354052</v>
      </c>
      <c r="G188" s="237">
        <f t="shared" si="16"/>
        <v>1.0560340736336264</v>
      </c>
      <c r="H188" s="237">
        <f t="shared" si="16"/>
        <v>1.0489796435302057</v>
      </c>
      <c r="I188" s="237"/>
      <c r="J188" s="237"/>
      <c r="K188" s="239"/>
    </row>
    <row r="189" spans="1:11">
      <c r="A189" s="236">
        <v>2013</v>
      </c>
      <c r="B189" s="237">
        <f t="shared" ref="B189:G189" si="17">C174/B174</f>
        <v>1.2309863879202692</v>
      </c>
      <c r="C189" s="237">
        <f t="shared" si="17"/>
        <v>1.1564067201604813</v>
      </c>
      <c r="D189" s="237">
        <f t="shared" si="17"/>
        <v>1.0766397853721801</v>
      </c>
      <c r="E189" s="237">
        <f t="shared" si="17"/>
        <v>1.0841224824904572</v>
      </c>
      <c r="F189" s="237">
        <f t="shared" si="17"/>
        <v>1.0743560408232096</v>
      </c>
      <c r="G189" s="237">
        <f t="shared" si="17"/>
        <v>1.056034672416069</v>
      </c>
      <c r="H189" s="237"/>
      <c r="I189" s="237"/>
      <c r="J189" s="237"/>
      <c r="K189" s="239"/>
    </row>
    <row r="190" spans="1:11">
      <c r="A190" s="236">
        <v>2014</v>
      </c>
      <c r="B190" s="237">
        <f>C175/B175</f>
        <v>1.2079771540543949</v>
      </c>
      <c r="C190" s="237">
        <f>D175/C175</f>
        <v>1.1673906037355313</v>
      </c>
      <c r="D190" s="237">
        <f>E175/D175</f>
        <v>1.0563539185293567</v>
      </c>
      <c r="E190" s="237">
        <f>F175/E175</f>
        <v>1.1049676835706379</v>
      </c>
      <c r="F190" s="237">
        <f>G175/F175</f>
        <v>1.0743558499336061</v>
      </c>
      <c r="G190" s="237"/>
      <c r="H190" s="237"/>
      <c r="I190" s="237"/>
      <c r="J190" s="237"/>
      <c r="K190" s="239"/>
    </row>
    <row r="191" spans="1:11">
      <c r="A191" s="236">
        <v>2015</v>
      </c>
      <c r="B191" s="237">
        <f>C176/B176</f>
        <v>1.2079794306718052</v>
      </c>
      <c r="C191" s="237">
        <f>D176/C176</f>
        <v>1.1674122720372531</v>
      </c>
      <c r="D191" s="237">
        <f>E176/D176</f>
        <v>1.0463678537901457</v>
      </c>
      <c r="E191" s="237">
        <f>F176/E176</f>
        <v>1.1260167624085873</v>
      </c>
      <c r="F191" s="237"/>
      <c r="G191" s="237"/>
      <c r="H191" s="237"/>
      <c r="I191" s="237"/>
      <c r="J191" s="237"/>
      <c r="K191" s="239"/>
    </row>
    <row r="192" spans="1:11">
      <c r="A192" s="236">
        <v>2016</v>
      </c>
      <c r="B192" s="237">
        <f>C177/B177</f>
        <v>1.2311921655326949</v>
      </c>
      <c r="C192" s="237">
        <f>D177/C177</f>
        <v>1.1674117132619637</v>
      </c>
      <c r="D192" s="237">
        <f>E177/D177</f>
        <v>1.0661265511892992</v>
      </c>
      <c r="E192" s="237"/>
      <c r="F192" s="237"/>
      <c r="G192" s="237"/>
      <c r="H192" s="237"/>
      <c r="I192" s="237"/>
      <c r="J192" s="237"/>
      <c r="K192" s="239"/>
    </row>
    <row r="193" spans="1:11">
      <c r="A193" s="236">
        <v>2017</v>
      </c>
      <c r="B193" s="237">
        <f>C178/B178</f>
        <v>1.2544157909645302</v>
      </c>
      <c r="C193" s="237">
        <f>D178/C178</f>
        <v>1.2214595335050564</v>
      </c>
      <c r="D193" s="237"/>
      <c r="E193" s="237"/>
      <c r="F193" s="237"/>
      <c r="G193" s="237"/>
      <c r="H193" s="237"/>
      <c r="I193" s="237"/>
      <c r="J193" s="237"/>
      <c r="K193" s="239"/>
    </row>
    <row r="194" spans="1:11">
      <c r="A194" s="240">
        <v>2018</v>
      </c>
      <c r="B194" s="238">
        <f>C179/B179</f>
        <v>1.3357342394728098</v>
      </c>
      <c r="C194" s="238"/>
      <c r="D194" s="238"/>
      <c r="E194" s="238"/>
      <c r="F194" s="238"/>
      <c r="G194" s="238"/>
      <c r="H194" s="238"/>
      <c r="I194" s="238"/>
      <c r="J194" s="238"/>
      <c r="K194" s="241"/>
    </row>
    <row r="198" spans="1:11">
      <c r="A198" s="248"/>
      <c r="B198" s="249" t="s">
        <v>58</v>
      </c>
      <c r="C198" s="249" t="s">
        <v>61</v>
      </c>
      <c r="D198" s="249" t="s">
        <v>62</v>
      </c>
      <c r="E198" s="249" t="s">
        <v>59</v>
      </c>
      <c r="F198" s="249" t="s">
        <v>60</v>
      </c>
      <c r="G198" s="249" t="s">
        <v>63</v>
      </c>
      <c r="H198" s="249" t="s">
        <v>64</v>
      </c>
      <c r="I198" s="249" t="s">
        <v>65</v>
      </c>
      <c r="J198" s="250" t="s">
        <v>66</v>
      </c>
    </row>
    <row r="199" spans="1:11">
      <c r="A199" s="251" t="s">
        <v>67</v>
      </c>
      <c r="B199" s="244"/>
      <c r="C199" s="244"/>
      <c r="D199" s="244"/>
      <c r="E199" s="244"/>
      <c r="F199" s="244"/>
      <c r="G199" s="244"/>
      <c r="H199" s="244"/>
      <c r="I199" s="244"/>
      <c r="J199" s="246"/>
    </row>
    <row r="200" spans="1:11">
      <c r="A200" s="251" t="s">
        <v>68</v>
      </c>
      <c r="B200" s="244">
        <f>SUM(B190:B194)/5</f>
        <v>1.2474597561392471</v>
      </c>
      <c r="C200" s="244">
        <f>SUM(C189:C193)/5</f>
        <v>1.1760161685400572</v>
      </c>
      <c r="D200" s="244">
        <f>SUM(D188:D192)/5</f>
        <v>1.0664914015797502</v>
      </c>
      <c r="E200" s="244">
        <f>SUM(E187:E191)/5</f>
        <v>1.0966688833738669</v>
      </c>
      <c r="F200" s="244">
        <f>SUM(F186:F190)/5</f>
        <v>1.0682741430572498</v>
      </c>
      <c r="G200" s="244">
        <f>SUM(G186:G189)/4</f>
        <v>1.0560352834637594</v>
      </c>
      <c r="H200" s="244">
        <f>SUM(H186:H188)/3</f>
        <v>1.0489794763333105</v>
      </c>
      <c r="I200" s="244">
        <f>SUM(I186:I187)/2</f>
        <v>1.0350197223766915</v>
      </c>
      <c r="J200" s="246">
        <f>J186</f>
        <v>1.0075187969924813</v>
      </c>
    </row>
    <row r="201" spans="1:11">
      <c r="A201" s="251" t="s">
        <v>69</v>
      </c>
      <c r="B201" s="244">
        <f>SUM(B192:B194)/3</f>
        <v>1.2737807319900118</v>
      </c>
      <c r="C201" s="244">
        <f>SUM(C191:C193)/3</f>
        <v>1.1854278396014244</v>
      </c>
      <c r="D201" s="244">
        <f>SUM(D190:D192)/3</f>
        <v>1.056282774502934</v>
      </c>
      <c r="E201" s="244">
        <f>SUM(E189:E191)/3</f>
        <v>1.1050356428232273</v>
      </c>
      <c r="F201" s="244">
        <f>SUM(F188:F190)/3</f>
        <v>1.0709768040369558</v>
      </c>
      <c r="G201" s="244">
        <f>SUM(G186:G189)/3</f>
        <v>1.408047044618346</v>
      </c>
      <c r="H201" s="244">
        <f>H200</f>
        <v>1.0489794763333105</v>
      </c>
      <c r="I201" s="244">
        <f>I200</f>
        <v>1.0350197223766915</v>
      </c>
      <c r="J201" s="246">
        <f>J200</f>
        <v>1.0075187969924813</v>
      </c>
    </row>
    <row r="202" spans="1:11">
      <c r="A202" s="251" t="s">
        <v>70</v>
      </c>
      <c r="B202" s="244"/>
      <c r="C202" s="244"/>
      <c r="D202" s="244"/>
      <c r="E202" s="244"/>
      <c r="F202" s="244"/>
      <c r="G202" s="244"/>
      <c r="H202" s="244"/>
      <c r="I202" s="244"/>
      <c r="J202" s="246"/>
    </row>
    <row r="203" spans="1:11">
      <c r="A203" s="251" t="s">
        <v>68</v>
      </c>
      <c r="B203" s="244">
        <f>SUM(C175:C179)/SUM(B175:B179)</f>
        <v>1.2510835622458054</v>
      </c>
      <c r="C203" s="244">
        <f>SUM(D174:D178)/SUM(C174:C178)</f>
        <v>1.1777088727086265</v>
      </c>
      <c r="D203" s="244">
        <f>SUM(E173:E177)/SUM(D173:D177)</f>
        <v>1.0656780701484247</v>
      </c>
      <c r="E203" s="244">
        <f>SUM(F172:F176)/SUM(E172:E176)</f>
        <v>1.0976530275261509</v>
      </c>
      <c r="F203" s="244">
        <f>SUM(G171:G175)/SUM(F171:F175)</f>
        <v>1.0686077369919105</v>
      </c>
      <c r="G203" s="244">
        <f>SUM(H171:H174)/SUM(G171:G174)</f>
        <v>1.0560352585553097</v>
      </c>
      <c r="H203" s="244">
        <f>SUM(I171:I173)/SUM(H171:H173)</f>
        <v>1.0489794774964107</v>
      </c>
      <c r="I203" s="244">
        <f>SUM(J171:J172)/SUM(I171:I172)</f>
        <v>1.035019730157114</v>
      </c>
      <c r="J203" s="246">
        <f>SUM(K171)/SUM(J171)</f>
        <v>1.0075187969924813</v>
      </c>
    </row>
    <row r="204" spans="1:11">
      <c r="A204" s="251" t="s">
        <v>69</v>
      </c>
      <c r="B204" s="244">
        <f>SUM(C177:C179)/SUM(B177:B179)</f>
        <v>1.2762172871910646</v>
      </c>
      <c r="C204" s="244">
        <f>SUM(D176:D178)/SUM(C176:C178)</f>
        <v>1.1867184500878907</v>
      </c>
      <c r="D204" s="244">
        <f>SUM(E175:E177)/SUM(D175:D177)</f>
        <v>1.0564780431685865</v>
      </c>
      <c r="E204" s="244">
        <f>SUM(F174:F176)/SUM(E174:E176)</f>
        <v>1.1056510777147512</v>
      </c>
      <c r="F204" s="244">
        <f>SUM(G173:G175)/SUM(F173:F175)</f>
        <v>1.0711509413969664</v>
      </c>
      <c r="G204" s="244">
        <f>SUM(H172:H174)/SUM(G172:G174)</f>
        <v>1.0560354884472665</v>
      </c>
      <c r="H204" s="244">
        <f>H203</f>
        <v>1.0489794774964107</v>
      </c>
      <c r="I204" s="244">
        <f>I203</f>
        <v>1.035019730157114</v>
      </c>
      <c r="J204" s="246">
        <f>J203</f>
        <v>1.0075187969924813</v>
      </c>
    </row>
    <row r="205" spans="1:11">
      <c r="A205" s="251" t="s">
        <v>71</v>
      </c>
      <c r="B205" s="244"/>
      <c r="C205" s="244"/>
      <c r="D205" s="244"/>
      <c r="E205" s="244"/>
      <c r="F205" s="244"/>
      <c r="G205" s="244"/>
      <c r="H205" s="244"/>
      <c r="I205" s="244"/>
      <c r="J205" s="246"/>
    </row>
    <row r="206" spans="1:11">
      <c r="A206" s="252" t="s">
        <v>72</v>
      </c>
      <c r="B206" s="245">
        <f>PRODUCT(B191:B194)^(0.25)</f>
        <v>1.2564254891798312</v>
      </c>
      <c r="C206" s="245">
        <f>PRODUCT(C190:C193)^(0.25)</f>
        <v>1.1806900258348172</v>
      </c>
      <c r="D206" s="245">
        <f>PRODUCT(D189:D192)^(0.25)</f>
        <v>1.0613124407215797</v>
      </c>
      <c r="E206" s="245">
        <f>PRODUCT(E188:E191)^(0.25)</f>
        <v>1.0996705704785854</v>
      </c>
      <c r="F206" s="245">
        <f>PRODUCT(F187:F190)^(0.25)</f>
        <v>1.0692756212448786</v>
      </c>
      <c r="G206" s="245">
        <f>PRODUCT(G186:G189)^(0.25)</f>
        <v>1.0560352834626525</v>
      </c>
      <c r="H206" s="245">
        <f>PRODUCT(H186:H188)^(1/3)</f>
        <v>1.0489794763332911</v>
      </c>
      <c r="I206" s="245">
        <f>PRODUCT(I186:I187)^(0.5)</f>
        <v>1.0350197223766568</v>
      </c>
      <c r="J206" s="247">
        <f>J203</f>
        <v>1.0075187969924813</v>
      </c>
    </row>
    <row r="208" spans="1:11">
      <c r="A208" t="s">
        <v>111</v>
      </c>
    </row>
    <row r="209" spans="1:11">
      <c r="A209" s="242" t="s">
        <v>73</v>
      </c>
      <c r="B209" s="243" t="s">
        <v>58</v>
      </c>
      <c r="C209" s="243" t="s">
        <v>61</v>
      </c>
      <c r="D209" s="243" t="s">
        <v>62</v>
      </c>
      <c r="E209" s="243" t="s">
        <v>59</v>
      </c>
      <c r="F209" s="243" t="s">
        <v>60</v>
      </c>
      <c r="G209" s="243" t="s">
        <v>63</v>
      </c>
      <c r="H209" s="243" t="s">
        <v>64</v>
      </c>
      <c r="I209" s="243" t="s">
        <v>65</v>
      </c>
      <c r="J209" s="243" t="s">
        <v>66</v>
      </c>
      <c r="K209" s="253" t="s">
        <v>87</v>
      </c>
    </row>
    <row r="210" spans="1:11">
      <c r="B210">
        <f>B206</f>
        <v>1.2564254891798312</v>
      </c>
      <c r="C210">
        <f>C203</f>
        <v>1.1777088727086265</v>
      </c>
      <c r="D210">
        <f>D203</f>
        <v>1.0656780701484247</v>
      </c>
      <c r="E210">
        <f>E203</f>
        <v>1.0976530275261509</v>
      </c>
      <c r="F210">
        <f>F206</f>
        <v>1.0692756212448786</v>
      </c>
      <c r="G210">
        <f>G203</f>
        <v>1.0560352585553097</v>
      </c>
      <c r="H210">
        <f>H206</f>
        <v>1.0489794763332911</v>
      </c>
      <c r="I210">
        <f>I206</f>
        <v>1.0350197223766568</v>
      </c>
      <c r="J210">
        <f>J206</f>
        <v>1.0075187969924813</v>
      </c>
      <c r="K210">
        <v>1</v>
      </c>
    </row>
    <row r="212" spans="1:11">
      <c r="A212" t="s">
        <v>222</v>
      </c>
    </row>
    <row r="217" spans="1:11">
      <c r="A217" s="242"/>
      <c r="B217" s="243" t="s">
        <v>58</v>
      </c>
      <c r="C217" s="243" t="s">
        <v>61</v>
      </c>
      <c r="D217" s="243" t="s">
        <v>62</v>
      </c>
      <c r="E217" s="243" t="s">
        <v>59</v>
      </c>
      <c r="F217" s="243" t="s">
        <v>60</v>
      </c>
      <c r="G217" s="243" t="s">
        <v>63</v>
      </c>
      <c r="H217" s="243" t="s">
        <v>64</v>
      </c>
      <c r="I217" s="243" t="s">
        <v>65</v>
      </c>
      <c r="J217" s="243" t="s">
        <v>66</v>
      </c>
      <c r="K217" s="253" t="s">
        <v>87</v>
      </c>
    </row>
    <row r="218" spans="1:11">
      <c r="A218" s="242" t="s">
        <v>75</v>
      </c>
      <c r="B218" s="242">
        <f>PRODUCT(B210:J210)</f>
        <v>2.1379751427032705</v>
      </c>
      <c r="C218" s="242">
        <f>PRODUCT(C210:K210)</f>
        <v>1.7016330543396545</v>
      </c>
      <c r="D218" s="242">
        <f>PRODUCT(D210:L210)</f>
        <v>1.4448673129430099</v>
      </c>
      <c r="E218" s="242">
        <f>PRODUCT(E210:K210)</f>
        <v>1.3558196920968568</v>
      </c>
      <c r="F218" s="242">
        <f>PRODUCT(F210:K210)</f>
        <v>1.2351987905982935</v>
      </c>
      <c r="G218" s="242">
        <f>PRODUCT(G210:K210)</f>
        <v>1.1551734333569139</v>
      </c>
      <c r="H218" s="242">
        <f t="shared" ref="H218:J218" si="18">PRODUCT(H210:P210)</f>
        <v>1.0938777128873789</v>
      </c>
      <c r="I218" s="242">
        <f t="shared" si="18"/>
        <v>1.0428018255524212</v>
      </c>
      <c r="J218" s="242">
        <f t="shared" si="18"/>
        <v>1.0075187969924813</v>
      </c>
      <c r="K218" s="242">
        <f>1</f>
        <v>1</v>
      </c>
    </row>
    <row r="224" spans="1:11">
      <c r="A224" s="257" t="s">
        <v>13</v>
      </c>
      <c r="B224" s="258"/>
      <c r="C224" s="258"/>
      <c r="D224" s="258"/>
      <c r="E224" s="258"/>
      <c r="F224" s="258"/>
      <c r="G224" s="258"/>
      <c r="H224" s="258"/>
      <c r="I224" s="258"/>
      <c r="J224" s="258"/>
      <c r="K224" s="259"/>
    </row>
    <row r="225" spans="1:11">
      <c r="A225" s="260" t="s">
        <v>12</v>
      </c>
      <c r="B225" s="261">
        <v>12</v>
      </c>
      <c r="C225" s="261">
        <v>24</v>
      </c>
      <c r="D225" s="261">
        <v>36</v>
      </c>
      <c r="E225" s="261">
        <v>48</v>
      </c>
      <c r="F225" s="261">
        <v>60</v>
      </c>
      <c r="G225" s="261">
        <v>72</v>
      </c>
      <c r="H225" s="261">
        <v>84</v>
      </c>
      <c r="I225" s="261">
        <v>96</v>
      </c>
      <c r="J225" s="261">
        <v>108</v>
      </c>
      <c r="K225" s="262">
        <v>120</v>
      </c>
    </row>
    <row r="226" spans="1:11">
      <c r="A226" s="263">
        <v>2010</v>
      </c>
      <c r="B226" s="264">
        <v>265200</v>
      </c>
      <c r="C226" s="264">
        <v>553520</v>
      </c>
      <c r="D226" s="264">
        <v>845000</v>
      </c>
      <c r="E226" s="264">
        <v>1038000</v>
      </c>
      <c r="F226" s="264">
        <v>1269140</v>
      </c>
      <c r="G226" s="264">
        <v>1466000</v>
      </c>
      <c r="H226" s="264">
        <v>1683650</v>
      </c>
      <c r="I226" s="264">
        <v>1839200</v>
      </c>
      <c r="J226" s="264">
        <v>1963500</v>
      </c>
      <c r="K226" s="265">
        <v>2038080</v>
      </c>
    </row>
    <row r="227" spans="1:11">
      <c r="A227" s="266">
        <v>2011</v>
      </c>
      <c r="B227" s="267">
        <v>325960</v>
      </c>
      <c r="C227" s="267">
        <v>702400</v>
      </c>
      <c r="D227" s="267">
        <v>1029530</v>
      </c>
      <c r="E227" s="267">
        <v>1292670</v>
      </c>
      <c r="F227" s="267">
        <v>1556880</v>
      </c>
      <c r="G227" s="267">
        <v>1827440</v>
      </c>
      <c r="H227" s="267">
        <v>2109310</v>
      </c>
      <c r="I227" s="267">
        <v>2285590</v>
      </c>
      <c r="J227" s="267">
        <v>2432700</v>
      </c>
      <c r="K227" s="268"/>
    </row>
    <row r="228" spans="1:11">
      <c r="A228" s="266">
        <v>2012</v>
      </c>
      <c r="B228" s="267">
        <v>358890</v>
      </c>
      <c r="C228" s="267">
        <v>786490</v>
      </c>
      <c r="D228" s="267">
        <v>1213590</v>
      </c>
      <c r="E228" s="267">
        <v>1455800</v>
      </c>
      <c r="F228" s="267">
        <v>1786990</v>
      </c>
      <c r="G228" s="267">
        <v>2074170</v>
      </c>
      <c r="H228" s="267">
        <v>2369920</v>
      </c>
      <c r="I228" s="267">
        <v>2572280</v>
      </c>
      <c r="J228" s="267"/>
      <c r="K228" s="268"/>
    </row>
    <row r="229" spans="1:11">
      <c r="A229" s="266">
        <v>2013</v>
      </c>
      <c r="B229" s="267">
        <v>383460</v>
      </c>
      <c r="C229" s="267">
        <v>840950</v>
      </c>
      <c r="D229" s="267">
        <v>1287910</v>
      </c>
      <c r="E229" s="267">
        <v>1571470</v>
      </c>
      <c r="F229" s="267">
        <v>1926920</v>
      </c>
      <c r="G229" s="267">
        <v>2234350</v>
      </c>
      <c r="H229" s="267">
        <v>2541530</v>
      </c>
      <c r="I229" s="267"/>
      <c r="J229" s="267"/>
      <c r="K229" s="268"/>
    </row>
    <row r="230" spans="1:11">
      <c r="A230" s="266">
        <v>2014</v>
      </c>
      <c r="B230" s="267">
        <v>375550</v>
      </c>
      <c r="C230" s="267">
        <v>784660</v>
      </c>
      <c r="D230" s="267">
        <v>1201110</v>
      </c>
      <c r="E230" s="267">
        <v>1448160</v>
      </c>
      <c r="F230" s="267">
        <v>1779630</v>
      </c>
      <c r="G230" s="267">
        <v>2052790</v>
      </c>
      <c r="H230" s="267"/>
      <c r="I230" s="267"/>
      <c r="J230" s="267"/>
      <c r="K230" s="268"/>
    </row>
    <row r="231" spans="1:11">
      <c r="A231" s="266">
        <v>2015</v>
      </c>
      <c r="B231" s="267">
        <v>364560</v>
      </c>
      <c r="C231" s="267">
        <v>783060</v>
      </c>
      <c r="D231" s="267">
        <v>1208490</v>
      </c>
      <c r="E231" s="267">
        <v>1461210</v>
      </c>
      <c r="F231" s="267">
        <v>1786040</v>
      </c>
      <c r="G231" s="267"/>
      <c r="H231" s="267"/>
      <c r="I231" s="267"/>
      <c r="J231" s="267"/>
      <c r="K231" s="268"/>
    </row>
    <row r="232" spans="1:11">
      <c r="A232" s="266">
        <v>2016</v>
      </c>
      <c r="B232" s="267">
        <v>322630</v>
      </c>
      <c r="C232" s="267">
        <v>685250</v>
      </c>
      <c r="D232" s="267">
        <v>1041620</v>
      </c>
      <c r="E232" s="267">
        <v>1268040</v>
      </c>
      <c r="F232" s="267"/>
      <c r="G232" s="267"/>
      <c r="H232" s="267"/>
      <c r="I232" s="267"/>
      <c r="J232" s="267"/>
      <c r="K232" s="268"/>
    </row>
    <row r="233" spans="1:11">
      <c r="A233" s="266">
        <v>2017</v>
      </c>
      <c r="B233" s="267">
        <v>321440</v>
      </c>
      <c r="C233" s="267">
        <v>697160</v>
      </c>
      <c r="D233" s="267">
        <v>1032020</v>
      </c>
      <c r="E233" s="267"/>
      <c r="F233" s="267"/>
      <c r="G233" s="267"/>
      <c r="H233" s="267"/>
      <c r="I233" s="267"/>
      <c r="J233" s="267"/>
      <c r="K233" s="268"/>
    </row>
    <row r="234" spans="1:11">
      <c r="A234" s="266">
        <v>2018</v>
      </c>
      <c r="B234" s="267">
        <v>264920</v>
      </c>
      <c r="C234" s="267">
        <v>586100</v>
      </c>
      <c r="D234" s="267"/>
      <c r="E234" s="267"/>
      <c r="F234" s="267"/>
      <c r="G234" s="267"/>
      <c r="H234" s="267"/>
      <c r="I234" s="267"/>
      <c r="J234" s="267"/>
      <c r="K234" s="268"/>
    </row>
    <row r="235" spans="1:11">
      <c r="A235" s="255">
        <v>2019</v>
      </c>
      <c r="B235" s="269">
        <v>345800</v>
      </c>
      <c r="C235" s="269"/>
      <c r="D235" s="269"/>
      <c r="E235" s="269"/>
      <c r="F235" s="269"/>
      <c r="G235" s="269"/>
      <c r="H235" s="269"/>
      <c r="I235" s="269"/>
      <c r="J235" s="269"/>
      <c r="K235" s="270"/>
    </row>
    <row r="239" spans="1:11">
      <c r="A239" s="430" t="s">
        <v>113</v>
      </c>
      <c r="B239" s="431"/>
      <c r="C239" s="431"/>
      <c r="D239" s="431"/>
      <c r="E239" s="431"/>
      <c r="F239" s="431"/>
      <c r="G239" s="431"/>
      <c r="H239" s="431"/>
      <c r="I239" s="431"/>
      <c r="J239" s="431"/>
      <c r="K239" s="432"/>
    </row>
    <row r="240" spans="1:11">
      <c r="A240" s="260" t="s">
        <v>12</v>
      </c>
      <c r="B240" s="261" t="s">
        <v>58</v>
      </c>
      <c r="C240" s="261" t="s">
        <v>61</v>
      </c>
      <c r="D240" s="261" t="s">
        <v>62</v>
      </c>
      <c r="E240" s="261" t="s">
        <v>59</v>
      </c>
      <c r="F240" s="261" t="s">
        <v>60</v>
      </c>
      <c r="G240" s="261" t="s">
        <v>63</v>
      </c>
      <c r="H240" s="261" t="s">
        <v>64</v>
      </c>
      <c r="I240" s="261" t="s">
        <v>65</v>
      </c>
      <c r="J240" s="261" t="s">
        <v>66</v>
      </c>
      <c r="K240" s="262"/>
    </row>
    <row r="241" spans="1:11">
      <c r="A241" s="263">
        <v>2010</v>
      </c>
      <c r="B241" s="271">
        <f t="shared" ref="B241:J241" si="19">C226/B226</f>
        <v>2.0871794871794873</v>
      </c>
      <c r="C241" s="271">
        <f t="shared" si="19"/>
        <v>1.5265934383581443</v>
      </c>
      <c r="D241" s="271">
        <f t="shared" si="19"/>
        <v>1.2284023668639052</v>
      </c>
      <c r="E241" s="271">
        <f t="shared" si="19"/>
        <v>1.2226782273603083</v>
      </c>
      <c r="F241" s="271">
        <f t="shared" si="19"/>
        <v>1.1551129111051579</v>
      </c>
      <c r="G241" s="271">
        <f t="shared" si="19"/>
        <v>1.1484652114597544</v>
      </c>
      <c r="H241" s="271">
        <f t="shared" si="19"/>
        <v>1.0923885605678141</v>
      </c>
      <c r="I241" s="271">
        <f t="shared" si="19"/>
        <v>1.0675837320574162</v>
      </c>
      <c r="J241" s="271">
        <f t="shared" si="19"/>
        <v>1.0379831932773109</v>
      </c>
      <c r="K241" s="273"/>
    </row>
    <row r="242" spans="1:11">
      <c r="A242" s="266">
        <v>2011</v>
      </c>
      <c r="B242" s="271">
        <f t="shared" ref="B242:I242" si="20">C227/B227</f>
        <v>2.1548656276843783</v>
      </c>
      <c r="C242" s="271">
        <f t="shared" si="20"/>
        <v>1.4657317767653759</v>
      </c>
      <c r="D242" s="271">
        <f t="shared" si="20"/>
        <v>1.2555923576777752</v>
      </c>
      <c r="E242" s="271">
        <f t="shared" si="20"/>
        <v>1.2043909118336467</v>
      </c>
      <c r="F242" s="271">
        <f t="shared" si="20"/>
        <v>1.1737834643646268</v>
      </c>
      <c r="G242" s="271">
        <f t="shared" si="20"/>
        <v>1.1542430941645143</v>
      </c>
      <c r="H242" s="271">
        <f t="shared" si="20"/>
        <v>1.0835723530443604</v>
      </c>
      <c r="I242" s="271">
        <f t="shared" si="20"/>
        <v>1.0643641247992859</v>
      </c>
      <c r="J242" s="271"/>
      <c r="K242" s="273"/>
    </row>
    <row r="243" spans="1:11">
      <c r="A243" s="266">
        <v>2012</v>
      </c>
      <c r="B243" s="271">
        <f t="shared" ref="B243:H243" si="21">C228/B228</f>
        <v>2.1914514196550474</v>
      </c>
      <c r="C243" s="271">
        <f t="shared" si="21"/>
        <v>1.5430456839883533</v>
      </c>
      <c r="D243" s="271">
        <f t="shared" si="21"/>
        <v>1.1995814072297892</v>
      </c>
      <c r="E243" s="271">
        <f t="shared" si="21"/>
        <v>1.2274969089160599</v>
      </c>
      <c r="F243" s="271">
        <f t="shared" si="21"/>
        <v>1.1607059916395728</v>
      </c>
      <c r="G243" s="271">
        <f t="shared" si="21"/>
        <v>1.1425871553440654</v>
      </c>
      <c r="H243" s="271">
        <f t="shared" si="21"/>
        <v>1.0853868485012153</v>
      </c>
      <c r="I243" s="271"/>
      <c r="J243" s="271"/>
      <c r="K243" s="273"/>
    </row>
    <row r="244" spans="1:11">
      <c r="A244" s="266">
        <v>2013</v>
      </c>
      <c r="B244" s="271">
        <f t="shared" ref="B244:G244" si="22">C229/B229</f>
        <v>2.1930579460699944</v>
      </c>
      <c r="C244" s="271">
        <f t="shared" si="22"/>
        <v>1.5314941435281526</v>
      </c>
      <c r="D244" s="271">
        <f t="shared" si="22"/>
        <v>1.2201706640991994</v>
      </c>
      <c r="E244" s="271">
        <f t="shared" si="22"/>
        <v>1.2261894913679547</v>
      </c>
      <c r="F244" s="271">
        <f t="shared" si="22"/>
        <v>1.159544765740145</v>
      </c>
      <c r="G244" s="271">
        <f t="shared" si="22"/>
        <v>1.137480699084745</v>
      </c>
      <c r="H244" s="271"/>
      <c r="I244" s="271"/>
      <c r="J244" s="271"/>
      <c r="K244" s="273"/>
    </row>
    <row r="245" spans="1:11">
      <c r="A245" s="266">
        <v>2014</v>
      </c>
      <c r="B245" s="271">
        <f>C230/B230</f>
        <v>2.0893622686726134</v>
      </c>
      <c r="C245" s="271">
        <f>D230/C230</f>
        <v>1.5307394285422986</v>
      </c>
      <c r="D245" s="271">
        <f>E230/D230</f>
        <v>1.2056847416140071</v>
      </c>
      <c r="E245" s="271">
        <f>F230/E230</f>
        <v>1.2288904540934704</v>
      </c>
      <c r="F245" s="271">
        <f>G230/F230</f>
        <v>1.1534925799182976</v>
      </c>
      <c r="G245" s="271"/>
      <c r="H245" s="271"/>
      <c r="I245" s="271"/>
      <c r="J245" s="271"/>
      <c r="K245" s="273"/>
    </row>
    <row r="246" spans="1:11">
      <c r="A246" s="266">
        <v>2015</v>
      </c>
      <c r="B246" s="271">
        <f>C231/B231</f>
        <v>2.1479591836734695</v>
      </c>
      <c r="C246" s="271">
        <f>D231/C231</f>
        <v>1.5432917017853038</v>
      </c>
      <c r="D246" s="271">
        <f>E231/D231</f>
        <v>1.209120472655959</v>
      </c>
      <c r="E246" s="271">
        <f>F231/E231</f>
        <v>1.2223020647271781</v>
      </c>
      <c r="F246" s="271"/>
      <c r="G246" s="271"/>
      <c r="H246" s="271"/>
      <c r="I246" s="271"/>
      <c r="J246" s="271"/>
      <c r="K246" s="273"/>
    </row>
    <row r="247" spans="1:11">
      <c r="A247" s="266">
        <v>2016</v>
      </c>
      <c r="B247" s="271">
        <f>C232/B232</f>
        <v>2.1239500356445462</v>
      </c>
      <c r="C247" s="271">
        <f>D232/C232</f>
        <v>1.5200583728566217</v>
      </c>
      <c r="D247" s="271">
        <f>E232/D232</f>
        <v>1.2173729383076362</v>
      </c>
      <c r="E247" s="271"/>
      <c r="F247" s="271"/>
      <c r="G247" s="271"/>
      <c r="H247" s="271"/>
      <c r="I247" s="271"/>
      <c r="J247" s="271"/>
      <c r="K247" s="273"/>
    </row>
    <row r="248" spans="1:11">
      <c r="A248" s="266">
        <v>2017</v>
      </c>
      <c r="B248" s="271">
        <f>C233/B233</f>
        <v>2.1688651070184171</v>
      </c>
      <c r="C248" s="271">
        <f>D233/C233</f>
        <v>1.4803201560617363</v>
      </c>
      <c r="D248" s="271"/>
      <c r="E248" s="271"/>
      <c r="F248" s="271"/>
      <c r="G248" s="271"/>
      <c r="H248" s="271"/>
      <c r="I248" s="271"/>
      <c r="J248" s="271"/>
      <c r="K248" s="273"/>
    </row>
    <row r="249" spans="1:11">
      <c r="A249" s="274">
        <v>2018</v>
      </c>
      <c r="B249" s="272">
        <f>C234/B234</f>
        <v>2.2123659972821983</v>
      </c>
      <c r="C249" s="272"/>
      <c r="D249" s="272"/>
      <c r="E249" s="272"/>
      <c r="F249" s="272"/>
      <c r="G249" s="272"/>
      <c r="H249" s="272"/>
      <c r="I249" s="272"/>
      <c r="J249" s="272"/>
      <c r="K249" s="275"/>
    </row>
    <row r="250" spans="1:11">
      <c r="A250" t="s">
        <v>112</v>
      </c>
    </row>
    <row r="253" spans="1:11">
      <c r="A253" s="276"/>
      <c r="B253" s="277" t="s">
        <v>58</v>
      </c>
      <c r="C253" s="277" t="s">
        <v>61</v>
      </c>
      <c r="D253" s="277" t="s">
        <v>62</v>
      </c>
      <c r="E253" s="277" t="s">
        <v>59</v>
      </c>
      <c r="F253" s="277" t="s">
        <v>60</v>
      </c>
      <c r="G253" s="277" t="s">
        <v>63</v>
      </c>
      <c r="H253" s="277" t="s">
        <v>64</v>
      </c>
      <c r="I253" s="277" t="s">
        <v>65</v>
      </c>
      <c r="J253" s="278" t="s">
        <v>66</v>
      </c>
    </row>
    <row r="254" spans="1:11">
      <c r="A254" s="279" t="s">
        <v>67</v>
      </c>
      <c r="B254" s="271"/>
      <c r="C254" s="271"/>
      <c r="D254" s="271"/>
      <c r="E254" s="271"/>
      <c r="F254" s="271"/>
      <c r="G254" s="271"/>
      <c r="H254" s="271"/>
      <c r="I254" s="271"/>
      <c r="J254" s="273"/>
    </row>
    <row r="255" spans="1:11">
      <c r="A255" s="279" t="s">
        <v>68</v>
      </c>
      <c r="B255" s="271">
        <f>SUM(B245:B249)/5</f>
        <v>2.1485005184582491</v>
      </c>
      <c r="C255" s="271">
        <f>SUM(C244:C248)/5</f>
        <v>1.5211807605548227</v>
      </c>
      <c r="D255" s="271">
        <f>SUM(D243:D247)/5</f>
        <v>1.2103860447813184</v>
      </c>
      <c r="E255" s="271">
        <f>SUM(E242:E246)/5</f>
        <v>1.221853966187662</v>
      </c>
      <c r="F255" s="271">
        <f>SUM(F241:F245)/5</f>
        <v>1.16052794255356</v>
      </c>
      <c r="G255" s="271">
        <f>SUM(G241:G244)/4</f>
        <v>1.1456940400132698</v>
      </c>
      <c r="H255" s="271">
        <f>SUM(H241:H243)/3</f>
        <v>1.0871159207044632</v>
      </c>
      <c r="I255" s="271">
        <f>SUM(I241:I242)/2</f>
        <v>1.0659739284283511</v>
      </c>
      <c r="J255" s="273">
        <f>J241</f>
        <v>1.0379831932773109</v>
      </c>
    </row>
    <row r="256" spans="1:11">
      <c r="A256" s="279" t="s">
        <v>69</v>
      </c>
      <c r="B256" s="271">
        <f>SUM(B247:B249)/3</f>
        <v>2.1683937133150537</v>
      </c>
      <c r="C256" s="271">
        <f>SUM(C246:C248)/3</f>
        <v>1.5145567435678871</v>
      </c>
      <c r="D256" s="271">
        <f>SUM(D245:D247)/3</f>
        <v>1.2107260508592008</v>
      </c>
      <c r="E256" s="271">
        <f>SUM(E244:E246)/3</f>
        <v>1.2257940033962011</v>
      </c>
      <c r="F256" s="271">
        <f>SUM(F243:F245)/3</f>
        <v>1.1579144457660051</v>
      </c>
      <c r="G256" s="271">
        <f>SUM(G241:G244)/3</f>
        <v>1.5275920533510263</v>
      </c>
      <c r="H256" s="271">
        <f>H255</f>
        <v>1.0871159207044632</v>
      </c>
      <c r="I256" s="271">
        <f>I255</f>
        <v>1.0659739284283511</v>
      </c>
      <c r="J256" s="273">
        <f>J255</f>
        <v>1.0379831932773109</v>
      </c>
    </row>
    <row r="257" spans="1:11">
      <c r="A257" s="279" t="s">
        <v>70</v>
      </c>
      <c r="B257" s="271"/>
      <c r="C257" s="271"/>
      <c r="D257" s="271"/>
      <c r="E257" s="271"/>
      <c r="F257" s="271"/>
      <c r="G257" s="271"/>
      <c r="H257" s="271"/>
      <c r="I257" s="271"/>
      <c r="J257" s="273"/>
    </row>
    <row r="258" spans="1:11">
      <c r="A258" s="279" t="s">
        <v>68</v>
      </c>
      <c r="B258" s="271">
        <f>SUM(C230:C234)/SUM(B230:B234)</f>
        <v>2.1443393366078469</v>
      </c>
      <c r="C258" s="271">
        <f>SUM(D229:D233)/SUM(C229:C233)</f>
        <v>1.5222970762948818</v>
      </c>
      <c r="D258" s="271">
        <f>SUM(E228:E232)/SUM(D228:D232)</f>
        <v>1.2103173003265735</v>
      </c>
      <c r="E258" s="271">
        <f>SUM(F227:F231)/SUM(E227:E231)</f>
        <v>1.2223102896403668</v>
      </c>
      <c r="F258" s="271">
        <f>SUM(G226:G230)/SUM(F226:F230)</f>
        <v>1.1604880546567367</v>
      </c>
      <c r="G258" s="271">
        <f>SUM(H226:H229)/SUM(G226:G229)</f>
        <v>1.1450218101647469</v>
      </c>
      <c r="H258" s="271">
        <f>SUM(I226:I228)/SUM(H226:H228)</f>
        <v>1.0866786307700296</v>
      </c>
      <c r="I258" s="271">
        <f>SUM(J226:J227)/SUM(I226:I227)</f>
        <v>1.0657997134399571</v>
      </c>
      <c r="J258" s="273">
        <f>SUM(K226)/SUM(J226)</f>
        <v>1.0379831932773109</v>
      </c>
    </row>
    <row r="259" spans="1:11">
      <c r="A259" s="279" t="s">
        <v>69</v>
      </c>
      <c r="B259" s="271">
        <f>SUM(C232:C234)/SUM(B232:B234)</f>
        <v>2.1656013817533748</v>
      </c>
      <c r="C259" s="271">
        <f>SUM(D231:D233)/SUM(C231:C233)</f>
        <v>1.5156663449505188</v>
      </c>
      <c r="D259" s="271">
        <f>SUM(E230:E232)/SUM(D230:D232)</f>
        <v>1.2104154472911028</v>
      </c>
      <c r="E259" s="271">
        <f>SUM(F229:F231)/SUM(E229:E231)</f>
        <v>1.2257947170619794</v>
      </c>
      <c r="F259" s="271">
        <f>SUM(G228:G230)/SUM(F228:F230)</f>
        <v>1.1579618970645522</v>
      </c>
      <c r="G259" s="271">
        <f>SUM(H227:H229)/SUM(G227:G229)</f>
        <v>1.1441991147269539</v>
      </c>
      <c r="H259" s="271">
        <f>H258</f>
        <v>1.0866786307700296</v>
      </c>
      <c r="I259" s="271">
        <f>I258</f>
        <v>1.0657997134399571</v>
      </c>
      <c r="J259" s="273">
        <f>J258</f>
        <v>1.0379831932773109</v>
      </c>
    </row>
    <row r="260" spans="1:11">
      <c r="A260" s="279" t="s">
        <v>71</v>
      </c>
      <c r="B260" s="271"/>
      <c r="C260" s="271"/>
      <c r="D260" s="271"/>
      <c r="E260" s="271"/>
      <c r="F260" s="271"/>
      <c r="G260" s="271"/>
      <c r="H260" s="271"/>
      <c r="I260" s="271"/>
      <c r="J260" s="273"/>
    </row>
    <row r="261" spans="1:11">
      <c r="A261" s="280" t="s">
        <v>72</v>
      </c>
      <c r="B261" s="272">
        <f>PRODUCT(B246:B249)^(0.25)</f>
        <v>2.1630420352937931</v>
      </c>
      <c r="C261" s="272">
        <f>PRODUCT(C245:C248)^(0.25)</f>
        <v>1.5184178554018291</v>
      </c>
      <c r="D261" s="272">
        <f>PRODUCT(D244:D247)^(0.25)</f>
        <v>1.2130728714998429</v>
      </c>
      <c r="E261" s="272">
        <f>PRODUCT(E243:E246)^(0.25)</f>
        <v>1.2262172695480642</v>
      </c>
      <c r="F261" s="272">
        <f>PRODUCT(F242:F245)^(0.25)</f>
        <v>1.161858219154601</v>
      </c>
      <c r="G261" s="272">
        <f>PRODUCT(G241:G244)^(0.25)</f>
        <v>1.1456768185793893</v>
      </c>
      <c r="H261" s="272">
        <f>PRODUCT(H241:H243)^(1/3)</f>
        <v>1.0871092841653947</v>
      </c>
      <c r="I261" s="272">
        <f>PRODUCT(I241:I242)^(0.5)</f>
        <v>1.0659727128877394</v>
      </c>
      <c r="J261" s="275">
        <f>J258</f>
        <v>1.0379831932773109</v>
      </c>
    </row>
    <row r="264" spans="1:11">
      <c r="A264" s="254" t="s">
        <v>73</v>
      </c>
      <c r="B264" s="261" t="s">
        <v>58</v>
      </c>
      <c r="C264" s="261" t="s">
        <v>61</v>
      </c>
      <c r="D264" s="261" t="s">
        <v>62</v>
      </c>
      <c r="E264" s="261" t="s">
        <v>59</v>
      </c>
      <c r="F264" s="261" t="s">
        <v>60</v>
      </c>
      <c r="G264" s="261" t="s">
        <v>63</v>
      </c>
      <c r="H264" s="261" t="s">
        <v>64</v>
      </c>
      <c r="I264" s="261" t="s">
        <v>65</v>
      </c>
      <c r="J264" s="261" t="s">
        <v>66</v>
      </c>
      <c r="K264" s="282" t="s">
        <v>87</v>
      </c>
    </row>
    <row r="265" spans="1:11">
      <c r="A265" s="254"/>
      <c r="B265" s="254">
        <f>B261</f>
        <v>2.1630420352937931</v>
      </c>
      <c r="C265" s="254">
        <f>C258</f>
        <v>1.5222970762948818</v>
      </c>
      <c r="D265" s="254">
        <f>D258</f>
        <v>1.2103173003265735</v>
      </c>
      <c r="E265" s="254">
        <f>E258</f>
        <v>1.2223102896403668</v>
      </c>
      <c r="F265" s="254">
        <f>F261</f>
        <v>1.161858219154601</v>
      </c>
      <c r="G265" s="254">
        <f>G258</f>
        <v>1.1450218101647469</v>
      </c>
      <c r="H265" s="254">
        <f>H261</f>
        <v>1.0871092841653947</v>
      </c>
      <c r="I265" s="254">
        <f>I261</f>
        <v>1.0659727128877394</v>
      </c>
      <c r="J265" s="254">
        <f>J261</f>
        <v>1.0379831932773109</v>
      </c>
      <c r="K265" s="254">
        <v>1</v>
      </c>
    </row>
    <row r="267" spans="1:11">
      <c r="A267" t="s">
        <v>223</v>
      </c>
    </row>
    <row r="271" spans="1:11">
      <c r="A271" s="254"/>
      <c r="B271" s="261" t="s">
        <v>58</v>
      </c>
      <c r="C271" s="261" t="s">
        <v>61</v>
      </c>
      <c r="D271" s="261" t="s">
        <v>62</v>
      </c>
      <c r="E271" s="261" t="s">
        <v>59</v>
      </c>
      <c r="F271" s="261" t="s">
        <v>60</v>
      </c>
      <c r="G271" s="261" t="s">
        <v>63</v>
      </c>
      <c r="H271" s="261" t="s">
        <v>64</v>
      </c>
      <c r="I271" s="261" t="s">
        <v>65</v>
      </c>
      <c r="J271" s="261" t="s">
        <v>66</v>
      </c>
      <c r="K271" s="282" t="s">
        <v>87</v>
      </c>
    </row>
    <row r="272" spans="1:11">
      <c r="A272" s="254" t="s">
        <v>75</v>
      </c>
      <c r="B272" s="254">
        <f t="shared" ref="B272:J272" si="23">PRODUCT(B265:J265)</f>
        <v>7.7950981739553802</v>
      </c>
      <c r="C272" s="254">
        <f t="shared" si="23"/>
        <v>3.6037663839929115</v>
      </c>
      <c r="D272" s="254">
        <f t="shared" si="23"/>
        <v>2.3673213593526157</v>
      </c>
      <c r="E272" s="254">
        <f t="shared" si="23"/>
        <v>1.9559510210370896</v>
      </c>
      <c r="F272" s="254">
        <f t="shared" si="23"/>
        <v>1.6002082594040647</v>
      </c>
      <c r="G272" s="254">
        <f t="shared" si="23"/>
        <v>1.3772835902201725</v>
      </c>
      <c r="H272" s="254">
        <f t="shared" si="23"/>
        <v>1.2028448523805915</v>
      </c>
      <c r="I272" s="254">
        <f t="shared" si="23"/>
        <v>1.1064617604696938</v>
      </c>
      <c r="J272" s="254">
        <f t="shared" si="23"/>
        <v>1.0379831932773109</v>
      </c>
      <c r="K272" s="254">
        <f>1</f>
        <v>1</v>
      </c>
    </row>
    <row r="282" spans="1:14">
      <c r="A282" s="437" t="s">
        <v>116</v>
      </c>
      <c r="B282" s="437"/>
      <c r="C282" s="437"/>
      <c r="D282" s="437"/>
      <c r="E282" s="437"/>
      <c r="F282" s="437"/>
      <c r="G282" s="437"/>
      <c r="H282" s="437"/>
      <c r="I282" s="437"/>
      <c r="J282" s="437"/>
      <c r="K282" s="254"/>
      <c r="L282" s="254"/>
    </row>
    <row r="283" spans="1:14">
      <c r="A283" s="271"/>
      <c r="B283" s="271"/>
      <c r="C283" s="271"/>
      <c r="D283" s="271"/>
      <c r="E283" s="271"/>
      <c r="F283" s="271"/>
      <c r="G283" s="271"/>
      <c r="H283" s="271"/>
      <c r="I283" s="281" t="s">
        <v>117</v>
      </c>
      <c r="J283" s="281"/>
      <c r="K283" s="438" t="s">
        <v>119</v>
      </c>
      <c r="L283" s="438"/>
      <c r="M283" s="438"/>
      <c r="N283" s="438"/>
    </row>
    <row r="284" spans="1:14">
      <c r="A284" s="271"/>
      <c r="B284" s="271"/>
      <c r="C284" s="271" t="s">
        <v>114</v>
      </c>
      <c r="D284" s="271"/>
      <c r="E284" s="271"/>
      <c r="F284" s="271" t="s">
        <v>75</v>
      </c>
      <c r="G284" s="271"/>
      <c r="H284" s="261"/>
      <c r="I284" s="256" t="s">
        <v>115</v>
      </c>
      <c r="J284" s="256"/>
    </row>
    <row r="285" spans="1:14">
      <c r="A285" s="284" t="s">
        <v>12</v>
      </c>
      <c r="B285" s="271" t="s">
        <v>81</v>
      </c>
      <c r="C285" s="271"/>
      <c r="D285" s="271" t="s">
        <v>83</v>
      </c>
      <c r="E285" s="271"/>
      <c r="F285" s="271" t="s">
        <v>83</v>
      </c>
      <c r="G285" s="271"/>
      <c r="H285" s="261"/>
      <c r="I285" s="271" t="s">
        <v>83</v>
      </c>
      <c r="J285" s="271"/>
      <c r="K285" s="433" t="s">
        <v>118</v>
      </c>
      <c r="L285" s="433"/>
      <c r="M285" s="433" t="s">
        <v>120</v>
      </c>
      <c r="N285" s="433"/>
    </row>
    <row r="286" spans="1:14">
      <c r="A286" s="256">
        <v>2010</v>
      </c>
      <c r="B286" s="261">
        <v>120</v>
      </c>
      <c r="C286" s="177"/>
      <c r="D286" s="177">
        <f>K171</f>
        <v>2680</v>
      </c>
      <c r="E286" s="271"/>
      <c r="F286" s="271">
        <f>K218</f>
        <v>1</v>
      </c>
      <c r="G286" s="271"/>
      <c r="H286" s="271"/>
      <c r="I286" s="271">
        <f t="shared" ref="I286:I295" si="24">PRODUCT(D286,F286)</f>
        <v>2680</v>
      </c>
      <c r="J286" s="271"/>
      <c r="K286" s="254"/>
      <c r="L286" s="254">
        <f>1.06^9</f>
        <v>1.6894789590026928</v>
      </c>
      <c r="N286">
        <f>I286*L286</f>
        <v>4527.8036101272164</v>
      </c>
    </row>
    <row r="287" spans="1:14">
      <c r="A287" s="256">
        <v>2011</v>
      </c>
      <c r="B287" s="261">
        <v>108</v>
      </c>
      <c r="C287" s="177"/>
      <c r="D287" s="177">
        <f>J172</f>
        <v>2819.6039603960394</v>
      </c>
      <c r="E287" s="271"/>
      <c r="F287" s="271">
        <f>J218</f>
        <v>1.0075187969924813</v>
      </c>
      <c r="G287" s="271"/>
      <c r="H287" s="271"/>
      <c r="I287" s="271">
        <f t="shared" si="24"/>
        <v>2840.8039901734533</v>
      </c>
      <c r="J287" s="271"/>
      <c r="K287" s="254"/>
      <c r="L287" s="254">
        <f>1.06^8</f>
        <v>1.5938480745308423</v>
      </c>
      <c r="N287" s="254">
        <f t="shared" ref="N287:N295" si="25">I287*L287</f>
        <v>4527.8099698574924</v>
      </c>
    </row>
    <row r="288" spans="1:14">
      <c r="A288" s="256">
        <v>2012</v>
      </c>
      <c r="B288" s="261">
        <v>96</v>
      </c>
      <c r="C288" s="177"/>
      <c r="D288" s="177">
        <f>I173</f>
        <v>2887.6476683937822</v>
      </c>
      <c r="E288" s="271"/>
      <c r="F288" s="271">
        <f>I218</f>
        <v>1.0428018255524212</v>
      </c>
      <c r="G288" s="271"/>
      <c r="H288" s="271"/>
      <c r="I288" s="271">
        <f t="shared" si="24"/>
        <v>3011.2442601532284</v>
      </c>
      <c r="J288" s="271"/>
      <c r="K288" s="254"/>
      <c r="L288" s="254">
        <f>1.06^7</f>
        <v>1.5036302589913608</v>
      </c>
      <c r="N288" s="254">
        <f t="shared" si="25"/>
        <v>4527.7979867804479</v>
      </c>
    </row>
    <row r="289" spans="1:15">
      <c r="A289" s="256">
        <v>2013</v>
      </c>
      <c r="B289" s="261">
        <v>84</v>
      </c>
      <c r="C289" s="177"/>
      <c r="D289" s="177">
        <f>H174</f>
        <v>2917.9939209726444</v>
      </c>
      <c r="E289" s="271"/>
      <c r="F289" s="271">
        <f>H218</f>
        <v>1.0938777128873789</v>
      </c>
      <c r="G289" s="271"/>
      <c r="H289" s="271"/>
      <c r="I289" s="271">
        <f t="shared" si="24"/>
        <v>3191.9285164928315</v>
      </c>
      <c r="J289" s="271"/>
      <c r="K289" s="254"/>
      <c r="L289" s="254">
        <f>1.06^6</f>
        <v>1.4185191122560006</v>
      </c>
      <c r="N289" s="254">
        <f t="shared" si="25"/>
        <v>4527.8116056000244</v>
      </c>
    </row>
    <row r="290" spans="1:15">
      <c r="A290" s="256">
        <v>2014</v>
      </c>
      <c r="B290" s="261">
        <v>72</v>
      </c>
      <c r="C290" s="177"/>
      <c r="D290" s="177">
        <f>G175</f>
        <v>2928.9485981308412</v>
      </c>
      <c r="E290" s="271"/>
      <c r="F290" s="271">
        <f>G218</f>
        <v>1.1551734333569139</v>
      </c>
      <c r="G290" s="271"/>
      <c r="H290" s="271"/>
      <c r="I290" s="271">
        <f t="shared" si="24"/>
        <v>3383.4436082287239</v>
      </c>
      <c r="J290" s="271"/>
      <c r="K290" s="254"/>
      <c r="L290" s="254">
        <f>1.06^5</f>
        <v>1.3382255776000005</v>
      </c>
      <c r="N290" s="254">
        <f t="shared" si="25"/>
        <v>4527.8107768989139</v>
      </c>
    </row>
    <row r="291" spans="1:15">
      <c r="A291" s="256">
        <v>2015</v>
      </c>
      <c r="B291" s="261">
        <v>60</v>
      </c>
      <c r="C291" s="177"/>
      <c r="D291" s="177">
        <f>F176</f>
        <v>2917.0716889428918</v>
      </c>
      <c r="E291" s="271"/>
      <c r="F291" s="271">
        <f>F218</f>
        <v>1.2351987905982935</v>
      </c>
      <c r="G291" s="271"/>
      <c r="H291" s="271"/>
      <c r="I291" s="271">
        <f t="shared" si="24"/>
        <v>3603.1634222707812</v>
      </c>
      <c r="J291" s="271"/>
      <c r="K291" s="254"/>
      <c r="L291" s="254">
        <f>1.06^4</f>
        <v>1.2624769600000003</v>
      </c>
      <c r="N291" s="254">
        <f t="shared" si="25"/>
        <v>4548.9108037316137</v>
      </c>
    </row>
    <row r="292" spans="1:15">
      <c r="A292" s="256">
        <v>2016</v>
      </c>
      <c r="B292" s="261">
        <v>48</v>
      </c>
      <c r="C292" s="177"/>
      <c r="D292" s="177">
        <f>E177</f>
        <v>2797.8656716417909</v>
      </c>
      <c r="E292" s="271"/>
      <c r="F292" s="271">
        <f>E218</f>
        <v>1.3558196920968568</v>
      </c>
      <c r="G292" s="271"/>
      <c r="H292" s="271"/>
      <c r="I292" s="271">
        <f t="shared" si="24"/>
        <v>3793.4013734537384</v>
      </c>
      <c r="J292" s="271"/>
      <c r="K292" s="254"/>
      <c r="L292" s="254">
        <f>1.06^3</f>
        <v>1.1910160000000003</v>
      </c>
      <c r="N292" s="254">
        <f t="shared" si="25"/>
        <v>4518.0017302053784</v>
      </c>
    </row>
    <row r="293" spans="1:15">
      <c r="A293" s="256">
        <v>2017</v>
      </c>
      <c r="B293" s="261">
        <v>36</v>
      </c>
      <c r="C293" s="177"/>
      <c r="D293" s="177">
        <f>D178</f>
        <v>2965.4905063291139</v>
      </c>
      <c r="E293" s="271"/>
      <c r="F293" s="271">
        <f>D218</f>
        <v>1.4448673129430099</v>
      </c>
      <c r="G293" s="271"/>
      <c r="H293" s="271"/>
      <c r="I293" s="271">
        <f t="shared" si="24"/>
        <v>4284.7402994377526</v>
      </c>
      <c r="J293" s="271"/>
      <c r="K293" s="254"/>
      <c r="L293" s="254">
        <f>1.06^2</f>
        <v>1.1236000000000002</v>
      </c>
      <c r="N293" s="254">
        <f t="shared" si="25"/>
        <v>4814.3342004482593</v>
      </c>
    </row>
    <row r="294" spans="1:15">
      <c r="A294" s="256">
        <v>2018</v>
      </c>
      <c r="B294" s="261">
        <v>24</v>
      </c>
      <c r="C294" s="177"/>
      <c r="D294" s="177">
        <f>C179</f>
        <v>2792.0077220077219</v>
      </c>
      <c r="E294" s="271"/>
      <c r="F294" s="271">
        <f>C218</f>
        <v>1.7016330543396545</v>
      </c>
      <c r="G294" s="271"/>
      <c r="H294" s="271"/>
      <c r="I294" s="271">
        <f t="shared" si="24"/>
        <v>4750.9726277399004</v>
      </c>
      <c r="J294" s="271"/>
      <c r="K294" s="254"/>
      <c r="L294" s="254">
        <f>1.06</f>
        <v>1.06</v>
      </c>
      <c r="N294" s="254">
        <f t="shared" si="25"/>
        <v>5036.0309854042944</v>
      </c>
    </row>
    <row r="295" spans="1:15">
      <c r="A295" s="256">
        <v>2019</v>
      </c>
      <c r="B295" s="261">
        <v>12</v>
      </c>
      <c r="C295" s="177"/>
      <c r="D295" s="177">
        <f>B180</f>
        <v>2341.0761589403974</v>
      </c>
      <c r="E295" s="271"/>
      <c r="F295" s="271">
        <f>B218</f>
        <v>2.1379751427032705</v>
      </c>
      <c r="G295" s="271"/>
      <c r="H295" s="271"/>
      <c r="I295" s="271">
        <f t="shared" si="24"/>
        <v>5005.1626349898206</v>
      </c>
      <c r="J295" s="271"/>
      <c r="K295" s="254"/>
      <c r="L295" s="254">
        <v>1</v>
      </c>
      <c r="N295" s="254">
        <f t="shared" si="25"/>
        <v>5005.1626349898206</v>
      </c>
    </row>
    <row r="297" spans="1:15">
      <c r="D297" s="287" t="s">
        <v>2</v>
      </c>
      <c r="E297" s="433" t="s">
        <v>106</v>
      </c>
      <c r="F297" s="433"/>
      <c r="O297" t="s">
        <v>125</v>
      </c>
    </row>
    <row r="298" spans="1:15">
      <c r="D298" s="287" t="s">
        <v>4</v>
      </c>
      <c r="E298" s="434" t="s">
        <v>105</v>
      </c>
      <c r="F298" s="435"/>
      <c r="O298" t="s">
        <v>126</v>
      </c>
    </row>
    <row r="299" spans="1:15">
      <c r="A299" s="296" t="s">
        <v>12</v>
      </c>
      <c r="B299" s="295" t="s">
        <v>81</v>
      </c>
      <c r="D299" s="288" t="s">
        <v>7</v>
      </c>
      <c r="E299" s="434" t="s">
        <v>89</v>
      </c>
      <c r="F299" s="435"/>
      <c r="G299" t="s">
        <v>121</v>
      </c>
      <c r="H299" s="433" t="s">
        <v>122</v>
      </c>
      <c r="I299" s="433"/>
      <c r="J299" s="433" t="s">
        <v>123</v>
      </c>
      <c r="K299" s="433"/>
      <c r="L299" s="292" t="s">
        <v>124</v>
      </c>
      <c r="M299" s="292"/>
      <c r="O299" t="s">
        <v>119</v>
      </c>
    </row>
    <row r="300" spans="1:15">
      <c r="A300" s="293">
        <v>2010</v>
      </c>
      <c r="B300" s="294">
        <v>120</v>
      </c>
      <c r="D300" s="289">
        <v>5191000</v>
      </c>
      <c r="E300" s="286"/>
      <c r="F300" s="286">
        <v>772</v>
      </c>
      <c r="G300">
        <f>F300/D300</f>
        <v>1.4871893662107494E-4</v>
      </c>
      <c r="H300" s="292"/>
      <c r="I300" s="292">
        <f>0.995^9</f>
        <v>0.95588957835755972</v>
      </c>
      <c r="K300">
        <f>G300*I300</f>
        <v>1.4215888162050398E-4</v>
      </c>
      <c r="M300">
        <f>D300*K300</f>
        <v>737.94675449203612</v>
      </c>
      <c r="O300">
        <v>4527.8036101272164</v>
      </c>
    </row>
    <row r="301" spans="1:15">
      <c r="A301" s="293">
        <v>2011</v>
      </c>
      <c r="B301" s="294">
        <v>108</v>
      </c>
      <c r="D301" s="289">
        <v>6078400</v>
      </c>
      <c r="E301" s="286"/>
      <c r="F301" s="286">
        <v>902.33766233766221</v>
      </c>
      <c r="G301" s="291">
        <f t="shared" ref="G301:G309" si="26">F301/D301</f>
        <v>1.4844986548066304E-4</v>
      </c>
      <c r="H301" s="292"/>
      <c r="I301" s="292">
        <f>0.995^8</f>
        <v>0.96069304357543694</v>
      </c>
      <c r="K301" s="292">
        <f t="shared" ref="K301:K309" si="27">G301*I301</f>
        <v>1.4261475308698237E-4</v>
      </c>
      <c r="M301" s="292">
        <f t="shared" ref="M301:M309" si="28">D301*K301</f>
        <v>866.86951516391366</v>
      </c>
      <c r="O301">
        <v>4527.8099698574924</v>
      </c>
    </row>
    <row r="302" spans="1:15">
      <c r="A302" s="293">
        <v>2012</v>
      </c>
      <c r="B302" s="294">
        <v>96</v>
      </c>
      <c r="D302" s="289">
        <v>6490000</v>
      </c>
      <c r="E302" s="286"/>
      <c r="F302" s="286">
        <v>961.62246343709705</v>
      </c>
      <c r="G302" s="291">
        <f t="shared" si="26"/>
        <v>1.481698710997068E-4</v>
      </c>
      <c r="H302" s="292"/>
      <c r="I302" s="292">
        <f>0.995^7</f>
        <v>0.96552064680948435</v>
      </c>
      <c r="K302" s="292">
        <f t="shared" si="27"/>
        <v>1.4306106978186683E-4</v>
      </c>
      <c r="M302" s="292">
        <f t="shared" si="28"/>
        <v>928.46634288431574</v>
      </c>
      <c r="O302">
        <v>4527.7979867804479</v>
      </c>
    </row>
    <row r="303" spans="1:15">
      <c r="A303" s="293">
        <v>2013</v>
      </c>
      <c r="B303" s="294">
        <v>84</v>
      </c>
      <c r="D303" s="289">
        <v>6648000</v>
      </c>
      <c r="E303" s="286"/>
      <c r="F303" s="286">
        <v>981.13975584326295</v>
      </c>
      <c r="G303" s="291">
        <f t="shared" si="26"/>
        <v>1.4758419913406482E-4</v>
      </c>
      <c r="H303" s="292"/>
      <c r="I303" s="292">
        <f>0.995^6</f>
        <v>0.97037250935626573</v>
      </c>
      <c r="K303" s="292">
        <f t="shared" si="27"/>
        <v>1.4321164965505728E-4</v>
      </c>
      <c r="M303" s="292">
        <f t="shared" si="28"/>
        <v>952.07104690682081</v>
      </c>
      <c r="O303">
        <v>4527.8116056000244</v>
      </c>
    </row>
    <row r="304" spans="1:15">
      <c r="A304" s="293">
        <v>2014</v>
      </c>
      <c r="B304" s="294">
        <v>72</v>
      </c>
      <c r="D304" s="289">
        <v>6041600</v>
      </c>
      <c r="E304" s="286"/>
      <c r="F304" s="286">
        <v>850.11632918730845</v>
      </c>
      <c r="G304" s="291">
        <f t="shared" si="26"/>
        <v>1.4071046232575946E-4</v>
      </c>
      <c r="H304" s="292"/>
      <c r="I304" s="292">
        <f>0.995^5</f>
        <v>0.97524875312187509</v>
      </c>
      <c r="K304" s="292">
        <f t="shared" si="27"/>
        <v>1.3722770293439948E-4</v>
      </c>
      <c r="M304" s="292">
        <f t="shared" si="28"/>
        <v>829.07489004846786</v>
      </c>
      <c r="O304">
        <v>4527.8107768989139</v>
      </c>
    </row>
    <row r="305" spans="1:15">
      <c r="A305" s="293">
        <v>2015</v>
      </c>
      <c r="B305" s="294">
        <v>60</v>
      </c>
      <c r="D305" s="289">
        <v>5770600</v>
      </c>
      <c r="E305" s="286"/>
      <c r="F305" s="286">
        <v>818.52179756040562</v>
      </c>
      <c r="G305" s="291">
        <f t="shared" si="26"/>
        <v>1.4184344739895429E-4</v>
      </c>
      <c r="H305" s="292"/>
      <c r="I305" s="292">
        <f>0.995^4</f>
        <v>0.98014950062500006</v>
      </c>
      <c r="K305" s="292">
        <f t="shared" si="27"/>
        <v>1.3902778413501349E-4</v>
      </c>
      <c r="M305" s="292">
        <f t="shared" si="28"/>
        <v>802.27373112950886</v>
      </c>
      <c r="O305">
        <v>4548.9108037316137</v>
      </c>
    </row>
    <row r="306" spans="1:15">
      <c r="A306" s="293">
        <v>2016</v>
      </c>
      <c r="B306" s="294">
        <v>48</v>
      </c>
      <c r="D306" s="289">
        <v>4864650</v>
      </c>
      <c r="E306" s="286"/>
      <c r="F306" s="286">
        <v>659.28450108381912</v>
      </c>
      <c r="G306" s="291">
        <f t="shared" si="26"/>
        <v>1.355255776024625E-4</v>
      </c>
      <c r="H306" s="292"/>
      <c r="I306" s="292">
        <f>0.995^3</f>
        <v>0.98507487500000002</v>
      </c>
      <c r="K306" s="292">
        <f t="shared" si="27"/>
        <v>1.3350284141604854E-4</v>
      </c>
      <c r="M306" s="292">
        <f t="shared" si="28"/>
        <v>649.44459749458053</v>
      </c>
      <c r="O306">
        <v>4518.0017302053784</v>
      </c>
    </row>
    <row r="307" spans="1:15">
      <c r="A307" s="293">
        <v>2017</v>
      </c>
      <c r="B307" s="294">
        <v>36</v>
      </c>
      <c r="D307" s="289">
        <v>4581100</v>
      </c>
      <c r="E307" s="286"/>
      <c r="F307" s="286">
        <v>620.78277538865848</v>
      </c>
      <c r="G307" s="291">
        <f t="shared" si="26"/>
        <v>1.3550954473568759E-4</v>
      </c>
      <c r="H307" s="292"/>
      <c r="I307" s="292">
        <f>0.995^2</f>
        <v>0.99002500000000004</v>
      </c>
      <c r="K307" s="292">
        <f t="shared" si="27"/>
        <v>1.3415783702694912E-4</v>
      </c>
      <c r="M307" s="292">
        <f t="shared" si="28"/>
        <v>614.59046720415665</v>
      </c>
      <c r="O307">
        <v>4814.3342004482593</v>
      </c>
    </row>
    <row r="308" spans="1:15">
      <c r="A308" s="293">
        <v>2018</v>
      </c>
      <c r="B308" s="294">
        <v>24</v>
      </c>
      <c r="D308" s="289">
        <v>3504000</v>
      </c>
      <c r="E308" s="286"/>
      <c r="F308" s="286">
        <v>496.3476607352099</v>
      </c>
      <c r="G308" s="291">
        <f t="shared" si="26"/>
        <v>1.4165172966187496E-4</v>
      </c>
      <c r="H308" s="292"/>
      <c r="I308" s="292">
        <f>0.995</f>
        <v>0.995</v>
      </c>
      <c r="K308" s="292">
        <f t="shared" si="27"/>
        <v>1.4094347101356559E-4</v>
      </c>
      <c r="M308" s="292">
        <f t="shared" si="28"/>
        <v>493.86592243153382</v>
      </c>
      <c r="O308">
        <v>5036.0309854042944</v>
      </c>
    </row>
    <row r="309" spans="1:15">
      <c r="A309" s="293">
        <v>2019</v>
      </c>
      <c r="B309" s="294">
        <v>12</v>
      </c>
      <c r="D309" s="290">
        <v>4194900</v>
      </c>
      <c r="E309" s="286"/>
      <c r="F309" s="286">
        <v>598.6994296019833</v>
      </c>
      <c r="G309" s="291">
        <f t="shared" si="26"/>
        <v>1.4272078705141559E-4</v>
      </c>
      <c r="H309" s="292"/>
      <c r="I309" s="292">
        <v>1</v>
      </c>
      <c r="K309" s="292">
        <f t="shared" si="27"/>
        <v>1.4272078705141559E-4</v>
      </c>
      <c r="M309" s="292">
        <f t="shared" si="28"/>
        <v>598.6994296019833</v>
      </c>
      <c r="O309">
        <v>5005.1626349898206</v>
      </c>
    </row>
    <row r="312" spans="1:15">
      <c r="A312" s="430" t="s">
        <v>156</v>
      </c>
      <c r="B312" s="431"/>
      <c r="C312" s="431"/>
      <c r="D312" s="431"/>
      <c r="E312" s="431"/>
      <c r="F312" s="431"/>
      <c r="G312" s="431"/>
      <c r="H312" s="431"/>
      <c r="I312" s="431"/>
      <c r="J312" s="431"/>
      <c r="K312" s="432"/>
    </row>
    <row r="313" spans="1:15">
      <c r="A313" s="402"/>
      <c r="B313" s="392"/>
      <c r="C313" s="392"/>
      <c r="D313" s="392"/>
      <c r="E313" s="392"/>
      <c r="F313" s="392" t="s">
        <v>82</v>
      </c>
      <c r="G313" s="392"/>
      <c r="H313" s="422" t="s">
        <v>53</v>
      </c>
      <c r="I313" s="422"/>
      <c r="J313" s="392"/>
      <c r="K313" s="394"/>
    </row>
    <row r="314" spans="1:15">
      <c r="A314" s="297" t="s">
        <v>12</v>
      </c>
      <c r="B314" s="392" t="s">
        <v>81</v>
      </c>
      <c r="C314" s="392" t="s">
        <v>130</v>
      </c>
      <c r="D314" s="392"/>
      <c r="E314" s="392"/>
      <c r="F314" s="392" t="s">
        <v>83</v>
      </c>
      <c r="G314" s="392" t="s">
        <v>84</v>
      </c>
      <c r="H314" s="285" t="s">
        <v>89</v>
      </c>
      <c r="I314" s="422"/>
      <c r="J314" s="283" t="s">
        <v>91</v>
      </c>
      <c r="K314" s="423" t="s">
        <v>128</v>
      </c>
    </row>
    <row r="315" spans="1:15">
      <c r="A315" s="388">
        <v>2010</v>
      </c>
      <c r="B315" s="384">
        <v>120</v>
      </c>
      <c r="C315" s="392"/>
      <c r="D315" s="392">
        <f>M300*O300</f>
        <v>3341277.979070704</v>
      </c>
      <c r="E315" s="392"/>
      <c r="F315" s="413">
        <v>2079680</v>
      </c>
      <c r="G315" s="413">
        <v>2038080</v>
      </c>
      <c r="H315" s="392"/>
      <c r="I315" s="384">
        <v>41600</v>
      </c>
      <c r="J315" s="283">
        <f>D315-F315</f>
        <v>1261597.979070704</v>
      </c>
      <c r="K315" s="333">
        <f>D315-G315</f>
        <v>1303197.979070704</v>
      </c>
    </row>
    <row r="316" spans="1:15">
      <c r="A316" s="388">
        <v>2011</v>
      </c>
      <c r="B316" s="384">
        <v>108</v>
      </c>
      <c r="C316" s="392"/>
      <c r="D316" s="392">
        <f t="shared" ref="D316:D324" si="29">M301*O301</f>
        <v>3925020.4333246988</v>
      </c>
      <c r="E316" s="392"/>
      <c r="F316" s="414">
        <v>2563020</v>
      </c>
      <c r="G316" s="414">
        <v>2432700</v>
      </c>
      <c r="H316" s="392"/>
      <c r="I316" s="384">
        <v>130320</v>
      </c>
      <c r="J316" s="283">
        <f t="shared" ref="J316:J324" si="30">D316-F316</f>
        <v>1362000.4333246988</v>
      </c>
      <c r="K316" s="333">
        <f t="shared" ref="K316:K324" si="31">D316-G316</f>
        <v>1492320.4333246988</v>
      </c>
    </row>
    <row r="317" spans="1:15">
      <c r="A317" s="388">
        <v>2012</v>
      </c>
      <c r="B317" s="384">
        <v>96</v>
      </c>
      <c r="C317" s="392"/>
      <c r="D317" s="392">
        <f t="shared" si="29"/>
        <v>4203908.0381050101</v>
      </c>
      <c r="E317" s="392"/>
      <c r="F317" s="414">
        <v>2786580</v>
      </c>
      <c r="G317" s="414">
        <v>2572280</v>
      </c>
      <c r="H317" s="392"/>
      <c r="I317" s="384">
        <v>214300</v>
      </c>
      <c r="J317" s="283">
        <f t="shared" si="30"/>
        <v>1417328.0381050101</v>
      </c>
      <c r="K317" s="333">
        <f t="shared" si="31"/>
        <v>1631628.0381050101</v>
      </c>
    </row>
    <row r="318" spans="1:15">
      <c r="A318" s="388">
        <v>2013</v>
      </c>
      <c r="B318" s="384">
        <v>84</v>
      </c>
      <c r="C318" s="392"/>
      <c r="D318" s="392">
        <f t="shared" si="29"/>
        <v>4310798.3355404688</v>
      </c>
      <c r="E318" s="392"/>
      <c r="F318" s="414">
        <v>2880060</v>
      </c>
      <c r="G318" s="414">
        <v>2541530</v>
      </c>
      <c r="H318" s="392"/>
      <c r="I318" s="384">
        <v>338530</v>
      </c>
      <c r="J318" s="283">
        <f t="shared" si="30"/>
        <v>1430738.3355404688</v>
      </c>
      <c r="K318" s="333">
        <f t="shared" si="31"/>
        <v>1769268.3355404688</v>
      </c>
    </row>
    <row r="319" spans="1:15">
      <c r="A319" s="388">
        <v>2014</v>
      </c>
      <c r="B319" s="384">
        <v>72</v>
      </c>
      <c r="C319" s="392"/>
      <c r="D319" s="392">
        <f t="shared" si="29"/>
        <v>3753894.2220177348</v>
      </c>
      <c r="E319" s="392"/>
      <c r="F319" s="414">
        <v>2507180</v>
      </c>
      <c r="G319" s="414">
        <v>2052790</v>
      </c>
      <c r="H319" s="392"/>
      <c r="I319" s="384">
        <v>454390</v>
      </c>
      <c r="J319" s="283">
        <f t="shared" si="30"/>
        <v>1246714.2220177348</v>
      </c>
      <c r="K319" s="333">
        <f t="shared" si="31"/>
        <v>1701104.2220177348</v>
      </c>
    </row>
    <row r="320" spans="1:15">
      <c r="A320" s="388">
        <v>2015</v>
      </c>
      <c r="B320" s="384">
        <v>60</v>
      </c>
      <c r="C320" s="392"/>
      <c r="D320" s="392">
        <f t="shared" si="29"/>
        <v>3649471.6430850946</v>
      </c>
      <c r="E320" s="392"/>
      <c r="F320" s="414">
        <v>2400750</v>
      </c>
      <c r="G320" s="414">
        <v>1786040</v>
      </c>
      <c r="H320" s="392"/>
      <c r="I320" s="384">
        <v>614710</v>
      </c>
      <c r="J320" s="283">
        <f t="shared" si="30"/>
        <v>1248721.6430850946</v>
      </c>
      <c r="K320" s="333">
        <f t="shared" si="31"/>
        <v>1863431.6430850946</v>
      </c>
    </row>
    <row r="321" spans="1:11">
      <c r="A321" s="388">
        <v>2016</v>
      </c>
      <c r="B321" s="384">
        <v>48</v>
      </c>
      <c r="C321" s="392"/>
      <c r="D321" s="392">
        <f t="shared" si="29"/>
        <v>2934191.8151530502</v>
      </c>
      <c r="E321" s="392"/>
      <c r="F321" s="414">
        <v>1874570</v>
      </c>
      <c r="G321" s="414">
        <v>1268040</v>
      </c>
      <c r="H321" s="392"/>
      <c r="I321" s="384">
        <v>606530</v>
      </c>
      <c r="J321" s="283">
        <f t="shared" si="30"/>
        <v>1059621.8151530502</v>
      </c>
      <c r="K321" s="333">
        <f t="shared" si="31"/>
        <v>1666151.8151530502</v>
      </c>
    </row>
    <row r="322" spans="1:11">
      <c r="A322" s="388">
        <v>2017</v>
      </c>
      <c r="B322" s="384">
        <v>36</v>
      </c>
      <c r="C322" s="392"/>
      <c r="D322" s="392">
        <f t="shared" si="29"/>
        <v>2958843.9055304457</v>
      </c>
      <c r="E322" s="392"/>
      <c r="F322" s="414">
        <v>1874190</v>
      </c>
      <c r="G322" s="414">
        <v>1032020</v>
      </c>
      <c r="H322" s="392"/>
      <c r="I322" s="384">
        <v>842170</v>
      </c>
      <c r="J322" s="283">
        <f t="shared" si="30"/>
        <v>1084653.9055304457</v>
      </c>
      <c r="K322" s="333">
        <f t="shared" si="31"/>
        <v>1926823.9055304457</v>
      </c>
    </row>
    <row r="323" spans="1:11">
      <c r="A323" s="388">
        <v>2018</v>
      </c>
      <c r="B323" s="384">
        <v>24</v>
      </c>
      <c r="C323" s="392"/>
      <c r="D323" s="392">
        <f t="shared" si="29"/>
        <v>2487124.0880004782</v>
      </c>
      <c r="E323" s="392"/>
      <c r="F323" s="414">
        <v>1446260</v>
      </c>
      <c r="G323" s="414">
        <v>586100</v>
      </c>
      <c r="H323" s="392"/>
      <c r="I323" s="384">
        <v>860160</v>
      </c>
      <c r="J323" s="283">
        <f t="shared" si="30"/>
        <v>1040864.0880004782</v>
      </c>
      <c r="K323" s="333">
        <f t="shared" si="31"/>
        <v>1901024.0880004782</v>
      </c>
    </row>
    <row r="324" spans="1:11">
      <c r="A324" s="395">
        <v>2019</v>
      </c>
      <c r="B324" s="424">
        <v>12</v>
      </c>
      <c r="C324" s="393"/>
      <c r="D324" s="393">
        <f t="shared" si="29"/>
        <v>2996588.0146335652</v>
      </c>
      <c r="E324" s="393"/>
      <c r="F324" s="415">
        <v>1414010</v>
      </c>
      <c r="G324" s="415">
        <v>345800</v>
      </c>
      <c r="H324" s="393"/>
      <c r="I324" s="424">
        <v>1068210</v>
      </c>
      <c r="J324" s="425">
        <f t="shared" si="30"/>
        <v>1582578.0146335652</v>
      </c>
      <c r="K324" s="426">
        <f t="shared" si="31"/>
        <v>2650788.0146335652</v>
      </c>
    </row>
    <row r="325" spans="1:11">
      <c r="H325" s="292"/>
    </row>
    <row r="326" spans="1:11">
      <c r="A326" s="430" t="s">
        <v>224</v>
      </c>
      <c r="B326" s="431"/>
      <c r="C326" s="431"/>
      <c r="D326" s="431"/>
      <c r="E326" s="431"/>
      <c r="F326" s="431"/>
      <c r="G326" s="431"/>
      <c r="H326" s="431"/>
      <c r="I326" s="431"/>
      <c r="J326" s="431"/>
      <c r="K326" s="432"/>
    </row>
    <row r="327" spans="1:11">
      <c r="A327" s="402" t="s">
        <v>12</v>
      </c>
      <c r="B327" s="392" t="s">
        <v>81</v>
      </c>
      <c r="C327" s="392"/>
      <c r="D327" s="392"/>
      <c r="E327" s="392"/>
      <c r="F327" s="437" t="s">
        <v>129</v>
      </c>
      <c r="G327" s="437"/>
      <c r="H327" s="437"/>
      <c r="I327" s="437"/>
      <c r="J327" s="392" t="s">
        <v>91</v>
      </c>
      <c r="K327" s="394" t="s">
        <v>131</v>
      </c>
    </row>
    <row r="328" spans="1:11">
      <c r="A328" s="402">
        <v>2010</v>
      </c>
      <c r="B328" s="392">
        <v>120</v>
      </c>
      <c r="C328" s="392"/>
      <c r="D328" s="392"/>
      <c r="E328" s="392"/>
      <c r="F328" s="392"/>
      <c r="G328" s="392"/>
      <c r="H328" s="392">
        <f>I286*F300</f>
        <v>2068960</v>
      </c>
      <c r="I328" s="392"/>
      <c r="J328" s="368">
        <f t="shared" ref="J328:J337" si="32">H328-F315</f>
        <v>-10720</v>
      </c>
      <c r="K328" s="333">
        <f t="shared" ref="K328:K337" si="33">H328-G315</f>
        <v>30880</v>
      </c>
    </row>
    <row r="329" spans="1:11">
      <c r="A329" s="402">
        <v>2011</v>
      </c>
      <c r="B329" s="392">
        <v>108</v>
      </c>
      <c r="C329" s="392"/>
      <c r="D329" s="392"/>
      <c r="E329" s="392"/>
      <c r="F329" s="392"/>
      <c r="G329" s="392"/>
      <c r="H329" s="392">
        <f t="shared" ref="H329:H337" si="34">I287*F301</f>
        <v>2563364.4316526167</v>
      </c>
      <c r="I329" s="392"/>
      <c r="J329" s="368">
        <f t="shared" si="32"/>
        <v>344.43165261670947</v>
      </c>
      <c r="K329" s="333">
        <f t="shared" si="33"/>
        <v>130664.43165261671</v>
      </c>
    </row>
    <row r="330" spans="1:11">
      <c r="A330" s="402">
        <v>2012</v>
      </c>
      <c r="B330" s="392">
        <v>96</v>
      </c>
      <c r="C330" s="392"/>
      <c r="D330" s="392"/>
      <c r="E330" s="392"/>
      <c r="F330" s="392"/>
      <c r="G330" s="392"/>
      <c r="H330" s="392">
        <f t="shared" si="34"/>
        <v>2895680.1234593662</v>
      </c>
      <c r="I330" s="392"/>
      <c r="J330" s="368">
        <f t="shared" si="32"/>
        <v>109100.12345936615</v>
      </c>
      <c r="K330" s="333">
        <f t="shared" si="33"/>
        <v>323400.12345936615</v>
      </c>
    </row>
    <row r="331" spans="1:11">
      <c r="A331" s="402">
        <v>2013</v>
      </c>
      <c r="B331" s="392">
        <v>84</v>
      </c>
      <c r="C331" s="392"/>
      <c r="D331" s="392"/>
      <c r="E331" s="392"/>
      <c r="F331" s="392"/>
      <c r="G331" s="392"/>
      <c r="H331" s="392">
        <f t="shared" si="34"/>
        <v>3131727.9653409254</v>
      </c>
      <c r="I331" s="392"/>
      <c r="J331" s="368">
        <f t="shared" si="32"/>
        <v>251667.96534092538</v>
      </c>
      <c r="K331" s="333">
        <f t="shared" si="33"/>
        <v>590197.96534092538</v>
      </c>
    </row>
    <row r="332" spans="1:11">
      <c r="A332" s="402">
        <v>2014</v>
      </c>
      <c r="B332" s="392">
        <v>72</v>
      </c>
      <c r="C332" s="392"/>
      <c r="D332" s="392"/>
      <c r="E332" s="392"/>
      <c r="F332" s="392"/>
      <c r="G332" s="392"/>
      <c r="H332" s="392">
        <f t="shared" si="34"/>
        <v>2876320.6602396644</v>
      </c>
      <c r="I332" s="392"/>
      <c r="J332" s="368">
        <f t="shared" si="32"/>
        <v>369140.66023966437</v>
      </c>
      <c r="K332" s="333">
        <f t="shared" si="33"/>
        <v>823530.66023966437</v>
      </c>
    </row>
    <row r="333" spans="1:11">
      <c r="A333" s="402">
        <v>2015</v>
      </c>
      <c r="B333" s="392">
        <v>60</v>
      </c>
      <c r="C333" s="392"/>
      <c r="D333" s="392"/>
      <c r="E333" s="392"/>
      <c r="F333" s="392"/>
      <c r="G333" s="392"/>
      <c r="H333" s="392">
        <f t="shared" si="34"/>
        <v>2949267.8013009825</v>
      </c>
      <c r="I333" s="392"/>
      <c r="J333" s="368">
        <f t="shared" si="32"/>
        <v>548517.80130098248</v>
      </c>
      <c r="K333" s="333">
        <f t="shared" si="33"/>
        <v>1163227.8013009825</v>
      </c>
    </row>
    <row r="334" spans="1:11">
      <c r="A334" s="402">
        <v>2016</v>
      </c>
      <c r="B334" s="392">
        <v>48</v>
      </c>
      <c r="C334" s="392"/>
      <c r="D334" s="392"/>
      <c r="E334" s="392"/>
      <c r="F334" s="392"/>
      <c r="G334" s="392"/>
      <c r="H334" s="392">
        <f t="shared" si="34"/>
        <v>2500930.7319081221</v>
      </c>
      <c r="I334" s="392"/>
      <c r="J334" s="368">
        <f t="shared" si="32"/>
        <v>626360.73190812208</v>
      </c>
      <c r="K334" s="333">
        <f t="shared" si="33"/>
        <v>1232890.7319081221</v>
      </c>
    </row>
    <row r="335" spans="1:11">
      <c r="A335" s="402">
        <v>2017</v>
      </c>
      <c r="B335" s="392">
        <v>36</v>
      </c>
      <c r="C335" s="392"/>
      <c r="D335" s="392"/>
      <c r="E335" s="392"/>
      <c r="F335" s="392"/>
      <c r="G335" s="392"/>
      <c r="H335" s="392">
        <f t="shared" si="34"/>
        <v>2659892.9749045996</v>
      </c>
      <c r="I335" s="392"/>
      <c r="J335" s="368">
        <f t="shared" si="32"/>
        <v>785702.9749045996</v>
      </c>
      <c r="K335" s="333">
        <f t="shared" si="33"/>
        <v>1627872.9749045996</v>
      </c>
    </row>
    <row r="336" spans="1:11">
      <c r="A336" s="402">
        <v>2018</v>
      </c>
      <c r="B336" s="392">
        <v>24</v>
      </c>
      <c r="C336" s="392"/>
      <c r="D336" s="392"/>
      <c r="E336" s="392"/>
      <c r="F336" s="392"/>
      <c r="G336" s="392"/>
      <c r="H336" s="392">
        <f t="shared" si="34"/>
        <v>2358134.1499957126</v>
      </c>
      <c r="I336" s="392"/>
      <c r="J336" s="368">
        <f t="shared" si="32"/>
        <v>911874.14999571256</v>
      </c>
      <c r="K336" s="333">
        <f t="shared" si="33"/>
        <v>1772034.1499957126</v>
      </c>
    </row>
    <row r="337" spans="1:11">
      <c r="A337" s="403">
        <v>2019</v>
      </c>
      <c r="B337" s="393">
        <v>12</v>
      </c>
      <c r="C337" s="393"/>
      <c r="D337" s="393"/>
      <c r="E337" s="393"/>
      <c r="F337" s="393"/>
      <c r="G337" s="393"/>
      <c r="H337" s="392">
        <f t="shared" si="34"/>
        <v>2996588.0146335652</v>
      </c>
      <c r="I337" s="393"/>
      <c r="J337" s="334">
        <f t="shared" si="32"/>
        <v>1582578.0146335652</v>
      </c>
      <c r="K337" s="426">
        <f t="shared" si="33"/>
        <v>2650788.0146335652</v>
      </c>
    </row>
    <row r="339" spans="1:11">
      <c r="A339" s="302" t="s">
        <v>127</v>
      </c>
    </row>
  </sheetData>
  <mergeCells count="21">
    <mergeCell ref="F327:I327"/>
    <mergeCell ref="K119:L119"/>
    <mergeCell ref="A169:K169"/>
    <mergeCell ref="A184:K184"/>
    <mergeCell ref="A19:K19"/>
    <mergeCell ref="A74:K74"/>
    <mergeCell ref="A118:J118"/>
    <mergeCell ref="A282:J282"/>
    <mergeCell ref="K283:N283"/>
    <mergeCell ref="M285:N285"/>
    <mergeCell ref="K121:L121"/>
    <mergeCell ref="K120:L120"/>
    <mergeCell ref="A239:K239"/>
    <mergeCell ref="E298:F298"/>
    <mergeCell ref="E299:F299"/>
    <mergeCell ref="H299:I299"/>
    <mergeCell ref="J299:K299"/>
    <mergeCell ref="K285:L285"/>
    <mergeCell ref="E297:F297"/>
    <mergeCell ref="A312:K312"/>
    <mergeCell ref="A326:K326"/>
  </mergeCells>
  <phoneticPr fontId="10"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86ACD-749F-4A5D-B3F9-7ACB5A60481D}">
  <dimension ref="A1:K36"/>
  <sheetViews>
    <sheetView topLeftCell="A7" workbookViewId="0">
      <selection activeCell="I27" sqref="I27:I36"/>
    </sheetView>
  </sheetViews>
  <sheetFormatPr defaultRowHeight="13.5"/>
  <sheetData>
    <row r="1" spans="1:10">
      <c r="A1" s="302" t="s">
        <v>132</v>
      </c>
    </row>
    <row r="2" spans="1:10">
      <c r="A2" t="s">
        <v>133</v>
      </c>
    </row>
    <row r="3" spans="1:10">
      <c r="A3" t="s">
        <v>190</v>
      </c>
    </row>
    <row r="6" spans="1:10">
      <c r="A6" s="433" t="s">
        <v>80</v>
      </c>
      <c r="B6" s="433"/>
      <c r="C6" s="433"/>
      <c r="D6" s="433"/>
      <c r="E6" s="433"/>
      <c r="F6" s="433"/>
      <c r="G6" s="433"/>
      <c r="H6" s="433"/>
      <c r="I6" s="433"/>
    </row>
    <row r="7" spans="1:10">
      <c r="G7" t="s">
        <v>85</v>
      </c>
    </row>
    <row r="8" spans="1:10">
      <c r="C8" t="s">
        <v>82</v>
      </c>
      <c r="E8" t="s">
        <v>75</v>
      </c>
      <c r="G8" t="s">
        <v>86</v>
      </c>
      <c r="J8" t="s">
        <v>134</v>
      </c>
    </row>
    <row r="9" spans="1:10">
      <c r="A9" t="s">
        <v>12</v>
      </c>
      <c r="B9" t="s">
        <v>81</v>
      </c>
      <c r="C9" t="s">
        <v>83</v>
      </c>
      <c r="D9" t="s">
        <v>84</v>
      </c>
      <c r="E9" t="s">
        <v>83</v>
      </c>
      <c r="F9" t="s">
        <v>84</v>
      </c>
      <c r="H9" t="s">
        <v>83</v>
      </c>
      <c r="I9" t="s">
        <v>84</v>
      </c>
      <c r="J9" s="309" t="s">
        <v>135</v>
      </c>
    </row>
    <row r="10" spans="1:10">
      <c r="A10">
        <v>2010</v>
      </c>
      <c r="B10">
        <v>120</v>
      </c>
      <c r="C10">
        <v>2079680</v>
      </c>
      <c r="D10">
        <v>2038080</v>
      </c>
      <c r="E10">
        <v>1</v>
      </c>
      <c r="F10">
        <v>1</v>
      </c>
      <c r="H10">
        <v>2079680</v>
      </c>
      <c r="I10">
        <v>2038080</v>
      </c>
      <c r="J10" s="309">
        <v>2038080</v>
      </c>
    </row>
    <row r="11" spans="1:10">
      <c r="A11">
        <v>2011</v>
      </c>
      <c r="B11">
        <v>108</v>
      </c>
      <c r="C11">
        <v>2563020</v>
      </c>
      <c r="D11">
        <v>2432700</v>
      </c>
      <c r="E11">
        <v>1.0049287743781046</v>
      </c>
      <c r="F11">
        <v>1.0379831932773109</v>
      </c>
      <c r="H11">
        <v>2575652.5473065698</v>
      </c>
      <c r="I11">
        <v>2525101.7142857141</v>
      </c>
      <c r="J11" s="309">
        <v>2525101.7142857141</v>
      </c>
    </row>
    <row r="12" spans="1:10">
      <c r="A12">
        <v>2012</v>
      </c>
      <c r="B12">
        <v>96</v>
      </c>
      <c r="C12">
        <v>2786580</v>
      </c>
      <c r="D12">
        <v>2572280</v>
      </c>
      <c r="E12">
        <v>1.0414614629628871</v>
      </c>
      <c r="F12">
        <v>1.1062821899504496</v>
      </c>
      <c r="H12">
        <v>2902115.6834631218</v>
      </c>
      <c r="I12">
        <v>2845667.5515657426</v>
      </c>
      <c r="J12" s="309">
        <v>2845667.5515657426</v>
      </c>
    </row>
    <row r="13" spans="1:10">
      <c r="A13">
        <v>2013</v>
      </c>
      <c r="B13">
        <v>84</v>
      </c>
      <c r="C13">
        <v>2880060</v>
      </c>
      <c r="D13">
        <v>2541530</v>
      </c>
      <c r="E13">
        <v>1.0903591218515383</v>
      </c>
      <c r="F13">
        <v>1.2026496396019584</v>
      </c>
      <c r="H13">
        <v>3140299.6924797413</v>
      </c>
      <c r="I13">
        <v>3056570.1385375652</v>
      </c>
      <c r="J13" s="309">
        <v>3056570.1385375652</v>
      </c>
    </row>
    <row r="14" spans="1:10">
      <c r="A14">
        <v>2014</v>
      </c>
      <c r="B14">
        <v>72</v>
      </c>
      <c r="C14">
        <v>2507180</v>
      </c>
      <c r="D14">
        <v>2052790</v>
      </c>
      <c r="E14">
        <v>1.1524644611184565</v>
      </c>
      <c r="F14">
        <v>1.3770600673310149</v>
      </c>
      <c r="H14">
        <v>2889435.8476269715</v>
      </c>
      <c r="I14">
        <v>2826815.1356164343</v>
      </c>
      <c r="J14" s="309">
        <v>2826815.1356164343</v>
      </c>
    </row>
    <row r="15" spans="1:10">
      <c r="A15">
        <v>2015</v>
      </c>
      <c r="B15">
        <v>60</v>
      </c>
      <c r="C15">
        <v>2400750</v>
      </c>
      <c r="D15">
        <v>1786040</v>
      </c>
      <c r="E15">
        <v>1.0903591218515383</v>
      </c>
      <c r="F15">
        <v>1.5981166867123293</v>
      </c>
      <c r="H15">
        <v>2617679.6617850806</v>
      </c>
      <c r="I15">
        <v>2854300.3271356886</v>
      </c>
      <c r="J15" s="309">
        <v>2854300.3271356886</v>
      </c>
    </row>
    <row r="16" spans="1:10">
      <c r="A16">
        <v>2016</v>
      </c>
      <c r="B16">
        <v>48</v>
      </c>
      <c r="C16">
        <v>1874570</v>
      </c>
      <c r="D16">
        <v>1268040</v>
      </c>
      <c r="E16">
        <v>1.3468351158534941</v>
      </c>
      <c r="F16">
        <v>1.9533940000000001</v>
      </c>
      <c r="H16">
        <v>2524736.7031254843</v>
      </c>
      <c r="I16">
        <v>2476981.7277600002</v>
      </c>
      <c r="J16" s="309">
        <v>2524736.7031254843</v>
      </c>
    </row>
    <row r="17" spans="1:11">
      <c r="A17">
        <v>2017</v>
      </c>
      <c r="B17">
        <v>36</v>
      </c>
      <c r="C17">
        <v>1874190</v>
      </c>
      <c r="D17">
        <v>1032020</v>
      </c>
      <c r="E17">
        <v>1.4193825592366378</v>
      </c>
      <c r="F17">
        <v>2.3642270000000001</v>
      </c>
      <c r="H17">
        <v>2660192.598695714</v>
      </c>
      <c r="I17">
        <v>2439929.5485399999</v>
      </c>
      <c r="J17" s="309">
        <v>2660192.598695714</v>
      </c>
    </row>
    <row r="18" spans="1:11">
      <c r="A18">
        <v>2018</v>
      </c>
      <c r="B18">
        <v>24</v>
      </c>
      <c r="C18">
        <v>1446260</v>
      </c>
      <c r="D18">
        <v>586100</v>
      </c>
      <c r="E18">
        <v>1.6467000199236239</v>
      </c>
      <c r="F18">
        <v>3.596416811055374</v>
      </c>
      <c r="H18">
        <v>2381556.3708147402</v>
      </c>
      <c r="I18">
        <v>2107859.8929595547</v>
      </c>
      <c r="J18" s="309">
        <v>2381556.3708147402</v>
      </c>
    </row>
    <row r="19" spans="1:11">
      <c r="A19">
        <v>2019</v>
      </c>
      <c r="B19">
        <v>12</v>
      </c>
      <c r="C19">
        <v>1414010</v>
      </c>
      <c r="D19">
        <v>345800</v>
      </c>
      <c r="E19">
        <v>2.1148278441671478</v>
      </c>
      <c r="F19">
        <v>7.7792007387500295</v>
      </c>
      <c r="H19">
        <v>2990387.7199307885</v>
      </c>
      <c r="I19">
        <v>2690047.6154597602</v>
      </c>
      <c r="J19" s="309">
        <v>2690047.6154597602</v>
      </c>
    </row>
    <row r="20" spans="1:11">
      <c r="A20" t="s">
        <v>251</v>
      </c>
    </row>
    <row r="21" spans="1:11">
      <c r="A21" t="s">
        <v>191</v>
      </c>
    </row>
    <row r="22" spans="1:11">
      <c r="A22" t="s">
        <v>226</v>
      </c>
    </row>
    <row r="24" spans="1:11">
      <c r="D24" s="310" t="s">
        <v>2</v>
      </c>
      <c r="G24" t="s">
        <v>139</v>
      </c>
      <c r="H24" t="s">
        <v>140</v>
      </c>
    </row>
    <row r="25" spans="1:11">
      <c r="B25" s="309" t="s">
        <v>134</v>
      </c>
      <c r="D25" s="310" t="s">
        <v>4</v>
      </c>
      <c r="E25" t="s">
        <v>136</v>
      </c>
      <c r="F25" t="s">
        <v>138</v>
      </c>
      <c r="G25" t="s">
        <v>136</v>
      </c>
      <c r="H25" s="433" t="s">
        <v>147</v>
      </c>
      <c r="I25" s="433"/>
    </row>
    <row r="26" spans="1:11">
      <c r="A26" s="309" t="s">
        <v>12</v>
      </c>
      <c r="B26" s="309" t="s">
        <v>135</v>
      </c>
      <c r="D26" s="311" t="s">
        <v>7</v>
      </c>
      <c r="E26" t="s">
        <v>137</v>
      </c>
      <c r="F26" s="314">
        <v>5.4699999999999999E-2</v>
      </c>
      <c r="G26" t="s">
        <v>137</v>
      </c>
      <c r="H26" s="433" t="s">
        <v>146</v>
      </c>
      <c r="I26" s="433"/>
      <c r="J26" t="s">
        <v>141</v>
      </c>
      <c r="K26" t="s">
        <v>91</v>
      </c>
    </row>
    <row r="27" spans="1:11">
      <c r="A27" s="309">
        <v>2010</v>
      </c>
      <c r="B27" s="309">
        <v>2038080</v>
      </c>
      <c r="D27" s="312">
        <v>5191000</v>
      </c>
      <c r="E27">
        <f>B27/D27</f>
        <v>0.39261799267963782</v>
      </c>
      <c r="F27">
        <f>F35^9</f>
        <v>1.6149553297650521</v>
      </c>
      <c r="G27">
        <f>E27*F27</f>
        <v>0.63406051983963729</v>
      </c>
      <c r="I27">
        <f>G27*D27</f>
        <v>3291408.158487557</v>
      </c>
      <c r="J27" s="326">
        <f>I27-D10</f>
        <v>1253328.158487557</v>
      </c>
      <c r="K27">
        <f>I27-C10</f>
        <v>1211728.158487557</v>
      </c>
    </row>
    <row r="28" spans="1:11">
      <c r="A28" s="309">
        <v>2011</v>
      </c>
      <c r="B28" s="309">
        <v>2525101.7142857141</v>
      </c>
      <c r="D28" s="312">
        <v>6078400</v>
      </c>
      <c r="E28" s="309">
        <f t="shared" ref="E28:E36" si="0">B28/D28</f>
        <v>0.4154221035610875</v>
      </c>
      <c r="F28">
        <f>F35^8</f>
        <v>1.5311987577178838</v>
      </c>
      <c r="G28" s="309">
        <f t="shared" ref="G28:G36" si="1">E28*F28</f>
        <v>0.63609380890128731</v>
      </c>
      <c r="I28" s="309">
        <f t="shared" ref="I28:I35" si="2">G28*D28</f>
        <v>3866432.6080255848</v>
      </c>
      <c r="J28" s="326">
        <f t="shared" ref="J28:J35" si="3">I28-D11</f>
        <v>1433732.6080255848</v>
      </c>
      <c r="K28" s="309">
        <f t="shared" ref="K28:K35" si="4">I28-C11</f>
        <v>1303412.6080255848</v>
      </c>
    </row>
    <row r="29" spans="1:11">
      <c r="A29" s="309">
        <v>2012</v>
      </c>
      <c r="B29" s="309">
        <v>2845667.5515657426</v>
      </c>
      <c r="D29" s="312">
        <v>6490000</v>
      </c>
      <c r="E29" s="309">
        <f t="shared" si="0"/>
        <v>0.43846957651244106</v>
      </c>
      <c r="F29">
        <f>F35^7</f>
        <v>1.4517860602236501</v>
      </c>
      <c r="G29" s="309">
        <f t="shared" si="1"/>
        <v>0.63656401901292914</v>
      </c>
      <c r="I29" s="309">
        <f t="shared" si="2"/>
        <v>4131300.4833939103</v>
      </c>
      <c r="J29" s="326">
        <f t="shared" si="3"/>
        <v>1559020.4833939103</v>
      </c>
      <c r="K29" s="309">
        <f t="shared" si="4"/>
        <v>1344720.4833939103</v>
      </c>
    </row>
    <row r="30" spans="1:11">
      <c r="A30" s="309">
        <v>2013</v>
      </c>
      <c r="B30" s="309">
        <v>3056570.1385375652</v>
      </c>
      <c r="D30" s="312">
        <v>6648000</v>
      </c>
      <c r="E30" s="309">
        <f t="shared" si="0"/>
        <v>0.45977288485823786</v>
      </c>
      <c r="F30">
        <f>F35^6</f>
        <v>1.3764919505296769</v>
      </c>
      <c r="G30" s="309">
        <f t="shared" si="1"/>
        <v>0.63287367507917236</v>
      </c>
      <c r="I30" s="309">
        <f t="shared" si="2"/>
        <v>4207344.1919263378</v>
      </c>
      <c r="J30" s="326">
        <f t="shared" si="3"/>
        <v>1665814.1919263378</v>
      </c>
      <c r="K30" s="309">
        <f>I30-C13</f>
        <v>1327284.1919263378</v>
      </c>
    </row>
    <row r="31" spans="1:11">
      <c r="A31" s="309">
        <v>2014</v>
      </c>
      <c r="B31" s="309">
        <v>2826815.1356164343</v>
      </c>
      <c r="D31" s="312">
        <v>6041600</v>
      </c>
      <c r="E31" s="309">
        <f t="shared" si="0"/>
        <v>0.46789180608058034</v>
      </c>
      <c r="F31">
        <f>F35^5</f>
        <v>1.3051028259502009</v>
      </c>
      <c r="G31" s="309">
        <f t="shared" si="1"/>
        <v>0.61064691835470875</v>
      </c>
      <c r="I31" s="309">
        <f t="shared" si="2"/>
        <v>3689284.4219318083</v>
      </c>
      <c r="J31" s="326">
        <f t="shared" si="3"/>
        <v>1636494.4219318083</v>
      </c>
      <c r="K31" s="309">
        <f t="shared" si="4"/>
        <v>1182104.4219318083</v>
      </c>
    </row>
    <row r="32" spans="1:11">
      <c r="A32" s="309">
        <v>2015</v>
      </c>
      <c r="B32" s="309">
        <v>2854300.3271356886</v>
      </c>
      <c r="D32" s="312">
        <v>5770600</v>
      </c>
      <c r="E32" s="309">
        <f t="shared" si="0"/>
        <v>0.49462799832525017</v>
      </c>
      <c r="F32">
        <f>F35^4</f>
        <v>1.237416161894568</v>
      </c>
      <c r="G32" s="309">
        <f t="shared" si="1"/>
        <v>0.61206067925322394</v>
      </c>
      <c r="I32" s="309">
        <f t="shared" si="2"/>
        <v>3531957.355698654</v>
      </c>
      <c r="J32" s="326">
        <f t="shared" si="3"/>
        <v>1745917.355698654</v>
      </c>
      <c r="K32" s="309">
        <f t="shared" si="4"/>
        <v>1131207.355698654</v>
      </c>
    </row>
    <row r="33" spans="1:11">
      <c r="A33" s="309">
        <v>2016</v>
      </c>
      <c r="B33" s="309">
        <v>2524736.7031254843</v>
      </c>
      <c r="D33" s="312">
        <v>4864650</v>
      </c>
      <c r="E33" s="309">
        <f>B33/D33</f>
        <v>0.51899657799132193</v>
      </c>
      <c r="F33" s="309">
        <f>F35^3</f>
        <v>1.1732399373229998</v>
      </c>
      <c r="G33" s="309">
        <f t="shared" si="1"/>
        <v>0.60890751263338994</v>
      </c>
      <c r="I33" s="309">
        <f t="shared" si="2"/>
        <v>2962121.9313320206</v>
      </c>
      <c r="J33" s="326">
        <f t="shared" si="3"/>
        <v>1694081.9313320206</v>
      </c>
      <c r="K33" s="309">
        <f t="shared" si="4"/>
        <v>1087551.9313320206</v>
      </c>
    </row>
    <row r="34" spans="1:11">
      <c r="A34" s="309">
        <v>2017</v>
      </c>
      <c r="B34" s="309">
        <v>2660192.598695714</v>
      </c>
      <c r="D34" s="312">
        <v>4581100</v>
      </c>
      <c r="E34" s="309">
        <f t="shared" si="0"/>
        <v>0.58068861162072738</v>
      </c>
      <c r="F34">
        <f>F35^2</f>
        <v>1.1123920899999999</v>
      </c>
      <c r="G34" s="309">
        <f t="shared" si="1"/>
        <v>0.64595341831997921</v>
      </c>
      <c r="I34" s="309">
        <f t="shared" si="2"/>
        <v>2959177.2046656567</v>
      </c>
      <c r="J34" s="326">
        <f t="shared" si="3"/>
        <v>1927157.2046656567</v>
      </c>
      <c r="K34" s="309">
        <f t="shared" si="4"/>
        <v>1084987.2046656567</v>
      </c>
    </row>
    <row r="35" spans="1:11">
      <c r="A35" s="309">
        <v>2018</v>
      </c>
      <c r="B35" s="309">
        <v>2381556.3708147402</v>
      </c>
      <c r="D35" s="312">
        <v>3504000</v>
      </c>
      <c r="E35" s="309">
        <f t="shared" si="0"/>
        <v>0.67966791404530258</v>
      </c>
      <c r="F35">
        <f>1.0547</f>
        <v>1.0547</v>
      </c>
      <c r="G35" s="309">
        <f t="shared" si="1"/>
        <v>0.71684574894358066</v>
      </c>
      <c r="I35" s="309">
        <f t="shared" si="2"/>
        <v>2511827.5042983065</v>
      </c>
      <c r="J35" s="326">
        <f t="shared" si="3"/>
        <v>1925727.5042983065</v>
      </c>
      <c r="K35" s="309">
        <f t="shared" si="4"/>
        <v>1065567.5042983065</v>
      </c>
    </row>
    <row r="36" spans="1:11">
      <c r="A36" s="309">
        <v>2019</v>
      </c>
      <c r="B36" s="309">
        <v>2690047.6154597602</v>
      </c>
      <c r="D36" s="313">
        <v>4194900</v>
      </c>
      <c r="E36" s="309">
        <f t="shared" si="0"/>
        <v>0.64126620788570887</v>
      </c>
      <c r="F36">
        <v>1</v>
      </c>
      <c r="G36" s="309">
        <f t="shared" si="1"/>
        <v>0.64126620788570887</v>
      </c>
      <c r="I36" s="309">
        <f>G36*D36</f>
        <v>2690047.6154597602</v>
      </c>
      <c r="J36" s="326">
        <f>I36-D19</f>
        <v>2344247.6154597602</v>
      </c>
      <c r="K36" s="309">
        <f>I36-C19</f>
        <v>1276037.6154597602</v>
      </c>
    </row>
  </sheetData>
  <mergeCells count="3">
    <mergeCell ref="A6:I6"/>
    <mergeCell ref="H26:I26"/>
    <mergeCell ref="H25:I25"/>
  </mergeCells>
  <phoneticPr fontId="1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E0B2-2B71-4D6D-92B3-6D9D2E195210}">
  <dimension ref="A5:P32"/>
  <sheetViews>
    <sheetView topLeftCell="A19" workbookViewId="0">
      <selection activeCell="N14" sqref="N14"/>
    </sheetView>
  </sheetViews>
  <sheetFormatPr defaultRowHeight="13.5"/>
  <sheetData>
    <row r="5" spans="1:16">
      <c r="A5" s="315"/>
      <c r="B5" s="315"/>
      <c r="C5" s="315"/>
      <c r="D5" s="315"/>
      <c r="E5" s="315"/>
      <c r="F5" s="315"/>
      <c r="O5" t="s">
        <v>150</v>
      </c>
    </row>
    <row r="6" spans="1:16">
      <c r="A6" s="315"/>
      <c r="B6" s="315"/>
      <c r="C6" s="315" t="s">
        <v>82</v>
      </c>
      <c r="D6" s="315"/>
      <c r="E6" s="315" t="s">
        <v>75</v>
      </c>
      <c r="F6" s="316"/>
      <c r="G6" s="433" t="s">
        <v>192</v>
      </c>
      <c r="H6" s="433"/>
      <c r="M6" t="s">
        <v>145</v>
      </c>
      <c r="O6" t="s">
        <v>151</v>
      </c>
    </row>
    <row r="7" spans="1:16">
      <c r="A7" s="323" t="s">
        <v>12</v>
      </c>
      <c r="B7" s="315" t="s">
        <v>81</v>
      </c>
      <c r="C7" s="315" t="s">
        <v>83</v>
      </c>
      <c r="D7" s="315" t="s">
        <v>84</v>
      </c>
      <c r="E7" s="315" t="s">
        <v>83</v>
      </c>
      <c r="F7" s="315" t="s">
        <v>84</v>
      </c>
      <c r="G7" t="s">
        <v>142</v>
      </c>
      <c r="H7" t="s">
        <v>143</v>
      </c>
      <c r="I7" t="s">
        <v>144</v>
      </c>
      <c r="J7" t="s">
        <v>149</v>
      </c>
      <c r="K7" t="s">
        <v>145</v>
      </c>
      <c r="M7" t="s">
        <v>148</v>
      </c>
      <c r="N7" t="s">
        <v>131</v>
      </c>
      <c r="O7" s="315" t="s">
        <v>83</v>
      </c>
      <c r="P7" s="315" t="s">
        <v>84</v>
      </c>
    </row>
    <row r="8" spans="1:16">
      <c r="A8" s="317">
        <v>2010</v>
      </c>
      <c r="B8" s="316">
        <v>120</v>
      </c>
      <c r="C8" s="318">
        <v>2079680</v>
      </c>
      <c r="D8" s="318">
        <v>2038080</v>
      </c>
      <c r="E8" s="315">
        <v>1</v>
      </c>
      <c r="F8" s="315">
        <v>1</v>
      </c>
      <c r="G8">
        <f>1/E8</f>
        <v>1</v>
      </c>
      <c r="H8">
        <f>1/F8</f>
        <v>1</v>
      </c>
      <c r="I8">
        <f>1-G8</f>
        <v>0</v>
      </c>
      <c r="J8">
        <f>1-H8</f>
        <v>0</v>
      </c>
      <c r="K8" s="406">
        <v>3291408.158487557</v>
      </c>
      <c r="M8">
        <f>I8*K8</f>
        <v>0</v>
      </c>
      <c r="N8">
        <f>J8*K8</f>
        <v>0</v>
      </c>
      <c r="O8" s="308">
        <f>M8+C8</f>
        <v>2079680</v>
      </c>
      <c r="P8" s="308">
        <f>N8+D8</f>
        <v>2038080</v>
      </c>
    </row>
    <row r="9" spans="1:16">
      <c r="A9" s="319">
        <v>2011</v>
      </c>
      <c r="B9" s="316">
        <v>108</v>
      </c>
      <c r="C9" s="320">
        <v>2563020</v>
      </c>
      <c r="D9" s="320">
        <v>2432700</v>
      </c>
      <c r="E9" s="315">
        <v>1.0049287743781046</v>
      </c>
      <c r="F9" s="315">
        <v>1.0379831932773109</v>
      </c>
      <c r="G9" s="315">
        <f t="shared" ref="G9:G17" si="0">1/E9</f>
        <v>0.99509539929219892</v>
      </c>
      <c r="H9" s="315">
        <f t="shared" ref="H9:H17" si="1">1/F9</f>
        <v>0.96340673575129532</v>
      </c>
      <c r="I9" s="315">
        <f t="shared" ref="I9:I16" si="2">1-G9</f>
        <v>4.9046007078010767E-3</v>
      </c>
      <c r="J9" s="315">
        <f t="shared" ref="J9:J17" si="3">1-H9</f>
        <v>3.6593264248704682E-2</v>
      </c>
      <c r="K9" s="406">
        <v>3866432.6080255848</v>
      </c>
      <c r="M9" s="315">
        <f>I9*K9</f>
        <v>18963.308105987446</v>
      </c>
      <c r="N9" s="315">
        <f>J9*K9</f>
        <v>141485.39012528863</v>
      </c>
      <c r="O9" s="308">
        <f>M9+C9</f>
        <v>2581983.3081059875</v>
      </c>
      <c r="P9" s="308">
        <f t="shared" ref="P9:P15" si="4">N9+D9</f>
        <v>2574185.3901252886</v>
      </c>
    </row>
    <row r="10" spans="1:16">
      <c r="A10" s="319">
        <v>2012</v>
      </c>
      <c r="B10" s="316">
        <v>96</v>
      </c>
      <c r="C10" s="320">
        <v>2786580</v>
      </c>
      <c r="D10" s="320">
        <v>2572280</v>
      </c>
      <c r="E10" s="315">
        <v>1.0414614629628871</v>
      </c>
      <c r="F10" s="315">
        <v>1.1062821899504496</v>
      </c>
      <c r="G10" s="315">
        <f t="shared" si="0"/>
        <v>0.96018915299570273</v>
      </c>
      <c r="H10" s="315">
        <f t="shared" si="1"/>
        <v>0.9039284995131216</v>
      </c>
      <c r="I10" s="315">
        <f t="shared" si="2"/>
        <v>3.9810847004297267E-2</v>
      </c>
      <c r="J10" s="315">
        <f t="shared" si="3"/>
        <v>9.6071500486878403E-2</v>
      </c>
      <c r="K10" s="406">
        <v>4131300.4833939103</v>
      </c>
      <c r="M10" s="315">
        <f t="shared" ref="M10:M17" si="5">I10*K10</f>
        <v>164470.57147317432</v>
      </c>
      <c r="N10" s="315">
        <f t="shared" ref="N10:N16" si="6">J10*K10</f>
        <v>396900.23640181904</v>
      </c>
      <c r="O10" s="308">
        <f t="shared" ref="O10:O17" si="7">M10+C10</f>
        <v>2951050.5714731743</v>
      </c>
      <c r="P10" s="308">
        <f t="shared" si="4"/>
        <v>2969180.2364018192</v>
      </c>
    </row>
    <row r="11" spans="1:16">
      <c r="A11" s="319">
        <v>2013</v>
      </c>
      <c r="B11" s="316">
        <v>84</v>
      </c>
      <c r="C11" s="320">
        <v>2880060</v>
      </c>
      <c r="D11" s="320">
        <v>2541530</v>
      </c>
      <c r="E11" s="315">
        <v>1.0903591218515383</v>
      </c>
      <c r="F11" s="315">
        <v>1.2026496396019584</v>
      </c>
      <c r="G11" s="315">
        <f t="shared" si="0"/>
        <v>0.91712902653751405</v>
      </c>
      <c r="H11" s="315">
        <f t="shared" si="1"/>
        <v>0.83149735972229666</v>
      </c>
      <c r="I11" s="315">
        <f t="shared" si="2"/>
        <v>8.2870973462485953E-2</v>
      </c>
      <c r="J11" s="315">
        <f t="shared" si="3"/>
        <v>0.16850264027770334</v>
      </c>
      <c r="K11" s="406">
        <v>4207344.1919263378</v>
      </c>
      <c r="M11" s="315">
        <f t="shared" si="5"/>
        <v>348666.70887667197</v>
      </c>
      <c r="N11" s="315">
        <f t="shared" si="6"/>
        <v>708948.60489664809</v>
      </c>
      <c r="O11" s="308">
        <f t="shared" si="7"/>
        <v>3228726.7088766722</v>
      </c>
      <c r="P11" s="308">
        <f t="shared" si="4"/>
        <v>3250478.6048966479</v>
      </c>
    </row>
    <row r="12" spans="1:16">
      <c r="A12" s="319">
        <v>2014</v>
      </c>
      <c r="B12" s="316">
        <v>72</v>
      </c>
      <c r="C12" s="320">
        <v>2507180</v>
      </c>
      <c r="D12" s="320">
        <v>2052790</v>
      </c>
      <c r="E12" s="315">
        <v>1.1524644611184565</v>
      </c>
      <c r="F12" s="315">
        <v>1.3770600673310149</v>
      </c>
      <c r="G12" s="315">
        <f t="shared" si="0"/>
        <v>0.86770571565348653</v>
      </c>
      <c r="H12" s="315">
        <f t="shared" si="1"/>
        <v>0.72618473494636748</v>
      </c>
      <c r="I12" s="315">
        <f t="shared" si="2"/>
        <v>0.13229428434651347</v>
      </c>
      <c r="J12" s="315">
        <f t="shared" si="3"/>
        <v>0.27381526505363252</v>
      </c>
      <c r="K12" s="406">
        <v>3689284.4219318083</v>
      </c>
      <c r="M12" s="315">
        <f t="shared" si="5"/>
        <v>488071.24235020921</v>
      </c>
      <c r="N12" s="315">
        <f t="shared" si="6"/>
        <v>1010182.3918494955</v>
      </c>
      <c r="O12" s="308">
        <f t="shared" si="7"/>
        <v>2995251.242350209</v>
      </c>
      <c r="P12" s="308">
        <f>N12+D12</f>
        <v>3062972.3918494955</v>
      </c>
    </row>
    <row r="13" spans="1:16">
      <c r="A13" s="319">
        <v>2015</v>
      </c>
      <c r="B13" s="316">
        <v>60</v>
      </c>
      <c r="C13" s="320">
        <v>2400750</v>
      </c>
      <c r="D13" s="320">
        <v>1786040</v>
      </c>
      <c r="E13" s="315">
        <v>1.0903591218515383</v>
      </c>
      <c r="F13" s="315">
        <v>1.5981166867123293</v>
      </c>
      <c r="G13" s="315">
        <f t="shared" si="0"/>
        <v>0.91712902653751405</v>
      </c>
      <c r="H13" s="315">
        <f t="shared" si="1"/>
        <v>0.62573653620826375</v>
      </c>
      <c r="I13" s="315">
        <f t="shared" si="2"/>
        <v>8.2870973462485953E-2</v>
      </c>
      <c r="J13" s="315">
        <f t="shared" si="3"/>
        <v>0.37426346379173625</v>
      </c>
      <c r="K13" s="406">
        <v>3531957.355698654</v>
      </c>
      <c r="M13" s="315">
        <f>I13*K13</f>
        <v>292696.7442947352</v>
      </c>
      <c r="N13" s="315">
        <f>J13*K13</f>
        <v>1321882.5939084797</v>
      </c>
      <c r="O13" s="308">
        <f>M13+C13</f>
        <v>2693446.7442947351</v>
      </c>
      <c r="P13" s="308">
        <f>N13+D13</f>
        <v>3107922.5939084794</v>
      </c>
    </row>
    <row r="14" spans="1:16">
      <c r="A14" s="319">
        <v>2016</v>
      </c>
      <c r="B14" s="316">
        <v>48</v>
      </c>
      <c r="C14" s="320">
        <v>1874570</v>
      </c>
      <c r="D14" s="320">
        <v>1268040</v>
      </c>
      <c r="E14" s="315">
        <v>1.3468351158534941</v>
      </c>
      <c r="F14" s="315">
        <v>1.9533940000000001</v>
      </c>
      <c r="G14" s="315">
        <f t="shared" si="0"/>
        <v>0.74248138337727887</v>
      </c>
      <c r="H14" s="315">
        <f t="shared" si="1"/>
        <v>0.51192949297479151</v>
      </c>
      <c r="I14" s="315">
        <f t="shared" si="2"/>
        <v>0.25751861662272113</v>
      </c>
      <c r="J14" s="315">
        <f t="shared" si="3"/>
        <v>0.48807050702520849</v>
      </c>
      <c r="K14" s="406">
        <v>2962121.9313320206</v>
      </c>
      <c r="M14" s="315">
        <f t="shared" si="5"/>
        <v>762801.54202444491</v>
      </c>
      <c r="N14" s="315">
        <f t="shared" si="6"/>
        <v>1445724.352895709</v>
      </c>
      <c r="O14" s="308">
        <f t="shared" si="7"/>
        <v>2637371.5420244448</v>
      </c>
      <c r="P14" s="308">
        <f>N14+D14</f>
        <v>2713764.3528957088</v>
      </c>
    </row>
    <row r="15" spans="1:16">
      <c r="A15" s="319">
        <v>2017</v>
      </c>
      <c r="B15" s="316">
        <v>36</v>
      </c>
      <c r="C15" s="320">
        <v>1874190</v>
      </c>
      <c r="D15" s="320">
        <v>1032020</v>
      </c>
      <c r="E15" s="315">
        <v>1.4193825592366378</v>
      </c>
      <c r="F15" s="315">
        <v>2.3642270000000001</v>
      </c>
      <c r="G15" s="315">
        <f t="shared" si="0"/>
        <v>0.70453169477988575</v>
      </c>
      <c r="H15" s="315">
        <f t="shared" si="1"/>
        <v>0.42297122907402712</v>
      </c>
      <c r="I15" s="315">
        <f t="shared" si="2"/>
        <v>0.29546830522011425</v>
      </c>
      <c r="J15" s="315">
        <f t="shared" si="3"/>
        <v>0.57702877092597293</v>
      </c>
      <c r="K15" s="406">
        <v>2959177.2046656567</v>
      </c>
      <c r="M15" s="315">
        <f t="shared" si="5"/>
        <v>874343.0735085567</v>
      </c>
      <c r="N15" s="315">
        <f t="shared" si="6"/>
        <v>1707530.3853603802</v>
      </c>
      <c r="O15" s="308">
        <f t="shared" si="7"/>
        <v>2748533.0735085569</v>
      </c>
      <c r="P15" s="308">
        <f t="shared" si="4"/>
        <v>2739550.3853603802</v>
      </c>
    </row>
    <row r="16" spans="1:16">
      <c r="A16" s="319">
        <v>2018</v>
      </c>
      <c r="B16" s="316">
        <v>24</v>
      </c>
      <c r="C16" s="320">
        <v>1446260</v>
      </c>
      <c r="D16" s="320">
        <v>586100</v>
      </c>
      <c r="E16" s="315">
        <v>1.6467000199236239</v>
      </c>
      <c r="F16" s="315">
        <v>3.596416811055374</v>
      </c>
      <c r="G16" s="315">
        <f t="shared" si="0"/>
        <v>0.60727514902585678</v>
      </c>
      <c r="H16" s="315">
        <f t="shared" si="1"/>
        <v>0.27805453386993495</v>
      </c>
      <c r="I16" s="315">
        <f t="shared" si="2"/>
        <v>0.39272485097414322</v>
      </c>
      <c r="J16" s="315">
        <f t="shared" si="3"/>
        <v>0.72194546613006505</v>
      </c>
      <c r="K16" s="406">
        <v>2511827.5042983065</v>
      </c>
      <c r="M16" s="315">
        <f t="shared" si="5"/>
        <v>986457.08229830652</v>
      </c>
      <c r="N16" s="315">
        <f t="shared" si="6"/>
        <v>1813402.4784289589</v>
      </c>
      <c r="O16" s="308">
        <f t="shared" si="7"/>
        <v>2432717.0822983067</v>
      </c>
      <c r="P16" s="308">
        <f>N16+D16</f>
        <v>2399502.4784289589</v>
      </c>
    </row>
    <row r="17" spans="1:16">
      <c r="A17" s="322">
        <v>2019</v>
      </c>
      <c r="B17" s="316">
        <v>12</v>
      </c>
      <c r="C17" s="321">
        <v>1414010</v>
      </c>
      <c r="D17" s="321">
        <v>345800</v>
      </c>
      <c r="E17" s="315">
        <v>2.1148278441671478</v>
      </c>
      <c r="F17" s="315">
        <v>7.7792007387500295</v>
      </c>
      <c r="G17" s="315">
        <f t="shared" si="0"/>
        <v>0.47285172774610201</v>
      </c>
      <c r="H17" s="315">
        <f t="shared" si="1"/>
        <v>0.12854791045804548</v>
      </c>
      <c r="I17" s="315">
        <f>1-G17</f>
        <v>0.52714827225389804</v>
      </c>
      <c r="J17" s="315">
        <f t="shared" si="3"/>
        <v>0.87145208954195452</v>
      </c>
      <c r="K17" s="406">
        <v>2690047.6154597602</v>
      </c>
      <c r="M17" s="315">
        <f t="shared" si="5"/>
        <v>1418053.9527703309</v>
      </c>
      <c r="N17" s="315">
        <f>J17*K17</f>
        <v>2344247.6154597602</v>
      </c>
      <c r="O17" s="308">
        <f t="shared" si="7"/>
        <v>2832063.9527703309</v>
      </c>
      <c r="P17" s="308">
        <f>N17+D17</f>
        <v>2690047.6154597602</v>
      </c>
    </row>
    <row r="19" spans="1:16">
      <c r="A19" t="s">
        <v>254</v>
      </c>
    </row>
    <row r="21" spans="1:16">
      <c r="C21" t="s">
        <v>88</v>
      </c>
      <c r="E21" s="327" t="s">
        <v>152</v>
      </c>
      <c r="F21" s="327"/>
      <c r="G21" s="327" t="s">
        <v>153</v>
      </c>
      <c r="H21" s="327"/>
      <c r="I21" s="327"/>
    </row>
    <row r="22" spans="1:16">
      <c r="A22" s="323" t="s">
        <v>12</v>
      </c>
      <c r="B22" s="315" t="s">
        <v>81</v>
      </c>
      <c r="C22" t="s">
        <v>89</v>
      </c>
      <c r="E22" s="326" t="s">
        <v>83</v>
      </c>
      <c r="F22" s="326" t="s">
        <v>84</v>
      </c>
      <c r="H22" s="326" t="s">
        <v>83</v>
      </c>
      <c r="I22" s="326" t="s">
        <v>84</v>
      </c>
    </row>
    <row r="23" spans="1:16">
      <c r="A23" s="324">
        <v>2010</v>
      </c>
      <c r="B23" s="316">
        <v>120</v>
      </c>
      <c r="D23">
        <v>41600</v>
      </c>
      <c r="E23" s="308">
        <f>O8-C8</f>
        <v>0</v>
      </c>
      <c r="F23" s="308">
        <f>P8-C8</f>
        <v>-41600</v>
      </c>
      <c r="H23" s="308">
        <f>D23+E23</f>
        <v>41600</v>
      </c>
      <c r="I23" s="308">
        <f t="shared" ref="I23:I32" si="8">D23+F23</f>
        <v>0</v>
      </c>
    </row>
    <row r="24" spans="1:16">
      <c r="A24" s="325">
        <v>2011</v>
      </c>
      <c r="B24" s="316">
        <v>108</v>
      </c>
      <c r="D24">
        <v>130320</v>
      </c>
      <c r="E24" s="328">
        <f>O9-C9</f>
        <v>18963.308105987497</v>
      </c>
      <c r="F24" s="328">
        <f>P9-C9</f>
        <v>11165.390125288628</v>
      </c>
      <c r="H24" s="328">
        <f t="shared" ref="H24:H32" si="9">D24+E24</f>
        <v>149283.3081059875</v>
      </c>
      <c r="I24" s="328">
        <f>D24+F24</f>
        <v>141485.39012528863</v>
      </c>
    </row>
    <row r="25" spans="1:16">
      <c r="A25" s="325">
        <v>2012</v>
      </c>
      <c r="B25" s="316">
        <v>96</v>
      </c>
      <c r="D25">
        <v>214300</v>
      </c>
      <c r="E25" s="328">
        <f t="shared" ref="E25:E32" si="10">O10-C10</f>
        <v>164470.57147317426</v>
      </c>
      <c r="F25" s="328">
        <f t="shared" ref="F25:F32" si="11">P10-C10</f>
        <v>182600.23640181916</v>
      </c>
      <c r="H25" s="328">
        <f t="shared" si="9"/>
        <v>378770.57147317426</v>
      </c>
      <c r="I25" s="328">
        <f>D25+F25</f>
        <v>396900.23640181916</v>
      </c>
    </row>
    <row r="26" spans="1:16">
      <c r="A26" s="325">
        <v>2013</v>
      </c>
      <c r="B26" s="316">
        <v>84</v>
      </c>
      <c r="D26">
        <v>338530</v>
      </c>
      <c r="E26" s="328">
        <f>O11-C11</f>
        <v>348666.7088766722</v>
      </c>
      <c r="F26" s="328">
        <f t="shared" si="11"/>
        <v>370418.60489664786</v>
      </c>
      <c r="H26" s="328">
        <f>D26+E26</f>
        <v>687196.7088766722</v>
      </c>
      <c r="I26" s="328">
        <f t="shared" si="8"/>
        <v>708948.60489664786</v>
      </c>
    </row>
    <row r="27" spans="1:16">
      <c r="A27" s="325">
        <v>2014</v>
      </c>
      <c r="B27" s="316">
        <v>72</v>
      </c>
      <c r="D27">
        <v>454390</v>
      </c>
      <c r="E27" s="328">
        <f t="shared" si="10"/>
        <v>488071.24235020904</v>
      </c>
      <c r="F27" s="328">
        <f>P12-C12</f>
        <v>555792.39184949547</v>
      </c>
      <c r="H27" s="328">
        <f t="shared" si="9"/>
        <v>942461.24235020904</v>
      </c>
      <c r="I27" s="328">
        <f>D27+F27</f>
        <v>1010182.3918494955</v>
      </c>
    </row>
    <row r="28" spans="1:16">
      <c r="A28" s="325">
        <v>2015</v>
      </c>
      <c r="B28" s="316">
        <v>60</v>
      </c>
      <c r="D28">
        <v>614710</v>
      </c>
      <c r="E28" s="328">
        <f t="shared" si="10"/>
        <v>292696.74429473514</v>
      </c>
      <c r="F28" s="328">
        <f t="shared" si="11"/>
        <v>707172.59390847944</v>
      </c>
      <c r="H28" s="328">
        <f t="shared" si="9"/>
        <v>907406.74429473514</v>
      </c>
      <c r="I28" s="328">
        <f t="shared" si="8"/>
        <v>1321882.5939084794</v>
      </c>
    </row>
    <row r="29" spans="1:16">
      <c r="A29" s="325">
        <v>2016</v>
      </c>
      <c r="B29" s="316">
        <v>48</v>
      </c>
      <c r="D29">
        <v>606530</v>
      </c>
      <c r="E29" s="328">
        <f t="shared" si="10"/>
        <v>762801.54202444479</v>
      </c>
      <c r="F29" s="328">
        <f t="shared" si="11"/>
        <v>839194.35289570875</v>
      </c>
      <c r="H29" s="328">
        <f t="shared" si="9"/>
        <v>1369331.5420244448</v>
      </c>
      <c r="I29" s="328">
        <f t="shared" si="8"/>
        <v>1445724.3528957088</v>
      </c>
    </row>
    <row r="30" spans="1:16">
      <c r="A30" s="325">
        <v>2017</v>
      </c>
      <c r="B30" s="316">
        <v>36</v>
      </c>
      <c r="D30">
        <v>842170</v>
      </c>
      <c r="E30" s="328">
        <f t="shared" si="10"/>
        <v>874343.07350855693</v>
      </c>
      <c r="F30" s="328">
        <f t="shared" si="11"/>
        <v>865360.38536038017</v>
      </c>
      <c r="H30" s="328">
        <f t="shared" si="9"/>
        <v>1716513.0735085569</v>
      </c>
      <c r="I30" s="328">
        <f t="shared" si="8"/>
        <v>1707530.3853603802</v>
      </c>
    </row>
    <row r="31" spans="1:16">
      <c r="A31" s="325">
        <v>2018</v>
      </c>
      <c r="B31" s="316">
        <v>24</v>
      </c>
      <c r="D31">
        <v>860160</v>
      </c>
      <c r="E31" s="328">
        <f t="shared" si="10"/>
        <v>986457.08229830675</v>
      </c>
      <c r="F31" s="328">
        <f t="shared" si="11"/>
        <v>953242.47842895892</v>
      </c>
      <c r="H31" s="328">
        <f t="shared" si="9"/>
        <v>1846617.0822983067</v>
      </c>
      <c r="I31" s="328">
        <f t="shared" si="8"/>
        <v>1813402.4784289589</v>
      </c>
    </row>
    <row r="32" spans="1:16">
      <c r="A32" s="322">
        <v>2019</v>
      </c>
      <c r="B32" s="316">
        <v>12</v>
      </c>
      <c r="D32">
        <v>1068210</v>
      </c>
      <c r="E32" s="328">
        <f t="shared" si="10"/>
        <v>1418053.9527703309</v>
      </c>
      <c r="F32" s="328">
        <f t="shared" si="11"/>
        <v>1276037.6154597602</v>
      </c>
      <c r="H32" s="328">
        <f t="shared" si="9"/>
        <v>2486263.9527703309</v>
      </c>
      <c r="I32" s="328">
        <f t="shared" si="8"/>
        <v>2344247.6154597602</v>
      </c>
    </row>
  </sheetData>
  <mergeCells count="1">
    <mergeCell ref="G6:H6"/>
  </mergeCells>
  <phoneticPr fontId="10"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A5A3-B291-470D-B387-5DE56ED279B2}">
  <dimension ref="A1:M269"/>
  <sheetViews>
    <sheetView topLeftCell="A174" workbookViewId="0">
      <selection activeCell="K174" sqref="K174:K185"/>
    </sheetView>
  </sheetViews>
  <sheetFormatPr defaultRowHeight="13.5"/>
  <sheetData>
    <row r="1" spans="1:11">
      <c r="A1" s="329" t="s">
        <v>161</v>
      </c>
    </row>
    <row r="3" spans="1:11">
      <c r="A3" s="336" t="s">
        <v>11</v>
      </c>
      <c r="B3" s="337"/>
      <c r="C3" s="337"/>
      <c r="D3" s="337"/>
      <c r="E3" s="337"/>
      <c r="F3" s="337"/>
      <c r="G3" s="337"/>
      <c r="H3" s="337"/>
      <c r="I3" s="337"/>
      <c r="J3" s="337"/>
      <c r="K3" s="338"/>
    </row>
    <row r="4" spans="1:11">
      <c r="A4" s="349" t="s">
        <v>12</v>
      </c>
      <c r="B4" s="339">
        <v>12</v>
      </c>
      <c r="C4" s="339">
        <v>24</v>
      </c>
      <c r="D4" s="339">
        <v>36</v>
      </c>
      <c r="E4" s="339">
        <v>48</v>
      </c>
      <c r="F4" s="339">
        <v>60</v>
      </c>
      <c r="G4" s="339">
        <v>72</v>
      </c>
      <c r="H4" s="339">
        <v>84</v>
      </c>
      <c r="I4" s="339">
        <v>96</v>
      </c>
      <c r="J4" s="339">
        <v>108</v>
      </c>
      <c r="K4" s="340">
        <v>120</v>
      </c>
    </row>
    <row r="5" spans="1:11">
      <c r="A5" s="349">
        <v>2010</v>
      </c>
      <c r="B5" s="341">
        <v>989300</v>
      </c>
      <c r="C5" s="341">
        <v>1257600</v>
      </c>
      <c r="D5" s="341">
        <v>1454100</v>
      </c>
      <c r="E5" s="341">
        <v>1579340</v>
      </c>
      <c r="F5" s="341">
        <v>1689500</v>
      </c>
      <c r="G5" s="341">
        <v>1791040</v>
      </c>
      <c r="H5" s="341">
        <v>1906100</v>
      </c>
      <c r="I5" s="341">
        <v>1994320</v>
      </c>
      <c r="J5" s="341">
        <v>2069480</v>
      </c>
      <c r="K5" s="342">
        <v>2079680</v>
      </c>
    </row>
    <row r="6" spans="1:11">
      <c r="A6" s="349">
        <v>2011</v>
      </c>
      <c r="B6" s="343">
        <v>1250960</v>
      </c>
      <c r="C6" s="343">
        <v>1610990</v>
      </c>
      <c r="D6" s="343">
        <v>1772960</v>
      </c>
      <c r="E6" s="343">
        <v>1946060</v>
      </c>
      <c r="F6" s="343">
        <v>2091270</v>
      </c>
      <c r="G6" s="343">
        <v>2230490</v>
      </c>
      <c r="H6" s="343">
        <v>2365870</v>
      </c>
      <c r="I6" s="343">
        <v>2476300</v>
      </c>
      <c r="J6" s="343">
        <v>2563020</v>
      </c>
      <c r="K6" s="344"/>
    </row>
    <row r="7" spans="1:11">
      <c r="A7" s="349">
        <v>2012</v>
      </c>
      <c r="B7" s="343">
        <v>1378380</v>
      </c>
      <c r="C7" s="343">
        <v>1821980</v>
      </c>
      <c r="D7" s="343">
        <v>2068220</v>
      </c>
      <c r="E7" s="343">
        <v>2214200</v>
      </c>
      <c r="F7" s="343">
        <v>2400460</v>
      </c>
      <c r="G7" s="343">
        <v>2533760</v>
      </c>
      <c r="H7" s="343">
        <v>2659220</v>
      </c>
      <c r="I7" s="343">
        <v>2786580</v>
      </c>
      <c r="J7" s="343"/>
      <c r="K7" s="344"/>
    </row>
    <row r="8" spans="1:11">
      <c r="A8" s="349">
        <v>2013</v>
      </c>
      <c r="B8" s="343">
        <v>1458130</v>
      </c>
      <c r="C8" s="343">
        <v>1928320</v>
      </c>
      <c r="D8" s="343">
        <v>2196870</v>
      </c>
      <c r="E8" s="343">
        <v>2367610</v>
      </c>
      <c r="F8" s="343">
        <v>2541060</v>
      </c>
      <c r="G8" s="343">
        <v>2727240</v>
      </c>
      <c r="H8" s="343">
        <v>2880060</v>
      </c>
      <c r="I8" s="343"/>
      <c r="J8" s="343"/>
      <c r="K8" s="344"/>
    </row>
    <row r="9" spans="1:11">
      <c r="A9" s="349">
        <v>2014</v>
      </c>
      <c r="B9" s="343">
        <v>1440950</v>
      </c>
      <c r="C9" s="343">
        <v>1782650</v>
      </c>
      <c r="D9" s="343">
        <v>2048350</v>
      </c>
      <c r="E9" s="343">
        <v>2139110</v>
      </c>
      <c r="F9" s="343">
        <v>2347290</v>
      </c>
      <c r="G9" s="343">
        <v>2507180</v>
      </c>
      <c r="H9" s="343"/>
      <c r="I9" s="343"/>
      <c r="J9" s="343"/>
      <c r="K9" s="344"/>
    </row>
    <row r="10" spans="1:11">
      <c r="A10" s="349">
        <v>2015</v>
      </c>
      <c r="B10" s="343">
        <v>1411530</v>
      </c>
      <c r="C10" s="343">
        <v>1762360</v>
      </c>
      <c r="D10" s="343">
        <v>2040070</v>
      </c>
      <c r="E10" s="343">
        <v>2119120</v>
      </c>
      <c r="F10" s="343">
        <v>2400750</v>
      </c>
      <c r="G10" s="343"/>
      <c r="H10" s="343"/>
      <c r="I10" s="343"/>
      <c r="J10" s="343"/>
      <c r="K10" s="344"/>
    </row>
    <row r="11" spans="1:11">
      <c r="A11" s="349">
        <v>2016</v>
      </c>
      <c r="B11" s="343">
        <v>1226980</v>
      </c>
      <c r="C11" s="343">
        <v>1542120</v>
      </c>
      <c r="D11" s="343">
        <v>1776670</v>
      </c>
      <c r="E11" s="343">
        <v>1874570</v>
      </c>
      <c r="F11" s="343"/>
      <c r="G11" s="343"/>
      <c r="H11" s="343"/>
      <c r="I11" s="343"/>
      <c r="J11" s="343"/>
      <c r="K11" s="344"/>
    </row>
    <row r="12" spans="1:11">
      <c r="A12" s="349">
        <v>2017</v>
      </c>
      <c r="B12" s="343">
        <v>1234800</v>
      </c>
      <c r="C12" s="343">
        <v>1585370</v>
      </c>
      <c r="D12" s="343">
        <v>1874190</v>
      </c>
      <c r="E12" s="343"/>
      <c r="F12" s="343"/>
      <c r="G12" s="343"/>
      <c r="H12" s="343"/>
      <c r="I12" s="343"/>
      <c r="J12" s="343"/>
      <c r="K12" s="344"/>
    </row>
    <row r="13" spans="1:11">
      <c r="A13" s="349">
        <v>2018</v>
      </c>
      <c r="B13" s="343">
        <v>1036760</v>
      </c>
      <c r="C13" s="343">
        <v>1446260</v>
      </c>
      <c r="D13" s="343"/>
      <c r="E13" s="343"/>
      <c r="F13" s="343"/>
      <c r="G13" s="343"/>
      <c r="H13" s="343"/>
      <c r="I13" s="343"/>
      <c r="J13" s="343"/>
      <c r="K13" s="344"/>
    </row>
    <row r="14" spans="1:11">
      <c r="A14" s="350">
        <v>2019</v>
      </c>
      <c r="B14" s="345">
        <v>1414010</v>
      </c>
      <c r="C14" s="345"/>
      <c r="D14" s="345"/>
      <c r="E14" s="345"/>
      <c r="F14" s="345"/>
      <c r="G14" s="345"/>
      <c r="H14" s="345"/>
      <c r="I14" s="345"/>
      <c r="J14" s="345"/>
      <c r="K14" s="346"/>
    </row>
    <row r="16" spans="1:11">
      <c r="A16" s="330" t="s">
        <v>13</v>
      </c>
      <c r="B16" s="331"/>
      <c r="C16" s="331"/>
      <c r="D16" s="331"/>
      <c r="E16" s="331"/>
      <c r="F16" s="331"/>
      <c r="G16" s="331"/>
      <c r="H16" s="331"/>
      <c r="I16" s="331"/>
      <c r="J16" s="331"/>
      <c r="K16" s="332"/>
    </row>
    <row r="17" spans="1:11">
      <c r="A17" s="279" t="s">
        <v>12</v>
      </c>
      <c r="B17" s="303">
        <v>12</v>
      </c>
      <c r="C17" s="303">
        <v>24</v>
      </c>
      <c r="D17" s="303">
        <v>36</v>
      </c>
      <c r="E17" s="303">
        <v>48</v>
      </c>
      <c r="F17" s="303">
        <v>60</v>
      </c>
      <c r="G17" s="303">
        <v>72</v>
      </c>
      <c r="H17" s="303">
        <v>84</v>
      </c>
      <c r="I17" s="303">
        <v>96</v>
      </c>
      <c r="J17" s="303">
        <v>108</v>
      </c>
      <c r="K17" s="305">
        <v>120</v>
      </c>
    </row>
    <row r="18" spans="1:11">
      <c r="A18" s="279">
        <v>2010</v>
      </c>
      <c r="B18" s="303">
        <v>265200</v>
      </c>
      <c r="C18" s="303">
        <v>553520</v>
      </c>
      <c r="D18" s="303">
        <v>845000</v>
      </c>
      <c r="E18" s="303">
        <v>1038000</v>
      </c>
      <c r="F18" s="303">
        <v>1269140</v>
      </c>
      <c r="G18" s="303">
        <v>1466000</v>
      </c>
      <c r="H18" s="303">
        <v>1683650</v>
      </c>
      <c r="I18" s="303">
        <v>1839200</v>
      </c>
      <c r="J18" s="303">
        <v>1963500</v>
      </c>
      <c r="K18" s="305">
        <v>2038080</v>
      </c>
    </row>
    <row r="19" spans="1:11">
      <c r="A19" s="279">
        <v>2011</v>
      </c>
      <c r="B19" s="303">
        <v>325960</v>
      </c>
      <c r="C19" s="303">
        <v>702400</v>
      </c>
      <c r="D19" s="303">
        <v>1029530</v>
      </c>
      <c r="E19" s="303">
        <v>1292670</v>
      </c>
      <c r="F19" s="303">
        <v>1556880</v>
      </c>
      <c r="G19" s="303">
        <v>1827440</v>
      </c>
      <c r="H19" s="303">
        <v>2109310</v>
      </c>
      <c r="I19" s="303">
        <v>2285590</v>
      </c>
      <c r="J19" s="303">
        <v>2432700</v>
      </c>
      <c r="K19" s="305"/>
    </row>
    <row r="20" spans="1:11">
      <c r="A20" s="279">
        <v>2012</v>
      </c>
      <c r="B20" s="303">
        <v>358890</v>
      </c>
      <c r="C20" s="303">
        <v>786490</v>
      </c>
      <c r="D20" s="303">
        <v>1213590</v>
      </c>
      <c r="E20" s="303">
        <v>1455800</v>
      </c>
      <c r="F20" s="303">
        <v>1786990</v>
      </c>
      <c r="G20" s="303">
        <v>2074170</v>
      </c>
      <c r="H20" s="303">
        <v>2369920</v>
      </c>
      <c r="I20" s="303">
        <v>2572280</v>
      </c>
      <c r="J20" s="303"/>
      <c r="K20" s="305"/>
    </row>
    <row r="21" spans="1:11">
      <c r="A21" s="279">
        <v>2013</v>
      </c>
      <c r="B21" s="303">
        <v>383460</v>
      </c>
      <c r="C21" s="303">
        <v>840950</v>
      </c>
      <c r="D21" s="303">
        <v>1287910</v>
      </c>
      <c r="E21" s="303">
        <v>1571470</v>
      </c>
      <c r="F21" s="303">
        <v>1926920</v>
      </c>
      <c r="G21" s="303">
        <v>2234350</v>
      </c>
      <c r="H21" s="303">
        <v>2541530</v>
      </c>
      <c r="I21" s="303"/>
      <c r="J21" s="303"/>
      <c r="K21" s="305"/>
    </row>
    <row r="22" spans="1:11">
      <c r="A22" s="279">
        <v>2014</v>
      </c>
      <c r="B22" s="303">
        <v>375550</v>
      </c>
      <c r="C22" s="303">
        <v>784660</v>
      </c>
      <c r="D22" s="303">
        <v>1201110</v>
      </c>
      <c r="E22" s="303">
        <v>1448160</v>
      </c>
      <c r="F22" s="303">
        <v>1779630</v>
      </c>
      <c r="G22" s="303">
        <v>2052790</v>
      </c>
      <c r="H22" s="303"/>
      <c r="I22" s="303"/>
      <c r="J22" s="303"/>
      <c r="K22" s="305"/>
    </row>
    <row r="23" spans="1:11">
      <c r="A23" s="279">
        <v>2015</v>
      </c>
      <c r="B23" s="303">
        <v>364560</v>
      </c>
      <c r="C23" s="303">
        <v>783060</v>
      </c>
      <c r="D23" s="303">
        <v>1208490</v>
      </c>
      <c r="E23" s="303">
        <v>1461210</v>
      </c>
      <c r="F23" s="303">
        <v>1786040</v>
      </c>
      <c r="G23" s="303"/>
      <c r="H23" s="303"/>
      <c r="I23" s="303"/>
      <c r="J23" s="303"/>
      <c r="K23" s="305"/>
    </row>
    <row r="24" spans="1:11">
      <c r="A24" s="279">
        <v>2016</v>
      </c>
      <c r="B24" s="303">
        <v>322630</v>
      </c>
      <c r="C24" s="303">
        <v>685250</v>
      </c>
      <c r="D24" s="303">
        <v>1041620</v>
      </c>
      <c r="E24" s="303">
        <v>1268040</v>
      </c>
      <c r="F24" s="303"/>
      <c r="G24" s="303"/>
      <c r="H24" s="303"/>
      <c r="I24" s="303"/>
      <c r="J24" s="303"/>
      <c r="K24" s="305"/>
    </row>
    <row r="25" spans="1:11">
      <c r="A25" s="279">
        <v>2017</v>
      </c>
      <c r="B25" s="303">
        <v>321440</v>
      </c>
      <c r="C25" s="303">
        <v>697160</v>
      </c>
      <c r="D25" s="303">
        <v>1032020</v>
      </c>
      <c r="E25" s="303"/>
      <c r="F25" s="303"/>
      <c r="G25" s="303"/>
      <c r="H25" s="303"/>
      <c r="I25" s="303"/>
      <c r="J25" s="303"/>
      <c r="K25" s="305"/>
    </row>
    <row r="26" spans="1:11">
      <c r="A26" s="279">
        <v>2018</v>
      </c>
      <c r="B26" s="303">
        <v>264920</v>
      </c>
      <c r="C26" s="303">
        <v>586100</v>
      </c>
      <c r="D26" s="303"/>
      <c r="E26" s="303"/>
      <c r="F26" s="303"/>
      <c r="G26" s="303"/>
      <c r="H26" s="303"/>
      <c r="I26" s="303"/>
      <c r="J26" s="303"/>
      <c r="K26" s="305"/>
    </row>
    <row r="27" spans="1:11">
      <c r="A27" s="280">
        <v>2019</v>
      </c>
      <c r="B27" s="327">
        <v>345800</v>
      </c>
      <c r="C27" s="327"/>
      <c r="D27" s="327"/>
      <c r="E27" s="327"/>
      <c r="F27" s="327"/>
      <c r="G27" s="327"/>
      <c r="H27" s="327"/>
      <c r="I27" s="327"/>
      <c r="J27" s="327"/>
      <c r="K27" s="307"/>
    </row>
    <row r="29" spans="1:11">
      <c r="A29" s="369" t="s">
        <v>53</v>
      </c>
      <c r="B29" s="370"/>
      <c r="C29" s="370"/>
      <c r="D29" s="370"/>
      <c r="E29" s="370"/>
      <c r="F29" s="370"/>
      <c r="G29" s="370"/>
      <c r="H29" s="370"/>
      <c r="I29" s="370"/>
      <c r="J29" s="370"/>
      <c r="K29" s="371"/>
    </row>
    <row r="30" spans="1:11">
      <c r="A30" s="366" t="s">
        <v>12</v>
      </c>
      <c r="B30" s="362">
        <v>12</v>
      </c>
      <c r="C30" s="362">
        <v>24</v>
      </c>
      <c r="D30" s="362">
        <v>36</v>
      </c>
      <c r="E30" s="362">
        <v>48</v>
      </c>
      <c r="F30" s="362">
        <v>60</v>
      </c>
      <c r="G30" s="362">
        <v>72</v>
      </c>
      <c r="H30" s="362">
        <v>84</v>
      </c>
      <c r="I30" s="362">
        <v>96</v>
      </c>
      <c r="J30" s="362">
        <v>108</v>
      </c>
      <c r="K30" s="364">
        <v>120</v>
      </c>
    </row>
    <row r="31" spans="1:11">
      <c r="A31" s="366">
        <v>2010</v>
      </c>
      <c r="B31" s="368">
        <f>B5-B18</f>
        <v>724100</v>
      </c>
      <c r="C31" s="368">
        <f t="shared" ref="C31:K32" si="0">C5-C18</f>
        <v>704080</v>
      </c>
      <c r="D31" s="368">
        <f t="shared" si="0"/>
        <v>609100</v>
      </c>
      <c r="E31" s="368">
        <f t="shared" si="0"/>
        <v>541340</v>
      </c>
      <c r="F31" s="368">
        <f t="shared" si="0"/>
        <v>420360</v>
      </c>
      <c r="G31" s="368">
        <f t="shared" si="0"/>
        <v>325040</v>
      </c>
      <c r="H31" s="368">
        <f t="shared" si="0"/>
        <v>222450</v>
      </c>
      <c r="I31" s="368">
        <f t="shared" si="0"/>
        <v>155120</v>
      </c>
      <c r="J31" s="368">
        <f t="shared" si="0"/>
        <v>105980</v>
      </c>
      <c r="K31" s="333">
        <f t="shared" si="0"/>
        <v>41600</v>
      </c>
    </row>
    <row r="32" spans="1:11">
      <c r="A32" s="366">
        <v>2011</v>
      </c>
      <c r="B32" s="368">
        <f t="shared" ref="B32:I40" si="1">B6-B19</f>
        <v>925000</v>
      </c>
      <c r="C32" s="368">
        <f t="shared" si="1"/>
        <v>908590</v>
      </c>
      <c r="D32" s="368">
        <f t="shared" si="1"/>
        <v>743430</v>
      </c>
      <c r="E32" s="368">
        <f t="shared" si="1"/>
        <v>653390</v>
      </c>
      <c r="F32" s="368">
        <f t="shared" si="1"/>
        <v>534390</v>
      </c>
      <c r="G32" s="368">
        <f t="shared" si="1"/>
        <v>403050</v>
      </c>
      <c r="H32" s="368">
        <f t="shared" si="1"/>
        <v>256560</v>
      </c>
      <c r="I32" s="368">
        <f t="shared" si="1"/>
        <v>190710</v>
      </c>
      <c r="J32" s="368">
        <f t="shared" si="0"/>
        <v>130320</v>
      </c>
      <c r="K32" s="364"/>
    </row>
    <row r="33" spans="1:11">
      <c r="A33" s="366">
        <v>2012</v>
      </c>
      <c r="B33" s="368">
        <f t="shared" si="1"/>
        <v>1019490</v>
      </c>
      <c r="C33" s="368">
        <f t="shared" si="1"/>
        <v>1035490</v>
      </c>
      <c r="D33" s="368">
        <f t="shared" si="1"/>
        <v>854630</v>
      </c>
      <c r="E33" s="368">
        <f t="shared" si="1"/>
        <v>758400</v>
      </c>
      <c r="F33" s="368">
        <f t="shared" si="1"/>
        <v>613470</v>
      </c>
      <c r="G33" s="368">
        <f t="shared" si="1"/>
        <v>459590</v>
      </c>
      <c r="H33" s="368">
        <f t="shared" si="1"/>
        <v>289300</v>
      </c>
      <c r="I33" s="368">
        <f t="shared" si="1"/>
        <v>214300</v>
      </c>
      <c r="J33" s="362"/>
      <c r="K33" s="364"/>
    </row>
    <row r="34" spans="1:11">
      <c r="A34" s="366">
        <v>2013</v>
      </c>
      <c r="B34" s="368">
        <f t="shared" si="1"/>
        <v>1074670</v>
      </c>
      <c r="C34" s="368">
        <f t="shared" si="1"/>
        <v>1087370</v>
      </c>
      <c r="D34" s="368">
        <f t="shared" si="1"/>
        <v>908960</v>
      </c>
      <c r="E34" s="368">
        <f t="shared" si="1"/>
        <v>796140</v>
      </c>
      <c r="F34" s="368">
        <f t="shared" si="1"/>
        <v>614140</v>
      </c>
      <c r="G34" s="368">
        <f t="shared" si="1"/>
        <v>492890</v>
      </c>
      <c r="H34" s="368">
        <f t="shared" si="1"/>
        <v>338530</v>
      </c>
      <c r="I34" s="362"/>
      <c r="J34" s="362"/>
      <c r="K34" s="364"/>
    </row>
    <row r="35" spans="1:11">
      <c r="A35" s="366">
        <v>2014</v>
      </c>
      <c r="B35" s="368">
        <f t="shared" si="1"/>
        <v>1065400</v>
      </c>
      <c r="C35" s="368">
        <f t="shared" si="1"/>
        <v>997990</v>
      </c>
      <c r="D35" s="368">
        <f t="shared" si="1"/>
        <v>847240</v>
      </c>
      <c r="E35" s="368">
        <f t="shared" si="1"/>
        <v>690950</v>
      </c>
      <c r="F35" s="368">
        <f t="shared" si="1"/>
        <v>567660</v>
      </c>
      <c r="G35" s="368">
        <f t="shared" si="1"/>
        <v>454390</v>
      </c>
      <c r="H35" s="362"/>
      <c r="I35" s="362"/>
      <c r="J35" s="362"/>
      <c r="K35" s="364"/>
    </row>
    <row r="36" spans="1:11">
      <c r="A36" s="366">
        <v>2015</v>
      </c>
      <c r="B36" s="368">
        <f t="shared" si="1"/>
        <v>1046970</v>
      </c>
      <c r="C36" s="368">
        <f t="shared" si="1"/>
        <v>979300</v>
      </c>
      <c r="D36" s="368">
        <f t="shared" si="1"/>
        <v>831580</v>
      </c>
      <c r="E36" s="368">
        <f t="shared" si="1"/>
        <v>657910</v>
      </c>
      <c r="F36" s="368">
        <f t="shared" si="1"/>
        <v>614710</v>
      </c>
      <c r="G36" s="362"/>
      <c r="H36" s="362"/>
      <c r="I36" s="362"/>
      <c r="J36" s="362"/>
      <c r="K36" s="364"/>
    </row>
    <row r="37" spans="1:11">
      <c r="A37" s="366">
        <v>2016</v>
      </c>
      <c r="B37" s="368">
        <f t="shared" si="1"/>
        <v>904350</v>
      </c>
      <c r="C37" s="368">
        <f t="shared" si="1"/>
        <v>856870</v>
      </c>
      <c r="D37" s="368">
        <f t="shared" si="1"/>
        <v>735050</v>
      </c>
      <c r="E37" s="368">
        <f t="shared" si="1"/>
        <v>606530</v>
      </c>
      <c r="F37" s="362"/>
      <c r="G37" s="362"/>
      <c r="H37" s="362"/>
      <c r="I37" s="362"/>
      <c r="J37" s="362"/>
      <c r="K37" s="364"/>
    </row>
    <row r="38" spans="1:11">
      <c r="A38" s="366">
        <v>2017</v>
      </c>
      <c r="B38" s="368">
        <f t="shared" si="1"/>
        <v>913360</v>
      </c>
      <c r="C38" s="368">
        <f t="shared" si="1"/>
        <v>888210</v>
      </c>
      <c r="D38" s="368">
        <f t="shared" si="1"/>
        <v>842170</v>
      </c>
      <c r="E38" s="362"/>
      <c r="F38" s="362"/>
      <c r="G38" s="362"/>
      <c r="H38" s="362"/>
      <c r="I38" s="362"/>
      <c r="J38" s="362"/>
      <c r="K38" s="364"/>
    </row>
    <row r="39" spans="1:11">
      <c r="A39" s="366">
        <v>2018</v>
      </c>
      <c r="B39" s="368">
        <f t="shared" si="1"/>
        <v>771840</v>
      </c>
      <c r="C39" s="368">
        <f t="shared" si="1"/>
        <v>860160</v>
      </c>
      <c r="D39" s="362"/>
      <c r="E39" s="362"/>
      <c r="F39" s="362"/>
      <c r="G39" s="362"/>
      <c r="H39" s="362"/>
      <c r="I39" s="362"/>
      <c r="J39" s="362"/>
      <c r="K39" s="364"/>
    </row>
    <row r="40" spans="1:11">
      <c r="A40" s="367">
        <v>2019</v>
      </c>
      <c r="B40" s="334">
        <f t="shared" si="1"/>
        <v>1068210</v>
      </c>
      <c r="C40" s="363"/>
      <c r="D40" s="363"/>
      <c r="E40" s="363"/>
      <c r="F40" s="363"/>
      <c r="G40" s="363"/>
      <c r="H40" s="363"/>
      <c r="I40" s="363"/>
      <c r="J40" s="363"/>
      <c r="K40" s="365"/>
    </row>
    <row r="42" spans="1:11">
      <c r="A42" s="351" t="s">
        <v>14</v>
      </c>
      <c r="B42" s="352"/>
      <c r="C42" s="352"/>
      <c r="D42" s="352"/>
      <c r="E42" s="352"/>
      <c r="F42" s="352"/>
      <c r="G42" s="352"/>
      <c r="H42" s="352"/>
      <c r="I42" s="352"/>
      <c r="J42" s="352"/>
      <c r="K42" s="353"/>
    </row>
    <row r="43" spans="1:11">
      <c r="A43" s="380" t="s">
        <v>12</v>
      </c>
      <c r="B43" s="354">
        <v>12</v>
      </c>
      <c r="C43" s="354">
        <v>24</v>
      </c>
      <c r="D43" s="354">
        <v>36</v>
      </c>
      <c r="E43" s="354">
        <v>48</v>
      </c>
      <c r="F43" s="354">
        <v>60</v>
      </c>
      <c r="G43" s="354">
        <v>72</v>
      </c>
      <c r="H43" s="354">
        <v>84</v>
      </c>
      <c r="I43" s="354">
        <v>96</v>
      </c>
      <c r="J43" s="354">
        <v>108</v>
      </c>
      <c r="K43" s="355">
        <v>120</v>
      </c>
    </row>
    <row r="44" spans="1:11">
      <c r="A44" s="380">
        <v>2010</v>
      </c>
      <c r="B44" s="356">
        <v>761</v>
      </c>
      <c r="C44" s="356">
        <v>786</v>
      </c>
      <c r="D44" s="356">
        <v>786</v>
      </c>
      <c r="E44" s="356">
        <v>778</v>
      </c>
      <c r="F44" s="356">
        <v>775</v>
      </c>
      <c r="G44" s="356">
        <v>772</v>
      </c>
      <c r="H44" s="356">
        <v>778</v>
      </c>
      <c r="I44" s="356">
        <v>776</v>
      </c>
      <c r="J44" s="356">
        <v>778</v>
      </c>
      <c r="K44" s="357">
        <v>776</v>
      </c>
    </row>
    <row r="45" spans="1:11">
      <c r="A45" s="380">
        <v>2011</v>
      </c>
      <c r="B45" s="358">
        <v>891</v>
      </c>
      <c r="C45" s="358">
        <v>941</v>
      </c>
      <c r="D45" s="358">
        <v>904</v>
      </c>
      <c r="E45" s="358">
        <v>913</v>
      </c>
      <c r="F45" s="358">
        <v>905</v>
      </c>
      <c r="G45" s="358">
        <v>907</v>
      </c>
      <c r="H45" s="358">
        <v>911</v>
      </c>
      <c r="I45" s="358">
        <v>909</v>
      </c>
      <c r="J45" s="358">
        <v>909</v>
      </c>
      <c r="K45" s="359"/>
    </row>
    <row r="46" spans="1:11">
      <c r="A46" s="380">
        <v>2012</v>
      </c>
      <c r="B46" s="358">
        <v>935</v>
      </c>
      <c r="C46" s="358">
        <v>1004</v>
      </c>
      <c r="D46" s="358">
        <v>995</v>
      </c>
      <c r="E46" s="358">
        <v>980</v>
      </c>
      <c r="F46" s="358">
        <v>980</v>
      </c>
      <c r="G46" s="358">
        <v>972</v>
      </c>
      <c r="H46" s="358">
        <v>966</v>
      </c>
      <c r="I46" s="358">
        <v>965</v>
      </c>
      <c r="J46" s="358"/>
      <c r="K46" s="359"/>
    </row>
    <row r="47" spans="1:11">
      <c r="A47" s="380">
        <v>2013</v>
      </c>
      <c r="B47" s="358">
        <v>942</v>
      </c>
      <c r="C47" s="358">
        <v>1012</v>
      </c>
      <c r="D47" s="358">
        <v>997</v>
      </c>
      <c r="E47" s="358">
        <v>998</v>
      </c>
      <c r="F47" s="358">
        <v>988</v>
      </c>
      <c r="G47" s="358">
        <v>987</v>
      </c>
      <c r="H47" s="358">
        <v>987</v>
      </c>
      <c r="I47" s="358"/>
      <c r="J47" s="358"/>
      <c r="K47" s="359"/>
    </row>
    <row r="48" spans="1:11">
      <c r="A48" s="380">
        <v>2014</v>
      </c>
      <c r="B48" s="358">
        <v>870</v>
      </c>
      <c r="C48" s="358">
        <v>891</v>
      </c>
      <c r="D48" s="358">
        <v>877</v>
      </c>
      <c r="E48" s="358">
        <v>867</v>
      </c>
      <c r="F48" s="358">
        <v>861</v>
      </c>
      <c r="G48" s="358">
        <v>856</v>
      </c>
      <c r="H48" s="358"/>
      <c r="I48" s="358"/>
      <c r="J48" s="358"/>
      <c r="K48" s="359"/>
    </row>
    <row r="49" spans="1:11">
      <c r="A49" s="380">
        <v>2015</v>
      </c>
      <c r="B49" s="358">
        <v>804</v>
      </c>
      <c r="C49" s="358">
        <v>831</v>
      </c>
      <c r="D49" s="358">
        <v>824</v>
      </c>
      <c r="E49" s="358">
        <v>818</v>
      </c>
      <c r="F49" s="358">
        <v>823</v>
      </c>
      <c r="G49" s="358"/>
      <c r="H49" s="358"/>
      <c r="I49" s="358"/>
      <c r="J49" s="358"/>
      <c r="K49" s="359"/>
    </row>
    <row r="50" spans="1:11">
      <c r="A50" s="380">
        <v>2016</v>
      </c>
      <c r="B50" s="358">
        <v>672</v>
      </c>
      <c r="C50" s="358">
        <v>686</v>
      </c>
      <c r="D50" s="358">
        <v>677</v>
      </c>
      <c r="E50" s="358">
        <v>670</v>
      </c>
      <c r="F50" s="358"/>
      <c r="G50" s="358"/>
      <c r="H50" s="358"/>
      <c r="I50" s="358"/>
      <c r="J50" s="358"/>
      <c r="K50" s="359"/>
    </row>
    <row r="51" spans="1:11">
      <c r="A51" s="380">
        <v>2017</v>
      </c>
      <c r="B51" s="358">
        <v>638</v>
      </c>
      <c r="C51" s="358">
        <v>653</v>
      </c>
      <c r="D51" s="358">
        <v>632</v>
      </c>
      <c r="E51" s="358"/>
      <c r="F51" s="358"/>
      <c r="G51" s="358"/>
      <c r="H51" s="358"/>
      <c r="I51" s="358"/>
      <c r="J51" s="358"/>
      <c r="K51" s="359"/>
    </row>
    <row r="52" spans="1:11">
      <c r="A52" s="380">
        <v>2018</v>
      </c>
      <c r="B52" s="358">
        <v>496</v>
      </c>
      <c r="C52" s="358">
        <v>518</v>
      </c>
      <c r="D52" s="358"/>
      <c r="E52" s="358"/>
      <c r="F52" s="358"/>
      <c r="G52" s="358"/>
      <c r="H52" s="358"/>
      <c r="I52" s="358"/>
      <c r="J52" s="358"/>
      <c r="K52" s="359"/>
    </row>
    <row r="53" spans="1:11">
      <c r="A53" s="381">
        <v>2019</v>
      </c>
      <c r="B53" s="360">
        <v>604</v>
      </c>
      <c r="C53" s="360"/>
      <c r="D53" s="360"/>
      <c r="E53" s="360"/>
      <c r="F53" s="360"/>
      <c r="G53" s="360"/>
      <c r="H53" s="360"/>
      <c r="I53" s="360"/>
      <c r="J53" s="360"/>
      <c r="K53" s="361"/>
    </row>
    <row r="55" spans="1:11">
      <c r="A55" t="s">
        <v>54</v>
      </c>
    </row>
    <row r="56" spans="1:11">
      <c r="A56" s="380" t="s">
        <v>12</v>
      </c>
      <c r="B56" s="376">
        <v>12</v>
      </c>
      <c r="C56" s="376">
        <v>24</v>
      </c>
      <c r="D56" s="376">
        <v>36</v>
      </c>
      <c r="E56" s="376">
        <v>48</v>
      </c>
      <c r="F56" s="376">
        <v>60</v>
      </c>
      <c r="G56" s="376">
        <v>72</v>
      </c>
      <c r="H56" s="376">
        <v>84</v>
      </c>
      <c r="I56" s="376">
        <v>96</v>
      </c>
      <c r="J56" s="376">
        <v>108</v>
      </c>
      <c r="K56" s="377">
        <v>120</v>
      </c>
    </row>
    <row r="57" spans="1:11">
      <c r="A57" s="380">
        <v>2010</v>
      </c>
      <c r="B57" s="379">
        <f>B44-B87</f>
        <v>251</v>
      </c>
      <c r="C57" s="379">
        <f t="shared" ref="C57:K58" si="2">C44-C87</f>
        <v>157</v>
      </c>
      <c r="D57" s="379">
        <f t="shared" si="2"/>
        <v>110</v>
      </c>
      <c r="E57" s="379">
        <f t="shared" si="2"/>
        <v>86</v>
      </c>
      <c r="F57" s="379">
        <f t="shared" si="2"/>
        <v>62</v>
      </c>
      <c r="G57" s="379">
        <f t="shared" si="2"/>
        <v>39</v>
      </c>
      <c r="H57" s="379">
        <f t="shared" si="2"/>
        <v>23</v>
      </c>
      <c r="I57" s="379">
        <f>I44-I87</f>
        <v>16</v>
      </c>
      <c r="J57" s="379">
        <f t="shared" si="2"/>
        <v>8</v>
      </c>
      <c r="K57" s="379">
        <f t="shared" si="2"/>
        <v>4</v>
      </c>
    </row>
    <row r="58" spans="1:11">
      <c r="A58" s="380">
        <v>2011</v>
      </c>
      <c r="B58" s="379">
        <f t="shared" ref="B58:I66" si="3">B45-B88</f>
        <v>294</v>
      </c>
      <c r="C58" s="379">
        <f t="shared" si="3"/>
        <v>188</v>
      </c>
      <c r="D58" s="379">
        <f t="shared" si="3"/>
        <v>127</v>
      </c>
      <c r="E58" s="379">
        <f t="shared" si="3"/>
        <v>100</v>
      </c>
      <c r="F58" s="379">
        <f t="shared" si="3"/>
        <v>72</v>
      </c>
      <c r="G58" s="379">
        <f t="shared" si="3"/>
        <v>45</v>
      </c>
      <c r="H58" s="379">
        <f t="shared" si="3"/>
        <v>27</v>
      </c>
      <c r="I58" s="379">
        <f t="shared" si="3"/>
        <v>18</v>
      </c>
      <c r="J58" s="379">
        <f t="shared" si="2"/>
        <v>9</v>
      </c>
    </row>
    <row r="59" spans="1:11">
      <c r="A59" s="380">
        <v>2012</v>
      </c>
      <c r="B59" s="379">
        <f t="shared" si="3"/>
        <v>309</v>
      </c>
      <c r="C59" s="379">
        <f t="shared" si="3"/>
        <v>201</v>
      </c>
      <c r="D59" s="379">
        <f t="shared" si="3"/>
        <v>139</v>
      </c>
      <c r="E59" s="379">
        <f t="shared" si="3"/>
        <v>108</v>
      </c>
      <c r="F59" s="379">
        <f t="shared" si="3"/>
        <v>78</v>
      </c>
      <c r="G59" s="379">
        <f t="shared" si="3"/>
        <v>49</v>
      </c>
      <c r="H59" s="379">
        <f t="shared" si="3"/>
        <v>29</v>
      </c>
      <c r="I59" s="379">
        <f t="shared" si="3"/>
        <v>19</v>
      </c>
    </row>
    <row r="60" spans="1:11">
      <c r="A60" s="380">
        <v>2013</v>
      </c>
      <c r="B60" s="379">
        <f t="shared" si="3"/>
        <v>311</v>
      </c>
      <c r="C60" s="379">
        <f t="shared" si="3"/>
        <v>202</v>
      </c>
      <c r="D60" s="379">
        <f t="shared" si="3"/>
        <v>140</v>
      </c>
      <c r="E60" s="379">
        <f t="shared" si="3"/>
        <v>110</v>
      </c>
      <c r="F60" s="379">
        <f t="shared" si="3"/>
        <v>79</v>
      </c>
      <c r="G60" s="379">
        <f t="shared" si="3"/>
        <v>49</v>
      </c>
      <c r="H60" s="379">
        <f t="shared" si="3"/>
        <v>30</v>
      </c>
    </row>
    <row r="61" spans="1:11">
      <c r="A61" s="380">
        <v>2014</v>
      </c>
      <c r="B61" s="379">
        <f t="shared" si="3"/>
        <v>287</v>
      </c>
      <c r="C61" s="379">
        <f t="shared" si="3"/>
        <v>178</v>
      </c>
      <c r="D61" s="379">
        <f t="shared" si="3"/>
        <v>123</v>
      </c>
      <c r="E61" s="379">
        <f t="shared" si="3"/>
        <v>95</v>
      </c>
      <c r="F61" s="379">
        <f t="shared" si="3"/>
        <v>69</v>
      </c>
      <c r="G61" s="379">
        <f t="shared" si="3"/>
        <v>43</v>
      </c>
    </row>
    <row r="62" spans="1:11">
      <c r="A62" s="380">
        <v>2015</v>
      </c>
      <c r="B62" s="379">
        <f t="shared" si="3"/>
        <v>265</v>
      </c>
      <c r="C62" s="379">
        <f t="shared" si="3"/>
        <v>166</v>
      </c>
      <c r="D62" s="379">
        <f t="shared" si="3"/>
        <v>115</v>
      </c>
      <c r="E62" s="379">
        <f t="shared" si="3"/>
        <v>90</v>
      </c>
      <c r="F62" s="379">
        <f t="shared" si="3"/>
        <v>66</v>
      </c>
    </row>
    <row r="63" spans="1:11">
      <c r="A63" s="380">
        <v>2016</v>
      </c>
      <c r="B63" s="379">
        <f t="shared" si="3"/>
        <v>222</v>
      </c>
      <c r="C63" s="379">
        <f t="shared" si="3"/>
        <v>137</v>
      </c>
      <c r="D63" s="379">
        <f t="shared" si="3"/>
        <v>95</v>
      </c>
      <c r="E63" s="379">
        <f t="shared" si="3"/>
        <v>74</v>
      </c>
    </row>
    <row r="64" spans="1:11">
      <c r="A64" s="380">
        <v>2017</v>
      </c>
      <c r="B64" s="379">
        <f t="shared" si="3"/>
        <v>211</v>
      </c>
      <c r="C64" s="379">
        <f t="shared" si="3"/>
        <v>131</v>
      </c>
      <c r="D64" s="379">
        <f t="shared" si="3"/>
        <v>88</v>
      </c>
    </row>
    <row r="65" spans="1:11">
      <c r="A65" s="380">
        <v>2018</v>
      </c>
      <c r="B65" s="379">
        <f t="shared" si="3"/>
        <v>164</v>
      </c>
      <c r="C65" s="379">
        <f t="shared" si="3"/>
        <v>104</v>
      </c>
    </row>
    <row r="66" spans="1:11">
      <c r="A66" s="381">
        <v>2019</v>
      </c>
      <c r="B66" s="379">
        <f t="shared" si="3"/>
        <v>199</v>
      </c>
    </row>
    <row r="68" spans="1:11">
      <c r="A68" s="369" t="s">
        <v>55</v>
      </c>
      <c r="B68" s="370"/>
      <c r="C68" s="370"/>
      <c r="D68" s="370"/>
      <c r="E68" s="370"/>
      <c r="F68" s="370"/>
      <c r="G68" s="370"/>
      <c r="H68" s="370"/>
      <c r="I68" s="370"/>
      <c r="J68" s="370"/>
      <c r="K68" s="371"/>
    </row>
    <row r="69" spans="1:11">
      <c r="A69" s="380" t="s">
        <v>12</v>
      </c>
      <c r="B69" s="354">
        <v>12</v>
      </c>
      <c r="C69" s="354">
        <v>24</v>
      </c>
      <c r="D69" s="354">
        <v>36</v>
      </c>
      <c r="E69" s="354">
        <v>48</v>
      </c>
      <c r="F69" s="354">
        <v>60</v>
      </c>
      <c r="G69" s="354">
        <v>72</v>
      </c>
      <c r="H69" s="354">
        <v>84</v>
      </c>
      <c r="I69" s="354">
        <v>96</v>
      </c>
      <c r="J69" s="354">
        <v>108</v>
      </c>
      <c r="K69" s="355">
        <v>120</v>
      </c>
    </row>
    <row r="70" spans="1:11">
      <c r="A70" s="380">
        <v>2010</v>
      </c>
      <c r="B70" s="362">
        <f>B31/B57</f>
        <v>2884.8605577689241</v>
      </c>
      <c r="C70" s="378">
        <f>C31/C57</f>
        <v>4484.5859872611463</v>
      </c>
      <c r="D70" s="378">
        <f t="shared" ref="D70:J70" si="4">D31/D57</f>
        <v>5537.272727272727</v>
      </c>
      <c r="E70" s="378">
        <f t="shared" si="4"/>
        <v>6294.6511627906975</v>
      </c>
      <c r="F70" s="378">
        <f t="shared" si="4"/>
        <v>6780</v>
      </c>
      <c r="G70" s="378">
        <f t="shared" si="4"/>
        <v>8334.3589743589746</v>
      </c>
      <c r="H70" s="378">
        <f t="shared" si="4"/>
        <v>9671.7391304347821</v>
      </c>
      <c r="I70" s="378">
        <f t="shared" si="4"/>
        <v>9695</v>
      </c>
      <c r="J70" s="378">
        <f t="shared" si="4"/>
        <v>13247.5</v>
      </c>
      <c r="K70" s="378">
        <f>K31/K57</f>
        <v>10400</v>
      </c>
    </row>
    <row r="71" spans="1:11">
      <c r="A71" s="380">
        <v>2011</v>
      </c>
      <c r="B71" s="378">
        <f t="shared" ref="B71:I78" si="5">B32/B58</f>
        <v>3146.2585034013605</v>
      </c>
      <c r="C71" s="378">
        <f t="shared" si="5"/>
        <v>4832.9255319148933</v>
      </c>
      <c r="D71" s="378">
        <f t="shared" si="5"/>
        <v>5853.7795275590552</v>
      </c>
      <c r="E71" s="378">
        <f t="shared" si="5"/>
        <v>6533.9</v>
      </c>
      <c r="F71" s="378">
        <f t="shared" si="5"/>
        <v>7422.083333333333</v>
      </c>
      <c r="G71" s="378">
        <f t="shared" si="5"/>
        <v>8956.6666666666661</v>
      </c>
      <c r="H71" s="378">
        <f t="shared" si="5"/>
        <v>9502.2222222222226</v>
      </c>
      <c r="I71" s="378">
        <f t="shared" si="5"/>
        <v>10595</v>
      </c>
      <c r="J71" s="378">
        <f>J32/J58</f>
        <v>14480</v>
      </c>
      <c r="K71" s="364"/>
    </row>
    <row r="72" spans="1:11">
      <c r="A72" s="380">
        <v>2012</v>
      </c>
      <c r="B72" s="378">
        <f t="shared" si="5"/>
        <v>3299.3203883495144</v>
      </c>
      <c r="C72" s="378">
        <f t="shared" si="5"/>
        <v>5151.6915422885568</v>
      </c>
      <c r="D72" s="378">
        <f t="shared" si="5"/>
        <v>6148.4172661870507</v>
      </c>
      <c r="E72" s="378">
        <f t="shared" si="5"/>
        <v>7022.2222222222226</v>
      </c>
      <c r="F72" s="378">
        <f t="shared" si="5"/>
        <v>7865</v>
      </c>
      <c r="G72" s="378">
        <f t="shared" si="5"/>
        <v>9379.3877551020414</v>
      </c>
      <c r="H72" s="378">
        <f t="shared" si="5"/>
        <v>9975.8620689655181</v>
      </c>
      <c r="I72" s="378">
        <f>I33/I59</f>
        <v>11278.947368421053</v>
      </c>
      <c r="J72" s="362"/>
      <c r="K72" s="364"/>
    </row>
    <row r="73" spans="1:11">
      <c r="A73" s="380">
        <v>2013</v>
      </c>
      <c r="B73" s="378">
        <f t="shared" si="5"/>
        <v>3455.5305466237942</v>
      </c>
      <c r="C73" s="378">
        <f t="shared" si="5"/>
        <v>5383.0198019801983</v>
      </c>
      <c r="D73" s="378">
        <f t="shared" si="5"/>
        <v>6492.5714285714284</v>
      </c>
      <c r="E73" s="378">
        <f t="shared" si="5"/>
        <v>7237.636363636364</v>
      </c>
      <c r="F73" s="378">
        <f t="shared" si="5"/>
        <v>7773.9240506329115</v>
      </c>
      <c r="G73" s="378">
        <f t="shared" si="5"/>
        <v>10058.979591836734</v>
      </c>
      <c r="H73" s="378">
        <f t="shared" si="5"/>
        <v>11284.333333333334</v>
      </c>
      <c r="I73" s="362"/>
      <c r="J73" s="362"/>
      <c r="K73" s="364"/>
    </row>
    <row r="74" spans="1:11">
      <c r="A74" s="380">
        <v>2014</v>
      </c>
      <c r="B74" s="378">
        <f t="shared" si="5"/>
        <v>3712.1951219512193</v>
      </c>
      <c r="C74" s="378">
        <f t="shared" si="5"/>
        <v>5606.6853932584272</v>
      </c>
      <c r="D74" s="378">
        <f t="shared" si="5"/>
        <v>6888.1300813008129</v>
      </c>
      <c r="E74" s="378">
        <f t="shared" si="5"/>
        <v>7273.1578947368425</v>
      </c>
      <c r="F74" s="378">
        <f t="shared" si="5"/>
        <v>8226.95652173913</v>
      </c>
      <c r="G74" s="378">
        <f t="shared" si="5"/>
        <v>10567.209302325582</v>
      </c>
      <c r="H74" s="362"/>
      <c r="I74" s="362"/>
      <c r="J74" s="362"/>
      <c r="K74" s="364"/>
    </row>
    <row r="75" spans="1:11">
      <c r="A75" s="380">
        <v>2015</v>
      </c>
      <c r="B75" s="378">
        <f t="shared" si="5"/>
        <v>3950.8301886792451</v>
      </c>
      <c r="C75" s="378">
        <f t="shared" si="5"/>
        <v>5899.3975903614455</v>
      </c>
      <c r="D75" s="378">
        <f t="shared" si="5"/>
        <v>7231.130434782609</v>
      </c>
      <c r="E75" s="378">
        <f t="shared" si="5"/>
        <v>7310.1111111111113</v>
      </c>
      <c r="F75" s="378">
        <f t="shared" si="5"/>
        <v>9313.7878787878781</v>
      </c>
      <c r="G75" s="362"/>
      <c r="H75" s="362"/>
      <c r="I75" s="362"/>
      <c r="J75" s="362"/>
      <c r="K75" s="364"/>
    </row>
    <row r="76" spans="1:11">
      <c r="A76" s="380">
        <v>2016</v>
      </c>
      <c r="B76" s="378">
        <f t="shared" si="5"/>
        <v>4073.6486486486488</v>
      </c>
      <c r="C76" s="378">
        <f t="shared" si="5"/>
        <v>6254.5255474452551</v>
      </c>
      <c r="D76" s="378">
        <f t="shared" si="5"/>
        <v>7737.3684210526317</v>
      </c>
      <c r="E76" s="378">
        <f t="shared" si="5"/>
        <v>8196.3513513513517</v>
      </c>
      <c r="F76" s="362"/>
      <c r="G76" s="362"/>
      <c r="H76" s="362"/>
      <c r="I76" s="362"/>
      <c r="J76" s="362"/>
      <c r="K76" s="364"/>
    </row>
    <row r="77" spans="1:11">
      <c r="A77" s="380">
        <v>2017</v>
      </c>
      <c r="B77" s="378">
        <f t="shared" si="5"/>
        <v>4328.7203791469192</v>
      </c>
      <c r="C77" s="378">
        <f t="shared" si="5"/>
        <v>6780.2290076335876</v>
      </c>
      <c r="D77" s="378">
        <f t="shared" si="5"/>
        <v>9570.113636363636</v>
      </c>
      <c r="E77" s="362"/>
      <c r="F77" s="362"/>
      <c r="G77" s="362"/>
      <c r="H77" s="362"/>
      <c r="I77" s="362"/>
      <c r="J77" s="362"/>
      <c r="K77" s="364"/>
    </row>
    <row r="78" spans="1:11">
      <c r="A78" s="380">
        <v>2018</v>
      </c>
      <c r="B78" s="378">
        <f t="shared" si="5"/>
        <v>4706.3414634146338</v>
      </c>
      <c r="C78" s="378">
        <f t="shared" si="5"/>
        <v>8270.7692307692305</v>
      </c>
      <c r="D78" s="362"/>
      <c r="E78" s="362"/>
      <c r="F78" s="362"/>
      <c r="G78" s="362"/>
      <c r="H78" s="362"/>
      <c r="I78" s="362"/>
      <c r="J78" s="362"/>
      <c r="K78" s="364"/>
    </row>
    <row r="79" spans="1:11">
      <c r="A79" s="381">
        <v>2019</v>
      </c>
      <c r="B79" s="378">
        <f>B40/B66</f>
        <v>5367.8894472361808</v>
      </c>
      <c r="C79" s="363"/>
      <c r="D79" s="363"/>
      <c r="E79" s="363"/>
      <c r="F79" s="363"/>
      <c r="G79" s="363"/>
      <c r="H79" s="363"/>
      <c r="I79" s="363"/>
      <c r="J79" s="363"/>
      <c r="K79" s="365"/>
    </row>
    <row r="81" spans="1:11">
      <c r="A81" t="s">
        <v>160</v>
      </c>
    </row>
    <row r="82" spans="1:11">
      <c r="B82">
        <f>(B79/B70)^(1/9)</f>
        <v>1.0714312376264825</v>
      </c>
      <c r="C82">
        <f>(C78/C70)^(1/8)</f>
        <v>1.0795131660420372</v>
      </c>
      <c r="D82">
        <f>(D77/D70)^(1/7)</f>
        <v>1.0812992030492969</v>
      </c>
      <c r="E82">
        <f>(E76/E70)^(1/6)</f>
        <v>1.044980412459634</v>
      </c>
      <c r="F82">
        <f>(F75/F70)^0.2</f>
        <v>1.0655634854717841</v>
      </c>
      <c r="G82">
        <f>(G74/G70)^(0.25)</f>
        <v>1.0611383900428744</v>
      </c>
      <c r="H82">
        <f>(H73/H70)^(1/3)</f>
        <v>1.0527464303248455</v>
      </c>
      <c r="I82">
        <f>(I72/I71)*(I71/I70)^0.5</f>
        <v>1.112869353502421</v>
      </c>
      <c r="J82">
        <f>J71/J70</f>
        <v>1.0930364219664088</v>
      </c>
    </row>
    <row r="85" spans="1:11">
      <c r="A85" s="330" t="s">
        <v>15</v>
      </c>
      <c r="B85" s="331"/>
      <c r="C85" s="331"/>
      <c r="D85" s="331"/>
      <c r="E85" s="331"/>
      <c r="F85" s="331"/>
      <c r="G85" s="331"/>
      <c r="H85" s="331"/>
      <c r="I85" s="331"/>
      <c r="J85" s="331"/>
      <c r="K85" s="332"/>
    </row>
    <row r="86" spans="1:11">
      <c r="A86" s="279" t="s">
        <v>12</v>
      </c>
      <c r="B86" s="303">
        <v>12</v>
      </c>
      <c r="C86" s="303">
        <v>24</v>
      </c>
      <c r="D86" s="303">
        <v>36</v>
      </c>
      <c r="E86" s="303">
        <v>48</v>
      </c>
      <c r="F86" s="303">
        <v>60</v>
      </c>
      <c r="G86" s="303">
        <v>72</v>
      </c>
      <c r="H86" s="303">
        <v>84</v>
      </c>
      <c r="I86" s="303">
        <v>96</v>
      </c>
      <c r="J86" s="303">
        <v>108</v>
      </c>
      <c r="K86" s="305">
        <v>120</v>
      </c>
    </row>
    <row r="87" spans="1:11">
      <c r="A87" s="279">
        <v>2010</v>
      </c>
      <c r="B87" s="303">
        <v>510</v>
      </c>
      <c r="C87" s="303">
        <v>629</v>
      </c>
      <c r="D87" s="303">
        <v>676</v>
      </c>
      <c r="E87" s="303">
        <v>692</v>
      </c>
      <c r="F87" s="303">
        <v>713</v>
      </c>
      <c r="G87" s="303">
        <v>733</v>
      </c>
      <c r="H87" s="303">
        <v>755</v>
      </c>
      <c r="I87" s="303">
        <v>760</v>
      </c>
      <c r="J87" s="303">
        <v>770</v>
      </c>
      <c r="K87" s="305">
        <v>772</v>
      </c>
    </row>
    <row r="88" spans="1:11">
      <c r="A88" s="279">
        <v>2011</v>
      </c>
      <c r="B88" s="303">
        <v>597</v>
      </c>
      <c r="C88" s="303">
        <v>753</v>
      </c>
      <c r="D88" s="303">
        <v>777</v>
      </c>
      <c r="E88" s="303">
        <v>813</v>
      </c>
      <c r="F88" s="303">
        <v>833</v>
      </c>
      <c r="G88" s="303">
        <v>862</v>
      </c>
      <c r="H88" s="303">
        <v>884</v>
      </c>
      <c r="I88" s="303">
        <v>891</v>
      </c>
      <c r="J88" s="303">
        <v>900</v>
      </c>
      <c r="K88" s="305"/>
    </row>
    <row r="89" spans="1:11">
      <c r="A89" s="279">
        <v>2012</v>
      </c>
      <c r="B89" s="303">
        <v>626</v>
      </c>
      <c r="C89" s="303">
        <v>803</v>
      </c>
      <c r="D89" s="303">
        <v>856</v>
      </c>
      <c r="E89" s="303">
        <v>872</v>
      </c>
      <c r="F89" s="303">
        <v>902</v>
      </c>
      <c r="G89" s="303">
        <v>923</v>
      </c>
      <c r="H89" s="303">
        <v>937</v>
      </c>
      <c r="I89" s="303">
        <v>946</v>
      </c>
      <c r="J89" s="303"/>
      <c r="K89" s="305"/>
    </row>
    <row r="90" spans="1:11">
      <c r="A90" s="279">
        <v>2013</v>
      </c>
      <c r="B90" s="303">
        <v>631</v>
      </c>
      <c r="C90" s="303">
        <v>810</v>
      </c>
      <c r="D90" s="303">
        <v>857</v>
      </c>
      <c r="E90" s="303">
        <v>888</v>
      </c>
      <c r="F90" s="303">
        <v>909</v>
      </c>
      <c r="G90" s="303">
        <v>938</v>
      </c>
      <c r="H90" s="303">
        <v>957</v>
      </c>
      <c r="I90" s="303"/>
      <c r="J90" s="303"/>
      <c r="K90" s="305"/>
    </row>
    <row r="91" spans="1:11">
      <c r="A91" s="279">
        <v>2014</v>
      </c>
      <c r="B91" s="303">
        <v>583</v>
      </c>
      <c r="C91" s="303">
        <v>713</v>
      </c>
      <c r="D91" s="303">
        <v>754</v>
      </c>
      <c r="E91" s="303">
        <v>772</v>
      </c>
      <c r="F91" s="303">
        <v>792</v>
      </c>
      <c r="G91" s="303">
        <v>813</v>
      </c>
      <c r="H91" s="303"/>
      <c r="I91" s="303"/>
      <c r="J91" s="303"/>
      <c r="K91" s="305"/>
    </row>
    <row r="92" spans="1:11">
      <c r="A92" s="279">
        <v>2015</v>
      </c>
      <c r="B92" s="303">
        <v>539</v>
      </c>
      <c r="C92" s="303">
        <v>665</v>
      </c>
      <c r="D92" s="303">
        <v>709</v>
      </c>
      <c r="E92" s="303">
        <v>728</v>
      </c>
      <c r="F92" s="303">
        <v>757</v>
      </c>
      <c r="G92" s="303"/>
      <c r="H92" s="303"/>
      <c r="I92" s="303"/>
      <c r="J92" s="303"/>
      <c r="K92" s="305"/>
    </row>
    <row r="93" spans="1:11">
      <c r="A93" s="279">
        <v>2016</v>
      </c>
      <c r="B93" s="303">
        <v>450</v>
      </c>
      <c r="C93" s="303">
        <v>549</v>
      </c>
      <c r="D93" s="303">
        <v>582</v>
      </c>
      <c r="E93" s="303">
        <v>596</v>
      </c>
      <c r="F93" s="303"/>
      <c r="G93" s="303"/>
      <c r="H93" s="303"/>
      <c r="I93" s="303"/>
      <c r="J93" s="303"/>
      <c r="K93" s="305"/>
    </row>
    <row r="94" spans="1:11">
      <c r="A94" s="279">
        <v>2017</v>
      </c>
      <c r="B94" s="303">
        <v>427</v>
      </c>
      <c r="C94" s="303">
        <v>522</v>
      </c>
      <c r="D94" s="303">
        <v>544</v>
      </c>
      <c r="E94" s="303"/>
      <c r="F94" s="303"/>
      <c r="G94" s="303"/>
      <c r="H94" s="303"/>
      <c r="I94" s="303"/>
      <c r="J94" s="303"/>
      <c r="K94" s="305"/>
    </row>
    <row r="95" spans="1:11">
      <c r="A95" s="279">
        <v>2018</v>
      </c>
      <c r="B95" s="303">
        <v>332</v>
      </c>
      <c r="C95" s="303">
        <v>414</v>
      </c>
      <c r="D95" s="303"/>
      <c r="E95" s="303"/>
      <c r="F95" s="303"/>
      <c r="G95" s="303"/>
      <c r="H95" s="303"/>
      <c r="I95" s="303"/>
      <c r="J95" s="303"/>
      <c r="K95" s="305"/>
    </row>
    <row r="96" spans="1:11">
      <c r="A96" s="280">
        <v>2019</v>
      </c>
      <c r="B96" s="327">
        <v>405</v>
      </c>
      <c r="C96" s="327"/>
      <c r="D96" s="327"/>
      <c r="E96" s="327"/>
      <c r="F96" s="327"/>
      <c r="G96" s="327"/>
      <c r="H96" s="327"/>
      <c r="I96" s="327"/>
      <c r="J96" s="327"/>
      <c r="K96" s="307"/>
    </row>
    <row r="98" spans="1:11">
      <c r="A98" t="s">
        <v>39</v>
      </c>
    </row>
    <row r="99" spans="1:11">
      <c r="A99" t="s">
        <v>12</v>
      </c>
      <c r="B99" s="347">
        <v>12</v>
      </c>
      <c r="C99" s="347">
        <v>24</v>
      </c>
      <c r="D99" s="347">
        <v>36</v>
      </c>
      <c r="E99" s="347">
        <v>48</v>
      </c>
      <c r="F99" s="347">
        <v>60</v>
      </c>
      <c r="G99" s="347">
        <v>72</v>
      </c>
      <c r="H99" s="347">
        <v>84</v>
      </c>
      <c r="I99" s="347">
        <v>96</v>
      </c>
      <c r="J99" s="347">
        <v>108</v>
      </c>
      <c r="K99" s="348">
        <v>120</v>
      </c>
    </row>
    <row r="100" spans="1:11">
      <c r="A100">
        <v>2010</v>
      </c>
      <c r="B100">
        <f t="shared" ref="B100:K100" si="6">B18/B87</f>
        <v>520</v>
      </c>
      <c r="C100" s="335">
        <f t="shared" si="6"/>
        <v>880</v>
      </c>
      <c r="D100" s="335">
        <f t="shared" si="6"/>
        <v>1250</v>
      </c>
      <c r="E100" s="335">
        <f t="shared" si="6"/>
        <v>1500</v>
      </c>
      <c r="F100" s="335">
        <f t="shared" si="6"/>
        <v>1780</v>
      </c>
      <c r="G100" s="335">
        <f t="shared" si="6"/>
        <v>2000</v>
      </c>
      <c r="H100" s="335">
        <f t="shared" si="6"/>
        <v>2230</v>
      </c>
      <c r="I100" s="335">
        <f t="shared" si="6"/>
        <v>2420</v>
      </c>
      <c r="J100" s="335">
        <f t="shared" si="6"/>
        <v>2550</v>
      </c>
      <c r="K100" s="335">
        <f t="shared" si="6"/>
        <v>2640</v>
      </c>
    </row>
    <row r="101" spans="1:11">
      <c r="A101">
        <v>2011</v>
      </c>
      <c r="B101" s="335">
        <f t="shared" ref="B101:J101" si="7">B19/B88</f>
        <v>545.99664991624786</v>
      </c>
      <c r="C101" s="335">
        <f t="shared" si="7"/>
        <v>932.80212483399737</v>
      </c>
      <c r="D101" s="335">
        <f t="shared" si="7"/>
        <v>1325.0064350064349</v>
      </c>
      <c r="E101" s="335">
        <f t="shared" si="7"/>
        <v>1590</v>
      </c>
      <c r="F101" s="335">
        <f t="shared" si="7"/>
        <v>1869.0036014405762</v>
      </c>
      <c r="G101" s="335">
        <f t="shared" si="7"/>
        <v>2120</v>
      </c>
      <c r="H101" s="335">
        <f t="shared" si="7"/>
        <v>2386.0972850678731</v>
      </c>
      <c r="I101" s="335">
        <f t="shared" si="7"/>
        <v>2565.1964085297418</v>
      </c>
      <c r="J101" s="335">
        <f t="shared" si="7"/>
        <v>2703</v>
      </c>
    </row>
    <row r="102" spans="1:11">
      <c r="A102">
        <v>2012</v>
      </c>
      <c r="B102" s="335">
        <f t="shared" ref="B102:I102" si="8">B20/B89</f>
        <v>573.30670926517575</v>
      </c>
      <c r="C102" s="335">
        <f t="shared" si="8"/>
        <v>979.43960149439602</v>
      </c>
      <c r="D102" s="335">
        <f t="shared" si="8"/>
        <v>1417.7453271028037</v>
      </c>
      <c r="E102" s="335">
        <f t="shared" si="8"/>
        <v>1669.4954128440368</v>
      </c>
      <c r="F102" s="335">
        <f t="shared" si="8"/>
        <v>1981.1419068736143</v>
      </c>
      <c r="G102" s="335">
        <f t="shared" si="8"/>
        <v>2247.2047670639222</v>
      </c>
      <c r="H102" s="335">
        <f t="shared" si="8"/>
        <v>2529.2636072572041</v>
      </c>
      <c r="I102" s="335">
        <f t="shared" si="8"/>
        <v>2719.1120507399578</v>
      </c>
    </row>
    <row r="103" spans="1:11">
      <c r="A103">
        <v>2013</v>
      </c>
      <c r="B103" s="335">
        <f t="shared" ref="B103:H103" si="9">B21/B90</f>
        <v>607.70206022187006</v>
      </c>
      <c r="C103" s="335">
        <f t="shared" si="9"/>
        <v>1038.2098765432099</v>
      </c>
      <c r="D103" s="335">
        <f t="shared" si="9"/>
        <v>1502.8121353558927</v>
      </c>
      <c r="E103" s="335">
        <f t="shared" si="9"/>
        <v>1769.6734234234234</v>
      </c>
      <c r="F103" s="335">
        <f t="shared" si="9"/>
        <v>2119.8239823982399</v>
      </c>
      <c r="G103" s="335">
        <f t="shared" si="9"/>
        <v>2382.036247334755</v>
      </c>
      <c r="H103" s="335">
        <f t="shared" si="9"/>
        <v>2655.7262277951932</v>
      </c>
    </row>
    <row r="104" spans="1:11">
      <c r="A104">
        <v>2014</v>
      </c>
      <c r="B104" s="335">
        <f t="shared" ref="B104:G104" si="10">B22/B91</f>
        <v>644.16809605488845</v>
      </c>
      <c r="C104" s="335">
        <f t="shared" si="10"/>
        <v>1100.5049088359046</v>
      </c>
      <c r="D104" s="335">
        <f t="shared" si="10"/>
        <v>1592.9840848806366</v>
      </c>
      <c r="E104" s="335">
        <f t="shared" si="10"/>
        <v>1875.8549222797928</v>
      </c>
      <c r="F104" s="335">
        <f t="shared" si="10"/>
        <v>2247.007575757576</v>
      </c>
      <c r="G104" s="335">
        <f t="shared" si="10"/>
        <v>2524.9569495694959</v>
      </c>
    </row>
    <row r="105" spans="1:11">
      <c r="A105">
        <v>2015</v>
      </c>
      <c r="B105" s="335">
        <f>B23/B92</f>
        <v>676.36363636363637</v>
      </c>
      <c r="C105" s="335">
        <f>C23/C92</f>
        <v>1177.5338345864661</v>
      </c>
      <c r="D105" s="335">
        <f>D23/D92</f>
        <v>1704.4992947813823</v>
      </c>
      <c r="E105" s="335">
        <f>E23/E92</f>
        <v>2007.1565934065934</v>
      </c>
      <c r="F105" s="335">
        <f>F23/F92</f>
        <v>2359.3659180977543</v>
      </c>
    </row>
    <row r="106" spans="1:11">
      <c r="A106">
        <v>2016</v>
      </c>
      <c r="B106" s="335">
        <f>B24/B93</f>
        <v>716.95555555555552</v>
      </c>
      <c r="C106" s="335">
        <f>C24/C93</f>
        <v>1248.1785063752277</v>
      </c>
      <c r="D106" s="335">
        <f>D24/D93</f>
        <v>1789.725085910653</v>
      </c>
      <c r="E106" s="335">
        <f>E24/E93</f>
        <v>2127.5838926174497</v>
      </c>
    </row>
    <row r="107" spans="1:11">
      <c r="A107">
        <v>2017</v>
      </c>
      <c r="B107" s="335">
        <f>B25/B94</f>
        <v>752.78688524590166</v>
      </c>
      <c r="C107" s="335">
        <f>C25/C94</f>
        <v>1335.5555555555557</v>
      </c>
      <c r="D107" s="335">
        <f>D25/D94</f>
        <v>1897.0955882352941</v>
      </c>
    </row>
    <row r="108" spans="1:11">
      <c r="A108">
        <v>2018</v>
      </c>
      <c r="B108" s="335">
        <f>B26/B95</f>
        <v>797.95180722891564</v>
      </c>
      <c r="C108" s="335">
        <f>C26/C95</f>
        <v>1415.7004830917874</v>
      </c>
    </row>
    <row r="109" spans="1:11">
      <c r="A109">
        <v>2019</v>
      </c>
      <c r="B109" s="335">
        <f>B27/B96</f>
        <v>853.82716049382714</v>
      </c>
    </row>
    <row r="111" spans="1:11">
      <c r="A111" t="s">
        <v>160</v>
      </c>
    </row>
    <row r="112" spans="1:11">
      <c r="B112" s="373">
        <f>(B109/B100)^(1/9)</f>
        <v>1.0566462709143947</v>
      </c>
      <c r="C112" s="373">
        <f>(C108/C100)^(1/8)</f>
        <v>1.0612338362269447</v>
      </c>
      <c r="D112" s="373">
        <f>(D107/D100)^(1/7)</f>
        <v>1.0614089442503212</v>
      </c>
      <c r="E112" s="373">
        <f>(E106/E100)^(1/6)</f>
        <v>1.059983827407206</v>
      </c>
      <c r="F112" s="373">
        <f>(F105/F100)^0.2</f>
        <v>1.0579741581747395</v>
      </c>
      <c r="G112" s="373">
        <f>(G104/G100)^(0.25)</f>
        <v>1.060000317960478</v>
      </c>
      <c r="H112" s="373">
        <f>(H103/H100)^(1/3)</f>
        <v>1.0599681437945279</v>
      </c>
      <c r="I112" s="373">
        <f>(I102/I101)*(I101/I100)^0.5</f>
        <v>1.0913375792865443</v>
      </c>
      <c r="J112">
        <f>J101/J100</f>
        <v>1.06</v>
      </c>
    </row>
    <row r="114" spans="1:13">
      <c r="A114" t="s">
        <v>162</v>
      </c>
    </row>
    <row r="116" spans="1:13">
      <c r="A116" t="s">
        <v>160</v>
      </c>
    </row>
    <row r="117" spans="1:13">
      <c r="B117">
        <v>1.0713016077081801</v>
      </c>
      <c r="C117">
        <v>1.0802051727047715</v>
      </c>
      <c r="D117">
        <v>1.0805153672561194</v>
      </c>
      <c r="E117">
        <v>1.0448352762830706</v>
      </c>
      <c r="F117">
        <v>1.0660808751235404</v>
      </c>
      <c r="G117">
        <v>1.0596412904133039</v>
      </c>
      <c r="H117">
        <v>1.0625329297798991</v>
      </c>
      <c r="I117">
        <v>1.0843938074464132</v>
      </c>
      <c r="J117">
        <v>1.0524533864973589</v>
      </c>
    </row>
    <row r="119" spans="1:13">
      <c r="A119" t="s">
        <v>164</v>
      </c>
    </row>
    <row r="124" spans="1:13">
      <c r="A124" s="374" t="s">
        <v>165</v>
      </c>
    </row>
    <row r="126" spans="1:13">
      <c r="A126" t="s">
        <v>166</v>
      </c>
    </row>
    <row r="127" spans="1:13">
      <c r="A127" s="375" t="s">
        <v>12</v>
      </c>
      <c r="B127">
        <v>12</v>
      </c>
      <c r="C127">
        <v>24</v>
      </c>
      <c r="D127">
        <v>36</v>
      </c>
      <c r="E127">
        <v>48</v>
      </c>
      <c r="F127">
        <v>60</v>
      </c>
      <c r="G127">
        <v>72</v>
      </c>
      <c r="H127">
        <v>84</v>
      </c>
      <c r="I127">
        <v>96</v>
      </c>
      <c r="J127">
        <v>108</v>
      </c>
      <c r="K127">
        <v>120</v>
      </c>
    </row>
    <row r="128" spans="1:13">
      <c r="A128" s="375">
        <v>2010</v>
      </c>
      <c r="B128">
        <f>B137/M128</f>
        <v>3177.2455162181304</v>
      </c>
      <c r="C128">
        <f>8270.76923076923/M129</f>
        <v>5189.1829358979376</v>
      </c>
      <c r="D128">
        <f>9570.11363636364/M130</f>
        <v>6364.6721520377605</v>
      </c>
      <c r="E128">
        <f>8196.35135135135/M131</f>
        <v>5778.1042782821187</v>
      </c>
      <c r="F128">
        <f>9313.788/M132</f>
        <v>6959.8042033418069</v>
      </c>
      <c r="G128">
        <f>10567.2093023256/M133</f>
        <v>8370.2195264819711</v>
      </c>
      <c r="H128">
        <f>11284.3333333333/M134</f>
        <v>9474.5438628308075</v>
      </c>
      <c r="I128">
        <f>11278.9473684211/M135</f>
        <v>10038.223005002757</v>
      </c>
      <c r="J128">
        <f>14480/M136</f>
        <v>13660.377358490565</v>
      </c>
      <c r="K128">
        <v>10400</v>
      </c>
      <c r="M128" s="373">
        <f>1.06^9</f>
        <v>1.6894789590026928</v>
      </c>
    </row>
    <row r="129" spans="1:13">
      <c r="A129" s="375">
        <v>2011</v>
      </c>
      <c r="B129" s="373">
        <f>B137/M129</f>
        <v>3367.8802471912186</v>
      </c>
      <c r="C129" s="375">
        <f t="shared" ref="C129:C134" si="11">8270.76923076923/M130</f>
        <v>5500.5339120518129</v>
      </c>
      <c r="D129" s="375">
        <f t="shared" ref="D129:D134" si="12">9570.11363636364/M131</f>
        <v>6746.5524811600271</v>
      </c>
      <c r="E129" s="375">
        <f t="shared" ref="E129:E133" si="13">8196.35135135135/M132</f>
        <v>6124.7905349790462</v>
      </c>
      <c r="F129" s="375">
        <f t="shared" ref="F129:F132" si="14">9313.788/M133</f>
        <v>7377.3924555423155</v>
      </c>
      <c r="G129" s="375">
        <f t="shared" ref="G129:G131" si="15">10567.2093023256/M134</f>
        <v>8872.4326980708884</v>
      </c>
      <c r="H129" s="375">
        <f t="shared" ref="H129:H130" si="16">11284.3333333333/M135</f>
        <v>10043.016494600657</v>
      </c>
      <c r="I129" s="375">
        <f>11278.9473684211/M136</f>
        <v>10640.516385302924</v>
      </c>
      <c r="J129">
        <v>14480</v>
      </c>
      <c r="M129" s="373">
        <f>1.06^8</f>
        <v>1.5938480745308423</v>
      </c>
    </row>
    <row r="130" spans="1:13">
      <c r="A130" s="375">
        <v>2012</v>
      </c>
      <c r="B130" s="373">
        <f>B137/M130</f>
        <v>3569.953062022691</v>
      </c>
      <c r="C130" s="375">
        <f t="shared" si="11"/>
        <v>5830.5659467749228</v>
      </c>
      <c r="D130" s="375">
        <f t="shared" si="12"/>
        <v>7151.3456300296293</v>
      </c>
      <c r="E130" s="375">
        <f t="shared" si="13"/>
        <v>6492.27796707779</v>
      </c>
      <c r="F130" s="375">
        <f t="shared" si="14"/>
        <v>7820.0360028748546</v>
      </c>
      <c r="G130" s="375">
        <f t="shared" si="15"/>
        <v>9404.7786599551437</v>
      </c>
      <c r="H130" s="375">
        <f t="shared" si="16"/>
        <v>10645.597484276697</v>
      </c>
      <c r="I130">
        <v>11278.947368421101</v>
      </c>
      <c r="M130" s="373">
        <f>1.06^7</f>
        <v>1.5036302589913608</v>
      </c>
    </row>
    <row r="131" spans="1:13">
      <c r="A131" s="375">
        <v>2013</v>
      </c>
      <c r="B131" s="373">
        <f>B137/M131</f>
        <v>3784.1502457440533</v>
      </c>
      <c r="C131" s="375">
        <f t="shared" si="11"/>
        <v>6180.3999035814177</v>
      </c>
      <c r="D131" s="375">
        <f t="shared" si="12"/>
        <v>7580.4263678314073</v>
      </c>
      <c r="E131" s="375">
        <f t="shared" si="13"/>
        <v>6881.8146451024568</v>
      </c>
      <c r="F131" s="375">
        <f t="shared" si="14"/>
        <v>8289.2381630473465</v>
      </c>
      <c r="G131" s="375">
        <f t="shared" si="15"/>
        <v>9969.0653795524522</v>
      </c>
      <c r="H131">
        <v>11284.333333333299</v>
      </c>
      <c r="M131" s="373">
        <f>1.06^6</f>
        <v>1.4185191122560006</v>
      </c>
    </row>
    <row r="132" spans="1:13">
      <c r="A132" s="375">
        <v>2014</v>
      </c>
      <c r="B132" s="373">
        <f>B137/M132</f>
        <v>4011.1992604886964</v>
      </c>
      <c r="C132" s="375">
        <f t="shared" si="11"/>
        <v>6551.2238977963043</v>
      </c>
      <c r="D132" s="375">
        <f t="shared" si="12"/>
        <v>8035.2519499012924</v>
      </c>
      <c r="E132" s="375">
        <f t="shared" si="13"/>
        <v>7294.723523808605</v>
      </c>
      <c r="F132" s="375">
        <f t="shared" si="14"/>
        <v>8786.5924528301894</v>
      </c>
      <c r="G132">
        <v>10567.2093023256</v>
      </c>
      <c r="M132" s="373">
        <f>1.06^5</f>
        <v>1.3382255776000005</v>
      </c>
    </row>
    <row r="133" spans="1:13">
      <c r="A133" s="375">
        <v>2015</v>
      </c>
      <c r="B133" s="373">
        <f>B137/M133</f>
        <v>4251.8712161180192</v>
      </c>
      <c r="C133" s="375">
        <f t="shared" si="11"/>
        <v>6944.2973316640819</v>
      </c>
      <c r="D133" s="375">
        <f t="shared" si="12"/>
        <v>8517.367066895371</v>
      </c>
      <c r="E133" s="375">
        <f t="shared" si="13"/>
        <v>7732.4069352371225</v>
      </c>
      <c r="F133">
        <v>9313.7878787878799</v>
      </c>
      <c r="M133" s="373">
        <f>1.06^4</f>
        <v>1.2624769600000003</v>
      </c>
    </row>
    <row r="134" spans="1:13">
      <c r="A134" s="375">
        <v>2016</v>
      </c>
      <c r="B134" s="373">
        <f>B137/M134</f>
        <v>4506.9834890850998</v>
      </c>
      <c r="C134" s="375">
        <f t="shared" si="11"/>
        <v>7360.9551715639282</v>
      </c>
      <c r="D134" s="375">
        <f t="shared" si="12"/>
        <v>9028.4090909090937</v>
      </c>
      <c r="E134">
        <v>8196.3513513513499</v>
      </c>
      <c r="M134" s="373">
        <f>1.06^3</f>
        <v>1.1910160000000003</v>
      </c>
    </row>
    <row r="135" spans="1:13">
      <c r="A135" s="375">
        <v>2017</v>
      </c>
      <c r="B135" s="373">
        <f>B137/M135</f>
        <v>4777.4024984302068</v>
      </c>
      <c r="C135" s="375">
        <f>8270.76923076923/M136</f>
        <v>7802.6124818577646</v>
      </c>
      <c r="D135">
        <v>9570.1136363636397</v>
      </c>
      <c r="M135" s="373">
        <f>1.06^2</f>
        <v>1.1236000000000002</v>
      </c>
    </row>
    <row r="136" spans="1:13">
      <c r="A136" s="375">
        <v>2018</v>
      </c>
      <c r="B136">
        <f>B137/M136</f>
        <v>5064.0466483360196</v>
      </c>
      <c r="C136">
        <v>8270.7692307692305</v>
      </c>
      <c r="M136" s="373">
        <v>1.06</v>
      </c>
    </row>
    <row r="137" spans="1:13">
      <c r="A137" s="375">
        <v>2019</v>
      </c>
      <c r="B137">
        <v>5367.8894472361808</v>
      </c>
    </row>
    <row r="139" spans="1:13">
      <c r="A139" t="s">
        <v>163</v>
      </c>
      <c r="F139" s="372">
        <v>0.06</v>
      </c>
    </row>
    <row r="141" spans="1:13">
      <c r="A141" t="s">
        <v>168</v>
      </c>
    </row>
    <row r="144" spans="1:13">
      <c r="A144" t="s">
        <v>13</v>
      </c>
    </row>
    <row r="145" spans="1:11">
      <c r="A145" t="s">
        <v>12</v>
      </c>
      <c r="B145">
        <v>12</v>
      </c>
      <c r="C145">
        <v>24</v>
      </c>
      <c r="D145">
        <v>36</v>
      </c>
      <c r="E145">
        <v>48</v>
      </c>
      <c r="F145">
        <v>60</v>
      </c>
      <c r="G145">
        <v>72</v>
      </c>
      <c r="H145">
        <v>84</v>
      </c>
      <c r="I145">
        <v>96</v>
      </c>
      <c r="J145">
        <v>108</v>
      </c>
      <c r="K145">
        <v>120</v>
      </c>
    </row>
    <row r="146" spans="1:11">
      <c r="A146">
        <v>2010</v>
      </c>
      <c r="B146">
        <v>265200</v>
      </c>
      <c r="C146">
        <v>553520</v>
      </c>
      <c r="D146">
        <v>845000</v>
      </c>
      <c r="E146">
        <v>1038000</v>
      </c>
      <c r="F146">
        <v>1269140</v>
      </c>
      <c r="G146">
        <v>1466000</v>
      </c>
      <c r="H146">
        <v>1683650</v>
      </c>
      <c r="I146">
        <v>1839200</v>
      </c>
      <c r="J146">
        <v>1963500</v>
      </c>
      <c r="K146">
        <v>2038080</v>
      </c>
    </row>
    <row r="147" spans="1:11">
      <c r="A147">
        <v>2011</v>
      </c>
      <c r="B147">
        <v>325960</v>
      </c>
      <c r="C147">
        <v>702400</v>
      </c>
      <c r="D147">
        <v>1029530</v>
      </c>
      <c r="E147">
        <v>1292670</v>
      </c>
      <c r="F147">
        <v>1556880</v>
      </c>
      <c r="G147">
        <v>1827440</v>
      </c>
      <c r="H147">
        <v>2109310</v>
      </c>
      <c r="I147">
        <v>2285590</v>
      </c>
      <c r="J147">
        <v>2432700</v>
      </c>
    </row>
    <row r="148" spans="1:11">
      <c r="A148">
        <v>2012</v>
      </c>
      <c r="B148">
        <v>358890</v>
      </c>
      <c r="C148">
        <v>786490</v>
      </c>
      <c r="D148">
        <v>1213590</v>
      </c>
      <c r="E148">
        <v>1455800</v>
      </c>
      <c r="F148">
        <v>1786990</v>
      </c>
      <c r="G148">
        <v>2074170</v>
      </c>
      <c r="H148">
        <v>2369920</v>
      </c>
      <c r="I148">
        <v>2572280</v>
      </c>
    </row>
    <row r="149" spans="1:11">
      <c r="A149">
        <v>2013</v>
      </c>
      <c r="B149">
        <v>383460</v>
      </c>
      <c r="C149">
        <v>840950</v>
      </c>
      <c r="D149">
        <v>1287910</v>
      </c>
      <c r="E149">
        <v>1571470</v>
      </c>
      <c r="F149">
        <v>1926920</v>
      </c>
      <c r="G149">
        <v>2234350</v>
      </c>
      <c r="H149">
        <v>2541530</v>
      </c>
    </row>
    <row r="150" spans="1:11">
      <c r="A150">
        <v>2014</v>
      </c>
      <c r="B150">
        <v>375550</v>
      </c>
      <c r="C150">
        <v>784660</v>
      </c>
      <c r="D150">
        <v>1201110</v>
      </c>
      <c r="E150">
        <v>1448160</v>
      </c>
      <c r="F150">
        <v>1779630</v>
      </c>
      <c r="G150">
        <v>2052790</v>
      </c>
    </row>
    <row r="151" spans="1:11">
      <c r="A151">
        <v>2015</v>
      </c>
      <c r="B151">
        <v>364560</v>
      </c>
      <c r="C151">
        <v>783060</v>
      </c>
      <c r="D151">
        <v>1208490</v>
      </c>
      <c r="E151">
        <v>1461210</v>
      </c>
      <c r="F151">
        <v>1786040</v>
      </c>
    </row>
    <row r="152" spans="1:11">
      <c r="A152">
        <v>2016</v>
      </c>
      <c r="B152">
        <v>322630</v>
      </c>
      <c r="C152">
        <v>685250</v>
      </c>
      <c r="D152">
        <v>1041620</v>
      </c>
      <c r="E152">
        <v>1268040</v>
      </c>
    </row>
    <row r="153" spans="1:11">
      <c r="A153">
        <v>2017</v>
      </c>
      <c r="B153">
        <v>321440</v>
      </c>
      <c r="C153">
        <v>697160</v>
      </c>
      <c r="D153">
        <v>1032020</v>
      </c>
    </row>
    <row r="154" spans="1:11">
      <c r="A154">
        <v>2018</v>
      </c>
      <c r="B154">
        <v>264920</v>
      </c>
      <c r="C154">
        <v>586100</v>
      </c>
    </row>
    <row r="155" spans="1:11">
      <c r="A155">
        <v>2019</v>
      </c>
      <c r="B155">
        <v>345800</v>
      </c>
    </row>
    <row r="161" spans="1:11">
      <c r="A161" t="s">
        <v>167</v>
      </c>
    </row>
    <row r="162" spans="1:11">
      <c r="A162" s="375" t="s">
        <v>12</v>
      </c>
      <c r="B162" s="375">
        <v>12</v>
      </c>
      <c r="C162" s="375">
        <v>24</v>
      </c>
      <c r="D162" s="375">
        <v>36</v>
      </c>
      <c r="E162" s="375">
        <v>48</v>
      </c>
      <c r="F162" s="375">
        <v>60</v>
      </c>
      <c r="G162" s="375">
        <v>72</v>
      </c>
      <c r="H162" s="375">
        <v>84</v>
      </c>
      <c r="I162" s="375">
        <v>96</v>
      </c>
      <c r="J162" s="375">
        <v>108</v>
      </c>
      <c r="K162" s="375">
        <v>120</v>
      </c>
    </row>
    <row r="163" spans="1:11">
      <c r="A163" s="375">
        <v>2010</v>
      </c>
      <c r="B163">
        <f>B146+B128*B57</f>
        <v>1062688.6245707506</v>
      </c>
      <c r="C163" s="383">
        <f t="shared" ref="C163:K164" si="17">C146+C128*C57</f>
        <v>1368221.7209359761</v>
      </c>
      <c r="D163" s="383">
        <f t="shared" si="17"/>
        <v>1545113.9367241538</v>
      </c>
      <c r="E163" s="383">
        <f t="shared" si="17"/>
        <v>1534916.9679322622</v>
      </c>
      <c r="F163" s="383">
        <f t="shared" si="17"/>
        <v>1700647.8606071919</v>
      </c>
      <c r="G163" s="383">
        <f t="shared" si="17"/>
        <v>1792438.5615327968</v>
      </c>
      <c r="H163" s="383">
        <f t="shared" si="17"/>
        <v>1901564.5088451086</v>
      </c>
      <c r="I163" s="383">
        <f t="shared" si="17"/>
        <v>1999811.5680800441</v>
      </c>
      <c r="J163" s="383">
        <f t="shared" si="17"/>
        <v>2072783.0188679246</v>
      </c>
      <c r="K163" s="383">
        <f t="shared" si="17"/>
        <v>2079680</v>
      </c>
    </row>
    <row r="164" spans="1:11">
      <c r="A164" s="375">
        <v>2011</v>
      </c>
      <c r="B164" s="383">
        <f t="shared" ref="B164:I172" si="18">B147+B129*B58</f>
        <v>1316116.7926742183</v>
      </c>
      <c r="C164" s="383">
        <f>C147+C129*C58</f>
        <v>1736500.3754657409</v>
      </c>
      <c r="D164" s="383">
        <f t="shared" si="18"/>
        <v>1886342.1651073233</v>
      </c>
      <c r="E164" s="383">
        <f t="shared" si="18"/>
        <v>1905149.0534979047</v>
      </c>
      <c r="F164" s="383">
        <f t="shared" si="18"/>
        <v>2088052.2567990469</v>
      </c>
      <c r="G164" s="383">
        <f t="shared" si="18"/>
        <v>2226699.47141319</v>
      </c>
      <c r="H164" s="383">
        <f t="shared" si="18"/>
        <v>2380471.4453542177</v>
      </c>
      <c r="I164" s="383">
        <f t="shared" si="18"/>
        <v>2477119.2949354528</v>
      </c>
      <c r="J164" s="383">
        <f t="shared" si="17"/>
        <v>2563020</v>
      </c>
    </row>
    <row r="165" spans="1:11">
      <c r="A165" s="375">
        <v>2012</v>
      </c>
      <c r="B165" s="383">
        <f t="shared" si="18"/>
        <v>1462005.4961650115</v>
      </c>
      <c r="C165" s="383">
        <f t="shared" si="18"/>
        <v>1958433.7553017596</v>
      </c>
      <c r="D165" s="383">
        <f t="shared" si="18"/>
        <v>2207627.0425741184</v>
      </c>
      <c r="E165" s="383">
        <f t="shared" si="18"/>
        <v>2156966.0204444015</v>
      </c>
      <c r="F165" s="383">
        <f t="shared" si="18"/>
        <v>2396952.8082242385</v>
      </c>
      <c r="G165" s="383">
        <f t="shared" si="18"/>
        <v>2535004.154337802</v>
      </c>
      <c r="H165" s="383">
        <f t="shared" si="18"/>
        <v>2678642.3270440241</v>
      </c>
      <c r="I165" s="383">
        <f t="shared" si="18"/>
        <v>2786580.0000000009</v>
      </c>
    </row>
    <row r="166" spans="1:11">
      <c r="A166" s="375">
        <v>2013</v>
      </c>
      <c r="B166" s="383">
        <f t="shared" si="18"/>
        <v>1560330.7264264005</v>
      </c>
      <c r="C166" s="383">
        <f>C149+C131*C60</f>
        <v>2089390.7805234464</v>
      </c>
      <c r="D166" s="383">
        <f t="shared" si="18"/>
        <v>2349169.6914963974</v>
      </c>
      <c r="E166" s="383">
        <f t="shared" si="18"/>
        <v>2328469.6109612705</v>
      </c>
      <c r="F166" s="383">
        <f t="shared" si="18"/>
        <v>2581769.8148807404</v>
      </c>
      <c r="G166" s="383">
        <f t="shared" si="18"/>
        <v>2722834.20359807</v>
      </c>
      <c r="H166" s="383">
        <f t="shared" si="18"/>
        <v>2880059.9999999991</v>
      </c>
    </row>
    <row r="167" spans="1:11">
      <c r="A167" s="375">
        <v>2014</v>
      </c>
      <c r="B167" s="383">
        <f t="shared" si="18"/>
        <v>1526764.1877602558</v>
      </c>
      <c r="C167" s="383">
        <f t="shared" si="18"/>
        <v>1950777.8538077422</v>
      </c>
      <c r="D167" s="383">
        <f t="shared" si="18"/>
        <v>2189445.9898378588</v>
      </c>
      <c r="E167" s="383">
        <f t="shared" si="18"/>
        <v>2141158.7347618174</v>
      </c>
      <c r="F167" s="383">
        <f t="shared" si="18"/>
        <v>2385904.8792452831</v>
      </c>
      <c r="G167" s="383">
        <f t="shared" si="18"/>
        <v>2507180.0000000009</v>
      </c>
      <c r="H167" s="402"/>
    </row>
    <row r="168" spans="1:11">
      <c r="A168" s="383">
        <v>2015</v>
      </c>
      <c r="B168" s="383">
        <f t="shared" si="18"/>
        <v>1491305.8722712751</v>
      </c>
      <c r="C168" s="383">
        <f t="shared" si="18"/>
        <v>1935813.3570562375</v>
      </c>
      <c r="D168" s="383">
        <f t="shared" si="18"/>
        <v>2187987.2126929676</v>
      </c>
      <c r="E168" s="383">
        <f t="shared" si="18"/>
        <v>2157126.6241713408</v>
      </c>
      <c r="F168" s="383">
        <f t="shared" si="18"/>
        <v>2400750</v>
      </c>
      <c r="G168" s="383"/>
      <c r="H168" s="383"/>
      <c r="I168" s="383"/>
      <c r="J168" s="383"/>
      <c r="K168" s="383"/>
    </row>
    <row r="169" spans="1:11">
      <c r="A169" s="383">
        <v>2016</v>
      </c>
      <c r="B169" s="383">
        <f t="shared" si="18"/>
        <v>1323180.3345768922</v>
      </c>
      <c r="C169" s="383">
        <f t="shared" si="18"/>
        <v>1693700.8585042581</v>
      </c>
      <c r="D169" s="383">
        <f t="shared" si="18"/>
        <v>1899318.8636363638</v>
      </c>
      <c r="E169" s="383">
        <f t="shared" si="18"/>
        <v>1874570</v>
      </c>
      <c r="F169" s="383"/>
      <c r="G169" s="383"/>
      <c r="H169" s="383"/>
      <c r="I169" s="383"/>
      <c r="J169" s="383"/>
      <c r="K169" s="383"/>
    </row>
    <row r="170" spans="1:11">
      <c r="A170" s="383">
        <v>2017</v>
      </c>
      <c r="B170" s="383">
        <f t="shared" si="18"/>
        <v>1329471.9271687735</v>
      </c>
      <c r="C170" s="383">
        <f t="shared" si="18"/>
        <v>1719302.235123367</v>
      </c>
      <c r="D170" s="383">
        <f t="shared" si="18"/>
        <v>1874190.0000000002</v>
      </c>
      <c r="E170" s="383"/>
      <c r="F170" s="383"/>
      <c r="G170" s="383"/>
      <c r="H170" s="383"/>
      <c r="I170" s="383"/>
      <c r="J170" s="383"/>
      <c r="K170" s="383"/>
    </row>
    <row r="171" spans="1:11">
      <c r="A171" s="383">
        <v>2018</v>
      </c>
      <c r="B171" s="383">
        <f t="shared" si="18"/>
        <v>1095423.6503271072</v>
      </c>
      <c r="C171" s="383">
        <f t="shared" si="18"/>
        <v>1446260</v>
      </c>
      <c r="D171" s="383"/>
      <c r="E171" s="383"/>
      <c r="F171" s="383"/>
      <c r="G171" s="383"/>
      <c r="H171" s="383"/>
      <c r="I171" s="383"/>
      <c r="J171" s="383"/>
      <c r="K171" s="383"/>
    </row>
    <row r="172" spans="1:11">
      <c r="A172" s="383">
        <v>2019</v>
      </c>
      <c r="B172" s="383">
        <f t="shared" si="18"/>
        <v>1414010</v>
      </c>
      <c r="C172" s="383"/>
      <c r="D172" s="383"/>
      <c r="E172" s="383"/>
      <c r="F172" s="383"/>
      <c r="G172" s="383"/>
      <c r="H172" s="383"/>
      <c r="I172" s="383"/>
      <c r="J172" s="383"/>
      <c r="K172" s="383"/>
    </row>
    <row r="173" spans="1:11">
      <c r="A173" s="383"/>
      <c r="B173" s="383"/>
      <c r="C173" s="383"/>
      <c r="D173" s="383"/>
      <c r="E173" s="383"/>
      <c r="F173" s="383"/>
      <c r="G173" s="383"/>
      <c r="H173" s="383"/>
      <c r="I173" s="383"/>
      <c r="J173" s="383"/>
      <c r="K173" s="383"/>
    </row>
    <row r="174" spans="1:11">
      <c r="A174" s="418" t="s">
        <v>77</v>
      </c>
      <c r="B174" s="419"/>
      <c r="C174" s="419"/>
      <c r="D174" s="419"/>
      <c r="E174" s="419"/>
      <c r="F174" s="419"/>
      <c r="G174" s="419"/>
      <c r="H174" s="419"/>
      <c r="I174" s="419"/>
      <c r="J174" s="419"/>
      <c r="K174" s="421"/>
    </row>
    <row r="175" spans="1:11">
      <c r="A175" s="398" t="s">
        <v>12</v>
      </c>
      <c r="B175" s="384" t="s">
        <v>58</v>
      </c>
      <c r="C175" s="384" t="s">
        <v>61</v>
      </c>
      <c r="D175" s="384" t="s">
        <v>62</v>
      </c>
      <c r="E175" s="384" t="s">
        <v>59</v>
      </c>
      <c r="F175" s="384" t="s">
        <v>60</v>
      </c>
      <c r="G175" s="384" t="s">
        <v>63</v>
      </c>
      <c r="H175" s="384" t="s">
        <v>64</v>
      </c>
      <c r="I175" s="384" t="s">
        <v>65</v>
      </c>
      <c r="J175" s="384" t="s">
        <v>66</v>
      </c>
      <c r="K175" s="384"/>
    </row>
    <row r="176" spans="1:11">
      <c r="A176" s="418">
        <v>2010</v>
      </c>
      <c r="B176" s="427">
        <f>C163/B163</f>
        <v>1.2875095200051085</v>
      </c>
      <c r="C176" s="427">
        <f t="shared" ref="C176:I177" si="19">D163/C163</f>
        <v>1.12928622099872</v>
      </c>
      <c r="D176" s="427">
        <f t="shared" si="19"/>
        <v>0.9934005068820293</v>
      </c>
      <c r="E176" s="427">
        <f t="shared" si="19"/>
        <v>1.1079738488383455</v>
      </c>
      <c r="F176" s="427">
        <f t="shared" si="19"/>
        <v>1.0539739607780017</v>
      </c>
      <c r="G176" s="427">
        <f t="shared" si="19"/>
        <v>1.0608812762982476</v>
      </c>
      <c r="H176" s="427">
        <f t="shared" si="19"/>
        <v>1.051666435073825</v>
      </c>
      <c r="I176" s="427">
        <f t="shared" si="19"/>
        <v>1.0364891632554851</v>
      </c>
      <c r="J176" s="427">
        <f>K163/J163</f>
        <v>1.0033274014063673</v>
      </c>
      <c r="K176" s="427"/>
    </row>
    <row r="177" spans="1:11">
      <c r="A177" s="420">
        <v>2011</v>
      </c>
      <c r="B177" s="427">
        <f>C164/B164</f>
        <v>1.3194120651992784</v>
      </c>
      <c r="C177" s="427">
        <f t="shared" si="19"/>
        <v>1.0862895233186425</v>
      </c>
      <c r="D177" s="427">
        <f t="shared" si="19"/>
        <v>1.0099700302195764</v>
      </c>
      <c r="E177" s="427">
        <f t="shared" si="19"/>
        <v>1.0960046684879208</v>
      </c>
      <c r="F177" s="427">
        <f t="shared" si="19"/>
        <v>1.0664002608951402</v>
      </c>
      <c r="G177" s="427">
        <f t="shared" si="19"/>
        <v>1.0690582523215111</v>
      </c>
      <c r="H177" s="427">
        <f t="shared" si="19"/>
        <v>1.0406002977980917</v>
      </c>
      <c r="I177" s="427">
        <f t="shared" si="19"/>
        <v>1.0346776617663</v>
      </c>
      <c r="J177" s="427"/>
      <c r="K177" s="427"/>
    </row>
    <row r="178" spans="1:11">
      <c r="A178" s="420">
        <v>2012</v>
      </c>
      <c r="B178" s="427">
        <f t="shared" ref="B178:H179" si="20">C165/B165</f>
        <v>1.339552936318591</v>
      </c>
      <c r="C178" s="427">
        <f>D165/C165</f>
        <v>1.1272411112184708</v>
      </c>
      <c r="D178" s="427">
        <f t="shared" si="20"/>
        <v>0.97705182027909687</v>
      </c>
      <c r="E178" s="427">
        <f t="shared" si="20"/>
        <v>1.1112612741717611</v>
      </c>
      <c r="F178" s="427">
        <f t="shared" si="20"/>
        <v>1.0575945198586691</v>
      </c>
      <c r="G178" s="427">
        <f t="shared" si="20"/>
        <v>1.0566619082104596</v>
      </c>
      <c r="H178" s="427">
        <f t="shared" si="20"/>
        <v>1.0402956646604959</v>
      </c>
      <c r="I178" s="427"/>
      <c r="J178" s="427"/>
      <c r="K178" s="427"/>
    </row>
    <row r="179" spans="1:11">
      <c r="A179" s="420">
        <v>2013</v>
      </c>
      <c r="B179" s="427">
        <f t="shared" si="20"/>
        <v>1.3390691762564615</v>
      </c>
      <c r="C179" s="427">
        <f t="shared" si="20"/>
        <v>1.1243323716149785</v>
      </c>
      <c r="D179" s="427">
        <f t="shared" si="20"/>
        <v>0.99118834173194992</v>
      </c>
      <c r="E179" s="427">
        <f t="shared" si="20"/>
        <v>1.1087839852953456</v>
      </c>
      <c r="F179" s="427">
        <f t="shared" si="20"/>
        <v>1.0546386389306537</v>
      </c>
      <c r="G179" s="427">
        <f t="shared" si="20"/>
        <v>1.0577434337331904</v>
      </c>
      <c r="H179" s="427"/>
      <c r="I179" s="427"/>
      <c r="J179" s="427"/>
      <c r="K179" s="427"/>
    </row>
    <row r="180" spans="1:11">
      <c r="A180" s="420">
        <v>2014</v>
      </c>
      <c r="B180" s="427">
        <f>C167/B167</f>
        <v>1.2777204688495538</v>
      </c>
      <c r="C180" s="427">
        <f>D167/C167</f>
        <v>1.1223451125222987</v>
      </c>
      <c r="D180" s="427">
        <f>E167/D167</f>
        <v>0.97794544587984222</v>
      </c>
      <c r="E180" s="427">
        <f>F167/E167</f>
        <v>1.1143054648448059</v>
      </c>
      <c r="F180" s="427">
        <f>G167/F167</f>
        <v>1.0508298221817962</v>
      </c>
      <c r="G180" s="427"/>
      <c r="H180" s="427"/>
      <c r="I180" s="427"/>
      <c r="J180" s="427"/>
      <c r="K180" s="427"/>
    </row>
    <row r="181" spans="1:11">
      <c r="A181" s="420">
        <v>2015</v>
      </c>
      <c r="B181" s="427">
        <f>C168/B168</f>
        <v>1.2980659387520366</v>
      </c>
      <c r="C181" s="427">
        <f>D168/C168</f>
        <v>1.1302676493668826</v>
      </c>
      <c r="D181" s="427">
        <f>E168/D168</f>
        <v>0.98589544383870342</v>
      </c>
      <c r="E181" s="427">
        <f>F168/E168</f>
        <v>1.1129388386841903</v>
      </c>
      <c r="F181" s="427"/>
      <c r="G181" s="427"/>
      <c r="H181" s="427"/>
      <c r="I181" s="427"/>
      <c r="J181" s="427"/>
      <c r="K181" s="427"/>
    </row>
    <row r="182" spans="1:11">
      <c r="A182" s="420">
        <v>2016</v>
      </c>
      <c r="B182" s="427">
        <f>C169/B169</f>
        <v>1.2800226955049523</v>
      </c>
      <c r="C182" s="427">
        <f>D169/C169</f>
        <v>1.1214016064877543</v>
      </c>
      <c r="D182" s="427">
        <f>E169/D169</f>
        <v>0.98696961099571212</v>
      </c>
      <c r="E182" s="427"/>
      <c r="F182" s="427"/>
      <c r="G182" s="427"/>
      <c r="H182" s="427"/>
      <c r="I182" s="427"/>
      <c r="J182" s="427"/>
      <c r="K182" s="427"/>
    </row>
    <row r="183" spans="1:11">
      <c r="A183" s="420">
        <v>2017</v>
      </c>
      <c r="B183" s="427">
        <f>C170/B170</f>
        <v>1.2932219176562616</v>
      </c>
      <c r="C183" s="427">
        <f>D170/C170</f>
        <v>1.0900875725701127</v>
      </c>
      <c r="D183" s="427"/>
      <c r="E183" s="427"/>
      <c r="F183" s="427"/>
      <c r="G183" s="427"/>
      <c r="H183" s="427"/>
      <c r="I183" s="427"/>
      <c r="J183" s="427"/>
      <c r="K183" s="427"/>
    </row>
    <row r="184" spans="1:11">
      <c r="A184" s="420">
        <v>2018</v>
      </c>
      <c r="B184" s="427">
        <f>C171/B171</f>
        <v>1.3202745801299147</v>
      </c>
      <c r="C184" s="427"/>
      <c r="D184" s="427"/>
      <c r="E184" s="427"/>
      <c r="F184" s="427"/>
      <c r="G184" s="427"/>
      <c r="H184" s="427"/>
      <c r="I184" s="427"/>
      <c r="J184" s="427"/>
      <c r="K184" s="427"/>
    </row>
    <row r="185" spans="1:11">
      <c r="A185" s="395">
        <v>2019</v>
      </c>
      <c r="B185" s="393"/>
      <c r="C185" s="393"/>
      <c r="D185" s="393"/>
      <c r="E185" s="393"/>
      <c r="F185" s="393"/>
      <c r="G185" s="393"/>
      <c r="H185" s="393"/>
      <c r="I185" s="393"/>
      <c r="J185" s="393"/>
      <c r="K185" s="427"/>
    </row>
    <row r="186" spans="1:11">
      <c r="A186" s="383"/>
      <c r="B186" s="383"/>
      <c r="C186" s="383"/>
      <c r="D186" s="383"/>
      <c r="E186" s="383"/>
      <c r="F186" s="383"/>
      <c r="G186" s="383"/>
      <c r="H186" s="383"/>
      <c r="I186" s="383"/>
      <c r="J186" s="383"/>
      <c r="K186" s="383"/>
    </row>
    <row r="187" spans="1:11">
      <c r="A187" s="398"/>
      <c r="B187" s="399" t="s">
        <v>58</v>
      </c>
      <c r="C187" s="399" t="s">
        <v>61</v>
      </c>
      <c r="D187" s="399" t="s">
        <v>62</v>
      </c>
      <c r="E187" s="399" t="s">
        <v>59</v>
      </c>
      <c r="F187" s="399" t="s">
        <v>60</v>
      </c>
      <c r="G187" s="399" t="s">
        <v>63</v>
      </c>
      <c r="H187" s="399" t="s">
        <v>64</v>
      </c>
      <c r="I187" s="399" t="s">
        <v>65</v>
      </c>
      <c r="J187" s="400" t="s">
        <v>66</v>
      </c>
      <c r="K187" s="383"/>
    </row>
    <row r="188" spans="1:11">
      <c r="A188" s="402" t="s">
        <v>67</v>
      </c>
      <c r="B188" s="392"/>
      <c r="C188" s="392"/>
      <c r="D188" s="392"/>
      <c r="E188" s="392"/>
      <c r="F188" s="392"/>
      <c r="G188" s="392"/>
      <c r="H188" s="392"/>
      <c r="I188" s="392"/>
      <c r="J188" s="394"/>
      <c r="K188" s="383"/>
    </row>
    <row r="189" spans="1:11">
      <c r="A189" s="402" t="s">
        <v>68</v>
      </c>
      <c r="B189" s="392">
        <f>SUM(B180:B184)/5</f>
        <v>1.2938611201785437</v>
      </c>
      <c r="C189" s="392">
        <f>SUM(C179:C183)/5</f>
        <v>1.1176868625124055</v>
      </c>
      <c r="D189" s="392">
        <f>SUM(D178:D182)/5</f>
        <v>0.98381013254506089</v>
      </c>
      <c r="E189" s="392">
        <f>SUM(E177:E181)/5</f>
        <v>1.1086588462968048</v>
      </c>
      <c r="F189" s="392">
        <f>SUM(F176:F180)/5</f>
        <v>1.0566874405288522</v>
      </c>
      <c r="G189" s="392">
        <f>SUM(G176:G179)/4</f>
        <v>1.0610862176408522</v>
      </c>
      <c r="H189" s="392">
        <f>SUM(H176:H178)/3</f>
        <v>1.0441874658441375</v>
      </c>
      <c r="I189" s="392">
        <f>SUM(I176:I177)/2</f>
        <v>1.0355834125108925</v>
      </c>
      <c r="J189" s="394">
        <f>J176</f>
        <v>1.0033274014063673</v>
      </c>
      <c r="K189" s="383"/>
    </row>
    <row r="190" spans="1:11">
      <c r="A190" s="402" t="s">
        <v>69</v>
      </c>
      <c r="B190" s="392">
        <f>SUM(B182:B184)/3</f>
        <v>1.2978397310970429</v>
      </c>
      <c r="C190" s="392">
        <f>SUM(C181:C183)/3</f>
        <v>1.1139189428082499</v>
      </c>
      <c r="D190" s="392">
        <f>SUM(D180:D182)/3</f>
        <v>0.98360350023808596</v>
      </c>
      <c r="E190" s="392">
        <f>SUM(E179:E181)/3</f>
        <v>1.112009429608114</v>
      </c>
      <c r="F190" s="392">
        <f>SUM(F178:F180)/3</f>
        <v>1.054354326990373</v>
      </c>
      <c r="G190" s="392">
        <f>SUM(G177:G179)/3</f>
        <v>1.0611545314217203</v>
      </c>
      <c r="H190" s="392">
        <f>H189</f>
        <v>1.0441874658441375</v>
      </c>
      <c r="I190" s="392">
        <f>I189</f>
        <v>1.0355834125108925</v>
      </c>
      <c r="J190" s="394">
        <f>J189</f>
        <v>1.0033274014063673</v>
      </c>
      <c r="K190" s="383"/>
    </row>
    <row r="191" spans="1:11">
      <c r="A191" s="402" t="s">
        <v>70</v>
      </c>
      <c r="B191" s="392"/>
      <c r="C191" s="392"/>
      <c r="D191" s="392"/>
      <c r="E191" s="392"/>
      <c r="F191" s="392"/>
      <c r="G191" s="392"/>
      <c r="H191" s="392"/>
      <c r="I191" s="392"/>
      <c r="J191" s="394"/>
      <c r="K191" s="383"/>
    </row>
    <row r="192" spans="1:11">
      <c r="A192" s="402" t="s">
        <v>68</v>
      </c>
      <c r="B192" s="392">
        <f>SUM(C167:C171)/SUM(B167:B171)</f>
        <v>1.2925902486510505</v>
      </c>
      <c r="C192" s="392" cm="1">
        <f t="array" ref="C192">SUM(D166:D170)/SUM(C166:C170+D192)</f>
        <v>1.1183430542631927</v>
      </c>
      <c r="D192" s="392">
        <f>SUM(E165:E169)/SUM(D165:D169)</f>
        <v>0.98382267776418486</v>
      </c>
      <c r="E192" s="392">
        <f>SUM(F164:F168)/SUM(E164:E168)</f>
        <v>1.1089506852021338</v>
      </c>
      <c r="F192" s="392">
        <f>SUM(G163:G167)/SUM(F163:F167)</f>
        <v>1.0565596916572177</v>
      </c>
      <c r="G192" s="392">
        <f>SUM(H163:H166)/SUM(G163:G166)</f>
        <v>1.0607700037822239</v>
      </c>
      <c r="H192" s="392">
        <f>SUM(I163:I165)/SUM(H163:H165)</f>
        <v>1.0435061885546668</v>
      </c>
      <c r="I192" s="392">
        <f>SUM(J163:J164)/SUM(I163:I164)</f>
        <v>1.0354868459472741</v>
      </c>
      <c r="J192" s="394">
        <f>SUM(K163)/SUM(J163)</f>
        <v>1.0033274014063673</v>
      </c>
      <c r="K192" s="383"/>
    </row>
    <row r="193" spans="1:11">
      <c r="A193" s="402" t="s">
        <v>69</v>
      </c>
      <c r="B193" s="392">
        <f>SUM(C169:C171)/SUM(B169:B171)</f>
        <v>1.2964686969054315</v>
      </c>
      <c r="C193" s="392">
        <f>SUM(D168:D170)/SUM(C168:C170)</f>
        <v>1.1145448962951674</v>
      </c>
      <c r="D193" s="392">
        <f>SUM(E167:E169)/SUM(D167:D169)</f>
        <v>0.98344737753876654</v>
      </c>
      <c r="E193" s="392">
        <f>SUM(F166:F168)/SUM(E166:E168)</f>
        <v>1.1119204991886715</v>
      </c>
      <c r="F193" s="392">
        <f>SUM(G165:G167)/SUM(F165:F167)</f>
        <v>1.0543667490932618</v>
      </c>
      <c r="G193" s="392">
        <f>SUM(H164:H166)/SUM(G164:G166)</f>
        <v>1.0607433556239663</v>
      </c>
      <c r="H193" s="392">
        <f>H192</f>
        <v>1.0435061885546668</v>
      </c>
      <c r="I193" s="392">
        <f>I192</f>
        <v>1.0354868459472741</v>
      </c>
      <c r="J193" s="394">
        <f>J192</f>
        <v>1.0033274014063673</v>
      </c>
      <c r="K193" s="383"/>
    </row>
    <row r="194" spans="1:11">
      <c r="A194" s="402" t="s">
        <v>71</v>
      </c>
      <c r="B194" s="392"/>
      <c r="C194" s="392"/>
      <c r="D194" s="392"/>
      <c r="E194" s="392"/>
      <c r="F194" s="392"/>
      <c r="G194" s="392"/>
      <c r="H194" s="392"/>
      <c r="I194" s="392"/>
      <c r="J194" s="394"/>
      <c r="K194" s="383"/>
    </row>
    <row r="195" spans="1:11">
      <c r="A195" s="403" t="s">
        <v>72</v>
      </c>
      <c r="B195" s="393">
        <f>PRODUCT(B181:B184)^(0.25)</f>
        <v>1.2978154369072359</v>
      </c>
      <c r="C195" s="393">
        <f>PRODUCT(C180:C183)^(0.25)</f>
        <v>1.1159187373768287</v>
      </c>
      <c r="D195" s="393">
        <f>PRODUCT(D179:D182)^(0.25)</f>
        <v>0.98548805266280759</v>
      </c>
      <c r="E195" s="393">
        <f>PRODUCT(E178:E181)^(0.25)</f>
        <v>1.1118204833153904</v>
      </c>
      <c r="F195" s="393">
        <f>PRODUCT(F177:F180)^(0.25)</f>
        <v>1.0573502580274885</v>
      </c>
      <c r="G195" s="393">
        <f>PRODUCT(G176:G179)^(0.25)</f>
        <v>1.0610751316969451</v>
      </c>
      <c r="H195" s="393">
        <f>PRODUCT(H176:H178)^(1/3)</f>
        <v>1.0441740981998362</v>
      </c>
      <c r="I195" s="393">
        <f>PRODUCT(I176:I177)^(0.5)</f>
        <v>1.035583016413119</v>
      </c>
      <c r="J195" s="396">
        <f>J192</f>
        <v>1.0033274014063673</v>
      </c>
      <c r="K195" s="383"/>
    </row>
    <row r="196" spans="1:11">
      <c r="A196" s="392"/>
      <c r="B196" s="392"/>
      <c r="C196" s="392"/>
      <c r="D196" s="392"/>
      <c r="E196" s="392"/>
      <c r="F196" s="392"/>
      <c r="G196" s="392"/>
      <c r="H196" s="392"/>
      <c r="I196" s="392"/>
      <c r="J196" s="392"/>
      <c r="K196" s="383"/>
    </row>
    <row r="197" spans="1:11">
      <c r="A197" s="383"/>
      <c r="B197" s="383"/>
      <c r="C197" s="383"/>
      <c r="D197" s="383"/>
      <c r="E197" s="383"/>
      <c r="F197" s="383"/>
      <c r="G197" s="383"/>
      <c r="H197" s="383"/>
      <c r="I197" s="383"/>
      <c r="J197" s="383"/>
      <c r="K197" s="383"/>
    </row>
    <row r="198" spans="1:11">
      <c r="A198" s="397" t="s">
        <v>169</v>
      </c>
      <c r="B198" s="392"/>
      <c r="C198" s="392"/>
      <c r="D198" s="392"/>
      <c r="E198" s="392"/>
      <c r="F198" s="392"/>
      <c r="G198" s="392"/>
      <c r="H198" s="392"/>
      <c r="I198" s="392"/>
      <c r="J198" s="392"/>
      <c r="K198" s="383"/>
    </row>
    <row r="199" spans="1:11">
      <c r="A199" s="392"/>
      <c r="B199" s="392">
        <f>B192</f>
        <v>1.2925902486510505</v>
      </c>
      <c r="C199" s="392">
        <f>C189</f>
        <v>1.1176868625124055</v>
      </c>
      <c r="D199" s="392">
        <f>D192</f>
        <v>0.98382267776418486</v>
      </c>
      <c r="E199" s="392">
        <f>E189</f>
        <v>1.1086588462968048</v>
      </c>
      <c r="F199" s="392">
        <f>F192</f>
        <v>1.0565596916572177</v>
      </c>
      <c r="G199" s="392">
        <f>G195</f>
        <v>1.0610751316969451</v>
      </c>
      <c r="H199" s="392">
        <f>H192</f>
        <v>1.0435061885546668</v>
      </c>
      <c r="I199" s="393">
        <f>I195</f>
        <v>1.035583016413119</v>
      </c>
      <c r="J199" s="396">
        <f>J195</f>
        <v>1.0033274014063673</v>
      </c>
      <c r="K199" s="397"/>
    </row>
    <row r="200" spans="1:11">
      <c r="A200" s="383"/>
      <c r="B200" s="383"/>
      <c r="C200" s="383"/>
      <c r="D200" s="383"/>
      <c r="E200" s="383"/>
      <c r="F200" s="383"/>
      <c r="G200" s="383"/>
      <c r="H200" s="383"/>
      <c r="I200" s="383"/>
      <c r="J200" s="383"/>
      <c r="K200" s="383"/>
    </row>
    <row r="201" spans="1:11">
      <c r="A201" s="383" t="s">
        <v>170</v>
      </c>
      <c r="B201" s="383"/>
      <c r="C201" s="383"/>
      <c r="D201" s="383"/>
      <c r="E201" s="383"/>
      <c r="F201" s="383"/>
      <c r="G201" s="383"/>
      <c r="H201" s="383"/>
      <c r="I201" s="383"/>
      <c r="J201" s="383"/>
      <c r="K201" s="383"/>
    </row>
    <row r="202" spans="1:11">
      <c r="A202" s="383" t="s">
        <v>171</v>
      </c>
      <c r="B202" s="383"/>
      <c r="C202" s="383"/>
      <c r="D202" s="383"/>
      <c r="E202" s="383"/>
      <c r="F202" s="383"/>
      <c r="G202" s="383"/>
      <c r="H202" s="383"/>
      <c r="I202" s="383"/>
      <c r="J202" s="383"/>
      <c r="K202" s="383"/>
    </row>
    <row r="203" spans="1:11">
      <c r="A203" s="383"/>
      <c r="B203" s="383"/>
      <c r="C203" s="383"/>
      <c r="D203" s="383"/>
      <c r="E203" s="383"/>
      <c r="F203" s="383"/>
      <c r="G203" s="383"/>
      <c r="H203" s="383"/>
      <c r="I203" s="383"/>
      <c r="J203" s="383"/>
      <c r="K203" s="383"/>
    </row>
    <row r="204" spans="1:11">
      <c r="A204" s="383"/>
      <c r="B204" s="384" t="s">
        <v>58</v>
      </c>
      <c r="C204" s="384" t="s">
        <v>61</v>
      </c>
      <c r="D204" s="384" t="s">
        <v>62</v>
      </c>
      <c r="E204" s="384" t="s">
        <v>59</v>
      </c>
      <c r="F204" s="384" t="s">
        <v>60</v>
      </c>
      <c r="G204" s="384" t="s">
        <v>63</v>
      </c>
      <c r="H204" s="384" t="s">
        <v>64</v>
      </c>
      <c r="I204" s="384" t="s">
        <v>65</v>
      </c>
      <c r="J204" s="384" t="s">
        <v>66</v>
      </c>
      <c r="K204" s="404" t="s">
        <v>87</v>
      </c>
    </row>
    <row r="205" spans="1:11">
      <c r="A205" s="383" t="s">
        <v>75</v>
      </c>
      <c r="B205" s="383">
        <f>PRODUCT(B199:J199)</f>
        <v>1.9153959867028529</v>
      </c>
      <c r="C205" s="383">
        <f t="shared" ref="C205:I205" si="21">PRODUCT(C199:J199)</f>
        <v>1.4818276624798645</v>
      </c>
      <c r="D205" s="383">
        <f t="shared" si="21"/>
        <v>1.3257985865101078</v>
      </c>
      <c r="E205" s="383">
        <f t="shared" si="21"/>
        <v>1.3475991319117488</v>
      </c>
      <c r="F205" s="383">
        <f t="shared" si="21"/>
        <v>1.2155219221973144</v>
      </c>
      <c r="G205" s="383">
        <f t="shared" si="21"/>
        <v>1.1504526737062661</v>
      </c>
      <c r="H205" s="383">
        <f t="shared" si="21"/>
        <v>1.0842330004157033</v>
      </c>
      <c r="I205" s="383">
        <f t="shared" si="21"/>
        <v>1.0390288167983421</v>
      </c>
      <c r="J205" s="383">
        <f t="shared" ref="J205" si="22">PRODUCT(J199:Q199)</f>
        <v>1.0033274014063673</v>
      </c>
      <c r="K205" s="383">
        <v>1</v>
      </c>
    </row>
    <row r="206" spans="1:11">
      <c r="A206" s="383"/>
      <c r="B206" s="383"/>
      <c r="C206" s="383"/>
      <c r="D206" s="383"/>
      <c r="E206" s="383"/>
      <c r="F206" s="383"/>
      <c r="G206" s="383"/>
      <c r="H206" s="383"/>
      <c r="I206" s="383"/>
      <c r="J206" s="383"/>
      <c r="K206" s="383"/>
    </row>
    <row r="207" spans="1:11">
      <c r="B207" s="383" t="s">
        <v>58</v>
      </c>
      <c r="C207" s="383" t="s">
        <v>61</v>
      </c>
      <c r="D207" s="383" t="s">
        <v>62</v>
      </c>
      <c r="E207" s="383" t="s">
        <v>59</v>
      </c>
      <c r="F207" s="383" t="s">
        <v>60</v>
      </c>
      <c r="G207" s="383" t="s">
        <v>63</v>
      </c>
      <c r="H207" s="383" t="s">
        <v>64</v>
      </c>
      <c r="I207" s="383" t="s">
        <v>65</v>
      </c>
      <c r="J207" s="383" t="s">
        <v>66</v>
      </c>
      <c r="K207" s="383" t="s">
        <v>87</v>
      </c>
    </row>
    <row r="208" spans="1:11">
      <c r="A208" s="383" t="s">
        <v>75</v>
      </c>
      <c r="B208" s="383">
        <v>2.1148278441671478</v>
      </c>
      <c r="C208" s="383">
        <v>1.6467000199236239</v>
      </c>
      <c r="D208" s="383">
        <v>1.4193825592366378</v>
      </c>
      <c r="E208" s="383">
        <v>1.3468351158534941</v>
      </c>
      <c r="F208" s="383">
        <v>1.2281108871802653</v>
      </c>
      <c r="G208" s="383">
        <v>1.1524644611184565</v>
      </c>
      <c r="H208" s="383">
        <v>1.0903591218515383</v>
      </c>
      <c r="I208" s="383">
        <v>1.0414614629628871</v>
      </c>
      <c r="J208" s="383">
        <v>1.0049287743781046</v>
      </c>
      <c r="K208" s="383">
        <v>1</v>
      </c>
    </row>
    <row r="209" spans="1:11">
      <c r="A209" s="383" t="s">
        <v>175</v>
      </c>
      <c r="B209" s="383"/>
      <c r="C209" s="383"/>
      <c r="D209" s="383"/>
      <c r="E209" s="383"/>
      <c r="F209" s="383"/>
      <c r="G209" s="383"/>
      <c r="H209" s="383"/>
      <c r="I209" s="383"/>
      <c r="J209" s="383"/>
      <c r="K209" s="383"/>
    </row>
    <row r="210" spans="1:11">
      <c r="E210" s="383"/>
      <c r="F210" s="383"/>
      <c r="G210" s="383"/>
      <c r="H210" s="383"/>
      <c r="I210" s="383"/>
      <c r="J210" s="383"/>
      <c r="K210" s="383"/>
    </row>
    <row r="211" spans="1:11">
      <c r="E211" s="383"/>
      <c r="F211" s="383"/>
      <c r="G211" s="383"/>
      <c r="H211" s="383"/>
      <c r="I211" s="383"/>
      <c r="J211" s="383"/>
      <c r="K211" s="383"/>
    </row>
    <row r="212" spans="1:11">
      <c r="E212" s="383"/>
      <c r="F212" s="383"/>
      <c r="G212" s="383"/>
      <c r="H212" s="383"/>
      <c r="I212" s="383"/>
      <c r="J212" s="383"/>
      <c r="K212" s="383"/>
    </row>
    <row r="213" spans="1:11">
      <c r="E213" s="383"/>
      <c r="F213" s="383"/>
      <c r="G213" s="383"/>
      <c r="H213" s="383"/>
      <c r="I213" s="383"/>
      <c r="J213" s="383"/>
      <c r="K213" s="383"/>
    </row>
    <row r="214" spans="1:11">
      <c r="A214" s="405" t="s">
        <v>172</v>
      </c>
      <c r="B214" s="383"/>
      <c r="C214" s="383"/>
      <c r="D214" s="383"/>
      <c r="E214" s="383"/>
      <c r="F214" s="383"/>
      <c r="G214" s="383"/>
      <c r="H214" s="383"/>
      <c r="I214" s="383"/>
      <c r="J214" s="383"/>
      <c r="K214" s="383"/>
    </row>
    <row r="215" spans="1:11">
      <c r="A215" s="383"/>
      <c r="B215" s="383"/>
      <c r="C215" s="383"/>
      <c r="D215" s="383"/>
      <c r="E215" s="383"/>
      <c r="F215" s="383"/>
      <c r="G215" s="383"/>
      <c r="H215" s="383"/>
      <c r="I215" s="383"/>
      <c r="J215" s="383"/>
      <c r="K215" s="383"/>
    </row>
    <row r="216" spans="1:11">
      <c r="B216" s="383" t="s">
        <v>173</v>
      </c>
      <c r="C216" s="383"/>
      <c r="D216" s="383"/>
      <c r="E216" s="383"/>
      <c r="F216" s="383"/>
      <c r="G216" s="383"/>
      <c r="H216" s="383"/>
      <c r="I216" s="383"/>
      <c r="J216" s="383"/>
      <c r="K216" s="383"/>
    </row>
    <row r="217" spans="1:11">
      <c r="A217" s="383" t="s">
        <v>12</v>
      </c>
      <c r="B217" s="383" t="s">
        <v>174</v>
      </c>
      <c r="C217" s="383"/>
      <c r="D217" s="383" t="s">
        <v>176</v>
      </c>
      <c r="E217" s="383" t="s">
        <v>177</v>
      </c>
      <c r="F217" s="383"/>
      <c r="G217" s="383"/>
      <c r="H217" s="383"/>
      <c r="I217" t="s">
        <v>178</v>
      </c>
      <c r="J217" s="383"/>
      <c r="K217" s="383" t="s">
        <v>128</v>
      </c>
    </row>
    <row r="218" spans="1:11">
      <c r="A218" s="383">
        <v>2010</v>
      </c>
      <c r="B218" s="383">
        <v>2079680</v>
      </c>
      <c r="C218" s="383"/>
      <c r="D218" s="383">
        <v>1</v>
      </c>
      <c r="E218" s="383"/>
      <c r="F218" s="383">
        <f>B218*D218</f>
        <v>2079680</v>
      </c>
      <c r="G218" s="383"/>
      <c r="H218" s="383"/>
      <c r="I218" s="387">
        <v>2038080</v>
      </c>
      <c r="J218" s="383"/>
      <c r="K218" s="401">
        <f>F218-I218</f>
        <v>41600</v>
      </c>
    </row>
    <row r="219" spans="1:11">
      <c r="A219" s="383">
        <v>2011</v>
      </c>
      <c r="B219">
        <v>2563020</v>
      </c>
      <c r="C219" s="383"/>
      <c r="D219" s="383">
        <v>1.0049287743781046</v>
      </c>
      <c r="E219" s="383"/>
      <c r="F219" s="383">
        <f t="shared" ref="F219:F227" si="23">B219*D219</f>
        <v>2575652.5473065698</v>
      </c>
      <c r="G219" s="383"/>
      <c r="H219" s="383"/>
      <c r="I219" s="389">
        <v>2432700</v>
      </c>
      <c r="J219" s="383"/>
      <c r="K219" s="401">
        <f t="shared" ref="K219:K227" si="24">F219-I219</f>
        <v>142952.54730656976</v>
      </c>
    </row>
    <row r="220" spans="1:11">
      <c r="A220" s="383">
        <v>2012</v>
      </c>
      <c r="B220" s="383">
        <v>2786580.0000000009</v>
      </c>
      <c r="C220" s="383"/>
      <c r="D220" s="383">
        <v>1.0414614629628871</v>
      </c>
      <c r="E220" s="383"/>
      <c r="F220" s="383">
        <f t="shared" si="23"/>
        <v>2902115.6834631227</v>
      </c>
      <c r="G220" s="383"/>
      <c r="H220" s="383"/>
      <c r="I220" s="389">
        <v>2572280</v>
      </c>
      <c r="J220" s="383"/>
      <c r="K220" s="401">
        <f t="shared" si="24"/>
        <v>329835.6834631227</v>
      </c>
    </row>
    <row r="221" spans="1:11">
      <c r="A221" s="383">
        <v>2013</v>
      </c>
      <c r="B221" s="383">
        <v>2880059.9999999991</v>
      </c>
      <c r="C221" s="383"/>
      <c r="D221" s="383">
        <v>1.0903591218515383</v>
      </c>
      <c r="E221" s="383"/>
      <c r="F221" s="383">
        <f t="shared" si="23"/>
        <v>3140299.6924797404</v>
      </c>
      <c r="G221" s="383"/>
      <c r="H221" s="383"/>
      <c r="I221" s="389">
        <v>2541530</v>
      </c>
      <c r="J221" s="383"/>
      <c r="K221" s="401">
        <f t="shared" si="24"/>
        <v>598769.69247974036</v>
      </c>
    </row>
    <row r="222" spans="1:11">
      <c r="A222" s="383">
        <v>2014</v>
      </c>
      <c r="B222" s="383">
        <v>2507180.0000000009</v>
      </c>
      <c r="C222" s="383"/>
      <c r="D222" s="383">
        <v>1.1524644611184565</v>
      </c>
      <c r="E222" s="383"/>
      <c r="F222" s="383">
        <f t="shared" si="23"/>
        <v>2889435.8476269729</v>
      </c>
      <c r="G222" s="383"/>
      <c r="H222" s="383"/>
      <c r="I222" s="389">
        <v>2052790</v>
      </c>
      <c r="J222" s="383"/>
      <c r="K222" s="401">
        <f t="shared" si="24"/>
        <v>836645.84762697294</v>
      </c>
    </row>
    <row r="223" spans="1:11">
      <c r="A223" s="383">
        <v>2015</v>
      </c>
      <c r="B223" s="383">
        <v>2400750</v>
      </c>
      <c r="C223" s="383"/>
      <c r="D223" s="383">
        <v>1.2281108871802653</v>
      </c>
      <c r="E223" s="383"/>
      <c r="F223" s="383">
        <f t="shared" si="23"/>
        <v>2948387.2123980219</v>
      </c>
      <c r="G223" s="383"/>
      <c r="H223" s="383"/>
      <c r="I223" s="389">
        <v>1786040</v>
      </c>
      <c r="J223" s="383"/>
      <c r="K223" s="401">
        <f t="shared" si="24"/>
        <v>1162347.2123980219</v>
      </c>
    </row>
    <row r="224" spans="1:11">
      <c r="A224" s="383">
        <v>2016</v>
      </c>
      <c r="B224" s="383">
        <v>1874570</v>
      </c>
      <c r="C224" s="383"/>
      <c r="D224" s="383">
        <v>1.3468351158534941</v>
      </c>
      <c r="E224" s="383"/>
      <c r="F224" s="383">
        <f t="shared" si="23"/>
        <v>2524736.7031254843</v>
      </c>
      <c r="G224" s="383"/>
      <c r="H224" s="383"/>
      <c r="I224" s="389">
        <v>1268040</v>
      </c>
      <c r="J224" s="383"/>
      <c r="K224" s="401">
        <f t="shared" si="24"/>
        <v>1256696.7031254843</v>
      </c>
    </row>
    <row r="225" spans="1:11">
      <c r="A225" s="383">
        <v>2017</v>
      </c>
      <c r="B225" s="383">
        <v>1874190.0000000002</v>
      </c>
      <c r="C225" s="383"/>
      <c r="D225" s="383">
        <v>1.4193825592366378</v>
      </c>
      <c r="E225" s="383"/>
      <c r="F225" s="383">
        <f t="shared" si="23"/>
        <v>2660192.5986957145</v>
      </c>
      <c r="G225" s="383"/>
      <c r="H225" s="383"/>
      <c r="I225" s="389">
        <v>1032020</v>
      </c>
      <c r="J225" s="383"/>
      <c r="K225" s="401">
        <f t="shared" si="24"/>
        <v>1628172.5986957145</v>
      </c>
    </row>
    <row r="226" spans="1:11">
      <c r="A226" s="383">
        <v>2018</v>
      </c>
      <c r="B226" s="383">
        <v>1446260</v>
      </c>
      <c r="C226" s="383"/>
      <c r="D226" s="383">
        <v>1.6467000199236239</v>
      </c>
      <c r="E226" s="383"/>
      <c r="F226" s="383">
        <f t="shared" si="23"/>
        <v>2381556.3708147402</v>
      </c>
      <c r="G226" s="383"/>
      <c r="H226" s="383"/>
      <c r="I226" s="389">
        <v>586100</v>
      </c>
      <c r="J226" s="383"/>
      <c r="K226" s="401">
        <f t="shared" si="24"/>
        <v>1795456.3708147402</v>
      </c>
    </row>
    <row r="227" spans="1:11">
      <c r="A227" s="383">
        <v>2019</v>
      </c>
      <c r="B227" s="383">
        <v>1414010</v>
      </c>
      <c r="C227" s="383"/>
      <c r="D227" s="383">
        <v>2.1148278441671478</v>
      </c>
      <c r="E227" s="383"/>
      <c r="F227" s="383">
        <f t="shared" si="23"/>
        <v>2990387.7199307885</v>
      </c>
      <c r="G227" s="383"/>
      <c r="H227" s="383"/>
      <c r="I227" s="390">
        <v>345800</v>
      </c>
      <c r="J227" s="383"/>
      <c r="K227" s="401">
        <f t="shared" si="24"/>
        <v>2644587.7199307885</v>
      </c>
    </row>
    <row r="228" spans="1:11">
      <c r="A228" s="383"/>
      <c r="B228" s="383"/>
      <c r="C228" s="383"/>
      <c r="D228" s="383"/>
      <c r="E228" s="383"/>
      <c r="F228" s="383"/>
      <c r="G228" s="383"/>
      <c r="H228" s="383"/>
      <c r="I228" s="383"/>
      <c r="J228" s="383"/>
      <c r="K228" s="383"/>
    </row>
    <row r="229" spans="1:11">
      <c r="A229" s="383"/>
      <c r="B229" s="383"/>
      <c r="C229" s="383"/>
      <c r="D229" s="383"/>
      <c r="E229" s="383"/>
      <c r="F229" s="383"/>
      <c r="G229" s="383"/>
      <c r="H229" s="383"/>
      <c r="I229" s="383"/>
      <c r="J229" s="383"/>
      <c r="K229" s="383"/>
    </row>
    <row r="230" spans="1:11">
      <c r="A230" s="383"/>
      <c r="B230" s="383"/>
      <c r="C230" s="383"/>
      <c r="D230" s="383"/>
      <c r="E230" s="383"/>
      <c r="F230" s="383"/>
      <c r="G230" s="383"/>
      <c r="H230" s="383"/>
      <c r="I230" s="383"/>
      <c r="J230" s="383"/>
      <c r="K230" s="383"/>
    </row>
    <row r="231" spans="1:11">
      <c r="A231" s="383"/>
      <c r="B231" s="383"/>
      <c r="C231" s="383"/>
      <c r="D231" s="383"/>
      <c r="E231" s="383"/>
      <c r="F231" s="383"/>
      <c r="G231" s="383"/>
      <c r="H231" s="383"/>
      <c r="I231" s="383"/>
      <c r="J231" s="383"/>
      <c r="K231" s="383"/>
    </row>
    <row r="232" spans="1:11">
      <c r="A232" s="383"/>
      <c r="B232" s="383"/>
      <c r="C232" s="383"/>
      <c r="D232" s="383"/>
      <c r="E232" s="383"/>
      <c r="F232" s="383"/>
      <c r="G232" s="383"/>
      <c r="H232" s="383"/>
      <c r="I232" s="383"/>
      <c r="J232" s="383"/>
      <c r="K232" s="383"/>
    </row>
    <row r="233" spans="1:11">
      <c r="A233" s="383"/>
      <c r="B233" s="383"/>
      <c r="C233" s="383"/>
      <c r="D233" s="383"/>
      <c r="E233" s="383"/>
      <c r="F233" s="383"/>
      <c r="G233" s="383"/>
      <c r="H233" s="383"/>
      <c r="I233" s="383"/>
      <c r="J233" s="383"/>
      <c r="K233" s="383"/>
    </row>
    <row r="234" spans="1:11">
      <c r="A234" s="383"/>
      <c r="B234" s="383"/>
      <c r="C234" s="383"/>
      <c r="D234" s="383"/>
      <c r="E234" s="383"/>
      <c r="F234" s="383"/>
      <c r="G234" s="383"/>
      <c r="H234" s="383"/>
      <c r="I234" s="383"/>
      <c r="J234" s="383"/>
      <c r="K234" s="383"/>
    </row>
    <row r="235" spans="1:11">
      <c r="A235" s="383"/>
      <c r="B235" s="383"/>
      <c r="C235" s="383"/>
      <c r="D235" s="383"/>
      <c r="E235" s="383"/>
      <c r="F235" s="383"/>
      <c r="G235" s="383"/>
      <c r="H235" s="383"/>
      <c r="I235" s="383"/>
      <c r="J235" s="383"/>
      <c r="K235" s="383"/>
    </row>
    <row r="236" spans="1:11">
      <c r="A236" s="383"/>
      <c r="B236" s="383"/>
      <c r="C236" s="383"/>
      <c r="D236" s="383"/>
      <c r="E236" s="383"/>
      <c r="F236" s="383"/>
      <c r="G236" s="383"/>
      <c r="H236" s="383"/>
      <c r="I236" s="383"/>
      <c r="J236" s="383"/>
      <c r="K236" s="383"/>
    </row>
    <row r="237" spans="1:11">
      <c r="A237" s="383"/>
      <c r="B237" s="383"/>
      <c r="C237" s="383"/>
      <c r="D237" s="383"/>
      <c r="E237" s="383"/>
      <c r="F237" s="383"/>
      <c r="G237" s="383"/>
      <c r="H237" s="383"/>
      <c r="I237" s="383"/>
      <c r="J237" s="383"/>
      <c r="K237" s="383"/>
    </row>
    <row r="238" spans="1:11">
      <c r="A238" s="383"/>
      <c r="B238" s="383"/>
      <c r="C238" s="383"/>
      <c r="D238" s="383"/>
      <c r="E238" s="383"/>
      <c r="F238" s="383"/>
      <c r="G238" s="383"/>
      <c r="H238" s="383"/>
      <c r="I238" s="383"/>
      <c r="J238" s="383"/>
      <c r="K238" s="383"/>
    </row>
    <row r="239" spans="1:11">
      <c r="A239" s="383"/>
      <c r="B239" s="383"/>
      <c r="C239" s="383"/>
      <c r="D239" s="383"/>
      <c r="E239" s="383"/>
      <c r="F239" s="383"/>
      <c r="G239" s="383"/>
      <c r="H239" s="383"/>
      <c r="I239" s="383"/>
      <c r="J239" s="383"/>
      <c r="K239" s="383"/>
    </row>
    <row r="240" spans="1:11">
      <c r="A240" s="383"/>
      <c r="B240" s="383"/>
      <c r="C240" s="383"/>
      <c r="D240" s="383"/>
      <c r="E240" s="383"/>
      <c r="F240" s="383"/>
      <c r="G240" s="383"/>
      <c r="H240" s="383"/>
      <c r="I240" s="383"/>
      <c r="J240" s="383"/>
      <c r="K240" s="383"/>
    </row>
    <row r="241" spans="1:11">
      <c r="A241" s="383"/>
      <c r="B241" s="383"/>
      <c r="C241" s="383"/>
      <c r="D241" s="383"/>
      <c r="E241" s="383"/>
      <c r="F241" s="383"/>
      <c r="G241" s="383"/>
      <c r="H241" s="383"/>
      <c r="I241" s="383"/>
      <c r="J241" s="383"/>
      <c r="K241" s="383"/>
    </row>
    <row r="242" spans="1:11">
      <c r="A242" s="383"/>
      <c r="B242" s="383"/>
      <c r="C242" s="383"/>
      <c r="D242" s="383"/>
      <c r="E242" s="383"/>
      <c r="F242" s="383"/>
      <c r="G242" s="383"/>
      <c r="H242" s="383"/>
      <c r="I242" s="383"/>
      <c r="J242" s="383"/>
      <c r="K242" s="383"/>
    </row>
    <row r="243" spans="1:11">
      <c r="A243" s="383"/>
      <c r="B243" s="383"/>
      <c r="C243" s="383"/>
      <c r="D243" s="383"/>
      <c r="E243" s="383"/>
      <c r="F243" s="383"/>
      <c r="G243" s="383"/>
      <c r="H243" s="383"/>
      <c r="I243" s="383"/>
      <c r="J243" s="383"/>
      <c r="K243" s="383"/>
    </row>
    <row r="244" spans="1:11">
      <c r="A244" s="383"/>
      <c r="B244" s="383"/>
      <c r="C244" s="383"/>
      <c r="D244" s="383"/>
      <c r="E244" s="383"/>
      <c r="F244" s="383"/>
      <c r="G244" s="383"/>
      <c r="H244" s="383"/>
      <c r="I244" s="383"/>
      <c r="J244" s="383"/>
      <c r="K244" s="383"/>
    </row>
    <row r="245" spans="1:11">
      <c r="A245" s="383"/>
      <c r="B245" s="383"/>
      <c r="C245" s="383"/>
      <c r="D245" s="383"/>
      <c r="E245" s="383"/>
      <c r="F245" s="383"/>
      <c r="G245" s="383"/>
      <c r="H245" s="383"/>
      <c r="I245" s="383"/>
      <c r="J245" s="383"/>
      <c r="K245" s="383"/>
    </row>
    <row r="246" spans="1:11">
      <c r="A246" s="383"/>
      <c r="B246" s="383"/>
      <c r="C246" s="383"/>
      <c r="D246" s="383"/>
      <c r="E246" s="383"/>
      <c r="F246" s="383"/>
      <c r="G246" s="383"/>
      <c r="H246" s="383"/>
      <c r="I246" s="383"/>
      <c r="J246" s="383"/>
      <c r="K246" s="383"/>
    </row>
    <row r="247" spans="1:11">
      <c r="A247" s="383"/>
      <c r="B247" s="383"/>
      <c r="C247" s="383"/>
      <c r="D247" s="383"/>
      <c r="E247" s="383"/>
      <c r="F247" s="383"/>
      <c r="G247" s="383"/>
      <c r="H247" s="383"/>
      <c r="I247" s="383"/>
      <c r="J247" s="383"/>
      <c r="K247" s="383"/>
    </row>
    <row r="248" spans="1:11">
      <c r="A248" s="383"/>
      <c r="B248" s="383"/>
      <c r="C248" s="383"/>
      <c r="D248" s="383"/>
      <c r="E248" s="383"/>
      <c r="F248" s="383"/>
      <c r="G248" s="383"/>
      <c r="H248" s="383"/>
      <c r="I248" s="383"/>
      <c r="J248" s="383"/>
      <c r="K248" s="383"/>
    </row>
    <row r="249" spans="1:11">
      <c r="A249" s="383"/>
      <c r="B249" s="383"/>
      <c r="C249" s="383"/>
      <c r="D249" s="383"/>
      <c r="E249" s="383"/>
      <c r="F249" s="383"/>
      <c r="G249" s="383"/>
      <c r="H249" s="383"/>
      <c r="I249" s="383"/>
      <c r="J249" s="383"/>
      <c r="K249" s="383"/>
    </row>
    <row r="250" spans="1:11">
      <c r="A250" s="383"/>
      <c r="B250" s="383"/>
      <c r="C250" s="383"/>
      <c r="D250" s="383"/>
      <c r="E250" s="383"/>
      <c r="F250" s="383"/>
      <c r="G250" s="383"/>
      <c r="H250" s="383"/>
      <c r="I250" s="383"/>
      <c r="J250" s="383"/>
      <c r="K250" s="383"/>
    </row>
    <row r="251" spans="1:11">
      <c r="A251" s="383"/>
      <c r="B251" s="383"/>
      <c r="C251" s="383"/>
      <c r="D251" s="383"/>
      <c r="E251" s="383"/>
      <c r="F251" s="383"/>
      <c r="G251" s="383"/>
      <c r="H251" s="383"/>
      <c r="I251" s="383"/>
      <c r="J251" s="383"/>
      <c r="K251" s="383"/>
    </row>
    <row r="252" spans="1:11">
      <c r="A252" s="383"/>
      <c r="B252" s="383"/>
      <c r="C252" s="383"/>
      <c r="D252" s="383"/>
      <c r="E252" s="383"/>
      <c r="F252" s="383"/>
      <c r="G252" s="383"/>
      <c r="H252" s="383"/>
      <c r="I252" s="383"/>
      <c r="J252" s="383"/>
      <c r="K252" s="383"/>
    </row>
    <row r="253" spans="1:11">
      <c r="A253" s="383"/>
      <c r="B253" s="383"/>
      <c r="C253" s="383"/>
      <c r="D253" s="383"/>
      <c r="E253" s="383"/>
      <c r="F253" s="383"/>
      <c r="G253" s="383"/>
      <c r="H253" s="383"/>
      <c r="I253" s="383"/>
      <c r="J253" s="383"/>
      <c r="K253" s="383"/>
    </row>
    <row r="254" spans="1:11">
      <c r="A254" s="383"/>
      <c r="B254" s="383"/>
      <c r="C254" s="383"/>
      <c r="D254" s="383"/>
      <c r="E254" s="383"/>
      <c r="F254" s="383"/>
      <c r="G254" s="383"/>
      <c r="H254" s="383"/>
      <c r="I254" s="383"/>
      <c r="J254" s="383"/>
      <c r="K254" s="383"/>
    </row>
    <row r="255" spans="1:11">
      <c r="A255" s="383"/>
      <c r="B255" s="383"/>
      <c r="C255" s="383"/>
      <c r="D255" s="383"/>
      <c r="E255" s="383"/>
      <c r="F255" s="383"/>
      <c r="G255" s="383"/>
      <c r="H255" s="383"/>
      <c r="I255" s="383"/>
      <c r="J255" s="383"/>
      <c r="K255" s="383"/>
    </row>
    <row r="256" spans="1:11">
      <c r="A256" s="383"/>
      <c r="B256" s="383"/>
      <c r="C256" s="383"/>
      <c r="D256" s="383"/>
      <c r="E256" s="383"/>
      <c r="F256" s="383"/>
      <c r="G256" s="383"/>
      <c r="H256" s="383"/>
      <c r="I256" s="383"/>
      <c r="J256" s="383"/>
      <c r="K256" s="383"/>
    </row>
    <row r="257" spans="1:11">
      <c r="A257" s="383"/>
      <c r="B257" s="383"/>
      <c r="C257" s="383"/>
      <c r="D257" s="383"/>
      <c r="E257" s="383"/>
      <c r="F257" s="383"/>
      <c r="G257" s="383"/>
      <c r="H257" s="383"/>
      <c r="I257" s="383"/>
      <c r="J257" s="383"/>
      <c r="K257" s="383"/>
    </row>
    <row r="258" spans="1:11">
      <c r="A258" s="383"/>
      <c r="B258" s="383"/>
      <c r="C258" s="383"/>
      <c r="D258" s="383"/>
      <c r="E258" s="383"/>
      <c r="F258" s="383"/>
      <c r="G258" s="383"/>
      <c r="H258" s="383"/>
      <c r="I258" s="383"/>
      <c r="J258" s="383"/>
      <c r="K258" s="383"/>
    </row>
    <row r="259" spans="1:11">
      <c r="A259" s="383"/>
      <c r="B259" s="383"/>
      <c r="C259" s="383"/>
      <c r="D259" s="383"/>
      <c r="E259" s="383"/>
      <c r="F259" s="383"/>
      <c r="G259" s="383"/>
      <c r="H259" s="383"/>
      <c r="I259" s="383"/>
      <c r="J259" s="383"/>
      <c r="K259" s="383"/>
    </row>
    <row r="260" spans="1:11">
      <c r="A260" s="383"/>
      <c r="B260" s="383"/>
      <c r="C260" s="383"/>
      <c r="D260" s="383"/>
      <c r="E260" s="383"/>
      <c r="F260" s="383"/>
      <c r="G260" s="383"/>
      <c r="H260" s="383"/>
      <c r="I260" s="383"/>
      <c r="J260" s="383"/>
      <c r="K260" s="383"/>
    </row>
    <row r="261" spans="1:11">
      <c r="A261" s="383"/>
      <c r="B261" s="383"/>
      <c r="C261" s="383"/>
      <c r="D261" s="383"/>
      <c r="E261" s="383"/>
      <c r="F261" s="383"/>
      <c r="G261" s="383"/>
      <c r="H261" s="383"/>
      <c r="I261" s="383"/>
      <c r="J261" s="383"/>
      <c r="K261" s="383"/>
    </row>
    <row r="262" spans="1:11">
      <c r="A262" s="383"/>
      <c r="B262" s="383"/>
      <c r="C262" s="383"/>
      <c r="D262" s="383"/>
      <c r="E262" s="383"/>
      <c r="F262" s="383"/>
      <c r="G262" s="383"/>
      <c r="H262" s="383"/>
      <c r="I262" s="383"/>
      <c r="J262" s="383"/>
      <c r="K262" s="383"/>
    </row>
    <row r="263" spans="1:11">
      <c r="A263" s="383"/>
      <c r="B263" s="383"/>
      <c r="C263" s="383"/>
      <c r="D263" s="383"/>
      <c r="E263" s="383"/>
      <c r="F263" s="383"/>
      <c r="G263" s="383"/>
      <c r="H263" s="383"/>
      <c r="I263" s="383"/>
      <c r="J263" s="383"/>
      <c r="K263" s="383"/>
    </row>
    <row r="264" spans="1:11">
      <c r="A264" s="383"/>
      <c r="B264" s="383"/>
      <c r="C264" s="383"/>
      <c r="D264" s="383"/>
      <c r="E264" s="383"/>
      <c r="F264" s="383"/>
      <c r="G264" s="383"/>
      <c r="H264" s="383"/>
      <c r="I264" s="383"/>
      <c r="J264" s="383"/>
      <c r="K264" s="383"/>
    </row>
    <row r="265" spans="1:11">
      <c r="A265" s="383"/>
      <c r="B265" s="383"/>
      <c r="C265" s="383"/>
      <c r="D265" s="383"/>
      <c r="E265" s="383"/>
      <c r="F265" s="383"/>
      <c r="G265" s="383"/>
      <c r="H265" s="383"/>
      <c r="I265" s="383"/>
      <c r="J265" s="383"/>
      <c r="K265" s="383"/>
    </row>
    <row r="266" spans="1:11">
      <c r="A266" s="383"/>
      <c r="B266" s="383"/>
      <c r="C266" s="383"/>
      <c r="D266" s="383"/>
      <c r="E266" s="383"/>
      <c r="F266" s="383"/>
      <c r="G266" s="383"/>
      <c r="H266" s="383"/>
      <c r="I266" s="383"/>
      <c r="J266" s="383"/>
      <c r="K266" s="383"/>
    </row>
    <row r="267" spans="1:11">
      <c r="A267" s="383"/>
      <c r="B267" s="383"/>
      <c r="C267" s="383"/>
      <c r="D267" s="383"/>
      <c r="E267" s="383"/>
      <c r="F267" s="383"/>
      <c r="G267" s="383"/>
      <c r="H267" s="383"/>
      <c r="I267" s="383"/>
      <c r="J267" s="383"/>
      <c r="K267" s="383"/>
    </row>
    <row r="268" spans="1:11">
      <c r="A268" s="383"/>
      <c r="B268" s="383"/>
      <c r="C268" s="383"/>
      <c r="D268" s="383"/>
      <c r="E268" s="383"/>
      <c r="F268" s="383"/>
      <c r="G268" s="383"/>
      <c r="H268" s="383"/>
      <c r="I268" s="383"/>
      <c r="J268" s="383"/>
      <c r="K268" s="383"/>
    </row>
    <row r="269" spans="1:11">
      <c r="A269" s="383"/>
      <c r="B269" s="383"/>
      <c r="C269" s="383"/>
      <c r="D269" s="383"/>
      <c r="E269" s="383"/>
      <c r="F269" s="383"/>
      <c r="G269" s="383"/>
      <c r="H269" s="383"/>
      <c r="I269" s="383"/>
      <c r="J269" s="383"/>
      <c r="K269" s="383"/>
    </row>
  </sheetData>
  <sortState xmlns:xlrd2="http://schemas.microsoft.com/office/spreadsheetml/2017/richdata2" ref="D218:D227">
    <sortCondition ref="D218"/>
  </sortState>
  <phoneticPr fontId="10"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6B76-1DC8-4D95-B0E5-A9795C0CCAF0}">
  <dimension ref="A2:P73"/>
  <sheetViews>
    <sheetView zoomScale="106" workbookViewId="0">
      <selection activeCell="R29" sqref="R29"/>
    </sheetView>
  </sheetViews>
  <sheetFormatPr defaultRowHeight="13.5"/>
  <cols>
    <col min="16" max="16" width="9.73046875" bestFit="1" customWidth="1"/>
  </cols>
  <sheetData>
    <row r="2" spans="1:15">
      <c r="A2" s="440" t="s">
        <v>80</v>
      </c>
      <c r="B2" s="440"/>
      <c r="C2" s="440"/>
      <c r="D2" s="440"/>
      <c r="E2" s="440"/>
      <c r="F2" s="440"/>
      <c r="G2" s="440"/>
      <c r="H2" s="440"/>
      <c r="I2" s="440"/>
      <c r="J2" s="440"/>
      <c r="K2" s="440"/>
      <c r="L2" s="440"/>
      <c r="M2" s="440"/>
      <c r="N2" s="440"/>
      <c r="O2" s="440"/>
    </row>
    <row r="3" spans="1:15">
      <c r="A3" s="409" t="s">
        <v>3</v>
      </c>
      <c r="B3" s="442" t="s">
        <v>154</v>
      </c>
      <c r="C3" s="442"/>
      <c r="D3" s="443" t="s">
        <v>155</v>
      </c>
      <c r="E3" s="443"/>
      <c r="F3" s="443" t="s">
        <v>156</v>
      </c>
      <c r="G3" s="443"/>
      <c r="H3" s="444" t="s">
        <v>157</v>
      </c>
      <c r="I3" s="444"/>
      <c r="J3" s="445" t="s">
        <v>158</v>
      </c>
      <c r="K3" s="445"/>
      <c r="L3" s="439" t="s">
        <v>179</v>
      </c>
      <c r="M3" s="439"/>
      <c r="N3" s="441" t="s">
        <v>194</v>
      </c>
      <c r="O3" s="441"/>
    </row>
    <row r="4" spans="1:15">
      <c r="A4" s="410" t="s">
        <v>5</v>
      </c>
      <c r="B4" t="s">
        <v>83</v>
      </c>
      <c r="C4" t="s">
        <v>84</v>
      </c>
      <c r="J4" t="s">
        <v>83</v>
      </c>
      <c r="K4" t="s">
        <v>84</v>
      </c>
      <c r="L4" s="383" t="s">
        <v>180</v>
      </c>
    </row>
    <row r="5" spans="1:15">
      <c r="A5" s="411">
        <v>2010</v>
      </c>
      <c r="B5">
        <v>2079680</v>
      </c>
      <c r="C5">
        <v>2038080</v>
      </c>
      <c r="E5" s="427">
        <v>2068960</v>
      </c>
      <c r="G5" s="382">
        <v>3341277.979070704</v>
      </c>
      <c r="I5" s="406">
        <v>3291408.158487557</v>
      </c>
      <c r="J5" s="407">
        <v>2079680</v>
      </c>
      <c r="K5" s="407">
        <v>2038080</v>
      </c>
      <c r="M5" s="383">
        <v>2079680</v>
      </c>
      <c r="O5">
        <v>2038080</v>
      </c>
    </row>
    <row r="6" spans="1:15">
      <c r="A6" s="412">
        <v>2011</v>
      </c>
      <c r="B6">
        <v>2575652.5473065698</v>
      </c>
      <c r="C6">
        <v>2525101.7142857141</v>
      </c>
      <c r="E6" s="427">
        <v>2563364.4316526167</v>
      </c>
      <c r="G6" s="382">
        <v>3925020.4333246988</v>
      </c>
      <c r="I6" s="406">
        <v>3866432.6080255848</v>
      </c>
      <c r="J6" s="407">
        <v>2581983.3081059875</v>
      </c>
      <c r="K6" s="407">
        <v>2574185.3901252886</v>
      </c>
      <c r="M6" s="383">
        <v>2575652.5473065698</v>
      </c>
      <c r="O6" s="428">
        <v>2525101.7142857099</v>
      </c>
    </row>
    <row r="7" spans="1:15">
      <c r="A7" s="412">
        <v>2012</v>
      </c>
      <c r="B7">
        <v>2902115.6834631218</v>
      </c>
      <c r="C7">
        <v>2845667.5515657426</v>
      </c>
      <c r="E7" s="427">
        <v>2895680.1234593662</v>
      </c>
      <c r="G7" s="382">
        <v>4203908.038105011</v>
      </c>
      <c r="I7" s="406">
        <v>4131300.4833939103</v>
      </c>
      <c r="J7" s="407">
        <v>2951050.5714731743</v>
      </c>
      <c r="K7" s="407">
        <v>2969180.2364018192</v>
      </c>
      <c r="M7" s="383">
        <v>2902115.6834631227</v>
      </c>
      <c r="O7" s="428">
        <v>2845667.5515657426</v>
      </c>
    </row>
    <row r="8" spans="1:15">
      <c r="A8" s="412">
        <v>2013</v>
      </c>
      <c r="B8">
        <v>3140299.6924797413</v>
      </c>
      <c r="C8">
        <v>3056570.1385375652</v>
      </c>
      <c r="E8" s="427">
        <v>3131727.9653409254</v>
      </c>
      <c r="G8" s="382">
        <v>4310798.3355404688</v>
      </c>
      <c r="I8" s="406">
        <v>4207344.1919263378</v>
      </c>
      <c r="J8" s="407">
        <v>3228726.7088766722</v>
      </c>
      <c r="K8" s="407">
        <v>3250478.6048966479</v>
      </c>
      <c r="M8" s="383">
        <v>3140299.6924797404</v>
      </c>
      <c r="O8" s="428">
        <v>3056570.1385375652</v>
      </c>
    </row>
    <row r="9" spans="1:15">
      <c r="A9" s="412">
        <v>2014</v>
      </c>
      <c r="B9">
        <v>2889435.8476269715</v>
      </c>
      <c r="C9">
        <v>2826815.1356164343</v>
      </c>
      <c r="E9" s="427">
        <v>2876320.6602396644</v>
      </c>
      <c r="G9" s="382">
        <v>3753894.2220177348</v>
      </c>
      <c r="I9" s="406">
        <v>3689284.4219318083</v>
      </c>
      <c r="J9" s="407">
        <v>2995251.242350209</v>
      </c>
      <c r="K9" s="407">
        <v>3062972.3918494955</v>
      </c>
      <c r="M9" s="383">
        <v>2889435.8476269729</v>
      </c>
      <c r="O9" s="428">
        <v>3062972.3918494955</v>
      </c>
    </row>
    <row r="10" spans="1:15">
      <c r="A10" s="412">
        <v>2015</v>
      </c>
      <c r="B10">
        <v>2617679.6617850806</v>
      </c>
      <c r="C10">
        <v>2854300.3271356886</v>
      </c>
      <c r="E10" s="427">
        <v>2949267.8013009825</v>
      </c>
      <c r="G10" s="382">
        <v>3649471.64308509</v>
      </c>
      <c r="I10" s="406">
        <v>3531957.355698654</v>
      </c>
      <c r="J10" s="407">
        <v>2693446.7442947351</v>
      </c>
      <c r="K10" s="407">
        <v>3107922.5939084794</v>
      </c>
      <c r="M10" s="383">
        <v>2948387.2123980201</v>
      </c>
      <c r="O10" s="428">
        <v>3107922.5939084794</v>
      </c>
    </row>
    <row r="11" spans="1:15">
      <c r="A11" s="412">
        <v>2016</v>
      </c>
      <c r="B11">
        <v>2524736.7031254843</v>
      </c>
      <c r="C11">
        <v>2476981.7277600002</v>
      </c>
      <c r="E11" s="427">
        <v>2500930.7319081221</v>
      </c>
      <c r="G11" s="382">
        <v>2934191.8151530502</v>
      </c>
      <c r="I11" s="406">
        <v>2962121.9313320206</v>
      </c>
      <c r="J11" s="407">
        <v>2637371.5420244448</v>
      </c>
      <c r="K11" s="407">
        <v>2713764.3528957088</v>
      </c>
      <c r="M11" s="383">
        <v>2524736.7031254843</v>
      </c>
      <c r="O11" s="428">
        <v>2713764.3528957088</v>
      </c>
    </row>
    <row r="12" spans="1:15">
      <c r="A12" s="412">
        <v>2017</v>
      </c>
      <c r="B12">
        <v>2660192.598695714</v>
      </c>
      <c r="C12">
        <v>2439929.5485399999</v>
      </c>
      <c r="E12" s="427">
        <v>2659892.9749045996</v>
      </c>
      <c r="G12" s="382">
        <v>2958843.9055304457</v>
      </c>
      <c r="I12" s="406">
        <v>2959177.2046656567</v>
      </c>
      <c r="J12" s="407">
        <v>2748533.0735085569</v>
      </c>
      <c r="K12" s="407">
        <v>2739550.3853603802</v>
      </c>
      <c r="M12" s="383">
        <v>2660192.5986957145</v>
      </c>
      <c r="O12" s="428">
        <v>2739550.3853603802</v>
      </c>
    </row>
    <row r="13" spans="1:15">
      <c r="A13" s="412">
        <v>2018</v>
      </c>
      <c r="B13">
        <v>2381556.3708147402</v>
      </c>
      <c r="C13">
        <v>2107859.8929595547</v>
      </c>
      <c r="E13" s="427">
        <v>2358134.1499957126</v>
      </c>
      <c r="G13" s="382">
        <v>2487124.0880004782</v>
      </c>
      <c r="I13" s="406">
        <v>2511827.5042983065</v>
      </c>
      <c r="J13" s="407">
        <v>2432717.0822983067</v>
      </c>
      <c r="K13" s="407">
        <v>2399502.4784289589</v>
      </c>
      <c r="M13" s="383">
        <v>2381556.3708147402</v>
      </c>
      <c r="O13" s="428">
        <v>2399502.4784289589</v>
      </c>
    </row>
    <row r="14" spans="1:15">
      <c r="A14" s="410">
        <v>2019</v>
      </c>
      <c r="B14">
        <v>2990387.7199307885</v>
      </c>
      <c r="C14">
        <v>2690047.6154597602</v>
      </c>
      <c r="E14" s="427">
        <v>2996588.0146335652</v>
      </c>
      <c r="G14" s="382">
        <v>2996588.0146335652</v>
      </c>
      <c r="I14" s="406">
        <v>2690047.6154597602</v>
      </c>
      <c r="J14" s="407">
        <v>2832063.9527703309</v>
      </c>
      <c r="K14" s="407">
        <v>2690047.6154597602</v>
      </c>
      <c r="M14" s="383">
        <v>2990387.7199307885</v>
      </c>
      <c r="O14" s="428">
        <v>2690047.6154597602</v>
      </c>
    </row>
    <row r="17" spans="1:7">
      <c r="A17" t="s">
        <v>227</v>
      </c>
    </row>
    <row r="18" spans="1:7">
      <c r="A18" t="s">
        <v>193</v>
      </c>
    </row>
    <row r="19" spans="1:7">
      <c r="A19" t="s">
        <v>255</v>
      </c>
    </row>
    <row r="20" spans="1:7">
      <c r="A20" t="s">
        <v>228</v>
      </c>
    </row>
    <row r="21" spans="1:7">
      <c r="A21" t="s">
        <v>229</v>
      </c>
    </row>
    <row r="22" spans="1:7">
      <c r="A22" t="s">
        <v>230</v>
      </c>
    </row>
    <row r="26" spans="1:7">
      <c r="A26" t="s">
        <v>256</v>
      </c>
    </row>
    <row r="27" spans="1:7">
      <c r="A27" t="s">
        <v>231</v>
      </c>
    </row>
    <row r="29" spans="1:7">
      <c r="A29" t="s">
        <v>232</v>
      </c>
    </row>
    <row r="30" spans="1:7">
      <c r="A30" t="s">
        <v>233</v>
      </c>
    </row>
    <row r="31" spans="1:7">
      <c r="A31" s="408" t="s">
        <v>234</v>
      </c>
      <c r="G31" s="391"/>
    </row>
    <row r="32" spans="1:7">
      <c r="A32" t="s">
        <v>257</v>
      </c>
    </row>
    <row r="35" spans="1:1">
      <c r="A35" t="s">
        <v>159</v>
      </c>
    </row>
    <row r="36" spans="1:1">
      <c r="A36" t="s">
        <v>216</v>
      </c>
    </row>
    <row r="37" spans="1:1">
      <c r="A37" t="s">
        <v>213</v>
      </c>
    </row>
    <row r="38" spans="1:1">
      <c r="A38" t="s">
        <v>214</v>
      </c>
    </row>
    <row r="40" spans="1:1">
      <c r="A40" t="s">
        <v>235</v>
      </c>
    </row>
    <row r="41" spans="1:1">
      <c r="A41" t="s">
        <v>236</v>
      </c>
    </row>
    <row r="42" spans="1:1">
      <c r="A42" t="s">
        <v>237</v>
      </c>
    </row>
    <row r="43" spans="1:1">
      <c r="A43" s="326" t="s">
        <v>238</v>
      </c>
    </row>
    <row r="44" spans="1:1">
      <c r="A44" t="s">
        <v>210</v>
      </c>
    </row>
    <row r="45" spans="1:1">
      <c r="A45" t="s">
        <v>258</v>
      </c>
    </row>
    <row r="46" spans="1:1">
      <c r="A46" s="408" t="s">
        <v>211</v>
      </c>
    </row>
    <row r="47" spans="1:1">
      <c r="A47" t="s">
        <v>212</v>
      </c>
    </row>
    <row r="49" spans="1:16">
      <c r="A49" t="s">
        <v>259</v>
      </c>
    </row>
    <row r="50" spans="1:16">
      <c r="A50" t="s">
        <v>260</v>
      </c>
    </row>
    <row r="51" spans="1:16">
      <c r="A51" t="s">
        <v>261</v>
      </c>
    </row>
    <row r="53" spans="1:16">
      <c r="A53" t="s">
        <v>253</v>
      </c>
    </row>
    <row r="59" spans="1:16">
      <c r="A59" s="440" t="s">
        <v>80</v>
      </c>
      <c r="B59" s="440"/>
      <c r="C59" s="440"/>
      <c r="D59" s="440"/>
      <c r="E59" s="440"/>
      <c r="F59" s="440"/>
      <c r="G59" s="440"/>
      <c r="H59" s="440"/>
      <c r="I59" s="440"/>
      <c r="J59" s="440"/>
      <c r="K59" s="440"/>
      <c r="L59" s="440"/>
      <c r="M59" s="440"/>
      <c r="N59" s="440"/>
      <c r="O59" s="440"/>
      <c r="P59" s="440"/>
    </row>
    <row r="60" spans="1:16">
      <c r="A60" s="409" t="s">
        <v>3</v>
      </c>
      <c r="B60" s="409" t="s">
        <v>195</v>
      </c>
      <c r="C60" s="417" t="s">
        <v>154</v>
      </c>
      <c r="D60" s="417"/>
      <c r="E60" s="443" t="s">
        <v>155</v>
      </c>
      <c r="F60" s="443"/>
      <c r="G60" s="443" t="s">
        <v>156</v>
      </c>
      <c r="H60" s="443"/>
      <c r="I60" s="444" t="s">
        <v>157</v>
      </c>
      <c r="J60" s="444"/>
      <c r="K60" s="445" t="s">
        <v>158</v>
      </c>
      <c r="L60" s="445"/>
      <c r="M60" s="439" t="s">
        <v>179</v>
      </c>
      <c r="N60" s="439"/>
      <c r="O60" s="441" t="s">
        <v>196</v>
      </c>
      <c r="P60" s="441"/>
    </row>
    <row r="61" spans="1:16">
      <c r="A61" s="410" t="s">
        <v>5</v>
      </c>
      <c r="B61" s="408" t="s">
        <v>84</v>
      </c>
      <c r="C61" s="408" t="s">
        <v>83</v>
      </c>
      <c r="D61" s="408" t="s">
        <v>84</v>
      </c>
      <c r="E61" s="408"/>
      <c r="F61" s="408"/>
      <c r="G61" s="408"/>
      <c r="H61" s="408"/>
      <c r="I61" s="408"/>
      <c r="J61" s="408"/>
      <c r="K61" s="408" t="s">
        <v>83</v>
      </c>
      <c r="L61" s="408" t="s">
        <v>84</v>
      </c>
      <c r="M61" s="408" t="s">
        <v>180</v>
      </c>
      <c r="N61" s="408"/>
      <c r="P61" s="401"/>
    </row>
    <row r="62" spans="1:16">
      <c r="A62" s="411">
        <v>2010</v>
      </c>
      <c r="B62" s="413">
        <v>2038080</v>
      </c>
      <c r="C62">
        <v>41600</v>
      </c>
      <c r="D62">
        <v>0</v>
      </c>
      <c r="E62" s="408"/>
      <c r="F62" s="429">
        <f>E5-B62</f>
        <v>30880</v>
      </c>
      <c r="G62" s="408"/>
      <c r="H62" s="408">
        <v>1303197.979070704</v>
      </c>
      <c r="I62" s="408"/>
      <c r="J62" s="408">
        <v>1253328.158487557</v>
      </c>
      <c r="K62" s="416">
        <v>41600</v>
      </c>
      <c r="L62" s="416">
        <v>0</v>
      </c>
      <c r="M62" s="408"/>
      <c r="N62" s="408">
        <v>41600</v>
      </c>
      <c r="P62" s="401">
        <f t="shared" ref="P62:P67" si="0">O5-B62</f>
        <v>0</v>
      </c>
    </row>
    <row r="63" spans="1:16">
      <c r="A63" s="412">
        <v>2011</v>
      </c>
      <c r="B63" s="414">
        <v>2432700</v>
      </c>
      <c r="C63">
        <v>142952.54730656976</v>
      </c>
      <c r="D63">
        <v>92401.714285714101</v>
      </c>
      <c r="E63" s="408"/>
      <c r="F63" s="429">
        <f t="shared" ref="F63:F71" si="1">E6-B63</f>
        <v>130664.43165261671</v>
      </c>
      <c r="G63" s="408"/>
      <c r="H63" s="408">
        <v>1492320.4333246988</v>
      </c>
      <c r="I63" s="408"/>
      <c r="J63" s="408">
        <v>1433732.6080255848</v>
      </c>
      <c r="K63" s="416">
        <v>149283.3081059875</v>
      </c>
      <c r="L63" s="416">
        <v>141485.39012528863</v>
      </c>
      <c r="M63" s="408"/>
      <c r="N63" s="408">
        <v>142952.54730656976</v>
      </c>
      <c r="P63" s="416">
        <f t="shared" si="0"/>
        <v>92401.714285709895</v>
      </c>
    </row>
    <row r="64" spans="1:16">
      <c r="A64" s="412">
        <v>2012</v>
      </c>
      <c r="B64" s="414">
        <v>2572280</v>
      </c>
      <c r="C64">
        <v>329835.68346312176</v>
      </c>
      <c r="D64">
        <v>273387.55156574259</v>
      </c>
      <c r="E64" s="408"/>
      <c r="F64" s="429">
        <f t="shared" si="1"/>
        <v>323400.12345936615</v>
      </c>
      <c r="G64" s="408"/>
      <c r="H64" s="408">
        <v>1631628.038105011</v>
      </c>
      <c r="I64" s="408"/>
      <c r="J64" s="408">
        <v>1559020.4833939103</v>
      </c>
      <c r="K64" s="416">
        <v>378770.57147317426</v>
      </c>
      <c r="L64" s="416">
        <v>396900.23640181916</v>
      </c>
      <c r="M64" s="408"/>
      <c r="N64" s="408">
        <v>329835.6834631227</v>
      </c>
      <c r="P64" s="416">
        <f t="shared" si="0"/>
        <v>273387.55156574259</v>
      </c>
    </row>
    <row r="65" spans="1:16">
      <c r="A65" s="412">
        <v>2013</v>
      </c>
      <c r="B65" s="414">
        <v>2541530</v>
      </c>
      <c r="C65">
        <v>598769.69247974129</v>
      </c>
      <c r="D65">
        <v>515040.13853756525</v>
      </c>
      <c r="E65" s="408"/>
      <c r="F65" s="429">
        <f t="shared" si="1"/>
        <v>590197.96534092538</v>
      </c>
      <c r="G65" s="408"/>
      <c r="H65" s="408">
        <v>1769268.3355404688</v>
      </c>
      <c r="I65" s="408"/>
      <c r="J65" s="408">
        <v>1665814.1919263378</v>
      </c>
      <c r="K65" s="416">
        <v>687196.7088766722</v>
      </c>
      <c r="L65" s="416">
        <v>708948.60489664797</v>
      </c>
      <c r="M65" s="408"/>
      <c r="N65" s="408">
        <v>598769.69247974036</v>
      </c>
      <c r="P65" s="416">
        <f t="shared" si="0"/>
        <v>515040.13853756525</v>
      </c>
    </row>
    <row r="66" spans="1:16">
      <c r="A66" s="412">
        <v>2014</v>
      </c>
      <c r="B66" s="414">
        <v>2052790</v>
      </c>
      <c r="C66">
        <v>836645.84762697155</v>
      </c>
      <c r="D66">
        <v>774025.13561643427</v>
      </c>
      <c r="E66" s="408"/>
      <c r="F66" s="429">
        <f t="shared" si="1"/>
        <v>823530.66023966437</v>
      </c>
      <c r="G66" s="408"/>
      <c r="H66" s="408">
        <v>1701104.2220177348</v>
      </c>
      <c r="I66" s="408"/>
      <c r="J66" s="408">
        <v>1636494.4219318083</v>
      </c>
      <c r="K66" s="416">
        <v>942461.24235020904</v>
      </c>
      <c r="L66" s="416">
        <v>1010182.3918494955</v>
      </c>
      <c r="M66" s="408"/>
      <c r="N66" s="408">
        <v>836645.84762697294</v>
      </c>
      <c r="P66" s="416">
        <f t="shared" si="0"/>
        <v>1010182.3918494955</v>
      </c>
    </row>
    <row r="67" spans="1:16">
      <c r="A67" s="412">
        <v>2015</v>
      </c>
      <c r="B67" s="414">
        <v>1786040</v>
      </c>
      <c r="C67">
        <v>831639.66178508056</v>
      </c>
      <c r="D67">
        <v>1068260.3271356886</v>
      </c>
      <c r="E67" s="408"/>
      <c r="F67" s="429">
        <f t="shared" si="1"/>
        <v>1163227.8013009825</v>
      </c>
      <c r="G67" s="408"/>
      <c r="H67" s="408">
        <v>1863431.6430850946</v>
      </c>
      <c r="I67" s="408"/>
      <c r="J67" s="408">
        <v>1745917.355698654</v>
      </c>
      <c r="K67" s="416">
        <v>907406.74429473514</v>
      </c>
      <c r="L67" s="416">
        <v>1321882.5939084799</v>
      </c>
      <c r="M67" s="408"/>
      <c r="N67" s="408">
        <v>1162347.2123980219</v>
      </c>
      <c r="P67" s="416">
        <f t="shared" si="0"/>
        <v>1321882.5939084794</v>
      </c>
    </row>
    <row r="68" spans="1:16">
      <c r="A68" s="412">
        <v>2016</v>
      </c>
      <c r="B68" s="414">
        <v>1268040</v>
      </c>
      <c r="C68">
        <v>1256696.7031254843</v>
      </c>
      <c r="D68">
        <v>1208941.7277600002</v>
      </c>
      <c r="E68" s="408"/>
      <c r="F68" s="429">
        <f t="shared" si="1"/>
        <v>1232890.7319081221</v>
      </c>
      <c r="G68" s="408"/>
      <c r="H68" s="408">
        <v>1666151.8151530502</v>
      </c>
      <c r="I68" s="408"/>
      <c r="J68" s="408">
        <v>1694081.9313320206</v>
      </c>
      <c r="K68" s="416">
        <v>1369331.5420244448</v>
      </c>
      <c r="L68" s="416">
        <v>1445724.3528957088</v>
      </c>
      <c r="M68" s="408"/>
      <c r="N68" s="408">
        <v>1256696.7031254801</v>
      </c>
      <c r="P68" s="416">
        <f t="shared" ref="P68:P70" si="2">O11-B68</f>
        <v>1445724.3528957088</v>
      </c>
    </row>
    <row r="69" spans="1:16">
      <c r="A69" s="412">
        <v>2017</v>
      </c>
      <c r="B69" s="414">
        <v>1032020</v>
      </c>
      <c r="C69">
        <v>1628172.598695714</v>
      </c>
      <c r="D69">
        <v>1407909.5485399999</v>
      </c>
      <c r="E69" s="408"/>
      <c r="F69" s="429">
        <f t="shared" si="1"/>
        <v>1627872.9749045996</v>
      </c>
      <c r="G69" s="408"/>
      <c r="H69" s="408">
        <v>1926823.9055304457</v>
      </c>
      <c r="I69" s="408"/>
      <c r="J69" s="408">
        <v>1927157.2046656567</v>
      </c>
      <c r="K69" s="416">
        <v>1716513.0735085569</v>
      </c>
      <c r="L69" s="416">
        <v>1707530.3853603802</v>
      </c>
      <c r="M69" s="408"/>
      <c r="N69" s="408">
        <v>1628172.5986957145</v>
      </c>
      <c r="P69" s="416">
        <f t="shared" si="2"/>
        <v>1707530.3853603802</v>
      </c>
    </row>
    <row r="70" spans="1:16">
      <c r="A70" s="412">
        <v>2018</v>
      </c>
      <c r="B70" s="414">
        <v>586100</v>
      </c>
      <c r="C70">
        <v>1795456.3708147402</v>
      </c>
      <c r="D70">
        <v>1521759.8929595547</v>
      </c>
      <c r="E70" s="408"/>
      <c r="F70" s="429">
        <f t="shared" si="1"/>
        <v>1772034.1499957126</v>
      </c>
      <c r="G70" s="408"/>
      <c r="H70" s="408">
        <v>1901024.0880004782</v>
      </c>
      <c r="I70" s="408"/>
      <c r="J70" s="408">
        <v>1925727.5042983065</v>
      </c>
      <c r="K70" s="416">
        <v>1846617.0822983067</v>
      </c>
      <c r="L70" s="416">
        <v>1813402.4784289589</v>
      </c>
      <c r="M70" s="408"/>
      <c r="N70" s="408">
        <v>1795456.3708147402</v>
      </c>
      <c r="P70" s="416">
        <f t="shared" si="2"/>
        <v>1813402.4784289589</v>
      </c>
    </row>
    <row r="71" spans="1:16">
      <c r="A71" s="410">
        <v>2019</v>
      </c>
      <c r="B71" s="415">
        <v>345800</v>
      </c>
      <c r="C71">
        <v>2644587.7199307885</v>
      </c>
      <c r="D71">
        <v>2344247.6154597602</v>
      </c>
      <c r="E71" s="408"/>
      <c r="F71" s="429">
        <f t="shared" si="1"/>
        <v>2650788.0146335652</v>
      </c>
      <c r="G71" s="408"/>
      <c r="H71" s="408">
        <v>2650788.0146335652</v>
      </c>
      <c r="I71" s="408"/>
      <c r="J71" s="408">
        <v>2344247.6154597602</v>
      </c>
      <c r="K71" s="416">
        <v>2486263.9527703309</v>
      </c>
      <c r="L71" s="416">
        <v>2344247.6154597602</v>
      </c>
      <c r="M71" s="408"/>
      <c r="N71" s="408">
        <v>2644587.7199307885</v>
      </c>
      <c r="P71" s="416">
        <f>O14-B71</f>
        <v>2344247.6154597602</v>
      </c>
    </row>
    <row r="73" spans="1:16">
      <c r="O73" t="s">
        <v>252</v>
      </c>
      <c r="P73" s="416">
        <f>SUM(P62:P71)</f>
        <v>10523799.222291801</v>
      </c>
    </row>
  </sheetData>
  <mergeCells count="15">
    <mergeCell ref="O60:P60"/>
    <mergeCell ref="A59:P59"/>
    <mergeCell ref="I60:J60"/>
    <mergeCell ref="G60:H60"/>
    <mergeCell ref="E60:F60"/>
    <mergeCell ref="K60:L60"/>
    <mergeCell ref="M60:N60"/>
    <mergeCell ref="L3:M3"/>
    <mergeCell ref="A2:O2"/>
    <mergeCell ref="N3:O3"/>
    <mergeCell ref="B3:C3"/>
    <mergeCell ref="D3:E3"/>
    <mergeCell ref="F3:G3"/>
    <mergeCell ref="H3:I3"/>
    <mergeCell ref="J3:K3"/>
  </mergeCells>
  <phoneticPr fontId="10"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DF8D-5875-4F03-910C-165F3A375A87}">
  <dimension ref="A3:M40"/>
  <sheetViews>
    <sheetView tabSelected="1" workbookViewId="0">
      <selection activeCell="M31" sqref="M31"/>
    </sheetView>
  </sheetViews>
  <sheetFormatPr defaultRowHeight="13.5"/>
  <cols>
    <col min="4" max="11" width="10.06640625" bestFit="1" customWidth="1"/>
    <col min="13" max="13" width="10.06640625" bestFit="1" customWidth="1"/>
  </cols>
  <sheetData>
    <row r="3" spans="1:9">
      <c r="D3" t="s">
        <v>201</v>
      </c>
    </row>
    <row r="4" spans="1:9">
      <c r="A4" t="s">
        <v>197</v>
      </c>
      <c r="B4" t="s">
        <v>84</v>
      </c>
      <c r="C4" t="s">
        <v>199</v>
      </c>
      <c r="D4" t="s">
        <v>202</v>
      </c>
    </row>
    <row r="5" spans="1:9">
      <c r="A5" t="s">
        <v>5</v>
      </c>
      <c r="B5" t="s">
        <v>198</v>
      </c>
      <c r="C5" t="s">
        <v>200</v>
      </c>
      <c r="D5" t="s">
        <v>203</v>
      </c>
    </row>
    <row r="6" spans="1:9">
      <c r="A6">
        <v>2009</v>
      </c>
      <c r="B6">
        <v>306900</v>
      </c>
      <c r="C6">
        <v>2557480</v>
      </c>
      <c r="D6">
        <f>B6/C6</f>
        <v>0.12000093842376089</v>
      </c>
    </row>
    <row r="8" spans="1:9">
      <c r="A8" t="s">
        <v>204</v>
      </c>
      <c r="D8" s="408">
        <f>D6</f>
        <v>0.12000093842376089</v>
      </c>
    </row>
    <row r="10" spans="1:9">
      <c r="H10" t="s">
        <v>205</v>
      </c>
    </row>
    <row r="11" spans="1:9">
      <c r="E11" t="s">
        <v>207</v>
      </c>
      <c r="F11" t="s">
        <v>106</v>
      </c>
      <c r="G11" t="s">
        <v>83</v>
      </c>
      <c r="H11" t="s">
        <v>106</v>
      </c>
    </row>
    <row r="12" spans="1:9">
      <c r="E12" t="s">
        <v>208</v>
      </c>
      <c r="F12" t="s">
        <v>206</v>
      </c>
      <c r="G12" t="s">
        <v>200</v>
      </c>
      <c r="H12" t="s">
        <v>206</v>
      </c>
      <c r="I12" s="408" t="s">
        <v>209</v>
      </c>
    </row>
    <row r="13" spans="1:9">
      <c r="E13">
        <v>41600</v>
      </c>
      <c r="F13">
        <v>2038080</v>
      </c>
      <c r="G13">
        <v>2079680</v>
      </c>
      <c r="H13" s="401">
        <f>F13-G13</f>
        <v>-41600</v>
      </c>
      <c r="I13">
        <f>D6*0.4*E13+D6*H13</f>
        <v>-2995.2234230570716</v>
      </c>
    </row>
    <row r="14" spans="1:9">
      <c r="E14">
        <v>130320</v>
      </c>
      <c r="F14">
        <v>2525101.7142857099</v>
      </c>
      <c r="G14">
        <v>2563020</v>
      </c>
      <c r="H14" s="416">
        <f>F14-G14</f>
        <v>-37918.285714290105</v>
      </c>
      <c r="I14" s="428">
        <f>0.120001*0.4*E14+0.120001*H14</f>
        <v>1705.1799239994734</v>
      </c>
    </row>
    <row r="15" spans="1:9">
      <c r="E15">
        <v>214300</v>
      </c>
      <c r="F15">
        <v>2845667.5515657426</v>
      </c>
      <c r="G15">
        <v>2786580</v>
      </c>
      <c r="H15" s="416">
        <f>F15-G15</f>
        <v>59087.551565742586</v>
      </c>
      <c r="I15" s="428">
        <f>0.120001*0.4*E15+0.120001*H15</f>
        <v>17377.050995440677</v>
      </c>
    </row>
    <row r="16" spans="1:9">
      <c r="E16">
        <v>338530</v>
      </c>
      <c r="F16">
        <v>3056570.1385375652</v>
      </c>
      <c r="G16">
        <v>2880060</v>
      </c>
      <c r="H16" s="416">
        <f t="shared" ref="H16:H22" si="0">F16-G16</f>
        <v>176510.13853756525</v>
      </c>
      <c r="I16" s="428">
        <f t="shared" ref="I16:I21" si="1">0.120001*0.4*E16+0.120001*H16</f>
        <v>37430.968546646363</v>
      </c>
    </row>
    <row r="17" spans="1:13">
      <c r="E17">
        <v>454390</v>
      </c>
      <c r="F17">
        <v>3062972.3918494955</v>
      </c>
      <c r="G17">
        <v>2507180</v>
      </c>
      <c r="H17" s="416">
        <f t="shared" si="0"/>
        <v>555792.39184949547</v>
      </c>
      <c r="I17" s="428">
        <f>0.120001*0.4*E17+0.120001*H17</f>
        <v>88506.544570331316</v>
      </c>
    </row>
    <row r="18" spans="1:13">
      <c r="E18">
        <v>614710</v>
      </c>
      <c r="F18">
        <v>3107922.5939084794</v>
      </c>
      <c r="G18">
        <v>2400750</v>
      </c>
      <c r="H18" s="416">
        <f t="shared" si="0"/>
        <v>707172.59390847944</v>
      </c>
      <c r="I18" s="428">
        <f t="shared" si="1"/>
        <v>114367.74432561145</v>
      </c>
    </row>
    <row r="19" spans="1:13">
      <c r="E19">
        <v>606530</v>
      </c>
      <c r="F19">
        <v>2713764.3528957088</v>
      </c>
      <c r="G19">
        <v>1874570</v>
      </c>
      <c r="H19" s="416">
        <f t="shared" si="0"/>
        <v>839194.35289570875</v>
      </c>
      <c r="I19" s="428">
        <f>0.120001*0.4*E19+0.120001*H19</f>
        <v>129817.84415383794</v>
      </c>
    </row>
    <row r="20" spans="1:13">
      <c r="E20">
        <v>842170</v>
      </c>
      <c r="F20">
        <v>2739550.3853603802</v>
      </c>
      <c r="G20">
        <v>1874190</v>
      </c>
      <c r="H20" s="416">
        <f t="shared" si="0"/>
        <v>865360.38536038017</v>
      </c>
      <c r="I20" s="428">
        <f t="shared" si="1"/>
        <v>144268.60847163099</v>
      </c>
    </row>
    <row r="21" spans="1:13">
      <c r="E21">
        <v>860160</v>
      </c>
      <c r="F21">
        <v>2399502.4784289589</v>
      </c>
      <c r="G21">
        <v>1446260</v>
      </c>
      <c r="H21" s="416">
        <f t="shared" si="0"/>
        <v>953242.47842895892</v>
      </c>
      <c r="I21" s="428">
        <f t="shared" si="1"/>
        <v>155678.07471795351</v>
      </c>
    </row>
    <row r="22" spans="1:13">
      <c r="E22">
        <v>1068210</v>
      </c>
      <c r="F22">
        <v>2690047.6154597602</v>
      </c>
      <c r="G22">
        <v>1414010</v>
      </c>
      <c r="H22" s="416">
        <f t="shared" si="0"/>
        <v>1276037.6154597602</v>
      </c>
      <c r="I22" s="428">
        <f>0.120001*0.4*E22+0.120001*H22</f>
        <v>204400.29717678667</v>
      </c>
    </row>
    <row r="23" spans="1:13">
      <c r="H23" s="416">
        <f>SUM(H13:H22)</f>
        <v>5352879.2222918011</v>
      </c>
    </row>
    <row r="24" spans="1:13">
      <c r="F24">
        <f>SUM(F13:F22)</f>
        <v>27179179.222291797</v>
      </c>
      <c r="H24" t="s">
        <v>252</v>
      </c>
      <c r="I24">
        <f>SUM(I13:I22)</f>
        <v>890557.0894591813</v>
      </c>
    </row>
    <row r="26" spans="1:13">
      <c r="A26" t="s">
        <v>262</v>
      </c>
    </row>
    <row r="27" spans="1:13">
      <c r="A27" t="s">
        <v>209</v>
      </c>
    </row>
    <row r="29" spans="1:13">
      <c r="A29" s="351" t="s">
        <v>13</v>
      </c>
      <c r="B29" s="352"/>
      <c r="C29" s="352"/>
      <c r="D29" s="352"/>
      <c r="E29" s="352"/>
      <c r="F29" s="352"/>
      <c r="G29" s="352"/>
      <c r="H29" s="352"/>
      <c r="I29" s="352"/>
      <c r="J29" s="352"/>
      <c r="K29" s="353"/>
      <c r="M29" t="s">
        <v>203</v>
      </c>
    </row>
    <row r="30" spans="1:13">
      <c r="A30" s="297" t="s">
        <v>12</v>
      </c>
      <c r="B30" s="384">
        <v>12</v>
      </c>
      <c r="C30" s="384">
        <v>24</v>
      </c>
      <c r="D30" s="384">
        <v>36</v>
      </c>
      <c r="E30" s="384">
        <v>48</v>
      </c>
      <c r="F30" s="384">
        <v>60</v>
      </c>
      <c r="G30" s="384">
        <v>72</v>
      </c>
      <c r="H30" s="384">
        <v>84</v>
      </c>
      <c r="I30" s="384">
        <v>96</v>
      </c>
      <c r="J30" s="384">
        <v>108</v>
      </c>
      <c r="K30" s="385">
        <v>120</v>
      </c>
      <c r="M30" s="416">
        <f>SUM(B40,C39,D38,E37,F36,G35,H34,I33,J32,K31)-SUM(B39,C38,D37,E36,F35,G34,H33,I32,J31)</f>
        <v>2557480</v>
      </c>
    </row>
    <row r="31" spans="1:13">
      <c r="A31" s="386">
        <v>2010</v>
      </c>
      <c r="B31" s="356">
        <v>265200</v>
      </c>
      <c r="C31" s="356">
        <v>553520</v>
      </c>
      <c r="D31" s="356">
        <v>845000</v>
      </c>
      <c r="E31" s="356">
        <v>1038000</v>
      </c>
      <c r="F31" s="356">
        <v>1269140</v>
      </c>
      <c r="G31" s="356">
        <v>1466000</v>
      </c>
      <c r="H31" s="356">
        <v>1683650</v>
      </c>
      <c r="I31" s="356">
        <v>1839200</v>
      </c>
      <c r="J31" s="356">
        <v>1963500</v>
      </c>
      <c r="K31" s="413">
        <v>2038080</v>
      </c>
    </row>
    <row r="32" spans="1:13">
      <c r="A32" s="388">
        <v>2011</v>
      </c>
      <c r="B32" s="414">
        <v>325960</v>
      </c>
      <c r="C32" s="414">
        <v>702400</v>
      </c>
      <c r="D32" s="414">
        <v>1029530</v>
      </c>
      <c r="E32" s="414">
        <v>1292670</v>
      </c>
      <c r="F32" s="414">
        <v>1556880</v>
      </c>
      <c r="G32" s="414">
        <v>1827440</v>
      </c>
      <c r="H32" s="414">
        <v>2109310</v>
      </c>
      <c r="I32" s="414">
        <v>2285590</v>
      </c>
      <c r="J32" s="414">
        <v>2432700</v>
      </c>
      <c r="K32" s="359"/>
    </row>
    <row r="33" spans="1:11">
      <c r="A33" s="388">
        <v>2012</v>
      </c>
      <c r="B33" s="414">
        <v>358890</v>
      </c>
      <c r="C33" s="414">
        <v>786490</v>
      </c>
      <c r="D33" s="414">
        <v>1213590</v>
      </c>
      <c r="E33" s="414">
        <v>1455800</v>
      </c>
      <c r="F33" s="414">
        <v>1786990</v>
      </c>
      <c r="G33" s="414">
        <v>2074170</v>
      </c>
      <c r="H33" s="414">
        <v>2369920</v>
      </c>
      <c r="I33" s="414">
        <v>2572280</v>
      </c>
      <c r="J33" s="414"/>
      <c r="K33" s="359"/>
    </row>
    <row r="34" spans="1:11">
      <c r="A34" s="388">
        <v>2013</v>
      </c>
      <c r="B34" s="414">
        <v>383460</v>
      </c>
      <c r="C34" s="414">
        <v>840950</v>
      </c>
      <c r="D34" s="414">
        <v>1287910</v>
      </c>
      <c r="E34" s="414">
        <v>1571470</v>
      </c>
      <c r="F34" s="414">
        <v>1926920</v>
      </c>
      <c r="G34" s="414">
        <v>2234350</v>
      </c>
      <c r="H34" s="414">
        <v>2541530</v>
      </c>
      <c r="I34" s="414"/>
      <c r="J34" s="414"/>
      <c r="K34" s="359"/>
    </row>
    <row r="35" spans="1:11">
      <c r="A35" s="388">
        <v>2014</v>
      </c>
      <c r="B35" s="414">
        <v>375550</v>
      </c>
      <c r="C35" s="414">
        <v>784660</v>
      </c>
      <c r="D35" s="414">
        <v>1201110</v>
      </c>
      <c r="E35" s="414">
        <v>1448160</v>
      </c>
      <c r="F35" s="414">
        <v>1779630</v>
      </c>
      <c r="G35" s="414">
        <v>2052790</v>
      </c>
      <c r="H35" s="414"/>
      <c r="I35" s="414"/>
      <c r="J35" s="414"/>
      <c r="K35" s="359"/>
    </row>
    <row r="36" spans="1:11">
      <c r="A36" s="388">
        <v>2015</v>
      </c>
      <c r="B36" s="414">
        <v>364560</v>
      </c>
      <c r="C36" s="414">
        <v>783060</v>
      </c>
      <c r="D36" s="414">
        <v>1208490</v>
      </c>
      <c r="E36" s="414">
        <v>1461210</v>
      </c>
      <c r="F36" s="414">
        <v>1786040</v>
      </c>
      <c r="G36" s="414"/>
      <c r="H36" s="414"/>
      <c r="I36" s="414"/>
      <c r="J36" s="414"/>
      <c r="K36" s="359"/>
    </row>
    <row r="37" spans="1:11">
      <c r="A37" s="388">
        <v>2016</v>
      </c>
      <c r="B37" s="414">
        <v>322630</v>
      </c>
      <c r="C37" s="414">
        <v>685250</v>
      </c>
      <c r="D37" s="414">
        <v>1041620</v>
      </c>
      <c r="E37" s="414">
        <v>1268040</v>
      </c>
      <c r="F37" s="414"/>
      <c r="G37" s="414"/>
      <c r="H37" s="414"/>
      <c r="I37" s="414"/>
      <c r="J37" s="414"/>
      <c r="K37" s="359"/>
    </row>
    <row r="38" spans="1:11">
      <c r="A38" s="388">
        <v>2017</v>
      </c>
      <c r="B38" s="414">
        <v>321440</v>
      </c>
      <c r="C38" s="414">
        <v>697160</v>
      </c>
      <c r="D38" s="414">
        <v>1032020</v>
      </c>
      <c r="E38" s="414"/>
      <c r="F38" s="414"/>
      <c r="G38" s="414"/>
      <c r="H38" s="414"/>
      <c r="I38" s="414"/>
      <c r="J38" s="414"/>
      <c r="K38" s="359"/>
    </row>
    <row r="39" spans="1:11">
      <c r="A39" s="388">
        <v>2018</v>
      </c>
      <c r="B39" s="414">
        <v>264920</v>
      </c>
      <c r="C39" s="414">
        <v>586100</v>
      </c>
      <c r="D39" s="414"/>
      <c r="E39" s="414"/>
      <c r="F39" s="414"/>
      <c r="G39" s="414"/>
      <c r="H39" s="414"/>
      <c r="I39" s="414"/>
      <c r="J39" s="414"/>
      <c r="K39" s="359"/>
    </row>
    <row r="40" spans="1:11">
      <c r="A40" s="410">
        <v>2019</v>
      </c>
      <c r="B40" s="415">
        <v>345800</v>
      </c>
      <c r="C40" s="415"/>
      <c r="D40" s="415"/>
      <c r="E40" s="415"/>
      <c r="F40" s="415"/>
      <c r="G40" s="415"/>
      <c r="H40" s="415"/>
      <c r="I40" s="415"/>
      <c r="J40" s="415"/>
      <c r="K40" s="361"/>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Input</vt:lpstr>
      <vt:lpstr>Diagnostic test</vt:lpstr>
      <vt:lpstr>Development</vt:lpstr>
      <vt:lpstr>F-S</vt:lpstr>
      <vt:lpstr>Expected</vt:lpstr>
      <vt:lpstr>BF</vt:lpstr>
      <vt:lpstr>BS Technique</vt:lpstr>
      <vt:lpstr>Summary</vt:lpstr>
      <vt:lpstr>ULAE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Lennox</dc:creator>
  <cp:lastModifiedBy>Gloria Wang</cp:lastModifiedBy>
  <dcterms:created xsi:type="dcterms:W3CDTF">2020-04-10T13:17:57Z</dcterms:created>
  <dcterms:modified xsi:type="dcterms:W3CDTF">2021-10-25T02:22:30Z</dcterms:modified>
</cp:coreProperties>
</file>