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isana\Desktop\ULOP\NACIONAL\PRODE COMERCIAL\AGOSTO\"/>
    </mc:Choice>
  </mc:AlternateContent>
  <bookViews>
    <workbookView showHorizontalScroll="0" showVerticalScroll="0" showSheetTabs="0" xWindow="0" yWindow="0" windowWidth="19200" windowHeight="6750" tabRatio="709"/>
  </bookViews>
  <sheets>
    <sheet name="PROGCarb" sheetId="8" r:id="rId1"/>
    <sheet name="Hoja1" sheetId="9" r:id="rId2"/>
  </sheets>
  <definedNames>
    <definedName name="______________________________________MES1">#REF!</definedName>
    <definedName name="_____________________________________MES1">#REF!</definedName>
    <definedName name="____________________________________MES1">#REF!</definedName>
    <definedName name="___________________________________MES1">#REF!</definedName>
    <definedName name="__________________________________MES1">#REF!</definedName>
    <definedName name="________________________________MES1">#REF!</definedName>
    <definedName name="_______________________________MES1">#REF!</definedName>
    <definedName name="______________________________MES1">#REF!</definedName>
    <definedName name="_____________________________MES1">#REF!</definedName>
    <definedName name="____________________________MES1">#REF!</definedName>
    <definedName name="___________________________MES1">#REF!</definedName>
    <definedName name="__________________________MES1">#REF!</definedName>
    <definedName name="_________________________MES1">#REF!</definedName>
    <definedName name="________________________MES1">#REF!</definedName>
    <definedName name="_______________________MES1">#REF!</definedName>
    <definedName name="______________________MES1">#REF!</definedName>
    <definedName name="_____________________MES1">#REF!</definedName>
    <definedName name="____________________MES1">#REF!</definedName>
    <definedName name="___________________MES1">#REF!</definedName>
    <definedName name="__________________MES1">#REF!</definedName>
    <definedName name="_________________MES1">#REF!</definedName>
    <definedName name="________________MES1">#REF!</definedName>
    <definedName name="_______________MES1">#REF!</definedName>
    <definedName name="______________MES1">#REF!</definedName>
    <definedName name="_____________MES1">#REF!</definedName>
    <definedName name="____________MES1">#REF!</definedName>
    <definedName name="___________MES1">#REF!</definedName>
    <definedName name="__________MES1">#REF!</definedName>
    <definedName name="_________MES1">#REF!</definedName>
    <definedName name="________MES1" localSheetId="0">#REF!</definedName>
    <definedName name="_______MES1">#REF!</definedName>
    <definedName name="______MES1">#REF!</definedName>
    <definedName name="_____MES1">#REF!</definedName>
    <definedName name="____MES1">#REF!</definedName>
    <definedName name="___MES1">#REF!</definedName>
    <definedName name="__MES1">#REF!</definedName>
    <definedName name="_MES1">#REF!</definedName>
    <definedName name="_xlnm.Print_Area" localSheetId="0">PROGCarb!$A$2:$AL$62</definedName>
    <definedName name="nuv">#REF!</definedName>
  </definedNames>
  <calcPr calcId="162913"/>
</workbook>
</file>

<file path=xl/calcChain.xml><?xml version="1.0" encoding="utf-8"?>
<calcChain xmlns="http://schemas.openxmlformats.org/spreadsheetml/2006/main">
  <c r="N18" i="8" l="1"/>
  <c r="O18" i="8"/>
  <c r="K12" i="8"/>
  <c r="I10" i="8"/>
  <c r="I12" i="8"/>
  <c r="I47" i="8"/>
  <c r="AD22" i="8"/>
  <c r="W32" i="8"/>
  <c r="Y14" i="8"/>
  <c r="AC22" i="8" l="1"/>
  <c r="AC13" i="8"/>
  <c r="Z13" i="8"/>
  <c r="Z22" i="8" l="1"/>
  <c r="Z12" i="8"/>
  <c r="AC12" i="8"/>
  <c r="Z11" i="8"/>
  <c r="W16" i="8"/>
  <c r="W15" i="8"/>
  <c r="W14" i="8"/>
  <c r="W12" i="8"/>
  <c r="W11" i="8"/>
  <c r="W10" i="8"/>
  <c r="AH34" i="8"/>
  <c r="AH32" i="8"/>
  <c r="AH33" i="8" s="1"/>
  <c r="AC21" i="8"/>
  <c r="AC20" i="8"/>
  <c r="AC19" i="8"/>
  <c r="AC18" i="8"/>
  <c r="AC17" i="8"/>
  <c r="AC16" i="8"/>
  <c r="AC15" i="8"/>
  <c r="AC14" i="8"/>
  <c r="Z14" i="8"/>
  <c r="AD18" i="8"/>
  <c r="Z18" i="8"/>
  <c r="Z10" i="8"/>
  <c r="R13" i="8"/>
  <c r="V11" i="8" l="1"/>
  <c r="V17" i="8" l="1"/>
  <c r="V16" i="8"/>
  <c r="R10" i="8"/>
  <c r="E22" i="8"/>
  <c r="E10" i="8"/>
  <c r="R12" i="8" l="1"/>
  <c r="AK22" i="8" l="1"/>
  <c r="AW10" i="8" l="1"/>
  <c r="P5" i="8"/>
  <c r="AI47" i="8"/>
  <c r="AD12" i="8" l="1"/>
  <c r="V12" i="8" s="1"/>
  <c r="M46" i="8" l="1"/>
  <c r="AT10" i="8"/>
  <c r="AQ10" i="8"/>
  <c r="AN10" i="8"/>
  <c r="AJ10" i="8"/>
  <c r="AC11" i="8"/>
  <c r="W17" i="8"/>
  <c r="K10" i="8"/>
  <c r="F10" i="8"/>
  <c r="AC10" i="8" l="1"/>
  <c r="AD11" i="8"/>
  <c r="BB11" i="8"/>
  <c r="BB12" i="8"/>
  <c r="BB13" i="8"/>
  <c r="BB14" i="8"/>
  <c r="BB18" i="8"/>
  <c r="BA10" i="8"/>
  <c r="BA12" i="8"/>
  <c r="BA17" i="8"/>
  <c r="BA18" i="8"/>
  <c r="AO22" i="8"/>
  <c r="AO10" i="8"/>
  <c r="AK10" i="8"/>
  <c r="AL10" i="8" s="1"/>
  <c r="AG10" i="8" s="1"/>
  <c r="AD14" i="8"/>
  <c r="V14" i="8" s="1"/>
  <c r="BB22" i="8"/>
  <c r="R18" i="8"/>
  <c r="R17" i="8"/>
  <c r="R16" i="8"/>
  <c r="BA16" i="8" s="1"/>
  <c r="R15" i="8"/>
  <c r="BA15" i="8" s="1"/>
  <c r="R14" i="8"/>
  <c r="BA14" i="8" s="1"/>
  <c r="BA13" i="8"/>
  <c r="R11" i="8"/>
  <c r="BA11" i="8" s="1"/>
  <c r="BB10" i="8" l="1"/>
  <c r="AD10" i="8"/>
  <c r="V10" i="8" s="1"/>
  <c r="AK26" i="8"/>
  <c r="AZ26" i="8" s="1"/>
  <c r="AH27" i="8"/>
  <c r="AK27" i="8" s="1"/>
  <c r="AM32" i="8"/>
  <c r="AD46" i="8" l="1"/>
  <c r="V46" i="8"/>
  <c r="AY12" i="8"/>
  <c r="P32" i="8" l="1"/>
  <c r="Q32" i="8"/>
  <c r="AE32" i="8" l="1"/>
  <c r="AY31" i="8" l="1"/>
  <c r="AY30" i="8"/>
  <c r="AY29" i="8"/>
  <c r="AY28" i="8"/>
  <c r="AY27" i="8"/>
  <c r="AY26" i="8"/>
  <c r="AY25" i="8"/>
  <c r="AY24" i="8"/>
  <c r="AY23" i="8"/>
  <c r="AY22" i="8"/>
  <c r="AY21" i="8"/>
  <c r="AY20" i="8"/>
  <c r="AY19" i="8"/>
  <c r="AY18" i="8"/>
  <c r="AY14" i="8"/>
  <c r="AY13" i="8"/>
  <c r="AY11" i="8"/>
  <c r="AY10" i="8"/>
  <c r="AX31" i="8"/>
  <c r="AX30" i="8"/>
  <c r="AX29" i="8"/>
  <c r="AX28" i="8"/>
  <c r="AX27" i="8"/>
  <c r="AX26" i="8"/>
  <c r="AX25" i="8"/>
  <c r="AX24" i="8"/>
  <c r="AX23" i="8"/>
  <c r="AX21" i="8"/>
  <c r="AX20" i="8"/>
  <c r="AX19" i="8"/>
  <c r="AX18" i="8"/>
  <c r="AX17" i="8"/>
  <c r="AX16" i="8"/>
  <c r="AX15" i="8"/>
  <c r="AX14" i="8"/>
  <c r="AX13" i="8"/>
  <c r="AX12" i="8"/>
  <c r="AX11" i="8"/>
  <c r="W31" i="8" l="1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AW31" i="8"/>
  <c r="BC31" i="8" s="1"/>
  <c r="AW30" i="8"/>
  <c r="BC30" i="8" s="1"/>
  <c r="AW29" i="8"/>
  <c r="BC29" i="8" s="1"/>
  <c r="AW28" i="8"/>
  <c r="BC28" i="8" s="1"/>
  <c r="AW27" i="8"/>
  <c r="BC27" i="8" s="1"/>
  <c r="AW26" i="8"/>
  <c r="BC26" i="8" s="1"/>
  <c r="AW25" i="8"/>
  <c r="BC25" i="8" s="1"/>
  <c r="AW24" i="8"/>
  <c r="BC24" i="8" s="1"/>
  <c r="AW23" i="8"/>
  <c r="BC23" i="8" s="1"/>
  <c r="AW22" i="8"/>
  <c r="BC22" i="8" s="1"/>
  <c r="AW21" i="8"/>
  <c r="BC21" i="8" s="1"/>
  <c r="AW20" i="8"/>
  <c r="BC20" i="8" s="1"/>
  <c r="AW19" i="8"/>
  <c r="BC19" i="8" s="1"/>
  <c r="AW18" i="8"/>
  <c r="BC18" i="8" s="1"/>
  <c r="AW17" i="8"/>
  <c r="BC17" i="8" s="1"/>
  <c r="AW16" i="8"/>
  <c r="BC16" i="8" s="1"/>
  <c r="AW15" i="8"/>
  <c r="BC15" i="8" s="1"/>
  <c r="AW14" i="8"/>
  <c r="BC14" i="8" s="1"/>
  <c r="AW13" i="8"/>
  <c r="BC13" i="8" s="1"/>
  <c r="AW12" i="8"/>
  <c r="BC12" i="8" s="1"/>
  <c r="AW11" i="8"/>
  <c r="BC10" i="8"/>
  <c r="V18" i="8" l="1"/>
  <c r="AW32" i="8"/>
  <c r="AW34" i="8" s="1"/>
  <c r="BC11" i="8"/>
  <c r="AU10" i="8"/>
  <c r="AZ10" i="8" s="1"/>
  <c r="AT22" i="8" l="1"/>
  <c r="AS47" i="8" l="1"/>
  <c r="AS46" i="8"/>
  <c r="AQ22" i="8"/>
  <c r="AP47" i="8" s="1"/>
  <c r="AR10" i="8"/>
  <c r="AQ46" i="8" s="1"/>
  <c r="AN22" i="8"/>
  <c r="AM47" i="8" s="1"/>
  <c r="AX22" i="8" l="1"/>
  <c r="AM46" i="8"/>
  <c r="AX10" i="8"/>
  <c r="AP46" i="8"/>
  <c r="AR47" i="8"/>
  <c r="AR46" i="8"/>
  <c r="AO47" i="8"/>
  <c r="AO46" i="8"/>
  <c r="AL47" i="8"/>
  <c r="AL46" i="8"/>
  <c r="AT52" i="8"/>
  <c r="AS52" i="8"/>
  <c r="AR52" i="8"/>
  <c r="AT48" i="8"/>
  <c r="AS48" i="8"/>
  <c r="AR48" i="8"/>
  <c r="AQ52" i="8"/>
  <c r="AP52" i="8"/>
  <c r="AO52" i="8"/>
  <c r="AQ48" i="8"/>
  <c r="AP48" i="8"/>
  <c r="AO48" i="8"/>
  <c r="AN52" i="8"/>
  <c r="AM52" i="8"/>
  <c r="AL52" i="8"/>
  <c r="AN48" i="8"/>
  <c r="AM48" i="8"/>
  <c r="AL48" i="8"/>
  <c r="D47" i="8"/>
  <c r="E47" i="8" s="1"/>
  <c r="D46" i="8"/>
  <c r="E46" i="8" s="1"/>
  <c r="AS32" i="8"/>
  <c r="AU22" i="8"/>
  <c r="AT47" i="8" s="1"/>
  <c r="AP32" i="8"/>
  <c r="AR22" i="8"/>
  <c r="AN47" i="8"/>
  <c r="AS55" i="8" l="1"/>
  <c r="AT46" i="8"/>
  <c r="AT55" i="8" s="1"/>
  <c r="AU32" i="8"/>
  <c r="AN46" i="8"/>
  <c r="AN55" i="8" s="1"/>
  <c r="AO32" i="8"/>
  <c r="AQ47" i="8"/>
  <c r="AQ55" i="8" s="1"/>
  <c r="AR32" i="8"/>
  <c r="AX32" i="8"/>
  <c r="AM55" i="8"/>
  <c r="AP55" i="8"/>
  <c r="AO55" i="8"/>
  <c r="AR55" i="8"/>
  <c r="AL55" i="8"/>
  <c r="AT32" i="8"/>
  <c r="AQ32" i="8"/>
  <c r="AN32" i="8"/>
  <c r="AZ22" i="8" l="1"/>
  <c r="AJ22" i="8"/>
  <c r="AK12" i="8"/>
  <c r="Y32" i="8"/>
  <c r="W34" i="8" s="1"/>
  <c r="W33" i="8" s="1"/>
  <c r="AZ12" i="8" l="1"/>
  <c r="AL22" i="8"/>
  <c r="AG22" i="8" s="1"/>
  <c r="E48" i="8" l="1"/>
  <c r="AK31" i="8" l="1"/>
  <c r="AZ31" i="8" s="1"/>
  <c r="AK30" i="8"/>
  <c r="AZ30" i="8" s="1"/>
  <c r="AK29" i="8"/>
  <c r="AZ29" i="8" s="1"/>
  <c r="AK28" i="8"/>
  <c r="AZ28" i="8" s="1"/>
  <c r="AK25" i="8"/>
  <c r="AZ25" i="8" s="1"/>
  <c r="AK24" i="8"/>
  <c r="AZ24" i="8" s="1"/>
  <c r="AK23" i="8"/>
  <c r="AZ23" i="8" s="1"/>
  <c r="AK21" i="8"/>
  <c r="AZ21" i="8" s="1"/>
  <c r="AK20" i="8"/>
  <c r="AZ20" i="8" s="1"/>
  <c r="AK19" i="8"/>
  <c r="AZ19" i="8" s="1"/>
  <c r="AK18" i="8"/>
  <c r="AZ18" i="8" s="1"/>
  <c r="AK14" i="8"/>
  <c r="AK13" i="8"/>
  <c r="AK11" i="8"/>
  <c r="AL13" i="8" l="1"/>
  <c r="AZ13" i="8"/>
  <c r="AL11" i="8"/>
  <c r="AG11" i="8" s="1"/>
  <c r="AZ11" i="8"/>
  <c r="AL14" i="8"/>
  <c r="AZ14" i="8"/>
  <c r="F22" i="8"/>
  <c r="F32" i="8" l="1"/>
  <c r="E32" i="8"/>
  <c r="F46" i="8" l="1"/>
  <c r="AH16" i="8"/>
  <c r="AY16" i="8" s="1"/>
  <c r="AH15" i="8" l="1"/>
  <c r="AZ27" i="8"/>
  <c r="AG33" i="8" l="1"/>
  <c r="AK15" i="8"/>
  <c r="AZ15" i="8" s="1"/>
  <c r="AY15" i="8"/>
  <c r="Z21" i="8"/>
  <c r="BB21" i="8" s="1"/>
  <c r="Z20" i="8"/>
  <c r="BB20" i="8" s="1"/>
  <c r="Z19" i="8"/>
  <c r="BB19" i="8" s="1"/>
  <c r="Z17" i="8"/>
  <c r="BB17" i="8" s="1"/>
  <c r="Z16" i="8"/>
  <c r="BB16" i="8" s="1"/>
  <c r="Z15" i="8"/>
  <c r="AH5" i="8" l="1"/>
  <c r="Z32" i="8"/>
  <c r="AC31" i="8"/>
  <c r="BB31" i="8" s="1"/>
  <c r="AC30" i="8"/>
  <c r="BB30" i="8" s="1"/>
  <c r="AC29" i="8"/>
  <c r="BB29" i="8" s="1"/>
  <c r="AC28" i="8"/>
  <c r="BB28" i="8" s="1"/>
  <c r="AC27" i="8"/>
  <c r="BB27" i="8" s="1"/>
  <c r="AC26" i="8"/>
  <c r="BB26" i="8" s="1"/>
  <c r="AC25" i="8"/>
  <c r="BB25" i="8" s="1"/>
  <c r="AC24" i="8"/>
  <c r="BB24" i="8" s="1"/>
  <c r="AC23" i="8"/>
  <c r="BB23" i="8" s="1"/>
  <c r="AK16" i="8"/>
  <c r="AZ16" i="8" s="1"/>
  <c r="BB15" i="8" l="1"/>
  <c r="BB32" i="8" s="1"/>
  <c r="AC32" i="8"/>
  <c r="AJ27" i="8"/>
  <c r="I22" i="8" l="1"/>
  <c r="K22" i="8" s="1"/>
  <c r="A36" i="8" l="1"/>
  <c r="AH38" i="8"/>
  <c r="AH36" i="8"/>
  <c r="AC43" i="8" l="1"/>
  <c r="AA43" i="8"/>
  <c r="Y43" i="8"/>
  <c r="T49" i="8" l="1"/>
  <c r="T48" i="8"/>
  <c r="J32" i="8" l="1"/>
  <c r="G47" i="8"/>
  <c r="J47" i="8"/>
  <c r="H47" i="8"/>
  <c r="K48" i="8"/>
  <c r="J48" i="8"/>
  <c r="I48" i="8"/>
  <c r="H48" i="8"/>
  <c r="G48" i="8"/>
  <c r="J54" i="8"/>
  <c r="I54" i="8"/>
  <c r="J53" i="8"/>
  <c r="I53" i="8"/>
  <c r="J52" i="8"/>
  <c r="I52" i="8"/>
  <c r="J51" i="8"/>
  <c r="I51" i="8"/>
  <c r="J50" i="8"/>
  <c r="I50" i="8"/>
  <c r="J49" i="8"/>
  <c r="I49" i="8"/>
  <c r="J46" i="8"/>
  <c r="I46" i="8"/>
  <c r="K47" i="8"/>
  <c r="I32" i="8"/>
  <c r="K46" i="8"/>
  <c r="H46" i="8"/>
  <c r="G46" i="8"/>
  <c r="G42" i="8"/>
  <c r="H32" i="8"/>
  <c r="G32" i="8"/>
  <c r="G55" i="8" l="1"/>
  <c r="I55" i="8"/>
  <c r="J55" i="8"/>
  <c r="H55" i="8"/>
  <c r="K55" i="8"/>
  <c r="K32" i="8"/>
  <c r="F48" i="8" l="1"/>
  <c r="C47" i="8"/>
  <c r="E55" i="8"/>
  <c r="AE59" i="8" l="1"/>
  <c r="AE61" i="8"/>
  <c r="AJ61" i="8" l="1"/>
  <c r="AI61" i="8"/>
  <c r="AH61" i="8"/>
  <c r="AG61" i="8"/>
  <c r="AF61" i="8"/>
  <c r="AD61" i="8"/>
  <c r="AB61" i="8"/>
  <c r="AA61" i="8"/>
  <c r="X61" i="8"/>
  <c r="V61" i="8"/>
  <c r="U61" i="8"/>
  <c r="T61" i="8"/>
  <c r="S61" i="8"/>
  <c r="R61" i="8"/>
  <c r="L61" i="8"/>
  <c r="AJ59" i="8"/>
  <c r="AI59" i="8"/>
  <c r="AH59" i="8"/>
  <c r="AG59" i="8"/>
  <c r="AF59" i="8"/>
  <c r="AD59" i="8"/>
  <c r="AB59" i="8"/>
  <c r="AA59" i="8"/>
  <c r="X59" i="8"/>
  <c r="V59" i="8"/>
  <c r="U59" i="8"/>
  <c r="T59" i="8"/>
  <c r="S59" i="8"/>
  <c r="R59" i="8"/>
  <c r="L59" i="8"/>
  <c r="AK38" i="8"/>
  <c r="AK61" i="8" s="1"/>
  <c r="AK36" i="8"/>
  <c r="AK59" i="8" s="1"/>
  <c r="D55" i="8" l="1"/>
  <c r="C48" i="8"/>
  <c r="C46" i="8"/>
  <c r="D32" i="8"/>
  <c r="C32" i="8"/>
  <c r="D36" i="8" l="1"/>
  <c r="D38" i="8"/>
  <c r="C55" i="8"/>
  <c r="F38" i="8" l="1"/>
  <c r="F61" i="8" s="1"/>
  <c r="D61" i="8"/>
  <c r="F36" i="8"/>
  <c r="F59" i="8" s="1"/>
  <c r="D59" i="8"/>
  <c r="F47" i="8"/>
  <c r="L46" i="8" l="1"/>
  <c r="L52" i="8"/>
  <c r="L47" i="8"/>
  <c r="Y51" i="8" l="1"/>
  <c r="Y50" i="8"/>
  <c r="Y48" i="8"/>
  <c r="Y47" i="8"/>
  <c r="Y52" i="8"/>
  <c r="Y54" i="8"/>
  <c r="Y46" i="8"/>
  <c r="Y53" i="8" l="1"/>
  <c r="AB33" i="8" l="1"/>
  <c r="U28" i="8" l="1"/>
  <c r="L48" i="8" l="1"/>
  <c r="Z51" i="8" l="1"/>
  <c r="Z50" i="8"/>
  <c r="Z54" i="8" l="1"/>
  <c r="Z53" i="8" l="1"/>
  <c r="L42" i="8"/>
  <c r="R22" i="8" l="1"/>
  <c r="BA22" i="8" s="1"/>
  <c r="M48" i="8" l="1"/>
  <c r="N32" i="8" l="1"/>
  <c r="AC54" i="8" l="1"/>
  <c r="AC53" i="8"/>
  <c r="AC51" i="8"/>
  <c r="AC50" i="8"/>
  <c r="AB57" i="8" l="1"/>
  <c r="AB54" i="8"/>
  <c r="AB53" i="8"/>
  <c r="AB52" i="8"/>
  <c r="AB51" i="8"/>
  <c r="AB50" i="8"/>
  <c r="AB49" i="8"/>
  <c r="AB48" i="8"/>
  <c r="AB47" i="8"/>
  <c r="AB32" i="8"/>
  <c r="AB35" i="8" s="1"/>
  <c r="AB46" i="8" l="1"/>
  <c r="AB55" i="8" s="1"/>
  <c r="M32" i="8" l="1"/>
  <c r="M36" i="8" s="1"/>
  <c r="H36" i="8" s="1"/>
  <c r="K36" i="8" l="1"/>
  <c r="K59" i="8" s="1"/>
  <c r="H59" i="8"/>
  <c r="M38" i="8"/>
  <c r="H38" i="8" s="1"/>
  <c r="N36" i="8"/>
  <c r="N59" i="8" s="1"/>
  <c r="M59" i="8"/>
  <c r="O36" i="8"/>
  <c r="O59" i="8" s="1"/>
  <c r="H61" i="8" l="1"/>
  <c r="K38" i="8"/>
  <c r="K61" i="8" s="1"/>
  <c r="M61" i="8"/>
  <c r="O38" i="8"/>
  <c r="O61" i="8" s="1"/>
  <c r="N38" i="8"/>
  <c r="N61" i="8" s="1"/>
  <c r="U31" i="8"/>
  <c r="U30" i="8"/>
  <c r="U29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Q52" i="8" l="1"/>
  <c r="Q47" i="8"/>
  <c r="U51" i="8"/>
  <c r="C13" i="9" s="1"/>
  <c r="U54" i="8"/>
  <c r="C16" i="9" s="1"/>
  <c r="U49" i="8"/>
  <c r="C11" i="9" s="1"/>
  <c r="S54" i="8"/>
  <c r="S53" i="8"/>
  <c r="S51" i="8"/>
  <c r="S50" i="8"/>
  <c r="S49" i="8"/>
  <c r="S48" i="8"/>
  <c r="S47" i="8"/>
  <c r="T54" i="8"/>
  <c r="T53" i="8"/>
  <c r="T51" i="8"/>
  <c r="T50" i="8"/>
  <c r="Q54" i="8"/>
  <c r="Q53" i="8"/>
  <c r="Q51" i="8"/>
  <c r="Q50" i="8"/>
  <c r="Q48" i="8"/>
  <c r="S52" i="8"/>
  <c r="R46" i="8"/>
  <c r="B8" i="9" s="1"/>
  <c r="U53" i="8" l="1"/>
  <c r="C15" i="9" s="1"/>
  <c r="U50" i="8"/>
  <c r="C12" i="9" s="1"/>
  <c r="U48" i="8"/>
  <c r="C10" i="9" s="1"/>
  <c r="Q46" i="8"/>
  <c r="AD23" i="8" l="1"/>
  <c r="X52" i="8"/>
  <c r="X48" i="8"/>
  <c r="AD29" i="8"/>
  <c r="AD28" i="8"/>
  <c r="AD25" i="8"/>
  <c r="AD24" i="8"/>
  <c r="AD20" i="8"/>
  <c r="AD16" i="8"/>
  <c r="X54" i="8"/>
  <c r="X51" i="8"/>
  <c r="AD19" i="8" l="1"/>
  <c r="X49" i="8"/>
  <c r="AD15" i="8"/>
  <c r="V15" i="8" s="1"/>
  <c r="AD26" i="8"/>
  <c r="V26" i="8" s="1"/>
  <c r="AD30" i="8"/>
  <c r="X50" i="8"/>
  <c r="AD13" i="8"/>
  <c r="AD17" i="8"/>
  <c r="AD21" i="8"/>
  <c r="AD27" i="8"/>
  <c r="AD31" i="8"/>
  <c r="V31" i="8" s="1"/>
  <c r="X53" i="8"/>
  <c r="X47" i="8"/>
  <c r="X32" i="8"/>
  <c r="X46" i="8"/>
  <c r="V13" i="8" l="1"/>
  <c r="X55" i="8"/>
  <c r="AH50" i="8" l="1"/>
  <c r="AH52" i="8"/>
  <c r="M52" i="8"/>
  <c r="M47" i="8"/>
  <c r="O47" i="8"/>
  <c r="O52" i="8"/>
  <c r="O48" i="8"/>
  <c r="O46" i="8"/>
  <c r="N47" i="8"/>
  <c r="N52" i="8"/>
  <c r="N48" i="8"/>
  <c r="N46" i="8"/>
  <c r="C42" i="8"/>
  <c r="L32" i="8"/>
  <c r="AF32" i="8"/>
  <c r="A59" i="8"/>
  <c r="AI54" i="8"/>
  <c r="M16" i="9" s="1"/>
  <c r="AI53" i="8"/>
  <c r="M15" i="9" s="1"/>
  <c r="AI52" i="8"/>
  <c r="M14" i="9" s="1"/>
  <c r="AI51" i="8"/>
  <c r="M13" i="9" s="1"/>
  <c r="AI50" i="8"/>
  <c r="M12" i="9" s="1"/>
  <c r="AI49" i="8"/>
  <c r="M11" i="9" s="1"/>
  <c r="AI48" i="8"/>
  <c r="M10" i="9" s="1"/>
  <c r="AI46" i="8"/>
  <c r="M8" i="9" s="1"/>
  <c r="AH53" i="8"/>
  <c r="L15" i="9" s="1"/>
  <c r="AH51" i="8"/>
  <c r="L13" i="9" s="1"/>
  <c r="AH49" i="8"/>
  <c r="L11" i="9" s="1"/>
  <c r="AH47" i="8"/>
  <c r="L9" i="9" s="1"/>
  <c r="AH46" i="8"/>
  <c r="L8" i="9" s="1"/>
  <c r="AF54" i="8"/>
  <c r="J16" i="9" s="1"/>
  <c r="AF53" i="8"/>
  <c r="J15" i="9" s="1"/>
  <c r="AF52" i="8"/>
  <c r="J14" i="9" s="1"/>
  <c r="AF51" i="8"/>
  <c r="J13" i="9" s="1"/>
  <c r="AF50" i="8"/>
  <c r="J12" i="9" s="1"/>
  <c r="AF49" i="8"/>
  <c r="J11" i="9" s="1"/>
  <c r="AF48" i="8"/>
  <c r="J10" i="9" s="1"/>
  <c r="AF47" i="8"/>
  <c r="J9" i="9" s="1"/>
  <c r="AF46" i="8"/>
  <c r="J8" i="9" s="1"/>
  <c r="AE54" i="8"/>
  <c r="I16" i="9" s="1"/>
  <c r="AE52" i="8"/>
  <c r="I14" i="9" s="1"/>
  <c r="AE51" i="8"/>
  <c r="I13" i="9" s="1"/>
  <c r="AE50" i="8"/>
  <c r="I12" i="9" s="1"/>
  <c r="AE49" i="8"/>
  <c r="I11" i="9" s="1"/>
  <c r="AE48" i="8"/>
  <c r="I10" i="9" s="1"/>
  <c r="G16" i="9"/>
  <c r="G15" i="9"/>
  <c r="G14" i="9"/>
  <c r="G13" i="9"/>
  <c r="G12" i="9"/>
  <c r="G11" i="9"/>
  <c r="G10" i="9"/>
  <c r="G9" i="9"/>
  <c r="G8" i="9"/>
  <c r="AA54" i="8"/>
  <c r="F16" i="9" s="1"/>
  <c r="AA53" i="8"/>
  <c r="F15" i="9" s="1"/>
  <c r="AA52" i="8"/>
  <c r="F14" i="9" s="1"/>
  <c r="AA51" i="8"/>
  <c r="F13" i="9" s="1"/>
  <c r="AA50" i="8"/>
  <c r="F12" i="9" s="1"/>
  <c r="AA49" i="8"/>
  <c r="F11" i="9" s="1"/>
  <c r="AA48" i="8"/>
  <c r="F10" i="9" s="1"/>
  <c r="AA46" i="8"/>
  <c r="F8" i="9" s="1"/>
  <c r="W54" i="8"/>
  <c r="E16" i="9" s="1"/>
  <c r="W53" i="8"/>
  <c r="E15" i="9" s="1"/>
  <c r="W52" i="8"/>
  <c r="E14" i="9" s="1"/>
  <c r="W51" i="8"/>
  <c r="E13" i="9" s="1"/>
  <c r="W50" i="8"/>
  <c r="E12" i="9" s="1"/>
  <c r="W49" i="8"/>
  <c r="E11" i="9" s="1"/>
  <c r="W48" i="8"/>
  <c r="E10" i="9" s="1"/>
  <c r="W47" i="8"/>
  <c r="E9" i="9" s="1"/>
  <c r="W46" i="8"/>
  <c r="E8" i="9" s="1"/>
  <c r="AJ31" i="8"/>
  <c r="AJ30" i="8"/>
  <c r="AJ29" i="8"/>
  <c r="AJ28" i="8"/>
  <c r="AJ26" i="8"/>
  <c r="AL26" i="8" s="1"/>
  <c r="AG26" i="8" s="1"/>
  <c r="AJ25" i="8"/>
  <c r="AJ24" i="8"/>
  <c r="AJ23" i="8"/>
  <c r="AJ21" i="8"/>
  <c r="AJ20" i="8"/>
  <c r="AJ19" i="8"/>
  <c r="AJ18" i="8"/>
  <c r="AJ16" i="8"/>
  <c r="AJ15" i="8"/>
  <c r="AL15" i="8" s="1"/>
  <c r="AJ14" i="8"/>
  <c r="AJ13" i="8"/>
  <c r="AJ12" i="8"/>
  <c r="AJ11" i="8"/>
  <c r="V30" i="8"/>
  <c r="V29" i="8"/>
  <c r="V28" i="8"/>
  <c r="V27" i="8"/>
  <c r="V25" i="8"/>
  <c r="V24" i="8"/>
  <c r="V23" i="8"/>
  <c r="V21" i="8"/>
  <c r="V20" i="8"/>
  <c r="V19" i="8"/>
  <c r="V54" i="8"/>
  <c r="D16" i="9" s="1"/>
  <c r="AE47" i="8"/>
  <c r="I9" i="9" s="1"/>
  <c r="AE53" i="8"/>
  <c r="I15" i="9" s="1"/>
  <c r="P46" i="8"/>
  <c r="AE46" i="8"/>
  <c r="AL12" i="8" l="1"/>
  <c r="AG12" i="8" s="1"/>
  <c r="AE55" i="8"/>
  <c r="F55" i="8"/>
  <c r="L55" i="8"/>
  <c r="M55" i="8"/>
  <c r="O32" i="8"/>
  <c r="N55" i="8"/>
  <c r="X33" i="8"/>
  <c r="O55" i="8"/>
  <c r="A38" i="8"/>
  <c r="A61" i="8" s="1"/>
  <c r="AD53" i="8"/>
  <c r="H15" i="9" s="1"/>
  <c r="AD54" i="8"/>
  <c r="H16" i="9" s="1"/>
  <c r="V51" i="8"/>
  <c r="D13" i="9" s="1"/>
  <c r="AD51" i="8"/>
  <c r="H13" i="9" s="1"/>
  <c r="AD50" i="8"/>
  <c r="H12" i="9" s="1"/>
  <c r="V53" i="8"/>
  <c r="D15" i="9" s="1"/>
  <c r="J17" i="9"/>
  <c r="AF55" i="8"/>
  <c r="L12" i="9"/>
  <c r="I8" i="9"/>
  <c r="I17" i="9" s="1"/>
  <c r="E17" i="9"/>
  <c r="L14" i="9"/>
  <c r="V50" i="8"/>
  <c r="D12" i="9" s="1"/>
  <c r="G17" i="9"/>
  <c r="W55" i="8"/>
  <c r="AH48" i="8"/>
  <c r="L10" i="9" l="1"/>
  <c r="T52" i="8" l="1"/>
  <c r="U47" i="8" l="1"/>
  <c r="C9" i="9" s="1"/>
  <c r="T47" i="8"/>
  <c r="U52" i="8"/>
  <c r="C14" i="9" s="1"/>
  <c r="S46" i="8" l="1"/>
  <c r="S32" i="8"/>
  <c r="U46" i="8"/>
  <c r="U32" i="8"/>
  <c r="U55" i="8" l="1"/>
  <c r="C8" i="9"/>
  <c r="C17" i="9" s="1"/>
  <c r="S55" i="8"/>
  <c r="T32" i="8"/>
  <c r="T46" i="8"/>
  <c r="T55" i="8" s="1"/>
  <c r="R48" i="8" l="1"/>
  <c r="B10" i="9" s="1"/>
  <c r="P48" i="8"/>
  <c r="P49" i="8" l="1"/>
  <c r="R31" i="8" l="1"/>
  <c r="BA31" i="8" s="1"/>
  <c r="R30" i="8"/>
  <c r="BA30" i="8" s="1"/>
  <c r="R29" i="8"/>
  <c r="BA29" i="8" s="1"/>
  <c r="R27" i="8"/>
  <c r="BA27" i="8" s="1"/>
  <c r="R25" i="8"/>
  <c r="BA25" i="8" s="1"/>
  <c r="R24" i="8"/>
  <c r="BA24" i="8" s="1"/>
  <c r="R21" i="8"/>
  <c r="BA21" i="8" s="1"/>
  <c r="R20" i="8"/>
  <c r="BA20" i="8" s="1"/>
  <c r="P53" i="8" l="1"/>
  <c r="P52" i="8"/>
  <c r="R19" i="8"/>
  <c r="P47" i="8"/>
  <c r="R23" i="8"/>
  <c r="R26" i="8"/>
  <c r="BA26" i="8" s="1"/>
  <c r="P51" i="8"/>
  <c r="P54" i="8"/>
  <c r="R54" i="8"/>
  <c r="B16" i="9" s="1"/>
  <c r="R28" i="8"/>
  <c r="P50" i="8"/>
  <c r="R47" i="8" l="1"/>
  <c r="BA23" i="8"/>
  <c r="R52" i="8"/>
  <c r="B14" i="9" s="1"/>
  <c r="BA19" i="8"/>
  <c r="BA32" i="8" s="1"/>
  <c r="R50" i="8"/>
  <c r="B12" i="9" s="1"/>
  <c r="BA28" i="8"/>
  <c r="R32" i="8"/>
  <c r="R51" i="8"/>
  <c r="B13" i="9" s="1"/>
  <c r="W38" i="8"/>
  <c r="Y38" i="8" s="1"/>
  <c r="P38" i="8"/>
  <c r="P36" i="8"/>
  <c r="W36" i="8"/>
  <c r="Y36" i="8" s="1"/>
  <c r="B9" i="9"/>
  <c r="P55" i="8"/>
  <c r="R53" i="8"/>
  <c r="B15" i="9" s="1"/>
  <c r="P59" i="8" l="1"/>
  <c r="Q36" i="8"/>
  <c r="W59" i="8"/>
  <c r="P61" i="8"/>
  <c r="Q38" i="8"/>
  <c r="Y61" i="8"/>
  <c r="W61" i="8"/>
  <c r="Z48" i="8"/>
  <c r="Y59" i="8" l="1"/>
  <c r="Z38" i="8"/>
  <c r="Z61" i="8" s="1"/>
  <c r="Q61" i="8"/>
  <c r="Q59" i="8"/>
  <c r="Z36" i="8"/>
  <c r="Z59" i="8" s="1"/>
  <c r="AC38" i="8" l="1"/>
  <c r="AC61" i="8" s="1"/>
  <c r="AC36" i="8"/>
  <c r="AC59" i="8" s="1"/>
  <c r="Z52" i="8"/>
  <c r="Q49" i="8" l="1"/>
  <c r="Q55" i="8" s="1"/>
  <c r="R49" i="8" l="1"/>
  <c r="B11" i="9" l="1"/>
  <c r="B17" i="9" s="1"/>
  <c r="R55" i="8"/>
  <c r="Z46" i="8" l="1"/>
  <c r="Z49" i="8" l="1"/>
  <c r="Z47" i="8" l="1"/>
  <c r="Z55" i="8" s="1"/>
  <c r="AL30" i="8" l="1"/>
  <c r="AG30" i="8" s="1"/>
  <c r="AG14" i="8"/>
  <c r="AJ48" i="8" l="1"/>
  <c r="AG48" i="8"/>
  <c r="K10" i="9" s="1"/>
  <c r="AL31" i="8"/>
  <c r="AG31" i="8" s="1"/>
  <c r="AL29" i="8"/>
  <c r="AG29" i="8" s="1"/>
  <c r="AL27" i="8"/>
  <c r="AG27" i="8" s="1"/>
  <c r="AL24" i="8"/>
  <c r="AG24" i="8" s="1"/>
  <c r="AL23" i="8"/>
  <c r="AG23" i="8" s="1"/>
  <c r="AL21" i="8"/>
  <c r="AG21" i="8" s="1"/>
  <c r="AL20" i="8"/>
  <c r="AG20" i="8" s="1"/>
  <c r="AL19" i="8"/>
  <c r="AG19" i="8" s="1"/>
  <c r="AL16" i="8"/>
  <c r="AG16" i="8" s="1"/>
  <c r="AJ52" i="8" l="1"/>
  <c r="AL18" i="8"/>
  <c r="AJ50" i="8"/>
  <c r="AL28" i="8"/>
  <c r="AJ46" i="8"/>
  <c r="AC52" i="8"/>
  <c r="AG51" i="8"/>
  <c r="K13" i="9" s="1"/>
  <c r="AJ51" i="8"/>
  <c r="AG13" i="8"/>
  <c r="N10" i="9"/>
  <c r="AK48" i="8"/>
  <c r="O10" i="9" s="1"/>
  <c r="AG28" i="8" l="1"/>
  <c r="AG50" i="8" s="1"/>
  <c r="K12" i="9" s="1"/>
  <c r="AG18" i="8"/>
  <c r="AG52" i="8" s="1"/>
  <c r="K14" i="9" s="1"/>
  <c r="N12" i="9"/>
  <c r="AK50" i="8"/>
  <c r="O12" i="9" s="1"/>
  <c r="V52" i="8"/>
  <c r="D14" i="9" s="1"/>
  <c r="AD52" i="8"/>
  <c r="H14" i="9" s="1"/>
  <c r="N14" i="9"/>
  <c r="AK52" i="8"/>
  <c r="O14" i="9" s="1"/>
  <c r="N8" i="9"/>
  <c r="AK46" i="8"/>
  <c r="N13" i="9"/>
  <c r="AK51" i="8"/>
  <c r="O13" i="9" s="1"/>
  <c r="AG46" i="8" l="1"/>
  <c r="O8" i="9"/>
  <c r="K8" i="9" l="1"/>
  <c r="AL25" i="8" l="1"/>
  <c r="AG25" i="8" s="1"/>
  <c r="AC47" i="8" l="1"/>
  <c r="AA47" i="8"/>
  <c r="AA32" i="8"/>
  <c r="AD32" i="8"/>
  <c r="AD47" i="8" l="1"/>
  <c r="V22" i="8"/>
  <c r="AA55" i="8"/>
  <c r="F9" i="9"/>
  <c r="F17" i="9" s="1"/>
  <c r="V47" i="8" l="1"/>
  <c r="H9" i="9"/>
  <c r="D9" i="9" l="1"/>
  <c r="AI32" i="8" l="1"/>
  <c r="AJ47" i="8"/>
  <c r="N9" i="9" s="1"/>
  <c r="AG47" i="8" l="1"/>
  <c r="K9" i="9" s="1"/>
  <c r="AI55" i="8"/>
  <c r="M9" i="9"/>
  <c r="M17" i="9" s="1"/>
  <c r="AK47" i="8"/>
  <c r="O9" i="9" s="1"/>
  <c r="AJ53" i="8"/>
  <c r="AC46" i="8"/>
  <c r="AG15" i="8" l="1"/>
  <c r="AG53" i="8" s="1"/>
  <c r="K15" i="9" s="1"/>
  <c r="N15" i="9"/>
  <c r="AK53" i="8"/>
  <c r="O15" i="9" s="1"/>
  <c r="AJ49" i="8"/>
  <c r="N11" i="9" l="1"/>
  <c r="AK49" i="8"/>
  <c r="H8" i="9"/>
  <c r="D8" i="9" l="1"/>
  <c r="O11" i="9"/>
  <c r="AG49" i="8"/>
  <c r="K11" i="9" l="1"/>
  <c r="AC48" i="8" l="1"/>
  <c r="AD48" i="8" l="1"/>
  <c r="H10" i="9" l="1"/>
  <c r="V48" i="8"/>
  <c r="D10" i="9" l="1"/>
  <c r="Y49" i="8" l="1"/>
  <c r="Y55" i="8" s="1"/>
  <c r="V32" i="8" l="1"/>
  <c r="AD49" i="8"/>
  <c r="AD55" i="8" s="1"/>
  <c r="Y33" i="8"/>
  <c r="AC49" i="8"/>
  <c r="AC55" i="8" s="1"/>
  <c r="V49" i="8" l="1"/>
  <c r="H11" i="9"/>
  <c r="H17" i="9" s="1"/>
  <c r="AC35" i="8"/>
  <c r="K33" i="8"/>
  <c r="D11" i="9" l="1"/>
  <c r="D17" i="9" s="1"/>
  <c r="V55" i="8"/>
  <c r="AK17" i="8" l="1"/>
  <c r="AH54" i="8"/>
  <c r="AH55" i="8" s="1"/>
  <c r="AJ17" i="8"/>
  <c r="AJ32" i="8" s="1"/>
  <c r="AY17" i="8"/>
  <c r="AY32" i="8" s="1"/>
  <c r="AK32" i="8" l="1"/>
  <c r="AZ17" i="8"/>
  <c r="AJ54" i="8"/>
  <c r="N16" i="9" s="1"/>
  <c r="N17" i="9" s="1"/>
  <c r="L16" i="9"/>
  <c r="L17" i="9" s="1"/>
  <c r="AZ32" i="8"/>
  <c r="AL17" i="8"/>
  <c r="AL32" i="8" l="1"/>
  <c r="AG17" i="8"/>
  <c r="AG54" i="8" s="1"/>
  <c r="AK54" i="8"/>
  <c r="O16" i="9" s="1"/>
  <c r="O17" i="9" s="1"/>
  <c r="AJ55" i="8"/>
  <c r="AO57" i="8" s="1"/>
  <c r="AG32" i="8" l="1"/>
  <c r="AK55" i="8"/>
  <c r="AG55" i="8"/>
  <c r="K16" i="9"/>
  <c r="K17" i="9" s="1"/>
</calcChain>
</file>

<file path=xl/sharedStrings.xml><?xml version="1.0" encoding="utf-8"?>
<sst xmlns="http://schemas.openxmlformats.org/spreadsheetml/2006/main" count="324" uniqueCount="105">
  <si>
    <t>GASOLINA ESPECIAL</t>
  </si>
  <si>
    <t>DIESEL OIL</t>
  </si>
  <si>
    <t>DISTRITO</t>
  </si>
  <si>
    <t>ZONA
COMERCIAL</t>
  </si>
  <si>
    <t>YPFB REFINACION</t>
  </si>
  <si>
    <t>DEMANDA
ESTIMADA</t>
  </si>
  <si>
    <t>SALDOS
ESTIMADOS</t>
  </si>
  <si>
    <t>OFERTA ESTIMADA</t>
  </si>
  <si>
    <t>ORO NEGRO</t>
  </si>
  <si>
    <t>TOTAL
PROGRAMA LITROS</t>
  </si>
  <si>
    <t>YPFB</t>
  </si>
  <si>
    <t>PROGRAMA</t>
  </si>
  <si>
    <t>LITROS</t>
  </si>
  <si>
    <t xml:space="preserve">La Paz </t>
  </si>
  <si>
    <t>Oruro</t>
  </si>
  <si>
    <t>Cochabamba</t>
  </si>
  <si>
    <t>Trinidad</t>
  </si>
  <si>
    <t>Puerto Villarroel</t>
  </si>
  <si>
    <t>Guayaramerin</t>
  </si>
  <si>
    <t xml:space="preserve">Riberalta </t>
  </si>
  <si>
    <t>Cobija</t>
  </si>
  <si>
    <t>Tarija</t>
  </si>
  <si>
    <t>Bermejo</t>
  </si>
  <si>
    <t>Yacuiba</t>
  </si>
  <si>
    <t>Villamontes</t>
  </si>
  <si>
    <t>Santa Cruz</t>
  </si>
  <si>
    <t>Camiri</t>
  </si>
  <si>
    <t xml:space="preserve">San José de Chiquitos </t>
  </si>
  <si>
    <t>Puerto Suarez</t>
  </si>
  <si>
    <t>Sucre</t>
  </si>
  <si>
    <t>Monteagudo</t>
  </si>
  <si>
    <t>Potosi</t>
  </si>
  <si>
    <t>Tupiza</t>
  </si>
  <si>
    <t>Uyuni</t>
  </si>
  <si>
    <t>Villazón</t>
  </si>
  <si>
    <t xml:space="preserve">TOTAL </t>
  </si>
  <si>
    <t>Chuquisaca</t>
  </si>
  <si>
    <t>Beni</t>
  </si>
  <si>
    <t>Pando</t>
  </si>
  <si>
    <t>Departamento</t>
  </si>
  <si>
    <t>DEMANDA
ESTIMADA LITROS</t>
  </si>
  <si>
    <t>MES :</t>
  </si>
  <si>
    <t>APROBADO:</t>
  </si>
  <si>
    <t>ESTIMACION REFINERIAS :</t>
  </si>
  <si>
    <t>DCLP</t>
  </si>
  <si>
    <t>DCOR</t>
  </si>
  <si>
    <t>DTCC</t>
  </si>
  <si>
    <t>DCAM</t>
  </si>
  <si>
    <t>DCTJ</t>
  </si>
  <si>
    <t>DCSC</t>
  </si>
  <si>
    <t>DCCH</t>
  </si>
  <si>
    <t>DCPT</t>
  </si>
  <si>
    <t>GASOLINA SUPER ETANOL 92</t>
  </si>
  <si>
    <t>ETANOL ANHIDRO</t>
  </si>
  <si>
    <t>DEMANDA</t>
  </si>
  <si>
    <t>ETANOL</t>
  </si>
  <si>
    <t>DEMANDA
ESTIMADA M3</t>
  </si>
  <si>
    <t>M3</t>
  </si>
  <si>
    <t>TOTAL
PROGRAMA M3</t>
  </si>
  <si>
    <t>YPFBR GE</t>
  </si>
  <si>
    <t>DEMANDA
ESTIMADA GE</t>
  </si>
  <si>
    <t>DEMANDA
ESTIMADA GE+</t>
  </si>
  <si>
    <t>SALDOS
ESTIMADOS GE</t>
  </si>
  <si>
    <t>DEMANDA
ESTIMADA GE LITROS</t>
  </si>
  <si>
    <t>DEMANDA
ESTIMADA    GE+ LITROS</t>
  </si>
  <si>
    <t>SALDOS
ESTIMADOS GE LITROS</t>
  </si>
  <si>
    <t>TOTAL DEMANDA ESTIMADA GASOLINA LITROS</t>
  </si>
  <si>
    <t>TOTAL DEMANDA ESTIMADA GASOLINA</t>
  </si>
  <si>
    <t>TOTAL SALDOS GASOLINA</t>
  </si>
  <si>
    <t>TOTAL SALDOS ESTIMADOS GASOLINA    LITROS</t>
  </si>
  <si>
    <t>YPFB
GE</t>
  </si>
  <si>
    <t>YPFB GE</t>
  </si>
  <si>
    <t>YPFBR  GE</t>
  </si>
  <si>
    <t>YPFBR   GB81</t>
  </si>
  <si>
    <t>YPFBR       GB81</t>
  </si>
  <si>
    <t>YPFBR   GB85</t>
  </si>
  <si>
    <t>SALDO INICIAL</t>
  </si>
  <si>
    <t>YPFB REFINACION (GB85)</t>
  </si>
  <si>
    <t>GASOLINAS Y DIESEL OIL</t>
  </si>
  <si>
    <t>PROGRAMACION DE VOLUMENES Y ASIGNACION POR DEPARTAMENTOS</t>
  </si>
  <si>
    <t>PROGRAMACION DE VOLUMENES Y ASIGNACION POR ZONA COMERCIAL</t>
  </si>
  <si>
    <t>GASOLINA PREMIUM PLUS</t>
  </si>
  <si>
    <t>YPFBR GB90</t>
  </si>
  <si>
    <t>ORO NEGRO GB80 o GBC</t>
  </si>
  <si>
    <t>YPFBR   GB80 o GBC</t>
  </si>
  <si>
    <t>SALDOS
ESTIMADOS GB80 / GBC</t>
  </si>
  <si>
    <t>YPFB
GB80 o GBC</t>
  </si>
  <si>
    <t>SALDOS
ESTIMADOS GB80 o GBC LITROS</t>
  </si>
  <si>
    <t>ge+gbe ypfbr</t>
  </si>
  <si>
    <t>DO</t>
  </si>
  <si>
    <t>GASOLINA ULTRA PREMIUM 100</t>
  </si>
  <si>
    <t>DIESEL ULS</t>
  </si>
  <si>
    <t>DIESEL OIL +</t>
  </si>
  <si>
    <t>DIESEL ULS +</t>
  </si>
  <si>
    <t xml:space="preserve">DIESEL OIL + </t>
  </si>
  <si>
    <t>BIODIESEL</t>
  </si>
  <si>
    <t>BIODIESEL TOTAL</t>
  </si>
  <si>
    <t>YPFBR+RON</t>
  </si>
  <si>
    <t>consumo dia</t>
  </si>
  <si>
    <t>Disponible GBC</t>
  </si>
  <si>
    <t>YPFB IMPORTACION  DIESEL</t>
  </si>
  <si>
    <t>DEMANDA
ESTIMADA TOTAL GASOLINA</t>
  </si>
  <si>
    <t>DEMANDA
ESTIMADA TOTAL DIESEL</t>
  </si>
  <si>
    <t>YPFB IMPORTACION GASOLINA</t>
  </si>
  <si>
    <t>Disponible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</si>
</sst>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(* #,##0.00_);_(* \(#,##0.00\);_(* &quot;-&quot;??_);_(@_)"/>
    <numFmt numFmtId="165" formatCode="_-* #,##0.00\ _P_t_s_-;\-* #,##0.00\ _P_t_s_-;_-* &quot;-&quot;??\ _P_t_s_-;_-@_-"/>
    <numFmt numFmtId="166" formatCode="#."/>
    <numFmt numFmtId="167" formatCode="&quot;$&quot;#,##0_);\(&quot;$&quot;#,##0\)"/>
    <numFmt numFmtId="168" formatCode="mmmm\ d\,\ yyyy"/>
    <numFmt numFmtId="169" formatCode="_([$€]\ * #,##0.00_);_([$€]\ * \(#,##0.00\);_([$€]\ * &quot;-&quot;??_);_(@_)"/>
    <numFmt numFmtId="170" formatCode="_ * #,##0.00_ ;_ * \-#,##0.00_ ;_ * &quot;-&quot;??_ ;_ @_ "/>
    <numFmt numFmtId="171" formatCode="0.00_)"/>
    <numFmt numFmtId="172" formatCode="#,##0__"/>
    <numFmt numFmtId="173" formatCode="#,##0_ ;[Red]\-#,##0\ "/>
    <numFmt numFmtId="174" formatCode="#,##0.000__"/>
    <numFmt numFmtId="175" formatCode="_(* #,##0_);_(* \(#,##0\);_(* &quot;-&quot;??_);_(@_)"/>
    <numFmt numFmtId="176" formatCode="_ [$€-2]\ * #,##0.00_ ;_ [$€-2]\ * \-#,##0.00_ ;_ [$€-2]\ * &quot;-&quot;??_ "/>
    <numFmt numFmtId="177" formatCode="[$-F800]dddd\,\ mmmm\ dd\,\ yyyy"/>
    <numFmt numFmtId="178" formatCode="[$-80A]d&quot; de &quot;mmmm&quot; de &quot;yyyy;@"/>
    <numFmt numFmtId="179" formatCode="[$-80A]dddd\ d&quot; de &quot;mmmm&quot; de &quot;yyyy;@"/>
    <numFmt numFmtId="180" formatCode="_-* #,##0_-;\-* #,##0_-;_-* &quot;-&quot;??_-;_-@_-"/>
  </numFmts>
  <fonts count="1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</font>
    <font>
      <sz val="1"/>
      <color indexed="16"/>
      <name val="Courier"/>
      <family val="3"/>
    </font>
    <font>
      <i/>
      <sz val="11"/>
      <color indexed="23"/>
      <name val="Calibri"/>
      <family val="2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"/>
      <color indexed="16"/>
      <name val="Courier"/>
      <family val="3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name val="Comic Sans MS"/>
      <family val="4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2"/>
      <color indexed="8"/>
      <name val="Tahoma"/>
      <family val="2"/>
    </font>
    <font>
      <b/>
      <sz val="12"/>
      <color indexed="12"/>
      <name val="Tahoma"/>
      <family val="2"/>
    </font>
    <font>
      <b/>
      <sz val="8"/>
      <color indexed="16"/>
      <name val="Arial"/>
      <family val="2"/>
    </font>
    <font>
      <sz val="8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sz val="11"/>
      <color indexed="8"/>
      <name val="Arial"/>
      <family val="2"/>
    </font>
    <font>
      <sz val="12"/>
      <color indexed="8"/>
      <name val="Calibri"/>
      <family val="2"/>
    </font>
    <font>
      <sz val="11"/>
      <color theme="0"/>
      <name val="Calibri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sz val="10"/>
      <color indexed="62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8"/>
      <name val="Tahoma"/>
      <family val="2"/>
    </font>
    <font>
      <b/>
      <sz val="14"/>
      <color indexed="12"/>
      <name val="Tahoma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12"/>
      <name val="Calibri"/>
      <family val="2"/>
      <scheme val="minor"/>
    </font>
    <font>
      <sz val="8"/>
      <color indexed="12"/>
      <name val="Calibri"/>
      <family val="2"/>
      <scheme val="minor"/>
    </font>
    <font>
      <sz val="12"/>
      <color indexed="8"/>
      <name val="Tahoma"/>
      <family val="2"/>
    </font>
    <font>
      <sz val="12"/>
      <color indexed="8"/>
      <name val="Segoe UI Historic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16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indexed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rgb="FFFF0000"/>
      <name val="Tahoma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7">
    <xf numFmtId="0" fontId="0" fillId="0" borderId="0"/>
    <xf numFmtId="0" fontId="12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5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1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4" borderId="0" applyNumberFormat="0" applyBorder="0" applyAlignment="0" applyProtection="0"/>
    <xf numFmtId="0" fontId="19" fillId="13" borderId="0" applyNumberFormat="0" applyBorder="0" applyAlignment="0" applyProtection="0"/>
    <xf numFmtId="0" fontId="19" fillId="12" borderId="0" applyNumberFormat="0" applyBorder="0" applyAlignment="0" applyProtection="0"/>
    <xf numFmtId="0" fontId="19" fillId="5" borderId="0" applyNumberFormat="0" applyBorder="0" applyAlignment="0" applyProtection="0"/>
    <xf numFmtId="0" fontId="19" fillId="16" borderId="0" applyNumberFormat="0" applyBorder="0" applyAlignment="0" applyProtection="0"/>
    <xf numFmtId="0" fontId="19" fillId="10" borderId="0" applyNumberFormat="0" applyBorder="0" applyAlignment="0" applyProtection="0"/>
    <xf numFmtId="0" fontId="19" fillId="17" borderId="0" applyNumberFormat="0" applyBorder="0" applyAlignment="0" applyProtection="0"/>
    <xf numFmtId="0" fontId="19" fillId="4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5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5" borderId="0" applyNumberFormat="0" applyBorder="0" applyAlignment="0" applyProtection="0"/>
    <xf numFmtId="0" fontId="21" fillId="24" borderId="3" applyNumberFormat="0" applyAlignment="0" applyProtection="0"/>
    <xf numFmtId="0" fontId="22" fillId="25" borderId="3" applyNumberFormat="0" applyAlignment="0" applyProtection="0"/>
    <xf numFmtId="0" fontId="23" fillId="26" borderId="4" applyNumberFormat="0" applyAlignment="0" applyProtection="0"/>
    <xf numFmtId="165" fontId="24" fillId="0" borderId="0" applyFont="0" applyFill="0" applyBorder="0" applyAlignment="0" applyProtection="0"/>
    <xf numFmtId="3" fontId="16" fillId="0" borderId="0" applyFill="0" applyBorder="0" applyAlignment="0" applyProtection="0"/>
    <xf numFmtId="166" fontId="25" fillId="0" borderId="0">
      <protection locked="0"/>
    </xf>
    <xf numFmtId="167" fontId="16" fillId="0" borderId="0" applyFill="0" applyBorder="0" applyAlignment="0" applyProtection="0"/>
    <xf numFmtId="168" fontId="16" fillId="0" borderId="0" applyFill="0" applyBorder="0" applyAlignment="0" applyProtection="0"/>
    <xf numFmtId="166" fontId="25" fillId="0" borderId="0">
      <protection locked="0"/>
    </xf>
    <xf numFmtId="169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66" fontId="25" fillId="0" borderId="0">
      <protection locked="0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66" fontId="27" fillId="0" borderId="0">
      <protection locked="0"/>
    </xf>
    <xf numFmtId="2" fontId="16" fillId="0" borderId="0" applyFill="0" applyBorder="0" applyAlignment="0" applyProtection="0"/>
    <xf numFmtId="166" fontId="25" fillId="0" borderId="0">
      <protection locked="0"/>
    </xf>
    <xf numFmtId="0" fontId="28" fillId="10" borderId="0" applyNumberFormat="0" applyBorder="0" applyAlignment="0" applyProtection="0"/>
    <xf numFmtId="0" fontId="28" fillId="7" borderId="0" applyNumberFormat="0" applyBorder="0" applyAlignment="0" applyProtection="0"/>
    <xf numFmtId="38" fontId="18" fillId="27" borderId="0" applyNumberFormat="0" applyBorder="0" applyAlignment="0" applyProtection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30" fillId="0" borderId="0" applyNumberFormat="0" applyFill="0" applyBorder="0" applyAlignment="0" applyProtection="0"/>
    <xf numFmtId="0" fontId="31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4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6" fontId="35" fillId="0" borderId="0">
      <protection locked="0"/>
    </xf>
    <xf numFmtId="166" fontId="35" fillId="0" borderId="0">
      <protection locked="0"/>
    </xf>
    <xf numFmtId="0" fontId="36" fillId="11" borderId="3" applyNumberFormat="0" applyAlignment="0" applyProtection="0"/>
    <xf numFmtId="10" fontId="18" fillId="28" borderId="1" applyNumberFormat="0" applyBorder="0" applyAlignment="0" applyProtection="0"/>
    <xf numFmtId="0" fontId="36" fillId="8" borderId="3" applyNumberFormat="0" applyAlignment="0" applyProtection="0"/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1" fontId="40" fillId="0" borderId="0"/>
    <xf numFmtId="0" fontId="11" fillId="0" borderId="0"/>
    <xf numFmtId="0" fontId="16" fillId="0" borderId="0"/>
    <xf numFmtId="0" fontId="16" fillId="0" borderId="0"/>
    <xf numFmtId="0" fontId="41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/>
    <xf numFmtId="0" fontId="12" fillId="0" borderId="0"/>
    <xf numFmtId="0" fontId="11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6" borderId="13" applyNumberFormat="0" applyFont="0" applyAlignment="0" applyProtection="0"/>
    <xf numFmtId="0" fontId="16" fillId="6" borderId="13" applyNumberFormat="0" applyFont="0" applyAlignment="0" applyProtection="0"/>
    <xf numFmtId="0" fontId="16" fillId="6" borderId="13" applyNumberFormat="0" applyFont="0" applyAlignment="0" applyProtection="0"/>
    <xf numFmtId="0" fontId="16" fillId="6" borderId="13" applyNumberFormat="0" applyFont="0" applyAlignment="0" applyProtection="0"/>
    <xf numFmtId="0" fontId="12" fillId="6" borderId="13" applyNumberFormat="0" applyFont="0" applyAlignment="0" applyProtection="0"/>
    <xf numFmtId="0" fontId="42" fillId="24" borderId="14" applyNumberFormat="0" applyAlignment="0" applyProtection="0"/>
    <xf numFmtId="0" fontId="42" fillId="25" borderId="14" applyNumberFormat="0" applyAlignment="0" applyProtection="0"/>
    <xf numFmtId="9" fontId="24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164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5" fillId="0" borderId="0"/>
    <xf numFmtId="176" fontId="16" fillId="0" borderId="0" applyFont="0" applyFill="0" applyBorder="0" applyAlignment="0" applyProtection="0"/>
    <xf numFmtId="0" fontId="12" fillId="0" borderId="0"/>
    <xf numFmtId="0" fontId="12" fillId="0" borderId="0"/>
    <xf numFmtId="164" fontId="39" fillId="0" borderId="0" applyFont="0" applyFill="0" applyBorder="0" applyAlignment="0" applyProtection="0"/>
    <xf numFmtId="0" fontId="12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77" fontId="16" fillId="0" borderId="0"/>
    <xf numFmtId="0" fontId="7" fillId="0" borderId="0"/>
    <xf numFmtId="178" fontId="16" fillId="0" borderId="0"/>
    <xf numFmtId="178" fontId="16" fillId="0" borderId="0" applyFont="0" applyFill="0" applyBorder="0" applyAlignment="0" applyProtection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0" fontId="56" fillId="0" borderId="0"/>
    <xf numFmtId="0" fontId="13" fillId="3" borderId="0" applyNumberFormat="0" applyBorder="0" applyAlignment="0" applyProtection="0"/>
    <xf numFmtId="0" fontId="13" fillId="5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2" borderId="0" applyNumberFormat="0" applyBorder="0" applyAlignment="0" applyProtection="0"/>
    <xf numFmtId="0" fontId="13" fillId="13" borderId="0" applyNumberFormat="0" applyBorder="0" applyAlignment="0" applyProtection="0"/>
    <xf numFmtId="0" fontId="69" fillId="14" borderId="0" applyNumberFormat="0" applyBorder="0" applyAlignment="0" applyProtection="0"/>
    <xf numFmtId="0" fontId="69" fillId="4" borderId="0" applyNumberFormat="0" applyBorder="0" applyAlignment="0" applyProtection="0"/>
    <xf numFmtId="0" fontId="69" fillId="12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60" fillId="7" borderId="0" applyNumberFormat="0" applyBorder="0" applyAlignment="0" applyProtection="0"/>
    <xf numFmtId="0" fontId="65" fillId="25" borderId="3" applyNumberFormat="0" applyAlignment="0" applyProtection="0"/>
    <xf numFmtId="0" fontId="57" fillId="26" borderId="4" applyNumberFormat="0" applyAlignment="0" applyProtection="0"/>
    <xf numFmtId="0" fontId="66" fillId="0" borderId="12" applyNumberFormat="0" applyFill="0" applyAlignment="0" applyProtection="0"/>
    <xf numFmtId="0" fontId="59" fillId="0" borderId="0" applyNumberFormat="0" applyFill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69" fillId="22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69" fillId="15" borderId="0" applyNumberFormat="0" applyBorder="0" applyAlignment="0" applyProtection="0"/>
    <xf numFmtId="0" fontId="63" fillId="8" borderId="3" applyNumberFormat="0" applyAlignment="0" applyProtection="0"/>
    <xf numFmtId="176" fontId="56" fillId="0" borderId="0" applyFont="0" applyFill="0" applyBorder="0" applyAlignment="0" applyProtection="0"/>
    <xf numFmtId="0" fontId="61" fillId="5" borderId="0" applyNumberFormat="0" applyBorder="0" applyAlignment="0" applyProtection="0"/>
    <xf numFmtId="0" fontId="62" fillId="11" borderId="0" applyNumberFormat="0" applyBorder="0" applyAlignment="0" applyProtection="0"/>
    <xf numFmtId="0" fontId="64" fillId="25" borderId="14" applyNumberFormat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8" fillId="0" borderId="8" applyNumberFormat="0" applyFill="0" applyAlignment="0" applyProtection="0"/>
    <xf numFmtId="0" fontId="59" fillId="0" borderId="10" applyNumberFormat="0" applyFill="0" applyAlignment="0" applyProtection="0"/>
    <xf numFmtId="0" fontId="54" fillId="0" borderId="36" applyNumberFormat="0" applyFill="0" applyAlignment="0" applyProtection="0"/>
    <xf numFmtId="0" fontId="70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0" fillId="0" borderId="0"/>
    <xf numFmtId="0" fontId="37" fillId="0" borderId="38" applyNumberFormat="0" applyFill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2" fillId="0" borderId="0"/>
    <xf numFmtId="0" fontId="7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72" fillId="0" borderId="0"/>
    <xf numFmtId="0" fontId="72" fillId="0" borderId="0"/>
    <xf numFmtId="0" fontId="73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6" fillId="0" borderId="0"/>
    <xf numFmtId="176" fontId="16" fillId="0" borderId="0" applyFont="0" applyFill="0" applyBorder="0" applyAlignment="0" applyProtection="0"/>
    <xf numFmtId="0" fontId="16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  <xf numFmtId="0" fontId="16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  <xf numFmtId="0" fontId="16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360">
    <xf numFmtId="0" fontId="0" fillId="0" borderId="0" xfId="0"/>
    <xf numFmtId="0" fontId="14" fillId="0" borderId="0" xfId="1" applyFont="1" applyFill="1" applyBorder="1"/>
    <xf numFmtId="0" fontId="12" fillId="0" borderId="0" xfId="1" applyFill="1"/>
    <xf numFmtId="0" fontId="14" fillId="0" borderId="0" xfId="1" applyFont="1" applyFill="1"/>
    <xf numFmtId="0" fontId="12" fillId="0" borderId="0" xfId="1" applyFill="1" applyAlignment="1"/>
    <xf numFmtId="0" fontId="16" fillId="0" borderId="0" xfId="1" applyFont="1" applyFill="1"/>
    <xf numFmtId="0" fontId="45" fillId="0" borderId="0" xfId="1" applyFont="1" applyFill="1" applyAlignment="1">
      <alignment vertical="center"/>
    </xf>
    <xf numFmtId="49" fontId="46" fillId="0" borderId="0" xfId="1" applyNumberFormat="1" applyFont="1" applyFill="1" applyAlignment="1">
      <alignment vertical="center"/>
    </xf>
    <xf numFmtId="0" fontId="48" fillId="0" borderId="0" xfId="1" applyFont="1" applyFill="1"/>
    <xf numFmtId="172" fontId="12" fillId="0" borderId="0" xfId="1" applyNumberFormat="1" applyFill="1"/>
    <xf numFmtId="0" fontId="49" fillId="0" borderId="0" xfId="1" applyFont="1" applyFill="1"/>
    <xf numFmtId="172" fontId="49" fillId="0" borderId="0" xfId="1" applyNumberFormat="1" applyFont="1" applyFill="1" applyBorder="1"/>
    <xf numFmtId="3" fontId="50" fillId="0" borderId="0" xfId="1" applyNumberFormat="1" applyFont="1" applyFill="1"/>
    <xf numFmtId="0" fontId="12" fillId="0" borderId="0" xfId="1" applyFill="1" applyBorder="1"/>
    <xf numFmtId="172" fontId="12" fillId="0" borderId="0" xfId="1" applyNumberFormat="1" applyFill="1" applyBorder="1"/>
    <xf numFmtId="172" fontId="15" fillId="0" borderId="0" xfId="1" applyNumberFormat="1" applyFont="1" applyFill="1" applyBorder="1" applyAlignment="1">
      <alignment horizontal="right" vertical="center"/>
    </xf>
    <xf numFmtId="0" fontId="47" fillId="0" borderId="0" xfId="1" applyFont="1" applyFill="1" applyBorder="1" applyAlignment="1">
      <alignment horizontal="left"/>
    </xf>
    <xf numFmtId="0" fontId="51" fillId="0" borderId="0" xfId="1" applyFont="1" applyFill="1"/>
    <xf numFmtId="172" fontId="49" fillId="0" borderId="0" xfId="1" applyNumberFormat="1" applyFont="1" applyFill="1" applyBorder="1" applyAlignment="1">
      <alignment horizontal="right" vertical="center"/>
    </xf>
    <xf numFmtId="0" fontId="12" fillId="0" borderId="0" xfId="1" applyFill="1" applyAlignment="1">
      <alignment horizontal="left"/>
    </xf>
    <xf numFmtId="0" fontId="12" fillId="0" borderId="0" xfId="1" applyFill="1"/>
    <xf numFmtId="172" fontId="49" fillId="0" borderId="0" xfId="1" applyNumberFormat="1" applyFont="1" applyFill="1" applyBorder="1" applyAlignment="1">
      <alignment horizontal="right" vertical="center"/>
    </xf>
    <xf numFmtId="0" fontId="53" fillId="0" borderId="0" xfId="1" applyFont="1" applyFill="1"/>
    <xf numFmtId="3" fontId="71" fillId="0" borderId="0" xfId="1" applyNumberFormat="1" applyFont="1" applyFill="1"/>
    <xf numFmtId="0" fontId="12" fillId="30" borderId="0" xfId="1" applyFill="1"/>
    <xf numFmtId="172" fontId="55" fillId="0" borderId="0" xfId="270" applyNumberFormat="1" applyFill="1" applyBorder="1"/>
    <xf numFmtId="172" fontId="50" fillId="0" borderId="0" xfId="1" applyNumberFormat="1" applyFont="1" applyFill="1" applyBorder="1"/>
    <xf numFmtId="172" fontId="12" fillId="0" borderId="0" xfId="1" applyNumberFormat="1" applyFill="1"/>
    <xf numFmtId="172" fontId="49" fillId="0" borderId="0" xfId="1" applyNumberFormat="1" applyFont="1" applyFill="1" applyBorder="1" applyAlignment="1">
      <alignment horizontal="right" vertical="center"/>
    </xf>
    <xf numFmtId="172" fontId="15" fillId="0" borderId="0" xfId="1" applyNumberFormat="1" applyFont="1" applyFill="1" applyBorder="1" applyAlignment="1">
      <alignment horizontal="right" vertical="center"/>
    </xf>
    <xf numFmtId="0" fontId="74" fillId="0" borderId="0" xfId="1" applyFont="1" applyFill="1" applyAlignment="1">
      <alignment vertical="center"/>
    </xf>
    <xf numFmtId="49" fontId="75" fillId="0" borderId="0" xfId="1" applyNumberFormat="1" applyFont="1" applyFill="1" applyAlignment="1">
      <alignment vertical="center"/>
    </xf>
    <xf numFmtId="49" fontId="76" fillId="0" borderId="0" xfId="1" applyNumberFormat="1" applyFont="1" applyFill="1" applyAlignment="1">
      <alignment horizontal="right" vertical="center"/>
    </xf>
    <xf numFmtId="0" fontId="76" fillId="0" borderId="0" xfId="1" applyFont="1" applyFill="1" applyAlignment="1">
      <alignment vertical="center"/>
    </xf>
    <xf numFmtId="17" fontId="77" fillId="0" borderId="0" xfId="0" applyNumberFormat="1" applyFont="1" applyAlignment="1">
      <alignment horizontal="center"/>
    </xf>
    <xf numFmtId="172" fontId="12" fillId="0" borderId="0" xfId="1" applyNumberFormat="1" applyFill="1" applyAlignment="1"/>
    <xf numFmtId="1" fontId="78" fillId="34" borderId="2" xfId="1" applyNumberFormat="1" applyFont="1" applyFill="1" applyBorder="1" applyAlignment="1">
      <alignment horizontal="center" vertical="center" wrapText="1"/>
    </xf>
    <xf numFmtId="0" fontId="78" fillId="34" borderId="2" xfId="1" applyFont="1" applyFill="1" applyBorder="1" applyAlignment="1">
      <alignment horizontal="center" vertical="center" wrapText="1"/>
    </xf>
    <xf numFmtId="0" fontId="79" fillId="0" borderId="0" xfId="350" applyFont="1"/>
    <xf numFmtId="3" fontId="79" fillId="0" borderId="45" xfId="1" applyNumberFormat="1" applyFont="1" applyFill="1" applyBorder="1" applyAlignment="1"/>
    <xf numFmtId="172" fontId="79" fillId="35" borderId="31" xfId="1" applyNumberFormat="1" applyFont="1" applyFill="1" applyBorder="1" applyAlignment="1">
      <alignment horizontal="center"/>
    </xf>
    <xf numFmtId="172" fontId="79" fillId="0" borderId="39" xfId="1" applyNumberFormat="1" applyFont="1" applyFill="1" applyBorder="1" applyAlignment="1">
      <alignment horizontal="center"/>
    </xf>
    <xf numFmtId="172" fontId="79" fillId="0" borderId="33" xfId="1" applyNumberFormat="1" applyFont="1" applyFill="1" applyBorder="1" applyAlignment="1">
      <alignment horizontal="center"/>
    </xf>
    <xf numFmtId="3" fontId="79" fillId="0" borderId="26" xfId="1" applyNumberFormat="1" applyFont="1" applyFill="1" applyBorder="1" applyAlignment="1"/>
    <xf numFmtId="172" fontId="79" fillId="35" borderId="32" xfId="1" applyNumberFormat="1" applyFont="1" applyFill="1" applyBorder="1" applyAlignment="1">
      <alignment horizontal="center"/>
    </xf>
    <xf numFmtId="172" fontId="79" fillId="0" borderId="1" xfId="1" applyNumberFormat="1" applyFont="1" applyFill="1" applyBorder="1" applyAlignment="1">
      <alignment horizontal="center"/>
    </xf>
    <xf numFmtId="172" fontId="79" fillId="0" borderId="34" xfId="1" applyNumberFormat="1" applyFont="1" applyFill="1" applyBorder="1" applyAlignment="1">
      <alignment horizontal="center"/>
    </xf>
    <xf numFmtId="172" fontId="79" fillId="35" borderId="41" xfId="1" applyNumberFormat="1" applyFont="1" applyFill="1" applyBorder="1" applyAlignment="1">
      <alignment horizontal="center"/>
    </xf>
    <xf numFmtId="172" fontId="79" fillId="0" borderId="42" xfId="1" applyNumberFormat="1" applyFont="1" applyFill="1" applyBorder="1" applyAlignment="1">
      <alignment horizontal="center"/>
    </xf>
    <xf numFmtId="172" fontId="79" fillId="0" borderId="43" xfId="1" applyNumberFormat="1" applyFont="1" applyFill="1" applyBorder="1" applyAlignment="1">
      <alignment horizontal="center"/>
    </xf>
    <xf numFmtId="173" fontId="80" fillId="0" borderId="46" xfId="1" applyNumberFormat="1" applyFont="1" applyFill="1" applyBorder="1" applyAlignment="1">
      <alignment horizontal="center" vertical="center"/>
    </xf>
    <xf numFmtId="172" fontId="80" fillId="35" borderId="22" xfId="1" applyNumberFormat="1" applyFont="1" applyFill="1" applyBorder="1" applyAlignment="1">
      <alignment horizontal="center" vertical="center"/>
    </xf>
    <xf numFmtId="172" fontId="80" fillId="0" borderId="23" xfId="1" applyNumberFormat="1" applyFont="1" applyFill="1" applyBorder="1" applyAlignment="1">
      <alignment horizontal="center" vertical="center"/>
    </xf>
    <xf numFmtId="172" fontId="80" fillId="0" borderId="58" xfId="1" applyNumberFormat="1" applyFont="1" applyFill="1" applyBorder="1" applyAlignment="1">
      <alignment horizontal="center" vertical="center"/>
    </xf>
    <xf numFmtId="172" fontId="81" fillId="0" borderId="23" xfId="1" applyNumberFormat="1" applyFont="1" applyFill="1" applyBorder="1" applyAlignment="1">
      <alignment horizontal="center" vertical="center"/>
    </xf>
    <xf numFmtId="0" fontId="79" fillId="0" borderId="0" xfId="0" applyFont="1"/>
    <xf numFmtId="172" fontId="81" fillId="0" borderId="58" xfId="1" applyNumberFormat="1" applyFont="1" applyFill="1" applyBorder="1" applyAlignment="1">
      <alignment horizontal="center" vertical="center"/>
    </xf>
    <xf numFmtId="180" fontId="82" fillId="0" borderId="0" xfId="426" applyNumberFormat="1" applyFont="1" applyFill="1" applyAlignment="1">
      <alignment vertical="center"/>
    </xf>
    <xf numFmtId="9" fontId="83" fillId="0" borderId="0" xfId="425" applyFont="1" applyFill="1" applyAlignment="1">
      <alignment vertical="center"/>
    </xf>
    <xf numFmtId="180" fontId="14" fillId="0" borderId="0" xfId="426" applyNumberFormat="1" applyFont="1" applyFill="1"/>
    <xf numFmtId="0" fontId="52" fillId="0" borderId="0" xfId="1" applyFont="1" applyFill="1" applyAlignment="1">
      <alignment wrapText="1"/>
    </xf>
    <xf numFmtId="0" fontId="90" fillId="0" borderId="0" xfId="350" applyFont="1"/>
    <xf numFmtId="1" fontId="78" fillId="34" borderId="62" xfId="1" applyNumberFormat="1" applyFont="1" applyFill="1" applyBorder="1" applyAlignment="1">
      <alignment horizontal="center" vertical="center" wrapText="1"/>
    </xf>
    <xf numFmtId="1" fontId="78" fillId="34" borderId="31" xfId="1" applyNumberFormat="1" applyFont="1" applyFill="1" applyBorder="1" applyAlignment="1">
      <alignment horizontal="center" vertical="center" wrapText="1"/>
    </xf>
    <xf numFmtId="1" fontId="78" fillId="34" borderId="39" xfId="1" applyNumberFormat="1" applyFont="1" applyFill="1" applyBorder="1" applyAlignment="1">
      <alignment horizontal="center" vertical="center" wrapText="1"/>
    </xf>
    <xf numFmtId="1" fontId="78" fillId="34" borderId="33" xfId="1" applyNumberFormat="1" applyFont="1" applyFill="1" applyBorder="1" applyAlignment="1">
      <alignment horizontal="center" vertical="center" wrapText="1"/>
    </xf>
    <xf numFmtId="1" fontId="78" fillId="34" borderId="1" xfId="1" applyNumberFormat="1" applyFont="1" applyFill="1" applyBorder="1" applyAlignment="1">
      <alignment horizontal="center" vertical="center" wrapText="1"/>
    </xf>
    <xf numFmtId="0" fontId="91" fillId="0" borderId="0" xfId="1" applyFont="1" applyFill="1"/>
    <xf numFmtId="3" fontId="90" fillId="0" borderId="45" xfId="1" applyNumberFormat="1" applyFont="1" applyFill="1" applyBorder="1" applyAlignment="1"/>
    <xf numFmtId="172" fontId="90" fillId="0" borderId="31" xfId="1" applyNumberFormat="1" applyFont="1" applyFill="1" applyBorder="1" applyAlignment="1">
      <alignment horizontal="center"/>
    </xf>
    <xf numFmtId="172" fontId="90" fillId="0" borderId="39" xfId="1" applyNumberFormat="1" applyFont="1" applyFill="1" applyBorder="1" applyAlignment="1">
      <alignment horizontal="center"/>
    </xf>
    <xf numFmtId="172" fontId="90" fillId="0" borderId="33" xfId="1" applyNumberFormat="1" applyFont="1" applyFill="1" applyBorder="1" applyAlignment="1">
      <alignment horizontal="center"/>
    </xf>
    <xf numFmtId="172" fontId="90" fillId="35" borderId="31" xfId="1" applyNumberFormat="1" applyFont="1" applyFill="1" applyBorder="1" applyAlignment="1">
      <alignment horizontal="center"/>
    </xf>
    <xf numFmtId="172" fontId="90" fillId="35" borderId="56" xfId="1" applyNumberFormat="1" applyFont="1" applyFill="1" applyBorder="1" applyAlignment="1">
      <alignment horizontal="center"/>
    </xf>
    <xf numFmtId="3" fontId="90" fillId="0" borderId="26" xfId="1" applyNumberFormat="1" applyFont="1" applyFill="1" applyBorder="1" applyAlignment="1"/>
    <xf numFmtId="172" fontId="90" fillId="0" borderId="32" xfId="1" applyNumberFormat="1" applyFont="1" applyFill="1" applyBorder="1" applyAlignment="1">
      <alignment horizontal="center"/>
    </xf>
    <xf numFmtId="172" fontId="90" fillId="0" borderId="1" xfId="1" applyNumberFormat="1" applyFont="1" applyFill="1" applyBorder="1" applyAlignment="1">
      <alignment horizontal="center"/>
    </xf>
    <xf numFmtId="172" fontId="90" fillId="0" borderId="34" xfId="1" applyNumberFormat="1" applyFont="1" applyFill="1" applyBorder="1" applyAlignment="1">
      <alignment horizontal="center"/>
    </xf>
    <xf numFmtId="172" fontId="90" fillId="35" borderId="32" xfId="1" applyNumberFormat="1" applyFont="1" applyFill="1" applyBorder="1" applyAlignment="1">
      <alignment horizontal="center"/>
    </xf>
    <xf numFmtId="172" fontId="90" fillId="35" borderId="25" xfId="1" applyNumberFormat="1" applyFont="1" applyFill="1" applyBorder="1" applyAlignment="1">
      <alignment horizontal="center"/>
    </xf>
    <xf numFmtId="172" fontId="90" fillId="0" borderId="41" xfId="1" applyNumberFormat="1" applyFont="1" applyFill="1" applyBorder="1" applyAlignment="1">
      <alignment horizontal="center"/>
    </xf>
    <xf numFmtId="172" fontId="90" fillId="0" borderId="42" xfId="1" applyNumberFormat="1" applyFont="1" applyFill="1" applyBorder="1" applyAlignment="1">
      <alignment horizontal="center"/>
    </xf>
    <xf numFmtId="172" fontId="90" fillId="0" borderId="43" xfId="1" applyNumberFormat="1" applyFont="1" applyFill="1" applyBorder="1" applyAlignment="1">
      <alignment horizontal="center"/>
    </xf>
    <xf numFmtId="172" fontId="90" fillId="35" borderId="41" xfId="1" applyNumberFormat="1" applyFont="1" applyFill="1" applyBorder="1" applyAlignment="1">
      <alignment horizontal="center"/>
    </xf>
    <xf numFmtId="172" fontId="90" fillId="35" borderId="57" xfId="1" applyNumberFormat="1" applyFont="1" applyFill="1" applyBorder="1" applyAlignment="1">
      <alignment horizontal="center"/>
    </xf>
    <xf numFmtId="172" fontId="94" fillId="0" borderId="23" xfId="1" applyNumberFormat="1" applyFont="1" applyFill="1" applyBorder="1" applyAlignment="1">
      <alignment horizontal="center" vertical="center"/>
    </xf>
    <xf numFmtId="172" fontId="94" fillId="35" borderId="22" xfId="1" applyNumberFormat="1" applyFont="1" applyFill="1" applyBorder="1" applyAlignment="1">
      <alignment horizontal="center" vertical="center"/>
    </xf>
    <xf numFmtId="172" fontId="94" fillId="35" borderId="55" xfId="1" applyNumberFormat="1" applyFont="1" applyFill="1" applyBorder="1" applyAlignment="1">
      <alignment horizontal="center" vertical="center"/>
    </xf>
    <xf numFmtId="172" fontId="94" fillId="0" borderId="58" xfId="1" applyNumberFormat="1" applyFont="1" applyFill="1" applyBorder="1" applyAlignment="1">
      <alignment horizontal="center" vertical="center"/>
    </xf>
    <xf numFmtId="172" fontId="92" fillId="0" borderId="23" xfId="1" applyNumberFormat="1" applyFont="1" applyFill="1" applyBorder="1" applyAlignment="1">
      <alignment horizontal="center" vertical="center"/>
    </xf>
    <xf numFmtId="0" fontId="95" fillId="0" borderId="0" xfId="1" applyFont="1" applyFill="1" applyBorder="1" applyAlignment="1">
      <alignment horizontal="center"/>
    </xf>
    <xf numFmtId="172" fontId="94" fillId="0" borderId="0" xfId="1" applyNumberFormat="1" applyFont="1" applyFill="1" applyBorder="1" applyAlignment="1">
      <alignment horizontal="right" vertical="center"/>
    </xf>
    <xf numFmtId="172" fontId="92" fillId="0" borderId="0" xfId="1" applyNumberFormat="1" applyFont="1" applyFill="1" applyBorder="1" applyAlignment="1">
      <alignment horizontal="right" vertical="center"/>
    </xf>
    <xf numFmtId="9" fontId="92" fillId="0" borderId="0" xfId="425" applyFont="1" applyFill="1" applyBorder="1" applyAlignment="1">
      <alignment horizontal="right" vertical="center"/>
    </xf>
    <xf numFmtId="9" fontId="91" fillId="0" borderId="0" xfId="425" applyFont="1"/>
    <xf numFmtId="9" fontId="94" fillId="0" borderId="0" xfId="425" applyFont="1" applyFill="1" applyBorder="1" applyAlignment="1">
      <alignment horizontal="right" vertical="center"/>
    </xf>
    <xf numFmtId="0" fontId="86" fillId="0" borderId="0" xfId="1" applyFont="1" applyFill="1"/>
    <xf numFmtId="0" fontId="86" fillId="0" borderId="0" xfId="1" applyFont="1"/>
    <xf numFmtId="172" fontId="96" fillId="0" borderId="0" xfId="1" applyNumberFormat="1" applyFont="1"/>
    <xf numFmtId="9" fontId="96" fillId="0" borderId="0" xfId="425" applyFont="1"/>
    <xf numFmtId="174" fontId="91" fillId="0" borderId="0" xfId="1" applyNumberFormat="1" applyFont="1"/>
    <xf numFmtId="174" fontId="97" fillId="0" borderId="0" xfId="1" applyNumberFormat="1" applyFont="1"/>
    <xf numFmtId="9" fontId="91" fillId="0" borderId="0" xfId="425" applyFont="1" applyFill="1"/>
    <xf numFmtId="172" fontId="91" fillId="0" borderId="0" xfId="1" applyNumberFormat="1" applyFont="1" applyFill="1"/>
    <xf numFmtId="9" fontId="91" fillId="0" borderId="0" xfId="349" applyFont="1" applyFill="1"/>
    <xf numFmtId="172" fontId="91" fillId="0" borderId="0" xfId="1" applyNumberFormat="1" applyFont="1"/>
    <xf numFmtId="172" fontId="90" fillId="0" borderId="0" xfId="350" applyNumberFormat="1" applyFont="1"/>
    <xf numFmtId="3" fontId="95" fillId="0" borderId="0" xfId="1" applyNumberFormat="1" applyFont="1"/>
    <xf numFmtId="172" fontId="95" fillId="0" borderId="0" xfId="1" applyNumberFormat="1" applyFont="1" applyAlignment="1"/>
    <xf numFmtId="172" fontId="90" fillId="0" borderId="0" xfId="1" applyNumberFormat="1" applyFont="1"/>
    <xf numFmtId="172" fontId="90" fillId="30" borderId="0" xfId="1" applyNumberFormat="1" applyFont="1" applyFill="1" applyBorder="1"/>
    <xf numFmtId="175" fontId="86" fillId="29" borderId="16" xfId="347" applyNumberFormat="1" applyFont="1" applyFill="1" applyBorder="1" applyAlignment="1"/>
    <xf numFmtId="172" fontId="94" fillId="29" borderId="21" xfId="1" applyNumberFormat="1" applyFont="1" applyFill="1" applyBorder="1" applyAlignment="1">
      <alignment horizontal="right" vertical="center"/>
    </xf>
    <xf numFmtId="172" fontId="94" fillId="29" borderId="16" xfId="1" applyNumberFormat="1" applyFont="1" applyFill="1" applyBorder="1" applyAlignment="1">
      <alignment horizontal="right" vertical="center"/>
    </xf>
    <xf numFmtId="173" fontId="92" fillId="29" borderId="16" xfId="1" applyNumberFormat="1" applyFont="1" applyFill="1" applyBorder="1" applyAlignment="1">
      <alignment horizontal="right" vertical="center"/>
    </xf>
    <xf numFmtId="172" fontId="92" fillId="29" borderId="21" xfId="1" applyNumberFormat="1" applyFont="1" applyFill="1" applyBorder="1" applyAlignment="1">
      <alignment horizontal="right" vertical="center"/>
    </xf>
    <xf numFmtId="172" fontId="94" fillId="29" borderId="5" xfId="1" applyNumberFormat="1" applyFont="1" applyFill="1" applyBorder="1" applyAlignment="1">
      <alignment horizontal="right" vertical="center"/>
    </xf>
    <xf numFmtId="173" fontId="92" fillId="29" borderId="17" xfId="1" applyNumberFormat="1" applyFont="1" applyFill="1" applyBorder="1" applyAlignment="1">
      <alignment horizontal="right" vertical="center"/>
    </xf>
    <xf numFmtId="0" fontId="91" fillId="0" borderId="0" xfId="1" applyFont="1" applyBorder="1"/>
    <xf numFmtId="175" fontId="91" fillId="0" borderId="0" xfId="347" applyNumberFormat="1" applyFont="1" applyBorder="1"/>
    <xf numFmtId="172" fontId="86" fillId="0" borderId="0" xfId="1" applyNumberFormat="1" applyFont="1" applyBorder="1"/>
    <xf numFmtId="0" fontId="86" fillId="0" borderId="0" xfId="1" applyFont="1" applyBorder="1"/>
    <xf numFmtId="172" fontId="91" fillId="0" borderId="0" xfId="1" applyNumberFormat="1" applyFont="1" applyBorder="1" applyAlignment="1"/>
    <xf numFmtId="172" fontId="91" fillId="0" borderId="0" xfId="1" applyNumberFormat="1" applyFont="1" applyBorder="1"/>
    <xf numFmtId="172" fontId="91" fillId="30" borderId="0" xfId="1" applyNumberFormat="1" applyFont="1" applyFill="1" applyBorder="1" applyAlignment="1"/>
    <xf numFmtId="175" fontId="86" fillId="32" borderId="16" xfId="347" applyNumberFormat="1" applyFont="1" applyFill="1" applyBorder="1" applyAlignment="1"/>
    <xf numFmtId="172" fontId="94" fillId="32" borderId="21" xfId="1" applyNumberFormat="1" applyFont="1" applyFill="1" applyBorder="1" applyAlignment="1">
      <alignment horizontal="right" vertical="center"/>
    </xf>
    <xf numFmtId="172" fontId="94" fillId="32" borderId="16" xfId="1" applyNumberFormat="1" applyFont="1" applyFill="1" applyBorder="1" applyAlignment="1">
      <alignment horizontal="right" vertical="center"/>
    </xf>
    <xf numFmtId="173" fontId="92" fillId="32" borderId="16" xfId="1" applyNumberFormat="1" applyFont="1" applyFill="1" applyBorder="1" applyAlignment="1">
      <alignment horizontal="right" vertical="center"/>
    </xf>
    <xf numFmtId="172" fontId="92" fillId="32" borderId="21" xfId="1" applyNumberFormat="1" applyFont="1" applyFill="1" applyBorder="1" applyAlignment="1">
      <alignment horizontal="right" vertical="center"/>
    </xf>
    <xf numFmtId="172" fontId="94" fillId="32" borderId="5" xfId="1" applyNumberFormat="1" applyFont="1" applyFill="1" applyBorder="1" applyAlignment="1">
      <alignment horizontal="right" vertical="center"/>
    </xf>
    <xf numFmtId="173" fontId="92" fillId="32" borderId="17" xfId="1" applyNumberFormat="1" applyFont="1" applyFill="1" applyBorder="1" applyAlignment="1">
      <alignment horizontal="right" vertical="center"/>
    </xf>
    <xf numFmtId="0" fontId="79" fillId="0" borderId="28" xfId="1" applyFont="1" applyFill="1" applyBorder="1" applyAlignment="1">
      <alignment horizontal="center" vertical="center" wrapText="1"/>
    </xf>
    <xf numFmtId="3" fontId="90" fillId="0" borderId="53" xfId="1" applyNumberFormat="1" applyFont="1" applyFill="1" applyBorder="1" applyAlignment="1"/>
    <xf numFmtId="172" fontId="90" fillId="0" borderId="40" xfId="1" applyNumberFormat="1" applyFont="1" applyFill="1" applyBorder="1" applyAlignment="1">
      <alignment horizontal="center"/>
    </xf>
    <xf numFmtId="172" fontId="90" fillId="0" borderId="0" xfId="1" applyNumberFormat="1" applyFont="1" applyFill="1" applyBorder="1" applyAlignment="1">
      <alignment horizontal="center"/>
    </xf>
    <xf numFmtId="172" fontId="90" fillId="0" borderId="53" xfId="1" applyNumberFormat="1" applyFont="1" applyFill="1" applyBorder="1" applyAlignment="1">
      <alignment horizontal="center"/>
    </xf>
    <xf numFmtId="172" fontId="90" fillId="34" borderId="40" xfId="1" applyNumberFormat="1" applyFont="1" applyFill="1" applyBorder="1" applyAlignment="1">
      <alignment horizontal="center"/>
    </xf>
    <xf numFmtId="172" fontId="90" fillId="34" borderId="53" xfId="1" applyNumberFormat="1" applyFont="1" applyFill="1" applyBorder="1" applyAlignment="1">
      <alignment horizontal="center"/>
    </xf>
    <xf numFmtId="0" fontId="79" fillId="0" borderId="30" xfId="1" applyFont="1" applyFill="1" applyBorder="1" applyAlignment="1">
      <alignment horizontal="center" vertical="center" wrapText="1"/>
    </xf>
    <xf numFmtId="3" fontId="90" fillId="0" borderId="29" xfId="1" applyNumberFormat="1" applyFont="1" applyFill="1" applyBorder="1" applyAlignment="1"/>
    <xf numFmtId="172" fontId="90" fillId="0" borderId="29" xfId="1" applyNumberFormat="1" applyFont="1" applyFill="1" applyBorder="1" applyAlignment="1">
      <alignment horizontal="center"/>
    </xf>
    <xf numFmtId="172" fontId="90" fillId="34" borderId="0" xfId="1" applyNumberFormat="1" applyFont="1" applyFill="1" applyBorder="1" applyAlignment="1">
      <alignment horizontal="center"/>
    </xf>
    <xf numFmtId="172" fontId="90" fillId="34" borderId="29" xfId="1" applyNumberFormat="1" applyFont="1" applyFill="1" applyBorder="1" applyAlignment="1">
      <alignment horizontal="center"/>
    </xf>
    <xf numFmtId="172" fontId="90" fillId="0" borderId="30" xfId="1" applyNumberFormat="1" applyFont="1" applyFill="1" applyBorder="1" applyAlignment="1">
      <alignment horizontal="center"/>
    </xf>
    <xf numFmtId="3" fontId="90" fillId="0" borderId="0" xfId="0" applyNumberFormat="1" applyFont="1" applyBorder="1" applyAlignment="1">
      <alignment horizontal="center"/>
    </xf>
    <xf numFmtId="3" fontId="90" fillId="0" borderId="29" xfId="0" applyNumberFormat="1" applyFont="1" applyBorder="1" applyAlignment="1">
      <alignment horizontal="center"/>
    </xf>
    <xf numFmtId="3" fontId="90" fillId="0" borderId="30" xfId="0" applyNumberFormat="1" applyFont="1" applyBorder="1" applyAlignment="1">
      <alignment horizontal="center"/>
    </xf>
    <xf numFmtId="172" fontId="94" fillId="0" borderId="1" xfId="1" applyNumberFormat="1" applyFont="1" applyFill="1" applyBorder="1" applyAlignment="1">
      <alignment horizontal="center" vertical="center"/>
    </xf>
    <xf numFmtId="172" fontId="94" fillId="0" borderId="6" xfId="1" applyNumberFormat="1" applyFont="1" applyFill="1" applyBorder="1" applyAlignment="1">
      <alignment horizontal="center" vertical="center"/>
    </xf>
    <xf numFmtId="172" fontId="94" fillId="0" borderId="25" xfId="1" applyNumberFormat="1" applyFont="1" applyFill="1" applyBorder="1" applyAlignment="1">
      <alignment horizontal="center" vertical="center"/>
    </xf>
    <xf numFmtId="172" fontId="94" fillId="0" borderId="54" xfId="1" applyNumberFormat="1" applyFont="1" applyFill="1" applyBorder="1" applyAlignment="1">
      <alignment horizontal="center" vertical="center"/>
    </xf>
    <xf numFmtId="172" fontId="94" fillId="34" borderId="6" xfId="1" applyNumberFormat="1" applyFont="1" applyFill="1" applyBorder="1" applyAlignment="1">
      <alignment horizontal="center" vertical="center"/>
    </xf>
    <xf numFmtId="172" fontId="94" fillId="34" borderId="25" xfId="1" applyNumberFormat="1" applyFont="1" applyFill="1" applyBorder="1" applyAlignment="1">
      <alignment horizontal="center" vertical="center"/>
    </xf>
    <xf numFmtId="9" fontId="98" fillId="0" borderId="0" xfId="425" applyFont="1" applyFill="1" applyBorder="1" applyAlignment="1">
      <alignment horizontal="right" vertical="center"/>
    </xf>
    <xf numFmtId="172" fontId="98" fillId="0" borderId="0" xfId="1" applyNumberFormat="1" applyFont="1" applyFill="1" applyBorder="1" applyAlignment="1">
      <alignment horizontal="right" vertical="center"/>
    </xf>
    <xf numFmtId="172" fontId="92" fillId="30" borderId="0" xfId="1" applyNumberFormat="1" applyFont="1" applyFill="1" applyBorder="1"/>
    <xf numFmtId="0" fontId="95" fillId="0" borderId="0" xfId="1" applyFont="1" applyFill="1"/>
    <xf numFmtId="172" fontId="96" fillId="0" borderId="0" xfId="1" applyNumberFormat="1" applyFont="1" applyFill="1"/>
    <xf numFmtId="172" fontId="79" fillId="0" borderId="0" xfId="1" applyNumberFormat="1" applyFont="1" applyFill="1"/>
    <xf numFmtId="174" fontId="84" fillId="0" borderId="0" xfId="1" applyNumberFormat="1" applyFont="1" applyFill="1"/>
    <xf numFmtId="174" fontId="85" fillId="0" borderId="0" xfId="1" applyNumberFormat="1" applyFont="1" applyFill="1"/>
    <xf numFmtId="172" fontId="85" fillId="0" borderId="0" xfId="1" applyNumberFormat="1" applyFont="1" applyFill="1"/>
    <xf numFmtId="172" fontId="90" fillId="0" borderId="0" xfId="270" applyNumberFormat="1" applyFont="1" applyFill="1"/>
    <xf numFmtId="172" fontId="99" fillId="0" borderId="0" xfId="270" applyNumberFormat="1" applyFont="1" applyFill="1"/>
    <xf numFmtId="3" fontId="100" fillId="0" borderId="0" xfId="1" applyNumberFormat="1" applyFont="1" applyFill="1" applyBorder="1" applyAlignment="1">
      <alignment horizontal="left"/>
    </xf>
    <xf numFmtId="3" fontId="95" fillId="0" borderId="0" xfId="1" applyNumberFormat="1" applyFont="1" applyFill="1"/>
    <xf numFmtId="172" fontId="101" fillId="0" borderId="0" xfId="1" applyNumberFormat="1" applyFont="1" applyFill="1"/>
    <xf numFmtId="172" fontId="102" fillId="0" borderId="0" xfId="1" applyNumberFormat="1" applyFont="1" applyFill="1" applyAlignment="1"/>
    <xf numFmtId="9" fontId="98" fillId="0" borderId="0" xfId="425" applyFont="1" applyFill="1" applyAlignment="1"/>
    <xf numFmtId="172" fontId="95" fillId="0" borderId="0" xfId="1" applyNumberFormat="1" applyFont="1" applyFill="1" applyAlignment="1"/>
    <xf numFmtId="172" fontId="90" fillId="0" borderId="0" xfId="1" applyNumberFormat="1" applyFont="1" applyFill="1"/>
    <xf numFmtId="172" fontId="94" fillId="0" borderId="6" xfId="1" applyNumberFormat="1" applyFont="1" applyFill="1" applyBorder="1" applyAlignment="1">
      <alignment horizontal="right" vertical="center"/>
    </xf>
    <xf numFmtId="172" fontId="92" fillId="0" borderId="6" xfId="1" applyNumberFormat="1" applyFont="1" applyFill="1" applyBorder="1" applyAlignment="1">
      <alignment horizontal="right" vertical="center"/>
    </xf>
    <xf numFmtId="173" fontId="92" fillId="0" borderId="6" xfId="1" applyNumberFormat="1" applyFont="1" applyFill="1" applyBorder="1" applyAlignment="1">
      <alignment horizontal="right" vertical="center"/>
    </xf>
    <xf numFmtId="172" fontId="94" fillId="0" borderId="25" xfId="1" applyNumberFormat="1" applyFont="1" applyFill="1" applyBorder="1" applyAlignment="1">
      <alignment horizontal="right" vertical="center"/>
    </xf>
    <xf numFmtId="0" fontId="91" fillId="0" borderId="0" xfId="1" applyFont="1" applyFill="1" applyBorder="1"/>
    <xf numFmtId="172" fontId="86" fillId="0" borderId="0" xfId="1" applyNumberFormat="1" applyFont="1" applyFill="1" applyBorder="1"/>
    <xf numFmtId="172" fontId="90" fillId="0" borderId="0" xfId="1" applyNumberFormat="1" applyFont="1" applyFill="1" applyBorder="1"/>
    <xf numFmtId="0" fontId="86" fillId="0" borderId="0" xfId="1" applyFont="1" applyFill="1" applyBorder="1"/>
    <xf numFmtId="172" fontId="91" fillId="0" borderId="0" xfId="1" applyNumberFormat="1" applyFont="1" applyFill="1" applyBorder="1" applyAlignment="1"/>
    <xf numFmtId="172" fontId="91" fillId="0" borderId="0" xfId="1" applyNumberFormat="1" applyFont="1" applyFill="1" applyBorder="1"/>
    <xf numFmtId="1" fontId="87" fillId="34" borderId="1" xfId="1" applyNumberFormat="1" applyFont="1" applyFill="1" applyBorder="1" applyAlignment="1">
      <alignment horizontal="center" vertical="center" wrapText="1"/>
    </xf>
    <xf numFmtId="0" fontId="87" fillId="34" borderId="1" xfId="1" applyFont="1" applyFill="1" applyBorder="1" applyAlignment="1">
      <alignment horizontal="center" vertical="center" wrapText="1"/>
    </xf>
    <xf numFmtId="1" fontId="79" fillId="34" borderId="1" xfId="1" applyNumberFormat="1" applyFont="1" applyFill="1" applyBorder="1" applyAlignment="1">
      <alignment horizontal="center" vertical="center"/>
    </xf>
    <xf numFmtId="1" fontId="89" fillId="34" borderId="1" xfId="1" applyNumberFormat="1" applyFont="1" applyFill="1" applyBorder="1" applyAlignment="1">
      <alignment horizontal="center" vertical="center" wrapText="1"/>
    </xf>
    <xf numFmtId="1" fontId="79" fillId="34" borderId="1" xfId="1" applyNumberFormat="1" applyFont="1" applyFill="1" applyBorder="1" applyAlignment="1">
      <alignment horizontal="center" vertical="center" wrapText="1"/>
    </xf>
    <xf numFmtId="1" fontId="78" fillId="34" borderId="1" xfId="1" applyNumberFormat="1" applyFont="1" applyFill="1" applyBorder="1" applyAlignment="1">
      <alignment horizontal="center" vertical="center"/>
    </xf>
    <xf numFmtId="1" fontId="78" fillId="34" borderId="1" xfId="1" quotePrefix="1" applyNumberFormat="1" applyFont="1" applyFill="1" applyBorder="1" applyAlignment="1">
      <alignment horizontal="center" vertical="center" wrapText="1"/>
    </xf>
    <xf numFmtId="17" fontId="77" fillId="0" borderId="0" xfId="0" applyNumberFormat="1" applyFont="1" applyAlignment="1">
      <alignment horizontal="center" vertical="center"/>
    </xf>
    <xf numFmtId="173" fontId="93" fillId="0" borderId="54" xfId="1" applyNumberFormat="1" applyFont="1" applyFill="1" applyBorder="1" applyAlignment="1">
      <alignment horizontal="center" vertical="center"/>
    </xf>
    <xf numFmtId="0" fontId="86" fillId="0" borderId="6" xfId="1" applyFont="1" applyFill="1" applyBorder="1" applyAlignment="1">
      <alignment horizontal="center"/>
    </xf>
    <xf numFmtId="0" fontId="86" fillId="33" borderId="16" xfId="1" applyFont="1" applyFill="1" applyBorder="1" applyAlignment="1">
      <alignment horizontal="center"/>
    </xf>
    <xf numFmtId="0" fontId="86" fillId="35" borderId="16" xfId="1" applyFont="1" applyFill="1" applyBorder="1" applyAlignment="1">
      <alignment horizontal="center"/>
    </xf>
    <xf numFmtId="1" fontId="78" fillId="34" borderId="1" xfId="1" applyNumberFormat="1" applyFont="1" applyFill="1" applyBorder="1" applyAlignment="1">
      <alignment horizontal="center" vertical="center"/>
    </xf>
    <xf numFmtId="0" fontId="78" fillId="34" borderId="61" xfId="1" applyFont="1" applyFill="1" applyBorder="1" applyAlignment="1">
      <alignment horizontal="center" vertical="center" wrapText="1"/>
    </xf>
    <xf numFmtId="3" fontId="90" fillId="0" borderId="66" xfId="1" applyNumberFormat="1" applyFont="1" applyFill="1" applyBorder="1" applyAlignment="1"/>
    <xf numFmtId="173" fontId="93" fillId="0" borderId="59" xfId="1" applyNumberFormat="1" applyFont="1" applyFill="1" applyBorder="1" applyAlignment="1">
      <alignment horizontal="center" vertical="center"/>
    </xf>
    <xf numFmtId="3" fontId="90" fillId="0" borderId="28" xfId="1" applyNumberFormat="1" applyFont="1" applyFill="1" applyBorder="1" applyAlignment="1"/>
    <xf numFmtId="3" fontId="90" fillId="0" borderId="40" xfId="1" applyNumberFormat="1" applyFont="1" applyFill="1" applyBorder="1" applyAlignment="1"/>
    <xf numFmtId="3" fontId="90" fillId="0" borderId="30" xfId="1" applyNumberFormat="1" applyFont="1" applyFill="1" applyBorder="1" applyAlignment="1"/>
    <xf numFmtId="3" fontId="90" fillId="0" borderId="0" xfId="1" applyNumberFormat="1" applyFont="1" applyFill="1" applyBorder="1" applyAlignment="1"/>
    <xf numFmtId="173" fontId="93" fillId="0" borderId="6" xfId="1" applyNumberFormat="1" applyFont="1" applyFill="1" applyBorder="1" applyAlignment="1">
      <alignment horizontal="center" vertical="center"/>
    </xf>
    <xf numFmtId="180" fontId="90" fillId="0" borderId="28" xfId="426" applyNumberFormat="1" applyFont="1" applyFill="1" applyBorder="1" applyAlignment="1">
      <alignment horizontal="center"/>
    </xf>
    <xf numFmtId="180" fontId="90" fillId="0" borderId="30" xfId="426" applyNumberFormat="1" applyFont="1" applyFill="1" applyBorder="1" applyAlignment="1">
      <alignment horizontal="center"/>
    </xf>
    <xf numFmtId="172" fontId="90" fillId="0" borderId="70" xfId="1" applyNumberFormat="1" applyFont="1" applyFill="1" applyBorder="1" applyAlignment="1">
      <alignment horizontal="center"/>
    </xf>
    <xf numFmtId="172" fontId="90" fillId="0" borderId="68" xfId="1" applyNumberFormat="1" applyFont="1" applyFill="1" applyBorder="1" applyAlignment="1">
      <alignment horizontal="center"/>
    </xf>
    <xf numFmtId="172" fontId="90" fillId="0" borderId="69" xfId="1" applyNumberFormat="1" applyFont="1" applyFill="1" applyBorder="1" applyAlignment="1">
      <alignment horizontal="center"/>
    </xf>
    <xf numFmtId="172" fontId="86" fillId="33" borderId="16" xfId="1" applyNumberFormat="1" applyFont="1" applyFill="1" applyBorder="1" applyAlignment="1">
      <alignment horizontal="center"/>
    </xf>
    <xf numFmtId="3" fontId="90" fillId="0" borderId="31" xfId="1" applyNumberFormat="1" applyFont="1" applyFill="1" applyBorder="1" applyAlignment="1"/>
    <xf numFmtId="3" fontId="90" fillId="0" borderId="39" xfId="1" applyNumberFormat="1" applyFont="1" applyFill="1" applyBorder="1" applyAlignment="1"/>
    <xf numFmtId="3" fontId="90" fillId="0" borderId="32" xfId="1" applyNumberFormat="1" applyFont="1" applyFill="1" applyBorder="1" applyAlignment="1"/>
    <xf numFmtId="3" fontId="90" fillId="0" borderId="1" xfId="1" applyNumberFormat="1" applyFont="1" applyFill="1" applyBorder="1" applyAlignment="1"/>
    <xf numFmtId="172" fontId="92" fillId="0" borderId="34" xfId="1" applyNumberFormat="1" applyFont="1" applyFill="1" applyBorder="1" applyAlignment="1">
      <alignment horizontal="center"/>
    </xf>
    <xf numFmtId="3" fontId="90" fillId="0" borderId="71" xfId="1" applyNumberFormat="1" applyFont="1" applyFill="1" applyBorder="1" applyAlignment="1"/>
    <xf numFmtId="3" fontId="90" fillId="0" borderId="35" xfId="1" applyNumberFormat="1" applyFont="1" applyFill="1" applyBorder="1" applyAlignment="1"/>
    <xf numFmtId="172" fontId="92" fillId="0" borderId="43" xfId="1" applyNumberFormat="1" applyFont="1" applyFill="1" applyBorder="1" applyAlignment="1">
      <alignment horizontal="center"/>
    </xf>
    <xf numFmtId="172" fontId="94" fillId="0" borderId="17" xfId="1" applyNumberFormat="1" applyFont="1" applyFill="1" applyBorder="1" applyAlignment="1">
      <alignment horizontal="center" vertical="center"/>
    </xf>
    <xf numFmtId="172" fontId="94" fillId="0" borderId="21" xfId="1" applyNumberFormat="1" applyFont="1" applyFill="1" applyBorder="1" applyAlignment="1">
      <alignment horizontal="center" vertical="center"/>
    </xf>
    <xf numFmtId="172" fontId="94" fillId="0" borderId="72" xfId="1" applyNumberFormat="1" applyFont="1" applyFill="1" applyBorder="1" applyAlignment="1">
      <alignment horizontal="center" vertical="center"/>
    </xf>
    <xf numFmtId="0" fontId="86" fillId="0" borderId="6" xfId="1" applyFont="1" applyFill="1" applyBorder="1" applyAlignment="1">
      <alignment horizontal="center"/>
    </xf>
    <xf numFmtId="0" fontId="86" fillId="33" borderId="16" xfId="1" applyFont="1" applyFill="1" applyBorder="1" applyAlignment="1">
      <alignment horizontal="center"/>
    </xf>
    <xf numFmtId="0" fontId="86" fillId="35" borderId="16" xfId="1" applyFont="1" applyFill="1" applyBorder="1" applyAlignment="1">
      <alignment horizontal="center"/>
    </xf>
    <xf numFmtId="1" fontId="78" fillId="34" borderId="1" xfId="1" applyNumberFormat="1" applyFont="1" applyFill="1" applyBorder="1" applyAlignment="1">
      <alignment horizontal="center" vertical="center"/>
    </xf>
    <xf numFmtId="173" fontId="93" fillId="0" borderId="54" xfId="1" applyNumberFormat="1" applyFont="1" applyFill="1" applyBorder="1" applyAlignment="1">
      <alignment horizontal="center" vertical="center"/>
    </xf>
    <xf numFmtId="3" fontId="90" fillId="0" borderId="73" xfId="1" applyNumberFormat="1" applyFont="1" applyFill="1" applyBorder="1" applyAlignment="1"/>
    <xf numFmtId="3" fontId="90" fillId="0" borderId="54" xfId="1" applyNumberFormat="1" applyFont="1" applyFill="1" applyBorder="1" applyAlignment="1"/>
    <xf numFmtId="172" fontId="99" fillId="0" borderId="0" xfId="1" applyNumberFormat="1" applyFont="1" applyFill="1" applyBorder="1" applyAlignment="1">
      <alignment horizontal="center"/>
    </xf>
    <xf numFmtId="175" fontId="95" fillId="0" borderId="0" xfId="426" applyNumberFormat="1" applyFont="1" applyFill="1"/>
    <xf numFmtId="172" fontId="103" fillId="0" borderId="6" xfId="1" applyNumberFormat="1" applyFont="1" applyFill="1" applyBorder="1" applyAlignment="1">
      <alignment horizontal="center" vertical="center"/>
    </xf>
    <xf numFmtId="172" fontId="104" fillId="0" borderId="0" xfId="1" applyNumberFormat="1" applyFont="1" applyFill="1" applyBorder="1" applyAlignment="1">
      <alignment horizontal="center"/>
    </xf>
    <xf numFmtId="172" fontId="99" fillId="0" borderId="33" xfId="1" applyNumberFormat="1" applyFont="1" applyFill="1" applyBorder="1" applyAlignment="1">
      <alignment horizontal="center"/>
    </xf>
    <xf numFmtId="172" fontId="99" fillId="0" borderId="34" xfId="1" applyNumberFormat="1" applyFont="1" applyFill="1" applyBorder="1" applyAlignment="1">
      <alignment horizontal="center"/>
    </xf>
    <xf numFmtId="172" fontId="99" fillId="0" borderId="39" xfId="1" applyNumberFormat="1" applyFont="1" applyFill="1" applyBorder="1" applyAlignment="1">
      <alignment horizontal="center"/>
    </xf>
    <xf numFmtId="172" fontId="99" fillId="0" borderId="1" xfId="1" applyNumberFormat="1" applyFont="1" applyFill="1" applyBorder="1" applyAlignment="1">
      <alignment horizontal="center"/>
    </xf>
    <xf numFmtId="172" fontId="99" fillId="0" borderId="42" xfId="1" applyNumberFormat="1" applyFont="1" applyFill="1" applyBorder="1" applyAlignment="1">
      <alignment horizontal="center"/>
    </xf>
    <xf numFmtId="172" fontId="99" fillId="0" borderId="30" xfId="1" applyNumberFormat="1" applyFont="1" applyFill="1" applyBorder="1" applyAlignment="1">
      <alignment horizontal="center"/>
    </xf>
    <xf numFmtId="172" fontId="99" fillId="0" borderId="28" xfId="1" applyNumberFormat="1" applyFont="1" applyFill="1" applyBorder="1" applyAlignment="1">
      <alignment horizontal="center"/>
    </xf>
    <xf numFmtId="3" fontId="99" fillId="0" borderId="30" xfId="0" applyNumberFormat="1" applyFont="1" applyFill="1" applyBorder="1" applyAlignment="1">
      <alignment horizontal="center"/>
    </xf>
    <xf numFmtId="0" fontId="86" fillId="35" borderId="16" xfId="1" applyFont="1" applyFill="1" applyBorder="1" applyAlignment="1">
      <alignment horizontal="center"/>
    </xf>
    <xf numFmtId="1" fontId="78" fillId="34" borderId="1" xfId="1" applyNumberFormat="1" applyFont="1" applyFill="1" applyBorder="1" applyAlignment="1">
      <alignment horizontal="center" vertical="center"/>
    </xf>
    <xf numFmtId="1" fontId="78" fillId="34" borderId="40" xfId="1" applyNumberFormat="1" applyFont="1" applyFill="1" applyBorder="1" applyAlignment="1">
      <alignment horizontal="center" vertical="center"/>
    </xf>
    <xf numFmtId="1" fontId="78" fillId="34" borderId="51" xfId="1" applyNumberFormat="1" applyFont="1" applyFill="1" applyBorder="1" applyAlignment="1">
      <alignment horizontal="center" vertical="center"/>
    </xf>
    <xf numFmtId="3" fontId="90" fillId="0" borderId="0" xfId="0" applyNumberFormat="1" applyFont="1" applyFill="1" applyBorder="1" applyAlignment="1">
      <alignment horizontal="center"/>
    </xf>
    <xf numFmtId="172" fontId="86" fillId="0" borderId="25" xfId="1" applyNumberFormat="1" applyFont="1" applyFill="1" applyBorder="1" applyAlignment="1">
      <alignment horizontal="center" vertical="center"/>
    </xf>
    <xf numFmtId="1" fontId="78" fillId="34" borderId="41" xfId="1" applyNumberFormat="1" applyFont="1" applyFill="1" applyBorder="1" applyAlignment="1">
      <alignment horizontal="center" vertical="center"/>
    </xf>
    <xf numFmtId="1" fontId="78" fillId="34" borderId="43" xfId="1" applyNumberFormat="1" applyFont="1" applyFill="1" applyBorder="1" applyAlignment="1">
      <alignment horizontal="center" vertical="center"/>
    </xf>
    <xf numFmtId="1" fontId="78" fillId="34" borderId="1" xfId="1" applyNumberFormat="1" applyFont="1" applyFill="1" applyBorder="1" applyAlignment="1">
      <alignment horizontal="center" vertical="center"/>
    </xf>
    <xf numFmtId="1" fontId="78" fillId="34" borderId="42" xfId="1" applyNumberFormat="1" applyFont="1" applyFill="1" applyBorder="1" applyAlignment="1">
      <alignment horizontal="center" vertical="center"/>
    </xf>
    <xf numFmtId="1" fontId="78" fillId="34" borderId="1" xfId="1" applyNumberFormat="1" applyFont="1" applyFill="1" applyBorder="1" applyAlignment="1">
      <alignment horizontal="center" vertical="center" wrapText="1"/>
    </xf>
    <xf numFmtId="1" fontId="87" fillId="36" borderId="1" xfId="1" applyNumberFormat="1" applyFont="1" applyFill="1" applyBorder="1" applyAlignment="1">
      <alignment horizontal="center" vertical="center" wrapText="1"/>
    </xf>
    <xf numFmtId="1" fontId="78" fillId="34" borderId="32" xfId="1" applyNumberFormat="1" applyFont="1" applyFill="1" applyBorder="1" applyAlignment="1">
      <alignment horizontal="center" vertical="center" wrapText="1"/>
    </xf>
    <xf numFmtId="1" fontId="78" fillId="34" borderId="34" xfId="1" applyNumberFormat="1" applyFont="1" applyFill="1" applyBorder="1" applyAlignment="1">
      <alignment horizontal="center" vertical="center" wrapText="1"/>
    </xf>
    <xf numFmtId="1" fontId="79" fillId="34" borderId="32" xfId="1" applyNumberFormat="1" applyFont="1" applyFill="1" applyBorder="1" applyAlignment="1">
      <alignment horizontal="center" vertical="center"/>
    </xf>
    <xf numFmtId="1" fontId="79" fillId="34" borderId="34" xfId="1" applyNumberFormat="1" applyFont="1" applyFill="1" applyBorder="1" applyAlignment="1">
      <alignment horizontal="center" vertical="center"/>
    </xf>
    <xf numFmtId="172" fontId="99" fillId="0" borderId="43" xfId="1" applyNumberFormat="1" applyFont="1" applyFill="1" applyBorder="1" applyAlignment="1">
      <alignment horizontal="center"/>
    </xf>
    <xf numFmtId="172" fontId="105" fillId="0" borderId="39" xfId="1" applyNumberFormat="1" applyFont="1" applyFill="1" applyBorder="1" applyAlignment="1">
      <alignment horizontal="center"/>
    </xf>
    <xf numFmtId="172" fontId="105" fillId="0" borderId="1" xfId="1" applyNumberFormat="1" applyFont="1" applyFill="1" applyBorder="1" applyAlignment="1">
      <alignment horizontal="center"/>
    </xf>
    <xf numFmtId="172" fontId="105" fillId="0" borderId="42" xfId="1" applyNumberFormat="1" applyFont="1" applyFill="1" applyBorder="1" applyAlignment="1">
      <alignment horizontal="center"/>
    </xf>
    <xf numFmtId="1" fontId="78" fillId="34" borderId="1" xfId="1" applyNumberFormat="1" applyFont="1" applyFill="1" applyBorder="1" applyAlignment="1">
      <alignment horizontal="center" vertical="center"/>
    </xf>
    <xf numFmtId="180" fontId="99" fillId="0" borderId="28" xfId="426" applyNumberFormat="1" applyFont="1" applyFill="1" applyBorder="1" applyAlignment="1">
      <alignment horizontal="right" vertical="center"/>
    </xf>
    <xf numFmtId="180" fontId="99" fillId="0" borderId="0" xfId="426" applyNumberFormat="1" applyFont="1" applyFill="1" applyBorder="1" applyAlignment="1">
      <alignment horizontal="right" vertical="center"/>
    </xf>
    <xf numFmtId="180" fontId="99" fillId="0" borderId="30" xfId="426" applyNumberFormat="1" applyFont="1" applyFill="1" applyBorder="1" applyAlignment="1">
      <alignment horizontal="right" vertical="center"/>
    </xf>
    <xf numFmtId="180" fontId="99" fillId="0" borderId="30" xfId="426" applyNumberFormat="1" applyFont="1" applyBorder="1" applyAlignment="1">
      <alignment horizontal="right" vertical="center"/>
    </xf>
    <xf numFmtId="3" fontId="12" fillId="0" borderId="0" xfId="1" applyNumberFormat="1" applyFill="1"/>
    <xf numFmtId="3" fontId="99" fillId="0" borderId="40" xfId="1" applyNumberFormat="1" applyFont="1" applyFill="1" applyBorder="1" applyAlignment="1"/>
    <xf numFmtId="3" fontId="99" fillId="0" borderId="0" xfId="1" applyNumberFormat="1" applyFont="1" applyFill="1" applyBorder="1" applyAlignment="1"/>
    <xf numFmtId="3" fontId="99" fillId="0" borderId="0" xfId="0" applyNumberFormat="1" applyFont="1" applyBorder="1" applyAlignment="1">
      <alignment horizontal="center"/>
    </xf>
    <xf numFmtId="172" fontId="92" fillId="37" borderId="0" xfId="1" applyNumberFormat="1" applyFont="1" applyFill="1" applyBorder="1" applyAlignment="1">
      <alignment horizontal="right" vertical="center"/>
    </xf>
    <xf numFmtId="180" fontId="14" fillId="0" borderId="0" xfId="1" applyNumberFormat="1" applyFont="1" applyFill="1"/>
    <xf numFmtId="0" fontId="107" fillId="0" borderId="0" xfId="1" applyFont="1" applyFill="1" applyAlignment="1">
      <alignment vertical="center"/>
    </xf>
    <xf numFmtId="49" fontId="107" fillId="0" borderId="0" xfId="1" applyNumberFormat="1" applyFont="1" applyFill="1" applyAlignment="1">
      <alignment vertical="center"/>
    </xf>
    <xf numFmtId="0" fontId="108" fillId="0" borderId="0" xfId="1" applyFont="1" applyFill="1"/>
    <xf numFmtId="0" fontId="109" fillId="0" borderId="0" xfId="1" applyFont="1" applyFill="1"/>
    <xf numFmtId="172" fontId="108" fillId="0" borderId="0" xfId="1" applyNumberFormat="1" applyFont="1" applyFill="1"/>
    <xf numFmtId="1" fontId="78" fillId="34" borderId="1" xfId="1" applyNumberFormat="1" applyFont="1" applyFill="1" applyBorder="1" applyAlignment="1">
      <alignment horizontal="center" vertical="center"/>
    </xf>
    <xf numFmtId="3" fontId="99" fillId="0" borderId="1" xfId="0" applyNumberFormat="1" applyFont="1" applyFill="1" applyBorder="1" applyAlignment="1">
      <alignment vertical="center"/>
    </xf>
    <xf numFmtId="0" fontId="12" fillId="0" borderId="0" xfId="1" applyFill="1" applyAlignment="1">
      <alignment horizontal="center"/>
    </xf>
    <xf numFmtId="172" fontId="90" fillId="38" borderId="39" xfId="1" applyNumberFormat="1" applyFont="1" applyFill="1" applyBorder="1" applyAlignment="1">
      <alignment horizontal="center"/>
    </xf>
    <xf numFmtId="172" fontId="90" fillId="38" borderId="1" xfId="1" applyNumberFormat="1" applyFont="1" applyFill="1" applyBorder="1" applyAlignment="1">
      <alignment horizontal="center"/>
    </xf>
    <xf numFmtId="172" fontId="90" fillId="38" borderId="42" xfId="1" applyNumberFormat="1" applyFont="1" applyFill="1" applyBorder="1" applyAlignment="1">
      <alignment horizontal="center"/>
    </xf>
    <xf numFmtId="3" fontId="90" fillId="0" borderId="74" xfId="1" applyNumberFormat="1" applyFont="1" applyFill="1" applyBorder="1" applyAlignment="1"/>
    <xf numFmtId="3" fontId="90" fillId="0" borderId="70" xfId="1" applyNumberFormat="1" applyFont="1" applyFill="1" applyBorder="1" applyAlignment="1"/>
    <xf numFmtId="175" fontId="91" fillId="0" borderId="0" xfId="426" applyNumberFormat="1" applyFont="1" applyFill="1"/>
    <xf numFmtId="172" fontId="90" fillId="39" borderId="53" xfId="1" applyNumberFormat="1" applyFont="1" applyFill="1" applyBorder="1" applyAlignment="1">
      <alignment horizontal="center"/>
    </xf>
    <xf numFmtId="172" fontId="90" fillId="39" borderId="29" xfId="1" applyNumberFormat="1" applyFont="1" applyFill="1" applyBorder="1" applyAlignment="1">
      <alignment horizontal="center"/>
    </xf>
    <xf numFmtId="3" fontId="90" fillId="39" borderId="29" xfId="0" applyNumberFormat="1" applyFont="1" applyFill="1" applyBorder="1" applyAlignment="1">
      <alignment horizontal="center"/>
    </xf>
    <xf numFmtId="172" fontId="90" fillId="39" borderId="40" xfId="1" applyNumberFormat="1" applyFont="1" applyFill="1" applyBorder="1" applyAlignment="1">
      <alignment horizontal="center"/>
    </xf>
    <xf numFmtId="172" fontId="90" fillId="39" borderId="0" xfId="1" applyNumberFormat="1" applyFont="1" applyFill="1" applyBorder="1" applyAlignment="1">
      <alignment horizontal="center"/>
    </xf>
    <xf numFmtId="172" fontId="86" fillId="39" borderId="25" xfId="1" applyNumberFormat="1" applyFont="1" applyFill="1" applyBorder="1" applyAlignment="1">
      <alignment horizontal="center" vertical="center"/>
    </xf>
    <xf numFmtId="172" fontId="86" fillId="39" borderId="1" xfId="1" applyNumberFormat="1" applyFont="1" applyFill="1" applyBorder="1" applyAlignment="1">
      <alignment horizontal="center" vertical="center"/>
    </xf>
    <xf numFmtId="0" fontId="86" fillId="34" borderId="37" xfId="1" applyFont="1" applyFill="1" applyBorder="1" applyAlignment="1">
      <alignment horizontal="center" vertical="center" wrapText="1"/>
    </xf>
    <xf numFmtId="0" fontId="86" fillId="34" borderId="27" xfId="1" applyFont="1" applyFill="1" applyBorder="1" applyAlignment="1">
      <alignment horizontal="center" vertical="center" wrapText="1"/>
    </xf>
    <xf numFmtId="0" fontId="86" fillId="34" borderId="44" xfId="1" applyFont="1" applyFill="1" applyBorder="1" applyAlignment="1">
      <alignment horizontal="center" vertical="center" wrapText="1"/>
    </xf>
    <xf numFmtId="0" fontId="86" fillId="34" borderId="54" xfId="1" applyFont="1" applyFill="1" applyBorder="1" applyAlignment="1">
      <alignment horizontal="center" vertical="center" wrapText="1"/>
    </xf>
    <xf numFmtId="0" fontId="86" fillId="34" borderId="6" xfId="1" applyFont="1" applyFill="1" applyBorder="1" applyAlignment="1">
      <alignment horizontal="center" vertical="center" wrapText="1"/>
    </xf>
    <xf numFmtId="0" fontId="86" fillId="34" borderId="25" xfId="1" applyFont="1" applyFill="1" applyBorder="1" applyAlignment="1">
      <alignment horizontal="center" vertical="center" wrapText="1"/>
    </xf>
    <xf numFmtId="1" fontId="78" fillId="34" borderId="1" xfId="1" applyNumberFormat="1" applyFont="1" applyFill="1" applyBorder="1" applyAlignment="1">
      <alignment horizontal="center" vertical="center"/>
    </xf>
    <xf numFmtId="1" fontId="78" fillId="34" borderId="42" xfId="1" applyNumberFormat="1" applyFont="1" applyFill="1" applyBorder="1" applyAlignment="1">
      <alignment horizontal="center" vertical="center"/>
    </xf>
    <xf numFmtId="0" fontId="79" fillId="0" borderId="30" xfId="1" applyFont="1" applyFill="1" applyBorder="1" applyAlignment="1">
      <alignment horizontal="center" vertical="center" wrapText="1"/>
    </xf>
    <xf numFmtId="173" fontId="93" fillId="0" borderId="54" xfId="1" applyNumberFormat="1" applyFont="1" applyFill="1" applyBorder="1" applyAlignment="1">
      <alignment horizontal="center" vertical="center"/>
    </xf>
    <xf numFmtId="173" fontId="93" fillId="0" borderId="25" xfId="1" applyNumberFormat="1" applyFont="1" applyFill="1" applyBorder="1" applyAlignment="1">
      <alignment horizontal="center" vertical="center"/>
    </xf>
    <xf numFmtId="17" fontId="86" fillId="33" borderId="20" xfId="1" applyNumberFormat="1" applyFont="1" applyFill="1" applyBorder="1" applyAlignment="1">
      <alignment horizontal="center"/>
    </xf>
    <xf numFmtId="0" fontId="86" fillId="33" borderId="16" xfId="1" applyFont="1" applyFill="1" applyBorder="1" applyAlignment="1">
      <alignment horizontal="center"/>
    </xf>
    <xf numFmtId="17" fontId="86" fillId="35" borderId="20" xfId="1" applyNumberFormat="1" applyFont="1" applyFill="1" applyBorder="1" applyAlignment="1">
      <alignment horizontal="center"/>
    </xf>
    <xf numFmtId="0" fontId="86" fillId="35" borderId="16" xfId="1" applyFont="1" applyFill="1" applyBorder="1" applyAlignment="1">
      <alignment horizontal="center"/>
    </xf>
    <xf numFmtId="1" fontId="78" fillId="34" borderId="32" xfId="1" applyNumberFormat="1" applyFont="1" applyFill="1" applyBorder="1" applyAlignment="1">
      <alignment horizontal="center" vertical="center"/>
    </xf>
    <xf numFmtId="1" fontId="78" fillId="34" borderId="41" xfId="1" applyNumberFormat="1" applyFont="1" applyFill="1" applyBorder="1" applyAlignment="1">
      <alignment horizontal="center" vertical="center"/>
    </xf>
    <xf numFmtId="17" fontId="86" fillId="0" borderId="54" xfId="1" applyNumberFormat="1" applyFont="1" applyFill="1" applyBorder="1" applyAlignment="1">
      <alignment horizontal="center"/>
    </xf>
    <xf numFmtId="0" fontId="86" fillId="0" borderId="6" xfId="1" applyFont="1" applyFill="1" applyBorder="1" applyAlignment="1">
      <alignment horizontal="center"/>
    </xf>
    <xf numFmtId="0" fontId="86" fillId="34" borderId="63" xfId="1" applyFont="1" applyFill="1" applyBorder="1" applyAlignment="1">
      <alignment horizontal="center" vertical="center" wrapText="1"/>
    </xf>
    <xf numFmtId="0" fontId="86" fillId="34" borderId="64" xfId="1" applyFont="1" applyFill="1" applyBorder="1" applyAlignment="1">
      <alignment horizontal="center" vertical="center" wrapText="1"/>
    </xf>
    <xf numFmtId="0" fontId="86" fillId="34" borderId="65" xfId="1" applyFont="1" applyFill="1" applyBorder="1" applyAlignment="1">
      <alignment horizontal="center" vertical="center" wrapText="1"/>
    </xf>
    <xf numFmtId="0" fontId="86" fillId="34" borderId="20" xfId="1" applyFont="1" applyFill="1" applyBorder="1" applyAlignment="1">
      <alignment horizontal="center" vertical="center" wrapText="1"/>
    </xf>
    <xf numFmtId="0" fontId="86" fillId="34" borderId="5" xfId="1" applyFont="1" applyFill="1" applyBorder="1" applyAlignment="1">
      <alignment horizontal="center" vertical="center" wrapText="1"/>
    </xf>
    <xf numFmtId="0" fontId="86" fillId="34" borderId="67" xfId="1" applyFont="1" applyFill="1" applyBorder="1" applyAlignment="1">
      <alignment horizontal="center" vertical="center" wrapText="1"/>
    </xf>
    <xf numFmtId="1" fontId="78" fillId="34" borderId="34" xfId="1" applyNumberFormat="1" applyFont="1" applyFill="1" applyBorder="1" applyAlignment="1">
      <alignment horizontal="center" vertical="center"/>
    </xf>
    <xf numFmtId="1" fontId="78" fillId="34" borderId="43" xfId="1" applyNumberFormat="1" applyFont="1" applyFill="1" applyBorder="1" applyAlignment="1">
      <alignment horizontal="center" vertical="center"/>
    </xf>
    <xf numFmtId="1" fontId="78" fillId="34" borderId="40" xfId="1" applyNumberFormat="1" applyFont="1" applyFill="1" applyBorder="1" applyAlignment="1">
      <alignment horizontal="center" vertical="center"/>
    </xf>
    <xf numFmtId="1" fontId="78" fillId="34" borderId="51" xfId="1" applyNumberFormat="1" applyFont="1" applyFill="1" applyBorder="1" applyAlignment="1">
      <alignment horizontal="center" vertical="center"/>
    </xf>
    <xf numFmtId="0" fontId="86" fillId="34" borderId="35" xfId="1" applyFont="1" applyFill="1" applyBorder="1" applyAlignment="1">
      <alignment horizontal="center" vertical="center"/>
    </xf>
    <xf numFmtId="0" fontId="17" fillId="31" borderId="1" xfId="1" applyFont="1" applyFill="1" applyBorder="1" applyAlignment="1">
      <alignment horizontal="center" vertical="center" textRotation="90"/>
    </xf>
    <xf numFmtId="0" fontId="78" fillId="34" borderId="1" xfId="1" applyFont="1" applyFill="1" applyBorder="1" applyAlignment="1">
      <alignment horizontal="center" vertical="center" wrapText="1"/>
    </xf>
    <xf numFmtId="0" fontId="87" fillId="34" borderId="1" xfId="1" applyFont="1" applyFill="1" applyBorder="1" applyAlignment="1">
      <alignment horizontal="center" vertical="center" wrapText="1"/>
    </xf>
    <xf numFmtId="0" fontId="88" fillId="34" borderId="1" xfId="1" applyFont="1" applyFill="1" applyBorder="1" applyAlignment="1">
      <alignment horizontal="center" vertical="center" wrapText="1"/>
    </xf>
    <xf numFmtId="0" fontId="88" fillId="34" borderId="1" xfId="1" applyFont="1" applyFill="1" applyBorder="1" applyAlignment="1">
      <alignment horizontal="center" vertical="center"/>
    </xf>
    <xf numFmtId="0" fontId="86" fillId="34" borderId="54" xfId="1" applyFont="1" applyFill="1" applyBorder="1" applyAlignment="1">
      <alignment horizontal="center" vertical="center"/>
    </xf>
    <xf numFmtId="0" fontId="86" fillId="34" borderId="6" xfId="1" applyFont="1" applyFill="1" applyBorder="1" applyAlignment="1">
      <alignment horizontal="center" vertical="center"/>
    </xf>
    <xf numFmtId="0" fontId="86" fillId="34" borderId="25" xfId="1" applyFont="1" applyFill="1" applyBorder="1" applyAlignment="1">
      <alignment horizontal="center" vertical="center"/>
    </xf>
    <xf numFmtId="1" fontId="78" fillId="34" borderId="1" xfId="1" applyNumberFormat="1" applyFont="1" applyFill="1" applyBorder="1" applyAlignment="1">
      <alignment horizontal="center" vertical="center" wrapText="1"/>
    </xf>
    <xf numFmtId="0" fontId="106" fillId="34" borderId="54" xfId="1" applyFont="1" applyFill="1" applyBorder="1" applyAlignment="1">
      <alignment horizontal="center" vertical="center" wrapText="1"/>
    </xf>
    <xf numFmtId="0" fontId="106" fillId="34" borderId="6" xfId="1" applyFont="1" applyFill="1" applyBorder="1" applyAlignment="1">
      <alignment horizontal="center" vertical="center" wrapText="1"/>
    </xf>
    <xf numFmtId="0" fontId="106" fillId="34" borderId="25" xfId="1" applyFont="1" applyFill="1" applyBorder="1" applyAlignment="1">
      <alignment horizontal="center" vertical="center" wrapText="1"/>
    </xf>
    <xf numFmtId="0" fontId="78" fillId="34" borderId="47" xfId="1" applyFont="1" applyFill="1" applyBorder="1" applyAlignment="1">
      <alignment horizontal="center" vertical="center" wrapText="1"/>
    </xf>
    <xf numFmtId="0" fontId="78" fillId="34" borderId="48" xfId="1" applyFont="1" applyFill="1" applyBorder="1" applyAlignment="1">
      <alignment horizontal="center" vertical="center" wrapText="1"/>
    </xf>
    <xf numFmtId="0" fontId="78" fillId="34" borderId="49" xfId="1" applyFont="1" applyFill="1" applyBorder="1" applyAlignment="1">
      <alignment horizontal="center" vertical="center" wrapText="1"/>
    </xf>
    <xf numFmtId="1" fontId="78" fillId="34" borderId="28" xfId="1" applyNumberFormat="1" applyFont="1" applyFill="1" applyBorder="1" applyAlignment="1">
      <alignment horizontal="center" vertical="center" wrapText="1"/>
    </xf>
    <xf numFmtId="1" fontId="78" fillId="34" borderId="24" xfId="1" applyNumberFormat="1" applyFont="1" applyFill="1" applyBorder="1" applyAlignment="1">
      <alignment horizontal="center" vertical="center" wrapText="1"/>
    </xf>
    <xf numFmtId="1" fontId="78" fillId="34" borderId="35" xfId="1" applyNumberFormat="1" applyFont="1" applyFill="1" applyBorder="1" applyAlignment="1">
      <alignment horizontal="center" vertical="center" wrapText="1"/>
    </xf>
    <xf numFmtId="1" fontId="78" fillId="34" borderId="23" xfId="1" applyNumberFormat="1" applyFont="1" applyFill="1" applyBorder="1" applyAlignment="1">
      <alignment horizontal="center" vertical="center" wrapText="1"/>
    </xf>
    <xf numFmtId="0" fontId="86" fillId="34" borderId="27" xfId="1" applyFont="1" applyFill="1" applyBorder="1" applyAlignment="1">
      <alignment horizontal="center" vertical="center"/>
    </xf>
    <xf numFmtId="0" fontId="86" fillId="34" borderId="44" xfId="1" applyFont="1" applyFill="1" applyBorder="1" applyAlignment="1">
      <alignment horizontal="center" vertical="center"/>
    </xf>
    <xf numFmtId="1" fontId="78" fillId="34" borderId="30" xfId="1" applyNumberFormat="1" applyFont="1" applyFill="1" applyBorder="1" applyAlignment="1">
      <alignment horizontal="center" vertical="center" wrapText="1"/>
    </xf>
    <xf numFmtId="1" fontId="78" fillId="34" borderId="29" xfId="1" applyNumberFormat="1" applyFont="1" applyFill="1" applyBorder="1" applyAlignment="1">
      <alignment horizontal="center" vertical="center" wrapText="1"/>
    </xf>
    <xf numFmtId="1" fontId="78" fillId="34" borderId="55" xfId="1" applyNumberFormat="1" applyFont="1" applyFill="1" applyBorder="1" applyAlignment="1">
      <alignment horizontal="center" vertical="center" wrapText="1"/>
    </xf>
    <xf numFmtId="1" fontId="78" fillId="34" borderId="40" xfId="1" applyNumberFormat="1" applyFont="1" applyFill="1" applyBorder="1" applyAlignment="1">
      <alignment horizontal="center" vertical="center" wrapText="1"/>
    </xf>
    <xf numFmtId="1" fontId="78" fillId="34" borderId="51" xfId="1" applyNumberFormat="1" applyFont="1" applyFill="1" applyBorder="1" applyAlignment="1">
      <alignment horizontal="center" vertical="center" wrapText="1"/>
    </xf>
    <xf numFmtId="0" fontId="86" fillId="34" borderId="37" xfId="1" applyFont="1" applyFill="1" applyBorder="1" applyAlignment="1">
      <alignment horizontal="center" vertical="center"/>
    </xf>
    <xf numFmtId="0" fontId="78" fillId="34" borderId="18" xfId="1" applyFont="1" applyFill="1" applyBorder="1" applyAlignment="1">
      <alignment horizontal="center" vertical="center" wrapText="1"/>
    </xf>
    <xf numFmtId="0" fontId="78" fillId="34" borderId="52" xfId="1" applyFont="1" applyFill="1" applyBorder="1" applyAlignment="1">
      <alignment horizontal="center" vertical="center" wrapText="1"/>
    </xf>
    <xf numFmtId="0" fontId="78" fillId="34" borderId="19" xfId="1" applyFont="1" applyFill="1" applyBorder="1" applyAlignment="1">
      <alignment horizontal="center" vertical="center" wrapText="1"/>
    </xf>
    <xf numFmtId="1" fontId="78" fillId="34" borderId="61" xfId="1" applyNumberFormat="1" applyFont="1" applyFill="1" applyBorder="1" applyAlignment="1">
      <alignment horizontal="center" vertical="center" wrapText="1"/>
    </xf>
    <xf numFmtId="1" fontId="78" fillId="34" borderId="60" xfId="1" applyNumberFormat="1" applyFont="1" applyFill="1" applyBorder="1" applyAlignment="1">
      <alignment horizontal="center" vertical="center" wrapText="1"/>
    </xf>
    <xf numFmtId="1" fontId="78" fillId="34" borderId="15" xfId="1" applyNumberFormat="1" applyFont="1" applyFill="1" applyBorder="1" applyAlignment="1">
      <alignment horizontal="center" vertical="center" wrapText="1"/>
    </xf>
    <xf numFmtId="0" fontId="78" fillId="34" borderId="37" xfId="1" applyFont="1" applyFill="1" applyBorder="1" applyAlignment="1">
      <alignment horizontal="center" vertical="center"/>
    </xf>
    <xf numFmtId="0" fontId="78" fillId="34" borderId="27" xfId="1" applyFont="1" applyFill="1" applyBorder="1" applyAlignment="1">
      <alignment horizontal="center" vertical="center"/>
    </xf>
    <xf numFmtId="0" fontId="78" fillId="34" borderId="44" xfId="1" applyFont="1" applyFill="1" applyBorder="1" applyAlignment="1">
      <alignment horizontal="center" vertical="center"/>
    </xf>
    <xf numFmtId="1" fontId="78" fillId="34" borderId="50" xfId="1" applyNumberFormat="1" applyFont="1" applyFill="1" applyBorder="1" applyAlignment="1">
      <alignment horizontal="center" vertical="center" wrapText="1"/>
    </xf>
    <xf numFmtId="1" fontId="78" fillId="34" borderId="22" xfId="1" applyNumberFormat="1" applyFont="1" applyFill="1" applyBorder="1" applyAlignment="1">
      <alignment horizontal="center" vertical="center" wrapText="1"/>
    </xf>
    <xf numFmtId="172" fontId="95" fillId="0" borderId="0" xfId="1" applyNumberFormat="1" applyFont="1" applyFill="1"/>
  </cellXfs>
  <cellStyles count="427">
    <cellStyle name="20% - Accent1" xfId="2"/>
    <cellStyle name="20% - Accent1 2" xfId="3"/>
    <cellStyle name="20% - Accent2" xfId="4"/>
    <cellStyle name="20% - Accent2 2" xfId="5"/>
    <cellStyle name="20% - Accent3" xfId="6"/>
    <cellStyle name="20% - Accent3 2" xfId="7"/>
    <cellStyle name="20% - Accent4" xfId="8"/>
    <cellStyle name="20% - Accent4 2" xfId="9"/>
    <cellStyle name="20% - Accent5" xfId="10"/>
    <cellStyle name="20% - Accent5 2" xfId="250"/>
    <cellStyle name="20% - Accent6" xfId="11"/>
    <cellStyle name="20% - Accent6 2" xfId="12"/>
    <cellStyle name="20% - Énfasis1 2" xfId="13"/>
    <cellStyle name="20% - Énfasis1 3" xfId="14"/>
    <cellStyle name="20% - Énfasis1 4" xfId="15"/>
    <cellStyle name="20% - Énfasis1 5" xfId="16"/>
    <cellStyle name="20% - Énfasis1 6" xfId="17"/>
    <cellStyle name="20% - Énfasis1 7" xfId="293"/>
    <cellStyle name="20% - Énfasis2 2" xfId="18"/>
    <cellStyle name="20% - Énfasis2 3" xfId="19"/>
    <cellStyle name="20% - Énfasis2 4" xfId="20"/>
    <cellStyle name="20% - Énfasis2 5" xfId="21"/>
    <cellStyle name="20% - Énfasis2 6" xfId="22"/>
    <cellStyle name="20% - Énfasis2 7" xfId="294"/>
    <cellStyle name="20% - Énfasis3 2" xfId="23"/>
    <cellStyle name="20% - Énfasis3 3" xfId="24"/>
    <cellStyle name="20% - Énfasis3 4" xfId="25"/>
    <cellStyle name="20% - Énfasis3 5" xfId="26"/>
    <cellStyle name="20% - Énfasis3 6" xfId="27"/>
    <cellStyle name="20% - Énfasis3 7" xfId="295"/>
    <cellStyle name="20% - Énfasis4 2" xfId="28"/>
    <cellStyle name="20% - Énfasis4 3" xfId="29"/>
    <cellStyle name="20% - Énfasis4 4" xfId="30"/>
    <cellStyle name="20% - Énfasis4 5" xfId="31"/>
    <cellStyle name="20% - Énfasis4 6" xfId="32"/>
    <cellStyle name="20% - Énfasis4 7" xfId="296"/>
    <cellStyle name="20% - Énfasis5 2" xfId="33"/>
    <cellStyle name="20% - Énfasis5 3" xfId="34"/>
    <cellStyle name="20% - Énfasis5 4" xfId="35"/>
    <cellStyle name="20% - Énfasis5 5" xfId="36"/>
    <cellStyle name="20% - Énfasis5 6" xfId="37"/>
    <cellStyle name="20% - Énfasis5 7" xfId="297"/>
    <cellStyle name="20% - Énfasis6 2" xfId="38"/>
    <cellStyle name="20% - Énfasis6 3" xfId="39"/>
    <cellStyle name="20% - Énfasis6 4" xfId="40"/>
    <cellStyle name="20% - Énfasis6 5" xfId="41"/>
    <cellStyle name="20% - Énfasis6 6" xfId="42"/>
    <cellStyle name="20% - Énfasis6 7" xfId="298"/>
    <cellStyle name="40% - Accent1" xfId="43"/>
    <cellStyle name="40% - Accent1 2" xfId="44"/>
    <cellStyle name="40% - Accent2" xfId="45"/>
    <cellStyle name="40% - Accent2 2" xfId="251"/>
    <cellStyle name="40% - Accent3" xfId="46"/>
    <cellStyle name="40% - Accent3 2" xfId="47"/>
    <cellStyle name="40% - Accent4" xfId="48"/>
    <cellStyle name="40% - Accent4 2" xfId="49"/>
    <cellStyle name="40% - Accent5" xfId="50"/>
    <cellStyle name="40% - Accent5 2" xfId="51"/>
    <cellStyle name="40% - Accent6" xfId="52"/>
    <cellStyle name="40% - Accent6 2" xfId="53"/>
    <cellStyle name="40% - Énfasis1 2" xfId="54"/>
    <cellStyle name="40% - Énfasis1 3" xfId="55"/>
    <cellStyle name="40% - Énfasis1 4" xfId="56"/>
    <cellStyle name="40% - Énfasis1 5" xfId="57"/>
    <cellStyle name="40% - Énfasis1 6" xfId="58"/>
    <cellStyle name="40% - Énfasis1 7" xfId="299"/>
    <cellStyle name="40% - Énfasis2 2" xfId="59"/>
    <cellStyle name="40% - Énfasis2 3" xfId="60"/>
    <cellStyle name="40% - Énfasis2 4" xfId="61"/>
    <cellStyle name="40% - Énfasis2 5" xfId="62"/>
    <cellStyle name="40% - Énfasis2 6" xfId="63"/>
    <cellStyle name="40% - Énfasis2 7" xfId="300"/>
    <cellStyle name="40% - Énfasis3 2" xfId="64"/>
    <cellStyle name="40% - Énfasis3 3" xfId="65"/>
    <cellStyle name="40% - Énfasis3 4" xfId="66"/>
    <cellStyle name="40% - Énfasis3 5" xfId="67"/>
    <cellStyle name="40% - Énfasis3 6" xfId="68"/>
    <cellStyle name="40% - Énfasis3 7" xfId="301"/>
    <cellStyle name="40% - Énfasis4 2" xfId="69"/>
    <cellStyle name="40% - Énfasis4 3" xfId="70"/>
    <cellStyle name="40% - Énfasis4 4" xfId="71"/>
    <cellStyle name="40% - Énfasis4 5" xfId="72"/>
    <cellStyle name="40% - Énfasis4 6" xfId="73"/>
    <cellStyle name="40% - Énfasis4 7" xfId="302"/>
    <cellStyle name="40% - Énfasis5 2" xfId="74"/>
    <cellStyle name="40% - Énfasis5 3" xfId="75"/>
    <cellStyle name="40% - Énfasis5 4" xfId="76"/>
    <cellStyle name="40% - Énfasis5 5" xfId="77"/>
    <cellStyle name="40% - Énfasis5 6" xfId="78"/>
    <cellStyle name="40% - Énfasis5 7" xfId="303"/>
    <cellStyle name="40% - Énfasis6 2" xfId="79"/>
    <cellStyle name="40% - Énfasis6 3" xfId="80"/>
    <cellStyle name="40% - Énfasis6 4" xfId="81"/>
    <cellStyle name="40% - Énfasis6 5" xfId="82"/>
    <cellStyle name="40% - Énfasis6 6" xfId="83"/>
    <cellStyle name="40% - Énfasis6 7" xfId="304"/>
    <cellStyle name="60% - Accent1" xfId="84"/>
    <cellStyle name="60% - Accent1 2" xfId="85"/>
    <cellStyle name="60% - Accent2" xfId="86"/>
    <cellStyle name="60% - Accent2 2" xfId="87"/>
    <cellStyle name="60% - Accent3" xfId="88"/>
    <cellStyle name="60% - Accent3 2" xfId="89"/>
    <cellStyle name="60% - Accent4" xfId="90"/>
    <cellStyle name="60% - Accent4 2" xfId="91"/>
    <cellStyle name="60% - Accent5" xfId="92"/>
    <cellStyle name="60% - Accent5 2" xfId="93"/>
    <cellStyle name="60% - Accent6" xfId="94"/>
    <cellStyle name="60% - Accent6 2" xfId="95"/>
    <cellStyle name="60% - Énfasis1 2" xfId="305"/>
    <cellStyle name="60% - Énfasis2 2" xfId="306"/>
    <cellStyle name="60% - Énfasis3 2" xfId="307"/>
    <cellStyle name="60% - Énfasis4 2" xfId="308"/>
    <cellStyle name="60% - Énfasis5 2" xfId="309"/>
    <cellStyle name="60% - Énfasis6 2" xfId="310"/>
    <cellStyle name="Accent1" xfId="96"/>
    <cellStyle name="Accent1 2" xfId="97"/>
    <cellStyle name="Accent2" xfId="98"/>
    <cellStyle name="Accent2 2" xfId="99"/>
    <cellStyle name="Accent3" xfId="100"/>
    <cellStyle name="Accent3 2" xfId="101"/>
    <cellStyle name="Accent4" xfId="102"/>
    <cellStyle name="Accent4 2" xfId="103"/>
    <cellStyle name="Accent5" xfId="104"/>
    <cellStyle name="Accent6" xfId="105"/>
    <cellStyle name="Accent6 2" xfId="106"/>
    <cellStyle name="Bad" xfId="107"/>
    <cellStyle name="Bad 2" xfId="108"/>
    <cellStyle name="Buena 2" xfId="311"/>
    <cellStyle name="Calculation" xfId="109"/>
    <cellStyle name="Calculation 2" xfId="110"/>
    <cellStyle name="Cálculo 2" xfId="312"/>
    <cellStyle name="Celda de comprobación 2" xfId="313"/>
    <cellStyle name="Celda vinculada 2" xfId="314"/>
    <cellStyle name="Check Cell" xfId="111"/>
    <cellStyle name="Comma" xfId="112"/>
    <cellStyle name="Comma0" xfId="113"/>
    <cellStyle name="Currency" xfId="114"/>
    <cellStyle name="Currency0" xfId="115"/>
    <cellStyle name="Date" xfId="116"/>
    <cellStyle name="Date 2" xfId="117"/>
    <cellStyle name="Encabezado 4 2" xfId="315"/>
    <cellStyle name="Énfasis1 2" xfId="316"/>
    <cellStyle name="Énfasis2 2" xfId="317"/>
    <cellStyle name="Énfasis3 2" xfId="318"/>
    <cellStyle name="Énfasis4 2" xfId="319"/>
    <cellStyle name="Énfasis5 2" xfId="320"/>
    <cellStyle name="Énfasis6 2" xfId="321"/>
    <cellStyle name="Entrada 2" xfId="322"/>
    <cellStyle name="Euro" xfId="118"/>
    <cellStyle name="Euro 2" xfId="271"/>
    <cellStyle name="Euro 3" xfId="282"/>
    <cellStyle name="Euro 4" xfId="323"/>
    <cellStyle name="Euro 4 2" xfId="403"/>
    <cellStyle name="Explanatory Text" xfId="119"/>
    <cellStyle name="F2" xfId="120"/>
    <cellStyle name="F2 2" xfId="121"/>
    <cellStyle name="F2_GRAFICOS SECUDARIOS" xfId="122"/>
    <cellStyle name="F3" xfId="123"/>
    <cellStyle name="F4" xfId="124"/>
    <cellStyle name="F5" xfId="125"/>
    <cellStyle name="F6" xfId="126"/>
    <cellStyle name="F7" xfId="127"/>
    <cellStyle name="F8" xfId="128"/>
    <cellStyle name="F8 2" xfId="129"/>
    <cellStyle name="F8_GRAFICOS SECUDARIOS" xfId="130"/>
    <cellStyle name="Fixed" xfId="131"/>
    <cellStyle name="Fixed 2" xfId="132"/>
    <cellStyle name="Good" xfId="133"/>
    <cellStyle name="Good 2" xfId="134"/>
    <cellStyle name="Grey" xfId="135"/>
    <cellStyle name="Header1" xfId="136"/>
    <cellStyle name="Header2" xfId="137"/>
    <cellStyle name="Heading 1" xfId="138"/>
    <cellStyle name="Heading 1 2" xfId="139"/>
    <cellStyle name="Heading 2" xfId="140"/>
    <cellStyle name="Heading 2 2" xfId="141"/>
    <cellStyle name="Heading 3" xfId="142"/>
    <cellStyle name="Heading 3 2" xfId="143"/>
    <cellStyle name="Heading 4" xfId="144"/>
    <cellStyle name="Heading 4 2" xfId="145"/>
    <cellStyle name="Heading1" xfId="146"/>
    <cellStyle name="Heading2" xfId="147"/>
    <cellStyle name="Incorrecto 2" xfId="324"/>
    <cellStyle name="Input" xfId="148"/>
    <cellStyle name="Input [yellow]" xfId="149"/>
    <cellStyle name="Input 2" xfId="150"/>
    <cellStyle name="Linked Cell" xfId="151"/>
    <cellStyle name="Linked Cell 2" xfId="152"/>
    <cellStyle name="Linked Cell 3" xfId="338"/>
    <cellStyle name="Millares" xfId="426" builtinId="3"/>
    <cellStyle name="Millares 10" xfId="153"/>
    <cellStyle name="Millares 10 2" xfId="356"/>
    <cellStyle name="Millares 11" xfId="154"/>
    <cellStyle name="Millares 11 2" xfId="357"/>
    <cellStyle name="Millares 12" xfId="155"/>
    <cellStyle name="Millares 12 2" xfId="358"/>
    <cellStyle name="Millares 13" xfId="156"/>
    <cellStyle name="Millares 13 2" xfId="359"/>
    <cellStyle name="Millares 14" xfId="247"/>
    <cellStyle name="Millares 14 2" xfId="380"/>
    <cellStyle name="Millares 15" xfId="276"/>
    <cellStyle name="Millares 15 2" xfId="398"/>
    <cellStyle name="Millares 16" xfId="334"/>
    <cellStyle name="Millares 16 2" xfId="405"/>
    <cellStyle name="Millares 17" xfId="339"/>
    <cellStyle name="Millares 17 2" xfId="409"/>
    <cellStyle name="Millares 18" xfId="342"/>
    <cellStyle name="Millares 18 2" xfId="412"/>
    <cellStyle name="Millares 19" xfId="347"/>
    <cellStyle name="Millares 19 2" xfId="417"/>
    <cellStyle name="Millares 2" xfId="157"/>
    <cellStyle name="Millares 2 10" xfId="274"/>
    <cellStyle name="Millares 2 2" xfId="158"/>
    <cellStyle name="Millares 2 2 2" xfId="159"/>
    <cellStyle name="Millares 2 2 3" xfId="160"/>
    <cellStyle name="Millares 2 2 4" xfId="161"/>
    <cellStyle name="Millares 2 2 5" xfId="162"/>
    <cellStyle name="Millares 2 2 6" xfId="163"/>
    <cellStyle name="Millares 2 2 7" xfId="164"/>
    <cellStyle name="Millares 2 2_PRODEFEB1" xfId="165"/>
    <cellStyle name="Millares 2 3" xfId="166"/>
    <cellStyle name="Millares 2 4" xfId="167"/>
    <cellStyle name="Millares 2 5" xfId="168"/>
    <cellStyle name="Millares 2 6" xfId="169"/>
    <cellStyle name="Millares 2 7" xfId="170"/>
    <cellStyle name="Millares 2 8" xfId="171"/>
    <cellStyle name="Millares 2 9" xfId="172"/>
    <cellStyle name="Millares 2_Crec 2009" xfId="173"/>
    <cellStyle name="Millares 20" xfId="353"/>
    <cellStyle name="Millares 20 2" xfId="422"/>
    <cellStyle name="Millares 3" xfId="174"/>
    <cellStyle name="Millares 3 2" xfId="175"/>
    <cellStyle name="Millares 3 2 2" xfId="361"/>
    <cellStyle name="Millares 3 3" xfId="360"/>
    <cellStyle name="Millares 4" xfId="176"/>
    <cellStyle name="Millares 4 2" xfId="252"/>
    <cellStyle name="Millares 4 3" xfId="362"/>
    <cellStyle name="Millares 5" xfId="177"/>
    <cellStyle name="Millares 5 2" xfId="363"/>
    <cellStyle name="Millares 6" xfId="178"/>
    <cellStyle name="Millares 6 2" xfId="364"/>
    <cellStyle name="Millares 7" xfId="179"/>
    <cellStyle name="Millares 7 2" xfId="365"/>
    <cellStyle name="Millares 8" xfId="180"/>
    <cellStyle name="Millares 8 2" xfId="181"/>
    <cellStyle name="Millares 8 2 2" xfId="367"/>
    <cellStyle name="Millares 8 3" xfId="366"/>
    <cellStyle name="Millares 9" xfId="182"/>
    <cellStyle name="Millares 9 2" xfId="368"/>
    <cellStyle name="Neutral 2" xfId="325"/>
    <cellStyle name="Normal" xfId="0" builtinId="0"/>
    <cellStyle name="Normal - Style1" xfId="183"/>
    <cellStyle name="Normal 10" xfId="184"/>
    <cellStyle name="Normal 10 2" xfId="291"/>
    <cellStyle name="Normal 10 3" xfId="369"/>
    <cellStyle name="Normal 11" xfId="185"/>
    <cellStyle name="Normal 12" xfId="186"/>
    <cellStyle name="Normal 13" xfId="187"/>
    <cellStyle name="Normal 13 2" xfId="370"/>
    <cellStyle name="Normal 14" xfId="249"/>
    <cellStyle name="Normal 14 2" xfId="382"/>
    <cellStyle name="Normal 15" xfId="270"/>
    <cellStyle name="Normal 15 2" xfId="397"/>
    <cellStyle name="Normal 16" xfId="279"/>
    <cellStyle name="Normal 17" xfId="292"/>
    <cellStyle name="Normal 17 2" xfId="402"/>
    <cellStyle name="Normal 18" xfId="333"/>
    <cellStyle name="Normal 18 2" xfId="404"/>
    <cellStyle name="Normal 19" xfId="337"/>
    <cellStyle name="Normal 19 2" xfId="408"/>
    <cellStyle name="Normal 2" xfId="188"/>
    <cellStyle name="normal 2 10" xfId="272"/>
    <cellStyle name="Normal 2 11" xfId="280"/>
    <cellStyle name="Normal 2 11 2" xfId="401"/>
    <cellStyle name="Normal 2 2" xfId="189"/>
    <cellStyle name="Normal 2 2 2" xfId="190"/>
    <cellStyle name="Normal 2 2 3" xfId="284"/>
    <cellStyle name="Normal 2 2_PRODEFEB1" xfId="191"/>
    <cellStyle name="Normal 2 3" xfId="192"/>
    <cellStyle name="Normal 2 3 2" xfId="193"/>
    <cellStyle name="Normal 2 4" xfId="194"/>
    <cellStyle name="Normal 2 5" xfId="195"/>
    <cellStyle name="Normal 2 6" xfId="196"/>
    <cellStyle name="Normal 2 7" xfId="197"/>
    <cellStyle name="normal 2 8" xfId="273"/>
    <cellStyle name="normal 2 9" xfId="275"/>
    <cellStyle name="Normal 2_Crec 2009" xfId="198"/>
    <cellStyle name="Normal 20" xfId="345"/>
    <cellStyle name="Normal 20 2" xfId="415"/>
    <cellStyle name="Normal 21" xfId="346"/>
    <cellStyle name="Normal 21 2" xfId="416"/>
    <cellStyle name="Normal 22" xfId="350"/>
    <cellStyle name="Normal 22 2" xfId="420"/>
    <cellStyle name="Normal 23" xfId="351"/>
    <cellStyle name="Normal 23 2" xfId="421"/>
    <cellStyle name="Normal 24" xfId="352"/>
    <cellStyle name="Normal 3" xfId="199"/>
    <cellStyle name="Normal 3 10" xfId="253"/>
    <cellStyle name="Normal 3 10 2" xfId="254"/>
    <cellStyle name="Normal 3 10 2 2" xfId="384"/>
    <cellStyle name="Normal 3 10 3" xfId="383"/>
    <cellStyle name="Normal 3 11" xfId="277"/>
    <cellStyle name="Normal 3 11 2" xfId="399"/>
    <cellStyle name="Normal 3 12" xfId="281"/>
    <cellStyle name="Normal 3 13" xfId="335"/>
    <cellStyle name="Normal 3 13 2" xfId="406"/>
    <cellStyle name="Normal 3 14" xfId="340"/>
    <cellStyle name="Normal 3 14 2" xfId="410"/>
    <cellStyle name="Normal 3 15" xfId="343"/>
    <cellStyle name="Normal 3 15 2" xfId="413"/>
    <cellStyle name="Normal 3 16" xfId="348"/>
    <cellStyle name="Normal 3 16 2" xfId="418"/>
    <cellStyle name="Normal 3 17" xfId="354"/>
    <cellStyle name="Normal 3 17 2" xfId="423"/>
    <cellStyle name="Normal 3 18" xfId="371"/>
    <cellStyle name="Normal 3 2" xfId="200"/>
    <cellStyle name="Normal 3 2 2" xfId="285"/>
    <cellStyle name="Normal 3 3" xfId="255"/>
    <cellStyle name="Normal 3 3 2" xfId="256"/>
    <cellStyle name="Normal 3 3 2 2" xfId="386"/>
    <cellStyle name="Normal 3 3 3" xfId="385"/>
    <cellStyle name="Normal 3 4" xfId="257"/>
    <cellStyle name="Normal 3 4 2" xfId="387"/>
    <cellStyle name="Normal 3 5" xfId="258"/>
    <cellStyle name="Normal 3 5 2" xfId="388"/>
    <cellStyle name="Normal 3 6" xfId="259"/>
    <cellStyle name="Normal 3 6 2" xfId="389"/>
    <cellStyle name="Normal 3 7" xfId="260"/>
    <cellStyle name="Normal 3 7 2" xfId="390"/>
    <cellStyle name="Normal 3 8" xfId="261"/>
    <cellStyle name="Normal 3 8 2" xfId="391"/>
    <cellStyle name="Normal 3 9" xfId="262"/>
    <cellStyle name="Normal 3 9 2" xfId="392"/>
    <cellStyle name="Normal 3_PRODE JF AvGFeb08 (30-01-08)" xfId="201"/>
    <cellStyle name="Normal 3_PRODEFEB1" xfId="1"/>
    <cellStyle name="Normal 4" xfId="202"/>
    <cellStyle name="Normal 4 2" xfId="203"/>
    <cellStyle name="Normal 4 2 2" xfId="204"/>
    <cellStyle name="Normal 4 3" xfId="283"/>
    <cellStyle name="Normal 4_PROG glp Ene11 (23-12-10)" xfId="205"/>
    <cellStyle name="Normal 5" xfId="206"/>
    <cellStyle name="Normal 5 2" xfId="286"/>
    <cellStyle name="Normal 6" xfId="207"/>
    <cellStyle name="Normal 6 2" xfId="287"/>
    <cellStyle name="Normal 6 3" xfId="372"/>
    <cellStyle name="Normal 7" xfId="208"/>
    <cellStyle name="Normal 7 2" xfId="209"/>
    <cellStyle name="Normal 7 3" xfId="288"/>
    <cellStyle name="Normal 8" xfId="210"/>
    <cellStyle name="Normal 8 2" xfId="289"/>
    <cellStyle name="Normal 9" xfId="211"/>
    <cellStyle name="Normal 9 2" xfId="290"/>
    <cellStyle name="Notas 2" xfId="212"/>
    <cellStyle name="Notas 3" xfId="213"/>
    <cellStyle name="Notas 4" xfId="214"/>
    <cellStyle name="Note" xfId="215"/>
    <cellStyle name="Note 2" xfId="216"/>
    <cellStyle name="Output" xfId="217"/>
    <cellStyle name="Output 2" xfId="218"/>
    <cellStyle name="Percent" xfId="219"/>
    <cellStyle name="Percent [2]" xfId="220"/>
    <cellStyle name="Porcentaje" xfId="425" builtinId="5"/>
    <cellStyle name="Porcentaje 10" xfId="278"/>
    <cellStyle name="Porcentaje 10 2" xfId="400"/>
    <cellStyle name="Porcentaje 11" xfId="336"/>
    <cellStyle name="Porcentaje 11 2" xfId="407"/>
    <cellStyle name="Porcentaje 12" xfId="341"/>
    <cellStyle name="Porcentaje 12 2" xfId="411"/>
    <cellStyle name="Porcentaje 13" xfId="344"/>
    <cellStyle name="Porcentaje 13 2" xfId="414"/>
    <cellStyle name="Porcentaje 14" xfId="349"/>
    <cellStyle name="Porcentaje 14 2" xfId="419"/>
    <cellStyle name="Porcentaje 15" xfId="355"/>
    <cellStyle name="Porcentaje 15 2" xfId="424"/>
    <cellStyle name="Porcentaje 2" xfId="221"/>
    <cellStyle name="Porcentaje 2 2" xfId="263"/>
    <cellStyle name="Porcentaje 2 3" xfId="264"/>
    <cellStyle name="Porcentaje 2 3 2" xfId="265"/>
    <cellStyle name="Porcentaje 2 3 2 2" xfId="394"/>
    <cellStyle name="Porcentaje 2 3 3" xfId="393"/>
    <cellStyle name="Porcentaje 3" xfId="222"/>
    <cellStyle name="Porcentaje 3 2" xfId="223"/>
    <cellStyle name="Porcentaje 3 2 2" xfId="374"/>
    <cellStyle name="Porcentaje 3 3" xfId="373"/>
    <cellStyle name="Porcentaje 4" xfId="224"/>
    <cellStyle name="Porcentaje 4 2" xfId="375"/>
    <cellStyle name="Porcentaje 5" xfId="225"/>
    <cellStyle name="Porcentaje 5 2" xfId="376"/>
    <cellStyle name="Porcentaje 6" xfId="226"/>
    <cellStyle name="Porcentaje 6 2" xfId="377"/>
    <cellStyle name="Porcentaje 7" xfId="227"/>
    <cellStyle name="Porcentaje 7 2" xfId="266"/>
    <cellStyle name="Porcentaje 7 2 2" xfId="267"/>
    <cellStyle name="Porcentaje 7 2 2 2" xfId="396"/>
    <cellStyle name="Porcentaje 7 2 3" xfId="395"/>
    <cellStyle name="Porcentaje 7 3" xfId="378"/>
    <cellStyle name="Porcentaje 8" xfId="228"/>
    <cellStyle name="Porcentaje 8 2" xfId="379"/>
    <cellStyle name="Porcentaje 9" xfId="248"/>
    <cellStyle name="Porcentaje 9 2" xfId="381"/>
    <cellStyle name="Porcentual 2" xfId="229"/>
    <cellStyle name="Porcentual 2 2" xfId="230"/>
    <cellStyle name="Porcentual 2 3" xfId="268"/>
    <cellStyle name="Porcentual 3" xfId="231"/>
    <cellStyle name="Porcentual 4" xfId="232"/>
    <cellStyle name="Porcentual 4 2" xfId="233"/>
    <cellStyle name="Porcentual 4 2 2" xfId="234"/>
    <cellStyle name="Porcentual 4 2 3" xfId="235"/>
    <cellStyle name="Porcentual 4 2 4" xfId="236"/>
    <cellStyle name="Porcentual 4 2 5" xfId="237"/>
    <cellStyle name="Porcentual 4 2 6" xfId="238"/>
    <cellStyle name="Porcentual 4 3" xfId="239"/>
    <cellStyle name="Porcentual 4 4" xfId="240"/>
    <cellStyle name="Porcentual 4 5" xfId="241"/>
    <cellStyle name="Porcentual 4 6" xfId="242"/>
    <cellStyle name="Porcentual 4 7" xfId="243"/>
    <cellStyle name="Porcentual 5" xfId="269"/>
    <cellStyle name="Salida 2" xfId="326"/>
    <cellStyle name="Texto de advertencia 2" xfId="327"/>
    <cellStyle name="Texto explicativo 2" xfId="328"/>
    <cellStyle name="Title" xfId="244"/>
    <cellStyle name="Title 2" xfId="245"/>
    <cellStyle name="Título 2 2" xfId="330"/>
    <cellStyle name="Título 3 2" xfId="331"/>
    <cellStyle name="Título 4" xfId="329"/>
    <cellStyle name="Total 2" xfId="332"/>
    <cellStyle name="Warning Text" xfId="246"/>
  </cellStyles>
  <dxfs count="0"/>
  <tableStyles count="0" defaultTableStyle="TableStyleMedium2" defaultPivotStyle="PivotStyleLight16"/>
  <colors>
    <mruColors>
      <color rgb="FFFFFFCC"/>
      <color rgb="FFFFFF99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tabSelected="1" topLeftCell="B35" zoomScale="60" zoomScaleNormal="60" zoomScaleSheetLayoutView="70" workbookViewId="0">
      <pane xSplit="1" topLeftCell="D1" activePane="topRight" state="frozen"/>
      <selection activeCell="B2" sqref="B2"/>
      <selection pane="topRight" activeCell="I48" sqref="I48"/>
    </sheetView>
  </sheetViews>
  <sheetFormatPr baseColWidth="10" defaultRowHeight="14.5" x14ac:dyDescent="0.35"/>
  <cols>
    <col min="1" max="1" width="1.7265625" style="2" hidden="1" customWidth="1"/>
    <col min="2" max="2" width="14.26953125" style="2" customWidth="1"/>
    <col min="3" max="3" width="10.26953125" style="20" hidden="1" customWidth="1"/>
    <col min="4" max="5" width="12.26953125" style="20" customWidth="1"/>
    <col min="6" max="6" width="11.81640625" style="3" customWidth="1"/>
    <col min="7" max="7" width="10.26953125" style="20" hidden="1" customWidth="1"/>
    <col min="8" max="9" width="12.26953125" style="20" customWidth="1"/>
    <col min="10" max="10" width="11" style="20" hidden="1" customWidth="1"/>
    <col min="11" max="11" width="14.453125" style="3" bestFit="1" customWidth="1"/>
    <col min="12" max="12" width="11" style="3" hidden="1" customWidth="1"/>
    <col min="13" max="13" width="11.7265625" style="3" customWidth="1"/>
    <col min="14" max="14" width="16" style="3" bestFit="1" customWidth="1"/>
    <col min="15" max="15" width="10" style="3" customWidth="1"/>
    <col min="16" max="16" width="13.453125" style="3" customWidth="1"/>
    <col min="17" max="17" width="16.7265625" style="3" bestFit="1" customWidth="1"/>
    <col min="18" max="18" width="18.453125" style="3" bestFit="1" customWidth="1"/>
    <col min="19" max="19" width="8.54296875" style="3" hidden="1" customWidth="1"/>
    <col min="20" max="20" width="8.453125" style="3" hidden="1" customWidth="1"/>
    <col min="21" max="21" width="9.54296875" style="3" hidden="1" customWidth="1"/>
    <col min="22" max="22" width="17" style="3" customWidth="1"/>
    <col min="23" max="23" width="14.54296875" style="3" customWidth="1"/>
    <col min="24" max="24" width="11.81640625" style="3" hidden="1" customWidth="1"/>
    <col min="25" max="25" width="15.7265625" style="3" bestFit="1" customWidth="1"/>
    <col min="26" max="26" width="13.26953125" style="3" bestFit="1" customWidth="1"/>
    <col min="27" max="27" width="12.26953125" style="4" customWidth="1"/>
    <col min="28" max="28" width="12" style="4" hidden="1" customWidth="1"/>
    <col min="29" max="29" width="17.54296875" style="4" customWidth="1"/>
    <col min="30" max="30" width="16.26953125" style="4" customWidth="1"/>
    <col min="31" max="31" width="18.7265625" style="3" bestFit="1" customWidth="1"/>
    <col min="32" max="32" width="13.54296875" style="3" hidden="1" customWidth="1"/>
    <col min="33" max="33" width="14.453125" style="3" customWidth="1"/>
    <col min="34" max="34" width="13.26953125" style="3" customWidth="1"/>
    <col min="35" max="35" width="11.453125" style="2" customWidth="1"/>
    <col min="36" max="36" width="12.81640625" style="2" customWidth="1"/>
    <col min="37" max="37" width="14.81640625" style="2" customWidth="1"/>
    <col min="38" max="38" width="14.26953125" style="2" customWidth="1"/>
    <col min="39" max="39" width="12.26953125" style="20" customWidth="1"/>
    <col min="40" max="40" width="15.81640625" style="2" customWidth="1"/>
    <col min="41" max="41" width="13.453125" style="2" customWidth="1"/>
    <col min="42" max="42" width="10.7265625" style="2" customWidth="1"/>
    <col min="43" max="43" width="15" style="22" customWidth="1"/>
    <col min="44" max="44" width="13.54296875" style="22" customWidth="1"/>
    <col min="45" max="45" width="12.81640625" style="22" bestFit="1" customWidth="1"/>
    <col min="46" max="47" width="13.7265625" style="22" customWidth="1"/>
    <col min="48" max="48" width="11.453125" style="2"/>
    <col min="49" max="49" width="14.81640625" style="2" bestFit="1" customWidth="1"/>
    <col min="50" max="50" width="13.453125" style="2" bestFit="1" customWidth="1"/>
    <col min="51" max="51" width="13.7265625" style="2" bestFit="1" customWidth="1"/>
    <col min="52" max="52" width="15.7265625" style="2" bestFit="1" customWidth="1"/>
    <col min="53" max="53" width="21.7265625" style="2" customWidth="1"/>
    <col min="54" max="54" width="18.7265625" style="20" customWidth="1"/>
    <col min="55" max="271" width="11.453125" style="2"/>
    <col min="272" max="272" width="7.26953125" style="2" customWidth="1"/>
    <col min="273" max="273" width="18.26953125" style="2" customWidth="1"/>
    <col min="274" max="274" width="13" style="2" customWidth="1"/>
    <col min="275" max="275" width="12.81640625" style="2" customWidth="1"/>
    <col min="276" max="276" width="12.54296875" style="2" customWidth="1"/>
    <col min="277" max="277" width="13" style="2" customWidth="1"/>
    <col min="278" max="278" width="14.1796875" style="2" customWidth="1"/>
    <col min="279" max="279" width="11.1796875" style="2" customWidth="1"/>
    <col min="280" max="280" width="13.54296875" style="2" customWidth="1"/>
    <col min="281" max="281" width="14.1796875" style="2" customWidth="1"/>
    <col min="282" max="282" width="12.7265625" style="2" customWidth="1"/>
    <col min="283" max="283" width="12.1796875" style="2" customWidth="1"/>
    <col min="284" max="284" width="12.81640625" style="2" customWidth="1"/>
    <col min="285" max="285" width="13" style="2" customWidth="1"/>
    <col min="286" max="286" width="10.7265625" style="2" customWidth="1"/>
    <col min="287" max="287" width="11.81640625" style="2" customWidth="1"/>
    <col min="288" max="288" width="0.81640625" style="2" customWidth="1"/>
    <col min="289" max="289" width="13.54296875" style="2" customWidth="1"/>
    <col min="290" max="290" width="0.81640625" style="2" customWidth="1"/>
    <col min="291" max="291" width="13.1796875" style="2" customWidth="1"/>
    <col min="292" max="292" width="13.7265625" style="2" bestFit="1" customWidth="1"/>
    <col min="293" max="293" width="11.54296875" style="2" bestFit="1" customWidth="1"/>
    <col min="294" max="527" width="11.453125" style="2"/>
    <col min="528" max="528" width="7.26953125" style="2" customWidth="1"/>
    <col min="529" max="529" width="18.26953125" style="2" customWidth="1"/>
    <col min="530" max="530" width="13" style="2" customWidth="1"/>
    <col min="531" max="531" width="12.81640625" style="2" customWidth="1"/>
    <col min="532" max="532" width="12.54296875" style="2" customWidth="1"/>
    <col min="533" max="533" width="13" style="2" customWidth="1"/>
    <col min="534" max="534" width="14.1796875" style="2" customWidth="1"/>
    <col min="535" max="535" width="11.1796875" style="2" customWidth="1"/>
    <col min="536" max="536" width="13.54296875" style="2" customWidth="1"/>
    <col min="537" max="537" width="14.1796875" style="2" customWidth="1"/>
    <col min="538" max="538" width="12.7265625" style="2" customWidth="1"/>
    <col min="539" max="539" width="12.1796875" style="2" customWidth="1"/>
    <col min="540" max="540" width="12.81640625" style="2" customWidth="1"/>
    <col min="541" max="541" width="13" style="2" customWidth="1"/>
    <col min="542" max="542" width="10.7265625" style="2" customWidth="1"/>
    <col min="543" max="543" width="11.81640625" style="2" customWidth="1"/>
    <col min="544" max="544" width="0.81640625" style="2" customWidth="1"/>
    <col min="545" max="545" width="13.54296875" style="2" customWidth="1"/>
    <col min="546" max="546" width="0.81640625" style="2" customWidth="1"/>
    <col min="547" max="547" width="13.1796875" style="2" customWidth="1"/>
    <col min="548" max="548" width="13.7265625" style="2" bestFit="1" customWidth="1"/>
    <col min="549" max="549" width="11.54296875" style="2" bestFit="1" customWidth="1"/>
    <col min="550" max="783" width="11.453125" style="2"/>
    <col min="784" max="784" width="7.26953125" style="2" customWidth="1"/>
    <col min="785" max="785" width="18.26953125" style="2" customWidth="1"/>
    <col min="786" max="786" width="13" style="2" customWidth="1"/>
    <col min="787" max="787" width="12.81640625" style="2" customWidth="1"/>
    <col min="788" max="788" width="12.54296875" style="2" customWidth="1"/>
    <col min="789" max="789" width="13" style="2" customWidth="1"/>
    <col min="790" max="790" width="14.1796875" style="2" customWidth="1"/>
    <col min="791" max="791" width="11.1796875" style="2" customWidth="1"/>
    <col min="792" max="792" width="13.54296875" style="2" customWidth="1"/>
    <col min="793" max="793" width="14.1796875" style="2" customWidth="1"/>
    <col min="794" max="794" width="12.7265625" style="2" customWidth="1"/>
    <col min="795" max="795" width="12.1796875" style="2" customWidth="1"/>
    <col min="796" max="796" width="12.81640625" style="2" customWidth="1"/>
    <col min="797" max="797" width="13" style="2" customWidth="1"/>
    <col min="798" max="798" width="10.7265625" style="2" customWidth="1"/>
    <col min="799" max="799" width="11.81640625" style="2" customWidth="1"/>
    <col min="800" max="800" width="0.81640625" style="2" customWidth="1"/>
    <col min="801" max="801" width="13.54296875" style="2" customWidth="1"/>
    <col min="802" max="802" width="0.81640625" style="2" customWidth="1"/>
    <col min="803" max="803" width="13.1796875" style="2" customWidth="1"/>
    <col min="804" max="804" width="13.7265625" style="2" bestFit="1" customWidth="1"/>
    <col min="805" max="805" width="11.54296875" style="2" bestFit="1" customWidth="1"/>
    <col min="806" max="1039" width="11.453125" style="2"/>
    <col min="1040" max="1040" width="7.26953125" style="2" customWidth="1"/>
    <col min="1041" max="1041" width="18.26953125" style="2" customWidth="1"/>
    <col min="1042" max="1042" width="13" style="2" customWidth="1"/>
    <col min="1043" max="1043" width="12.81640625" style="2" customWidth="1"/>
    <col min="1044" max="1044" width="12.54296875" style="2" customWidth="1"/>
    <col min="1045" max="1045" width="13" style="2" customWidth="1"/>
    <col min="1046" max="1046" width="14.1796875" style="2" customWidth="1"/>
    <col min="1047" max="1047" width="11.1796875" style="2" customWidth="1"/>
    <col min="1048" max="1048" width="13.54296875" style="2" customWidth="1"/>
    <col min="1049" max="1049" width="14.1796875" style="2" customWidth="1"/>
    <col min="1050" max="1050" width="12.7265625" style="2" customWidth="1"/>
    <col min="1051" max="1051" width="12.1796875" style="2" customWidth="1"/>
    <col min="1052" max="1052" width="12.81640625" style="2" customWidth="1"/>
    <col min="1053" max="1053" width="13" style="2" customWidth="1"/>
    <col min="1054" max="1054" width="10.7265625" style="2" customWidth="1"/>
    <col min="1055" max="1055" width="11.81640625" style="2" customWidth="1"/>
    <col min="1056" max="1056" width="0.81640625" style="2" customWidth="1"/>
    <col min="1057" max="1057" width="13.54296875" style="2" customWidth="1"/>
    <col min="1058" max="1058" width="0.81640625" style="2" customWidth="1"/>
    <col min="1059" max="1059" width="13.1796875" style="2" customWidth="1"/>
    <col min="1060" max="1060" width="13.7265625" style="2" bestFit="1" customWidth="1"/>
    <col min="1061" max="1061" width="11.54296875" style="2" bestFit="1" customWidth="1"/>
    <col min="1062" max="1295" width="11.453125" style="2"/>
    <col min="1296" max="1296" width="7.26953125" style="2" customWidth="1"/>
    <col min="1297" max="1297" width="18.26953125" style="2" customWidth="1"/>
    <col min="1298" max="1298" width="13" style="2" customWidth="1"/>
    <col min="1299" max="1299" width="12.81640625" style="2" customWidth="1"/>
    <col min="1300" max="1300" width="12.54296875" style="2" customWidth="1"/>
    <col min="1301" max="1301" width="13" style="2" customWidth="1"/>
    <col min="1302" max="1302" width="14.1796875" style="2" customWidth="1"/>
    <col min="1303" max="1303" width="11.1796875" style="2" customWidth="1"/>
    <col min="1304" max="1304" width="13.54296875" style="2" customWidth="1"/>
    <col min="1305" max="1305" width="14.1796875" style="2" customWidth="1"/>
    <col min="1306" max="1306" width="12.7265625" style="2" customWidth="1"/>
    <col min="1307" max="1307" width="12.1796875" style="2" customWidth="1"/>
    <col min="1308" max="1308" width="12.81640625" style="2" customWidth="1"/>
    <col min="1309" max="1309" width="13" style="2" customWidth="1"/>
    <col min="1310" max="1310" width="10.7265625" style="2" customWidth="1"/>
    <col min="1311" max="1311" width="11.81640625" style="2" customWidth="1"/>
    <col min="1312" max="1312" width="0.81640625" style="2" customWidth="1"/>
    <col min="1313" max="1313" width="13.54296875" style="2" customWidth="1"/>
    <col min="1314" max="1314" width="0.81640625" style="2" customWidth="1"/>
    <col min="1315" max="1315" width="13.1796875" style="2" customWidth="1"/>
    <col min="1316" max="1316" width="13.7265625" style="2" bestFit="1" customWidth="1"/>
    <col min="1317" max="1317" width="11.54296875" style="2" bestFit="1" customWidth="1"/>
    <col min="1318" max="1551" width="11.453125" style="2"/>
    <col min="1552" max="1552" width="7.26953125" style="2" customWidth="1"/>
    <col min="1553" max="1553" width="18.26953125" style="2" customWidth="1"/>
    <col min="1554" max="1554" width="13" style="2" customWidth="1"/>
    <col min="1555" max="1555" width="12.81640625" style="2" customWidth="1"/>
    <col min="1556" max="1556" width="12.54296875" style="2" customWidth="1"/>
    <col min="1557" max="1557" width="13" style="2" customWidth="1"/>
    <col min="1558" max="1558" width="14.1796875" style="2" customWidth="1"/>
    <col min="1559" max="1559" width="11.1796875" style="2" customWidth="1"/>
    <col min="1560" max="1560" width="13.54296875" style="2" customWidth="1"/>
    <col min="1561" max="1561" width="14.1796875" style="2" customWidth="1"/>
    <col min="1562" max="1562" width="12.7265625" style="2" customWidth="1"/>
    <col min="1563" max="1563" width="12.1796875" style="2" customWidth="1"/>
    <col min="1564" max="1564" width="12.81640625" style="2" customWidth="1"/>
    <col min="1565" max="1565" width="13" style="2" customWidth="1"/>
    <col min="1566" max="1566" width="10.7265625" style="2" customWidth="1"/>
    <col min="1567" max="1567" width="11.81640625" style="2" customWidth="1"/>
    <col min="1568" max="1568" width="0.81640625" style="2" customWidth="1"/>
    <col min="1569" max="1569" width="13.54296875" style="2" customWidth="1"/>
    <col min="1570" max="1570" width="0.81640625" style="2" customWidth="1"/>
    <col min="1571" max="1571" width="13.1796875" style="2" customWidth="1"/>
    <col min="1572" max="1572" width="13.7265625" style="2" bestFit="1" customWidth="1"/>
    <col min="1573" max="1573" width="11.54296875" style="2" bestFit="1" customWidth="1"/>
    <col min="1574" max="1807" width="11.453125" style="2"/>
    <col min="1808" max="1808" width="7.26953125" style="2" customWidth="1"/>
    <col min="1809" max="1809" width="18.26953125" style="2" customWidth="1"/>
    <col min="1810" max="1810" width="13" style="2" customWidth="1"/>
    <col min="1811" max="1811" width="12.81640625" style="2" customWidth="1"/>
    <col min="1812" max="1812" width="12.54296875" style="2" customWidth="1"/>
    <col min="1813" max="1813" width="13" style="2" customWidth="1"/>
    <col min="1814" max="1814" width="14.1796875" style="2" customWidth="1"/>
    <col min="1815" max="1815" width="11.1796875" style="2" customWidth="1"/>
    <col min="1816" max="1816" width="13.54296875" style="2" customWidth="1"/>
    <col min="1817" max="1817" width="14.1796875" style="2" customWidth="1"/>
    <col min="1818" max="1818" width="12.7265625" style="2" customWidth="1"/>
    <col min="1819" max="1819" width="12.1796875" style="2" customWidth="1"/>
    <col min="1820" max="1820" width="12.81640625" style="2" customWidth="1"/>
    <col min="1821" max="1821" width="13" style="2" customWidth="1"/>
    <col min="1822" max="1822" width="10.7265625" style="2" customWidth="1"/>
    <col min="1823" max="1823" width="11.81640625" style="2" customWidth="1"/>
    <col min="1824" max="1824" width="0.81640625" style="2" customWidth="1"/>
    <col min="1825" max="1825" width="13.54296875" style="2" customWidth="1"/>
    <col min="1826" max="1826" width="0.81640625" style="2" customWidth="1"/>
    <col min="1827" max="1827" width="13.1796875" style="2" customWidth="1"/>
    <col min="1828" max="1828" width="13.7265625" style="2" bestFit="1" customWidth="1"/>
    <col min="1829" max="1829" width="11.54296875" style="2" bestFit="1" customWidth="1"/>
    <col min="1830" max="2063" width="11.453125" style="2"/>
    <col min="2064" max="2064" width="7.26953125" style="2" customWidth="1"/>
    <col min="2065" max="2065" width="18.26953125" style="2" customWidth="1"/>
    <col min="2066" max="2066" width="13" style="2" customWidth="1"/>
    <col min="2067" max="2067" width="12.81640625" style="2" customWidth="1"/>
    <col min="2068" max="2068" width="12.54296875" style="2" customWidth="1"/>
    <col min="2069" max="2069" width="13" style="2" customWidth="1"/>
    <col min="2070" max="2070" width="14.1796875" style="2" customWidth="1"/>
    <col min="2071" max="2071" width="11.1796875" style="2" customWidth="1"/>
    <col min="2072" max="2072" width="13.54296875" style="2" customWidth="1"/>
    <col min="2073" max="2073" width="14.1796875" style="2" customWidth="1"/>
    <col min="2074" max="2074" width="12.7265625" style="2" customWidth="1"/>
    <col min="2075" max="2075" width="12.1796875" style="2" customWidth="1"/>
    <col min="2076" max="2076" width="12.81640625" style="2" customWidth="1"/>
    <col min="2077" max="2077" width="13" style="2" customWidth="1"/>
    <col min="2078" max="2078" width="10.7265625" style="2" customWidth="1"/>
    <col min="2079" max="2079" width="11.81640625" style="2" customWidth="1"/>
    <col min="2080" max="2080" width="0.81640625" style="2" customWidth="1"/>
    <col min="2081" max="2081" width="13.54296875" style="2" customWidth="1"/>
    <col min="2082" max="2082" width="0.81640625" style="2" customWidth="1"/>
    <col min="2083" max="2083" width="13.1796875" style="2" customWidth="1"/>
    <col min="2084" max="2084" width="13.7265625" style="2" bestFit="1" customWidth="1"/>
    <col min="2085" max="2085" width="11.54296875" style="2" bestFit="1" customWidth="1"/>
    <col min="2086" max="2319" width="11.453125" style="2"/>
    <col min="2320" max="2320" width="7.26953125" style="2" customWidth="1"/>
    <col min="2321" max="2321" width="18.26953125" style="2" customWidth="1"/>
    <col min="2322" max="2322" width="13" style="2" customWidth="1"/>
    <col min="2323" max="2323" width="12.81640625" style="2" customWidth="1"/>
    <col min="2324" max="2324" width="12.54296875" style="2" customWidth="1"/>
    <col min="2325" max="2325" width="13" style="2" customWidth="1"/>
    <col min="2326" max="2326" width="14.1796875" style="2" customWidth="1"/>
    <col min="2327" max="2327" width="11.1796875" style="2" customWidth="1"/>
    <col min="2328" max="2328" width="13.54296875" style="2" customWidth="1"/>
    <col min="2329" max="2329" width="14.1796875" style="2" customWidth="1"/>
    <col min="2330" max="2330" width="12.7265625" style="2" customWidth="1"/>
    <col min="2331" max="2331" width="12.1796875" style="2" customWidth="1"/>
    <col min="2332" max="2332" width="12.81640625" style="2" customWidth="1"/>
    <col min="2333" max="2333" width="13" style="2" customWidth="1"/>
    <col min="2334" max="2334" width="10.7265625" style="2" customWidth="1"/>
    <col min="2335" max="2335" width="11.81640625" style="2" customWidth="1"/>
    <col min="2336" max="2336" width="0.81640625" style="2" customWidth="1"/>
    <col min="2337" max="2337" width="13.54296875" style="2" customWidth="1"/>
    <col min="2338" max="2338" width="0.81640625" style="2" customWidth="1"/>
    <col min="2339" max="2339" width="13.1796875" style="2" customWidth="1"/>
    <col min="2340" max="2340" width="13.7265625" style="2" bestFit="1" customWidth="1"/>
    <col min="2341" max="2341" width="11.54296875" style="2" bestFit="1" customWidth="1"/>
    <col min="2342" max="2575" width="11.453125" style="2"/>
    <col min="2576" max="2576" width="7.26953125" style="2" customWidth="1"/>
    <col min="2577" max="2577" width="18.26953125" style="2" customWidth="1"/>
    <col min="2578" max="2578" width="13" style="2" customWidth="1"/>
    <col min="2579" max="2579" width="12.81640625" style="2" customWidth="1"/>
    <col min="2580" max="2580" width="12.54296875" style="2" customWidth="1"/>
    <col min="2581" max="2581" width="13" style="2" customWidth="1"/>
    <col min="2582" max="2582" width="14.1796875" style="2" customWidth="1"/>
    <col min="2583" max="2583" width="11.1796875" style="2" customWidth="1"/>
    <col min="2584" max="2584" width="13.54296875" style="2" customWidth="1"/>
    <col min="2585" max="2585" width="14.1796875" style="2" customWidth="1"/>
    <col min="2586" max="2586" width="12.7265625" style="2" customWidth="1"/>
    <col min="2587" max="2587" width="12.1796875" style="2" customWidth="1"/>
    <col min="2588" max="2588" width="12.81640625" style="2" customWidth="1"/>
    <col min="2589" max="2589" width="13" style="2" customWidth="1"/>
    <col min="2590" max="2590" width="10.7265625" style="2" customWidth="1"/>
    <col min="2591" max="2591" width="11.81640625" style="2" customWidth="1"/>
    <col min="2592" max="2592" width="0.81640625" style="2" customWidth="1"/>
    <col min="2593" max="2593" width="13.54296875" style="2" customWidth="1"/>
    <col min="2594" max="2594" width="0.81640625" style="2" customWidth="1"/>
    <col min="2595" max="2595" width="13.1796875" style="2" customWidth="1"/>
    <col min="2596" max="2596" width="13.7265625" style="2" bestFit="1" customWidth="1"/>
    <col min="2597" max="2597" width="11.54296875" style="2" bestFit="1" customWidth="1"/>
    <col min="2598" max="2831" width="11.453125" style="2"/>
    <col min="2832" max="2832" width="7.26953125" style="2" customWidth="1"/>
    <col min="2833" max="2833" width="18.26953125" style="2" customWidth="1"/>
    <col min="2834" max="2834" width="13" style="2" customWidth="1"/>
    <col min="2835" max="2835" width="12.81640625" style="2" customWidth="1"/>
    <col min="2836" max="2836" width="12.54296875" style="2" customWidth="1"/>
    <col min="2837" max="2837" width="13" style="2" customWidth="1"/>
    <col min="2838" max="2838" width="14.1796875" style="2" customWidth="1"/>
    <col min="2839" max="2839" width="11.1796875" style="2" customWidth="1"/>
    <col min="2840" max="2840" width="13.54296875" style="2" customWidth="1"/>
    <col min="2841" max="2841" width="14.1796875" style="2" customWidth="1"/>
    <col min="2842" max="2842" width="12.7265625" style="2" customWidth="1"/>
    <col min="2843" max="2843" width="12.1796875" style="2" customWidth="1"/>
    <col min="2844" max="2844" width="12.81640625" style="2" customWidth="1"/>
    <col min="2845" max="2845" width="13" style="2" customWidth="1"/>
    <col min="2846" max="2846" width="10.7265625" style="2" customWidth="1"/>
    <col min="2847" max="2847" width="11.81640625" style="2" customWidth="1"/>
    <col min="2848" max="2848" width="0.81640625" style="2" customWidth="1"/>
    <col min="2849" max="2849" width="13.54296875" style="2" customWidth="1"/>
    <col min="2850" max="2850" width="0.81640625" style="2" customWidth="1"/>
    <col min="2851" max="2851" width="13.1796875" style="2" customWidth="1"/>
    <col min="2852" max="2852" width="13.7265625" style="2" bestFit="1" customWidth="1"/>
    <col min="2853" max="2853" width="11.54296875" style="2" bestFit="1" customWidth="1"/>
    <col min="2854" max="3087" width="11.453125" style="2"/>
    <col min="3088" max="3088" width="7.26953125" style="2" customWidth="1"/>
    <col min="3089" max="3089" width="18.26953125" style="2" customWidth="1"/>
    <col min="3090" max="3090" width="13" style="2" customWidth="1"/>
    <col min="3091" max="3091" width="12.81640625" style="2" customWidth="1"/>
    <col min="3092" max="3092" width="12.54296875" style="2" customWidth="1"/>
    <col min="3093" max="3093" width="13" style="2" customWidth="1"/>
    <col min="3094" max="3094" width="14.1796875" style="2" customWidth="1"/>
    <col min="3095" max="3095" width="11.1796875" style="2" customWidth="1"/>
    <col min="3096" max="3096" width="13.54296875" style="2" customWidth="1"/>
    <col min="3097" max="3097" width="14.1796875" style="2" customWidth="1"/>
    <col min="3098" max="3098" width="12.7265625" style="2" customWidth="1"/>
    <col min="3099" max="3099" width="12.1796875" style="2" customWidth="1"/>
    <col min="3100" max="3100" width="12.81640625" style="2" customWidth="1"/>
    <col min="3101" max="3101" width="13" style="2" customWidth="1"/>
    <col min="3102" max="3102" width="10.7265625" style="2" customWidth="1"/>
    <col min="3103" max="3103" width="11.81640625" style="2" customWidth="1"/>
    <col min="3104" max="3104" width="0.81640625" style="2" customWidth="1"/>
    <col min="3105" max="3105" width="13.54296875" style="2" customWidth="1"/>
    <col min="3106" max="3106" width="0.81640625" style="2" customWidth="1"/>
    <col min="3107" max="3107" width="13.1796875" style="2" customWidth="1"/>
    <col min="3108" max="3108" width="13.7265625" style="2" bestFit="1" customWidth="1"/>
    <col min="3109" max="3109" width="11.54296875" style="2" bestFit="1" customWidth="1"/>
    <col min="3110" max="3343" width="11.453125" style="2"/>
    <col min="3344" max="3344" width="7.26953125" style="2" customWidth="1"/>
    <col min="3345" max="3345" width="18.26953125" style="2" customWidth="1"/>
    <col min="3346" max="3346" width="13" style="2" customWidth="1"/>
    <col min="3347" max="3347" width="12.81640625" style="2" customWidth="1"/>
    <col min="3348" max="3348" width="12.54296875" style="2" customWidth="1"/>
    <col min="3349" max="3349" width="13" style="2" customWidth="1"/>
    <col min="3350" max="3350" width="14.1796875" style="2" customWidth="1"/>
    <col min="3351" max="3351" width="11.1796875" style="2" customWidth="1"/>
    <col min="3352" max="3352" width="13.54296875" style="2" customWidth="1"/>
    <col min="3353" max="3353" width="14.1796875" style="2" customWidth="1"/>
    <col min="3354" max="3354" width="12.7265625" style="2" customWidth="1"/>
    <col min="3355" max="3355" width="12.1796875" style="2" customWidth="1"/>
    <col min="3356" max="3356" width="12.81640625" style="2" customWidth="1"/>
    <col min="3357" max="3357" width="13" style="2" customWidth="1"/>
    <col min="3358" max="3358" width="10.7265625" style="2" customWidth="1"/>
    <col min="3359" max="3359" width="11.81640625" style="2" customWidth="1"/>
    <col min="3360" max="3360" width="0.81640625" style="2" customWidth="1"/>
    <col min="3361" max="3361" width="13.54296875" style="2" customWidth="1"/>
    <col min="3362" max="3362" width="0.81640625" style="2" customWidth="1"/>
    <col min="3363" max="3363" width="13.1796875" style="2" customWidth="1"/>
    <col min="3364" max="3364" width="13.7265625" style="2" bestFit="1" customWidth="1"/>
    <col min="3365" max="3365" width="11.54296875" style="2" bestFit="1" customWidth="1"/>
    <col min="3366" max="3599" width="11.453125" style="2"/>
    <col min="3600" max="3600" width="7.26953125" style="2" customWidth="1"/>
    <col min="3601" max="3601" width="18.26953125" style="2" customWidth="1"/>
    <col min="3602" max="3602" width="13" style="2" customWidth="1"/>
    <col min="3603" max="3603" width="12.81640625" style="2" customWidth="1"/>
    <col min="3604" max="3604" width="12.54296875" style="2" customWidth="1"/>
    <col min="3605" max="3605" width="13" style="2" customWidth="1"/>
    <col min="3606" max="3606" width="14.1796875" style="2" customWidth="1"/>
    <col min="3607" max="3607" width="11.1796875" style="2" customWidth="1"/>
    <col min="3608" max="3608" width="13.54296875" style="2" customWidth="1"/>
    <col min="3609" max="3609" width="14.1796875" style="2" customWidth="1"/>
    <col min="3610" max="3610" width="12.7265625" style="2" customWidth="1"/>
    <col min="3611" max="3611" width="12.1796875" style="2" customWidth="1"/>
    <col min="3612" max="3612" width="12.81640625" style="2" customWidth="1"/>
    <col min="3613" max="3613" width="13" style="2" customWidth="1"/>
    <col min="3614" max="3614" width="10.7265625" style="2" customWidth="1"/>
    <col min="3615" max="3615" width="11.81640625" style="2" customWidth="1"/>
    <col min="3616" max="3616" width="0.81640625" style="2" customWidth="1"/>
    <col min="3617" max="3617" width="13.54296875" style="2" customWidth="1"/>
    <col min="3618" max="3618" width="0.81640625" style="2" customWidth="1"/>
    <col min="3619" max="3619" width="13.1796875" style="2" customWidth="1"/>
    <col min="3620" max="3620" width="13.7265625" style="2" bestFit="1" customWidth="1"/>
    <col min="3621" max="3621" width="11.54296875" style="2" bestFit="1" customWidth="1"/>
    <col min="3622" max="3855" width="11.453125" style="2"/>
    <col min="3856" max="3856" width="7.26953125" style="2" customWidth="1"/>
    <col min="3857" max="3857" width="18.26953125" style="2" customWidth="1"/>
    <col min="3858" max="3858" width="13" style="2" customWidth="1"/>
    <col min="3859" max="3859" width="12.81640625" style="2" customWidth="1"/>
    <col min="3860" max="3860" width="12.54296875" style="2" customWidth="1"/>
    <col min="3861" max="3861" width="13" style="2" customWidth="1"/>
    <col min="3862" max="3862" width="14.1796875" style="2" customWidth="1"/>
    <col min="3863" max="3863" width="11.1796875" style="2" customWidth="1"/>
    <col min="3864" max="3864" width="13.54296875" style="2" customWidth="1"/>
    <col min="3865" max="3865" width="14.1796875" style="2" customWidth="1"/>
    <col min="3866" max="3866" width="12.7265625" style="2" customWidth="1"/>
    <col min="3867" max="3867" width="12.1796875" style="2" customWidth="1"/>
    <col min="3868" max="3868" width="12.81640625" style="2" customWidth="1"/>
    <col min="3869" max="3869" width="13" style="2" customWidth="1"/>
    <col min="3870" max="3870" width="10.7265625" style="2" customWidth="1"/>
    <col min="3871" max="3871" width="11.81640625" style="2" customWidth="1"/>
    <col min="3872" max="3872" width="0.81640625" style="2" customWidth="1"/>
    <col min="3873" max="3873" width="13.54296875" style="2" customWidth="1"/>
    <col min="3874" max="3874" width="0.81640625" style="2" customWidth="1"/>
    <col min="3875" max="3875" width="13.1796875" style="2" customWidth="1"/>
    <col min="3876" max="3876" width="13.7265625" style="2" bestFit="1" customWidth="1"/>
    <col min="3877" max="3877" width="11.54296875" style="2" bestFit="1" customWidth="1"/>
    <col min="3878" max="4111" width="11.453125" style="2"/>
    <col min="4112" max="4112" width="7.26953125" style="2" customWidth="1"/>
    <col min="4113" max="4113" width="18.26953125" style="2" customWidth="1"/>
    <col min="4114" max="4114" width="13" style="2" customWidth="1"/>
    <col min="4115" max="4115" width="12.81640625" style="2" customWidth="1"/>
    <col min="4116" max="4116" width="12.54296875" style="2" customWidth="1"/>
    <col min="4117" max="4117" width="13" style="2" customWidth="1"/>
    <col min="4118" max="4118" width="14.1796875" style="2" customWidth="1"/>
    <col min="4119" max="4119" width="11.1796875" style="2" customWidth="1"/>
    <col min="4120" max="4120" width="13.54296875" style="2" customWidth="1"/>
    <col min="4121" max="4121" width="14.1796875" style="2" customWidth="1"/>
    <col min="4122" max="4122" width="12.7265625" style="2" customWidth="1"/>
    <col min="4123" max="4123" width="12.1796875" style="2" customWidth="1"/>
    <col min="4124" max="4124" width="12.81640625" style="2" customWidth="1"/>
    <col min="4125" max="4125" width="13" style="2" customWidth="1"/>
    <col min="4126" max="4126" width="10.7265625" style="2" customWidth="1"/>
    <col min="4127" max="4127" width="11.81640625" style="2" customWidth="1"/>
    <col min="4128" max="4128" width="0.81640625" style="2" customWidth="1"/>
    <col min="4129" max="4129" width="13.54296875" style="2" customWidth="1"/>
    <col min="4130" max="4130" width="0.81640625" style="2" customWidth="1"/>
    <col min="4131" max="4131" width="13.1796875" style="2" customWidth="1"/>
    <col min="4132" max="4132" width="13.7265625" style="2" bestFit="1" customWidth="1"/>
    <col min="4133" max="4133" width="11.54296875" style="2" bestFit="1" customWidth="1"/>
    <col min="4134" max="4367" width="11.453125" style="2"/>
    <col min="4368" max="4368" width="7.26953125" style="2" customWidth="1"/>
    <col min="4369" max="4369" width="18.26953125" style="2" customWidth="1"/>
    <col min="4370" max="4370" width="13" style="2" customWidth="1"/>
    <col min="4371" max="4371" width="12.81640625" style="2" customWidth="1"/>
    <col min="4372" max="4372" width="12.54296875" style="2" customWidth="1"/>
    <col min="4373" max="4373" width="13" style="2" customWidth="1"/>
    <col min="4374" max="4374" width="14.1796875" style="2" customWidth="1"/>
    <col min="4375" max="4375" width="11.1796875" style="2" customWidth="1"/>
    <col min="4376" max="4376" width="13.54296875" style="2" customWidth="1"/>
    <col min="4377" max="4377" width="14.1796875" style="2" customWidth="1"/>
    <col min="4378" max="4378" width="12.7265625" style="2" customWidth="1"/>
    <col min="4379" max="4379" width="12.1796875" style="2" customWidth="1"/>
    <col min="4380" max="4380" width="12.81640625" style="2" customWidth="1"/>
    <col min="4381" max="4381" width="13" style="2" customWidth="1"/>
    <col min="4382" max="4382" width="10.7265625" style="2" customWidth="1"/>
    <col min="4383" max="4383" width="11.81640625" style="2" customWidth="1"/>
    <col min="4384" max="4384" width="0.81640625" style="2" customWidth="1"/>
    <col min="4385" max="4385" width="13.54296875" style="2" customWidth="1"/>
    <col min="4386" max="4386" width="0.81640625" style="2" customWidth="1"/>
    <col min="4387" max="4387" width="13.1796875" style="2" customWidth="1"/>
    <col min="4388" max="4388" width="13.7265625" style="2" bestFit="1" customWidth="1"/>
    <col min="4389" max="4389" width="11.54296875" style="2" bestFit="1" customWidth="1"/>
    <col min="4390" max="4623" width="11.453125" style="2"/>
    <col min="4624" max="4624" width="7.26953125" style="2" customWidth="1"/>
    <col min="4625" max="4625" width="18.26953125" style="2" customWidth="1"/>
    <col min="4626" max="4626" width="13" style="2" customWidth="1"/>
    <col min="4627" max="4627" width="12.81640625" style="2" customWidth="1"/>
    <col min="4628" max="4628" width="12.54296875" style="2" customWidth="1"/>
    <col min="4629" max="4629" width="13" style="2" customWidth="1"/>
    <col min="4630" max="4630" width="14.1796875" style="2" customWidth="1"/>
    <col min="4631" max="4631" width="11.1796875" style="2" customWidth="1"/>
    <col min="4632" max="4632" width="13.54296875" style="2" customWidth="1"/>
    <col min="4633" max="4633" width="14.1796875" style="2" customWidth="1"/>
    <col min="4634" max="4634" width="12.7265625" style="2" customWidth="1"/>
    <col min="4635" max="4635" width="12.1796875" style="2" customWidth="1"/>
    <col min="4636" max="4636" width="12.81640625" style="2" customWidth="1"/>
    <col min="4637" max="4637" width="13" style="2" customWidth="1"/>
    <col min="4638" max="4638" width="10.7265625" style="2" customWidth="1"/>
    <col min="4639" max="4639" width="11.81640625" style="2" customWidth="1"/>
    <col min="4640" max="4640" width="0.81640625" style="2" customWidth="1"/>
    <col min="4641" max="4641" width="13.54296875" style="2" customWidth="1"/>
    <col min="4642" max="4642" width="0.81640625" style="2" customWidth="1"/>
    <col min="4643" max="4643" width="13.1796875" style="2" customWidth="1"/>
    <col min="4644" max="4644" width="13.7265625" style="2" bestFit="1" customWidth="1"/>
    <col min="4645" max="4645" width="11.54296875" style="2" bestFit="1" customWidth="1"/>
    <col min="4646" max="4879" width="11.453125" style="2"/>
    <col min="4880" max="4880" width="7.26953125" style="2" customWidth="1"/>
    <col min="4881" max="4881" width="18.26953125" style="2" customWidth="1"/>
    <col min="4882" max="4882" width="13" style="2" customWidth="1"/>
    <col min="4883" max="4883" width="12.81640625" style="2" customWidth="1"/>
    <col min="4884" max="4884" width="12.54296875" style="2" customWidth="1"/>
    <col min="4885" max="4885" width="13" style="2" customWidth="1"/>
    <col min="4886" max="4886" width="14.1796875" style="2" customWidth="1"/>
    <col min="4887" max="4887" width="11.1796875" style="2" customWidth="1"/>
    <col min="4888" max="4888" width="13.54296875" style="2" customWidth="1"/>
    <col min="4889" max="4889" width="14.1796875" style="2" customWidth="1"/>
    <col min="4890" max="4890" width="12.7265625" style="2" customWidth="1"/>
    <col min="4891" max="4891" width="12.1796875" style="2" customWidth="1"/>
    <col min="4892" max="4892" width="12.81640625" style="2" customWidth="1"/>
    <col min="4893" max="4893" width="13" style="2" customWidth="1"/>
    <col min="4894" max="4894" width="10.7265625" style="2" customWidth="1"/>
    <col min="4895" max="4895" width="11.81640625" style="2" customWidth="1"/>
    <col min="4896" max="4896" width="0.81640625" style="2" customWidth="1"/>
    <col min="4897" max="4897" width="13.54296875" style="2" customWidth="1"/>
    <col min="4898" max="4898" width="0.81640625" style="2" customWidth="1"/>
    <col min="4899" max="4899" width="13.1796875" style="2" customWidth="1"/>
    <col min="4900" max="4900" width="13.7265625" style="2" bestFit="1" customWidth="1"/>
    <col min="4901" max="4901" width="11.54296875" style="2" bestFit="1" customWidth="1"/>
    <col min="4902" max="5135" width="11.453125" style="2"/>
    <col min="5136" max="5136" width="7.26953125" style="2" customWidth="1"/>
    <col min="5137" max="5137" width="18.26953125" style="2" customWidth="1"/>
    <col min="5138" max="5138" width="13" style="2" customWidth="1"/>
    <col min="5139" max="5139" width="12.81640625" style="2" customWidth="1"/>
    <col min="5140" max="5140" width="12.54296875" style="2" customWidth="1"/>
    <col min="5141" max="5141" width="13" style="2" customWidth="1"/>
    <col min="5142" max="5142" width="14.1796875" style="2" customWidth="1"/>
    <col min="5143" max="5143" width="11.1796875" style="2" customWidth="1"/>
    <col min="5144" max="5144" width="13.54296875" style="2" customWidth="1"/>
    <col min="5145" max="5145" width="14.1796875" style="2" customWidth="1"/>
    <col min="5146" max="5146" width="12.7265625" style="2" customWidth="1"/>
    <col min="5147" max="5147" width="12.1796875" style="2" customWidth="1"/>
    <col min="5148" max="5148" width="12.81640625" style="2" customWidth="1"/>
    <col min="5149" max="5149" width="13" style="2" customWidth="1"/>
    <col min="5150" max="5150" width="10.7265625" style="2" customWidth="1"/>
    <col min="5151" max="5151" width="11.81640625" style="2" customWidth="1"/>
    <col min="5152" max="5152" width="0.81640625" style="2" customWidth="1"/>
    <col min="5153" max="5153" width="13.54296875" style="2" customWidth="1"/>
    <col min="5154" max="5154" width="0.81640625" style="2" customWidth="1"/>
    <col min="5155" max="5155" width="13.1796875" style="2" customWidth="1"/>
    <col min="5156" max="5156" width="13.7265625" style="2" bestFit="1" customWidth="1"/>
    <col min="5157" max="5157" width="11.54296875" style="2" bestFit="1" customWidth="1"/>
    <col min="5158" max="5391" width="11.453125" style="2"/>
    <col min="5392" max="5392" width="7.26953125" style="2" customWidth="1"/>
    <col min="5393" max="5393" width="18.26953125" style="2" customWidth="1"/>
    <col min="5394" max="5394" width="13" style="2" customWidth="1"/>
    <col min="5395" max="5395" width="12.81640625" style="2" customWidth="1"/>
    <col min="5396" max="5396" width="12.54296875" style="2" customWidth="1"/>
    <col min="5397" max="5397" width="13" style="2" customWidth="1"/>
    <col min="5398" max="5398" width="14.1796875" style="2" customWidth="1"/>
    <col min="5399" max="5399" width="11.1796875" style="2" customWidth="1"/>
    <col min="5400" max="5400" width="13.54296875" style="2" customWidth="1"/>
    <col min="5401" max="5401" width="14.1796875" style="2" customWidth="1"/>
    <col min="5402" max="5402" width="12.7265625" style="2" customWidth="1"/>
    <col min="5403" max="5403" width="12.1796875" style="2" customWidth="1"/>
    <col min="5404" max="5404" width="12.81640625" style="2" customWidth="1"/>
    <col min="5405" max="5405" width="13" style="2" customWidth="1"/>
    <col min="5406" max="5406" width="10.7265625" style="2" customWidth="1"/>
    <col min="5407" max="5407" width="11.81640625" style="2" customWidth="1"/>
    <col min="5408" max="5408" width="0.81640625" style="2" customWidth="1"/>
    <col min="5409" max="5409" width="13.54296875" style="2" customWidth="1"/>
    <col min="5410" max="5410" width="0.81640625" style="2" customWidth="1"/>
    <col min="5411" max="5411" width="13.1796875" style="2" customWidth="1"/>
    <col min="5412" max="5412" width="13.7265625" style="2" bestFit="1" customWidth="1"/>
    <col min="5413" max="5413" width="11.54296875" style="2" bestFit="1" customWidth="1"/>
    <col min="5414" max="5647" width="11.453125" style="2"/>
    <col min="5648" max="5648" width="7.26953125" style="2" customWidth="1"/>
    <col min="5649" max="5649" width="18.26953125" style="2" customWidth="1"/>
    <col min="5650" max="5650" width="13" style="2" customWidth="1"/>
    <col min="5651" max="5651" width="12.81640625" style="2" customWidth="1"/>
    <col min="5652" max="5652" width="12.54296875" style="2" customWidth="1"/>
    <col min="5653" max="5653" width="13" style="2" customWidth="1"/>
    <col min="5654" max="5654" width="14.1796875" style="2" customWidth="1"/>
    <col min="5655" max="5655" width="11.1796875" style="2" customWidth="1"/>
    <col min="5656" max="5656" width="13.54296875" style="2" customWidth="1"/>
    <col min="5657" max="5657" width="14.1796875" style="2" customWidth="1"/>
    <col min="5658" max="5658" width="12.7265625" style="2" customWidth="1"/>
    <col min="5659" max="5659" width="12.1796875" style="2" customWidth="1"/>
    <col min="5660" max="5660" width="12.81640625" style="2" customWidth="1"/>
    <col min="5661" max="5661" width="13" style="2" customWidth="1"/>
    <col min="5662" max="5662" width="10.7265625" style="2" customWidth="1"/>
    <col min="5663" max="5663" width="11.81640625" style="2" customWidth="1"/>
    <col min="5664" max="5664" width="0.81640625" style="2" customWidth="1"/>
    <col min="5665" max="5665" width="13.54296875" style="2" customWidth="1"/>
    <col min="5666" max="5666" width="0.81640625" style="2" customWidth="1"/>
    <col min="5667" max="5667" width="13.1796875" style="2" customWidth="1"/>
    <col min="5668" max="5668" width="13.7265625" style="2" bestFit="1" customWidth="1"/>
    <col min="5669" max="5669" width="11.54296875" style="2" bestFit="1" customWidth="1"/>
    <col min="5670" max="5903" width="11.453125" style="2"/>
    <col min="5904" max="5904" width="7.26953125" style="2" customWidth="1"/>
    <col min="5905" max="5905" width="18.26953125" style="2" customWidth="1"/>
    <col min="5906" max="5906" width="13" style="2" customWidth="1"/>
    <col min="5907" max="5907" width="12.81640625" style="2" customWidth="1"/>
    <col min="5908" max="5908" width="12.54296875" style="2" customWidth="1"/>
    <col min="5909" max="5909" width="13" style="2" customWidth="1"/>
    <col min="5910" max="5910" width="14.1796875" style="2" customWidth="1"/>
    <col min="5911" max="5911" width="11.1796875" style="2" customWidth="1"/>
    <col min="5912" max="5912" width="13.54296875" style="2" customWidth="1"/>
    <col min="5913" max="5913" width="14.1796875" style="2" customWidth="1"/>
    <col min="5914" max="5914" width="12.7265625" style="2" customWidth="1"/>
    <col min="5915" max="5915" width="12.1796875" style="2" customWidth="1"/>
    <col min="5916" max="5916" width="12.81640625" style="2" customWidth="1"/>
    <col min="5917" max="5917" width="13" style="2" customWidth="1"/>
    <col min="5918" max="5918" width="10.7265625" style="2" customWidth="1"/>
    <col min="5919" max="5919" width="11.81640625" style="2" customWidth="1"/>
    <col min="5920" max="5920" width="0.81640625" style="2" customWidth="1"/>
    <col min="5921" max="5921" width="13.54296875" style="2" customWidth="1"/>
    <col min="5922" max="5922" width="0.81640625" style="2" customWidth="1"/>
    <col min="5923" max="5923" width="13.1796875" style="2" customWidth="1"/>
    <col min="5924" max="5924" width="13.7265625" style="2" bestFit="1" customWidth="1"/>
    <col min="5925" max="5925" width="11.54296875" style="2" bestFit="1" customWidth="1"/>
    <col min="5926" max="6159" width="11.453125" style="2"/>
    <col min="6160" max="6160" width="7.26953125" style="2" customWidth="1"/>
    <col min="6161" max="6161" width="18.26953125" style="2" customWidth="1"/>
    <col min="6162" max="6162" width="13" style="2" customWidth="1"/>
    <col min="6163" max="6163" width="12.81640625" style="2" customWidth="1"/>
    <col min="6164" max="6164" width="12.54296875" style="2" customWidth="1"/>
    <col min="6165" max="6165" width="13" style="2" customWidth="1"/>
    <col min="6166" max="6166" width="14.1796875" style="2" customWidth="1"/>
    <col min="6167" max="6167" width="11.1796875" style="2" customWidth="1"/>
    <col min="6168" max="6168" width="13.54296875" style="2" customWidth="1"/>
    <col min="6169" max="6169" width="14.1796875" style="2" customWidth="1"/>
    <col min="6170" max="6170" width="12.7265625" style="2" customWidth="1"/>
    <col min="6171" max="6171" width="12.1796875" style="2" customWidth="1"/>
    <col min="6172" max="6172" width="12.81640625" style="2" customWidth="1"/>
    <col min="6173" max="6173" width="13" style="2" customWidth="1"/>
    <col min="6174" max="6174" width="10.7265625" style="2" customWidth="1"/>
    <col min="6175" max="6175" width="11.81640625" style="2" customWidth="1"/>
    <col min="6176" max="6176" width="0.81640625" style="2" customWidth="1"/>
    <col min="6177" max="6177" width="13.54296875" style="2" customWidth="1"/>
    <col min="6178" max="6178" width="0.81640625" style="2" customWidth="1"/>
    <col min="6179" max="6179" width="13.1796875" style="2" customWidth="1"/>
    <col min="6180" max="6180" width="13.7265625" style="2" bestFit="1" customWidth="1"/>
    <col min="6181" max="6181" width="11.54296875" style="2" bestFit="1" customWidth="1"/>
    <col min="6182" max="6415" width="11.453125" style="2"/>
    <col min="6416" max="6416" width="7.26953125" style="2" customWidth="1"/>
    <col min="6417" max="6417" width="18.26953125" style="2" customWidth="1"/>
    <col min="6418" max="6418" width="13" style="2" customWidth="1"/>
    <col min="6419" max="6419" width="12.81640625" style="2" customWidth="1"/>
    <col min="6420" max="6420" width="12.54296875" style="2" customWidth="1"/>
    <col min="6421" max="6421" width="13" style="2" customWidth="1"/>
    <col min="6422" max="6422" width="14.1796875" style="2" customWidth="1"/>
    <col min="6423" max="6423" width="11.1796875" style="2" customWidth="1"/>
    <col min="6424" max="6424" width="13.54296875" style="2" customWidth="1"/>
    <col min="6425" max="6425" width="14.1796875" style="2" customWidth="1"/>
    <col min="6426" max="6426" width="12.7265625" style="2" customWidth="1"/>
    <col min="6427" max="6427" width="12.1796875" style="2" customWidth="1"/>
    <col min="6428" max="6428" width="12.81640625" style="2" customWidth="1"/>
    <col min="6429" max="6429" width="13" style="2" customWidth="1"/>
    <col min="6430" max="6430" width="10.7265625" style="2" customWidth="1"/>
    <col min="6431" max="6431" width="11.81640625" style="2" customWidth="1"/>
    <col min="6432" max="6432" width="0.81640625" style="2" customWidth="1"/>
    <col min="6433" max="6433" width="13.54296875" style="2" customWidth="1"/>
    <col min="6434" max="6434" width="0.81640625" style="2" customWidth="1"/>
    <col min="6435" max="6435" width="13.1796875" style="2" customWidth="1"/>
    <col min="6436" max="6436" width="13.7265625" style="2" bestFit="1" customWidth="1"/>
    <col min="6437" max="6437" width="11.54296875" style="2" bestFit="1" customWidth="1"/>
    <col min="6438" max="6671" width="11.453125" style="2"/>
    <col min="6672" max="6672" width="7.26953125" style="2" customWidth="1"/>
    <col min="6673" max="6673" width="18.26953125" style="2" customWidth="1"/>
    <col min="6674" max="6674" width="13" style="2" customWidth="1"/>
    <col min="6675" max="6675" width="12.81640625" style="2" customWidth="1"/>
    <col min="6676" max="6676" width="12.54296875" style="2" customWidth="1"/>
    <col min="6677" max="6677" width="13" style="2" customWidth="1"/>
    <col min="6678" max="6678" width="14.1796875" style="2" customWidth="1"/>
    <col min="6679" max="6679" width="11.1796875" style="2" customWidth="1"/>
    <col min="6680" max="6680" width="13.54296875" style="2" customWidth="1"/>
    <col min="6681" max="6681" width="14.1796875" style="2" customWidth="1"/>
    <col min="6682" max="6682" width="12.7265625" style="2" customWidth="1"/>
    <col min="6683" max="6683" width="12.1796875" style="2" customWidth="1"/>
    <col min="6684" max="6684" width="12.81640625" style="2" customWidth="1"/>
    <col min="6685" max="6685" width="13" style="2" customWidth="1"/>
    <col min="6686" max="6686" width="10.7265625" style="2" customWidth="1"/>
    <col min="6687" max="6687" width="11.81640625" style="2" customWidth="1"/>
    <col min="6688" max="6688" width="0.81640625" style="2" customWidth="1"/>
    <col min="6689" max="6689" width="13.54296875" style="2" customWidth="1"/>
    <col min="6690" max="6690" width="0.81640625" style="2" customWidth="1"/>
    <col min="6691" max="6691" width="13.1796875" style="2" customWidth="1"/>
    <col min="6692" max="6692" width="13.7265625" style="2" bestFit="1" customWidth="1"/>
    <col min="6693" max="6693" width="11.54296875" style="2" bestFit="1" customWidth="1"/>
    <col min="6694" max="6927" width="11.453125" style="2"/>
    <col min="6928" max="6928" width="7.26953125" style="2" customWidth="1"/>
    <col min="6929" max="6929" width="18.26953125" style="2" customWidth="1"/>
    <col min="6930" max="6930" width="13" style="2" customWidth="1"/>
    <col min="6931" max="6931" width="12.81640625" style="2" customWidth="1"/>
    <col min="6932" max="6932" width="12.54296875" style="2" customWidth="1"/>
    <col min="6933" max="6933" width="13" style="2" customWidth="1"/>
    <col min="6934" max="6934" width="14.1796875" style="2" customWidth="1"/>
    <col min="6935" max="6935" width="11.1796875" style="2" customWidth="1"/>
    <col min="6936" max="6936" width="13.54296875" style="2" customWidth="1"/>
    <col min="6937" max="6937" width="14.1796875" style="2" customWidth="1"/>
    <col min="6938" max="6938" width="12.7265625" style="2" customWidth="1"/>
    <col min="6939" max="6939" width="12.1796875" style="2" customWidth="1"/>
    <col min="6940" max="6940" width="12.81640625" style="2" customWidth="1"/>
    <col min="6941" max="6941" width="13" style="2" customWidth="1"/>
    <col min="6942" max="6942" width="10.7265625" style="2" customWidth="1"/>
    <col min="6943" max="6943" width="11.81640625" style="2" customWidth="1"/>
    <col min="6944" max="6944" width="0.81640625" style="2" customWidth="1"/>
    <col min="6945" max="6945" width="13.54296875" style="2" customWidth="1"/>
    <col min="6946" max="6946" width="0.81640625" style="2" customWidth="1"/>
    <col min="6947" max="6947" width="13.1796875" style="2" customWidth="1"/>
    <col min="6948" max="6948" width="13.7265625" style="2" bestFit="1" customWidth="1"/>
    <col min="6949" max="6949" width="11.54296875" style="2" bestFit="1" customWidth="1"/>
    <col min="6950" max="7183" width="11.453125" style="2"/>
    <col min="7184" max="7184" width="7.26953125" style="2" customWidth="1"/>
    <col min="7185" max="7185" width="18.26953125" style="2" customWidth="1"/>
    <col min="7186" max="7186" width="13" style="2" customWidth="1"/>
    <col min="7187" max="7187" width="12.81640625" style="2" customWidth="1"/>
    <col min="7188" max="7188" width="12.54296875" style="2" customWidth="1"/>
    <col min="7189" max="7189" width="13" style="2" customWidth="1"/>
    <col min="7190" max="7190" width="14.1796875" style="2" customWidth="1"/>
    <col min="7191" max="7191" width="11.1796875" style="2" customWidth="1"/>
    <col min="7192" max="7192" width="13.54296875" style="2" customWidth="1"/>
    <col min="7193" max="7193" width="14.1796875" style="2" customWidth="1"/>
    <col min="7194" max="7194" width="12.7265625" style="2" customWidth="1"/>
    <col min="7195" max="7195" width="12.1796875" style="2" customWidth="1"/>
    <col min="7196" max="7196" width="12.81640625" style="2" customWidth="1"/>
    <col min="7197" max="7197" width="13" style="2" customWidth="1"/>
    <col min="7198" max="7198" width="10.7265625" style="2" customWidth="1"/>
    <col min="7199" max="7199" width="11.81640625" style="2" customWidth="1"/>
    <col min="7200" max="7200" width="0.81640625" style="2" customWidth="1"/>
    <col min="7201" max="7201" width="13.54296875" style="2" customWidth="1"/>
    <col min="7202" max="7202" width="0.81640625" style="2" customWidth="1"/>
    <col min="7203" max="7203" width="13.1796875" style="2" customWidth="1"/>
    <col min="7204" max="7204" width="13.7265625" style="2" bestFit="1" customWidth="1"/>
    <col min="7205" max="7205" width="11.54296875" style="2" bestFit="1" customWidth="1"/>
    <col min="7206" max="7439" width="11.453125" style="2"/>
    <col min="7440" max="7440" width="7.26953125" style="2" customWidth="1"/>
    <col min="7441" max="7441" width="18.26953125" style="2" customWidth="1"/>
    <col min="7442" max="7442" width="13" style="2" customWidth="1"/>
    <col min="7443" max="7443" width="12.81640625" style="2" customWidth="1"/>
    <col min="7444" max="7444" width="12.54296875" style="2" customWidth="1"/>
    <col min="7445" max="7445" width="13" style="2" customWidth="1"/>
    <col min="7446" max="7446" width="14.1796875" style="2" customWidth="1"/>
    <col min="7447" max="7447" width="11.1796875" style="2" customWidth="1"/>
    <col min="7448" max="7448" width="13.54296875" style="2" customWidth="1"/>
    <col min="7449" max="7449" width="14.1796875" style="2" customWidth="1"/>
    <col min="7450" max="7450" width="12.7265625" style="2" customWidth="1"/>
    <col min="7451" max="7451" width="12.1796875" style="2" customWidth="1"/>
    <col min="7452" max="7452" width="12.81640625" style="2" customWidth="1"/>
    <col min="7453" max="7453" width="13" style="2" customWidth="1"/>
    <col min="7454" max="7454" width="10.7265625" style="2" customWidth="1"/>
    <col min="7455" max="7455" width="11.81640625" style="2" customWidth="1"/>
    <col min="7456" max="7456" width="0.81640625" style="2" customWidth="1"/>
    <col min="7457" max="7457" width="13.54296875" style="2" customWidth="1"/>
    <col min="7458" max="7458" width="0.81640625" style="2" customWidth="1"/>
    <col min="7459" max="7459" width="13.1796875" style="2" customWidth="1"/>
    <col min="7460" max="7460" width="13.7265625" style="2" bestFit="1" customWidth="1"/>
    <col min="7461" max="7461" width="11.54296875" style="2" bestFit="1" customWidth="1"/>
    <col min="7462" max="7695" width="11.453125" style="2"/>
    <col min="7696" max="7696" width="7.26953125" style="2" customWidth="1"/>
    <col min="7697" max="7697" width="18.26953125" style="2" customWidth="1"/>
    <col min="7698" max="7698" width="13" style="2" customWidth="1"/>
    <col min="7699" max="7699" width="12.81640625" style="2" customWidth="1"/>
    <col min="7700" max="7700" width="12.54296875" style="2" customWidth="1"/>
    <col min="7701" max="7701" width="13" style="2" customWidth="1"/>
    <col min="7702" max="7702" width="14.1796875" style="2" customWidth="1"/>
    <col min="7703" max="7703" width="11.1796875" style="2" customWidth="1"/>
    <col min="7704" max="7704" width="13.54296875" style="2" customWidth="1"/>
    <col min="7705" max="7705" width="14.1796875" style="2" customWidth="1"/>
    <col min="7706" max="7706" width="12.7265625" style="2" customWidth="1"/>
    <col min="7707" max="7707" width="12.1796875" style="2" customWidth="1"/>
    <col min="7708" max="7708" width="12.81640625" style="2" customWidth="1"/>
    <col min="7709" max="7709" width="13" style="2" customWidth="1"/>
    <col min="7710" max="7710" width="10.7265625" style="2" customWidth="1"/>
    <col min="7711" max="7711" width="11.81640625" style="2" customWidth="1"/>
    <col min="7712" max="7712" width="0.81640625" style="2" customWidth="1"/>
    <col min="7713" max="7713" width="13.54296875" style="2" customWidth="1"/>
    <col min="7714" max="7714" width="0.81640625" style="2" customWidth="1"/>
    <col min="7715" max="7715" width="13.1796875" style="2" customWidth="1"/>
    <col min="7716" max="7716" width="13.7265625" style="2" bestFit="1" customWidth="1"/>
    <col min="7717" max="7717" width="11.54296875" style="2" bestFit="1" customWidth="1"/>
    <col min="7718" max="7951" width="11.453125" style="2"/>
    <col min="7952" max="7952" width="7.26953125" style="2" customWidth="1"/>
    <col min="7953" max="7953" width="18.26953125" style="2" customWidth="1"/>
    <col min="7954" max="7954" width="13" style="2" customWidth="1"/>
    <col min="7955" max="7955" width="12.81640625" style="2" customWidth="1"/>
    <col min="7956" max="7956" width="12.54296875" style="2" customWidth="1"/>
    <col min="7957" max="7957" width="13" style="2" customWidth="1"/>
    <col min="7958" max="7958" width="14.1796875" style="2" customWidth="1"/>
    <col min="7959" max="7959" width="11.1796875" style="2" customWidth="1"/>
    <col min="7960" max="7960" width="13.54296875" style="2" customWidth="1"/>
    <col min="7961" max="7961" width="14.1796875" style="2" customWidth="1"/>
    <col min="7962" max="7962" width="12.7265625" style="2" customWidth="1"/>
    <col min="7963" max="7963" width="12.1796875" style="2" customWidth="1"/>
    <col min="7964" max="7964" width="12.81640625" style="2" customWidth="1"/>
    <col min="7965" max="7965" width="13" style="2" customWidth="1"/>
    <col min="7966" max="7966" width="10.7265625" style="2" customWidth="1"/>
    <col min="7967" max="7967" width="11.81640625" style="2" customWidth="1"/>
    <col min="7968" max="7968" width="0.81640625" style="2" customWidth="1"/>
    <col min="7969" max="7969" width="13.54296875" style="2" customWidth="1"/>
    <col min="7970" max="7970" width="0.81640625" style="2" customWidth="1"/>
    <col min="7971" max="7971" width="13.1796875" style="2" customWidth="1"/>
    <col min="7972" max="7972" width="13.7265625" style="2" bestFit="1" customWidth="1"/>
    <col min="7973" max="7973" width="11.54296875" style="2" bestFit="1" customWidth="1"/>
    <col min="7974" max="8207" width="11.453125" style="2"/>
    <col min="8208" max="8208" width="7.26953125" style="2" customWidth="1"/>
    <col min="8209" max="8209" width="18.26953125" style="2" customWidth="1"/>
    <col min="8210" max="8210" width="13" style="2" customWidth="1"/>
    <col min="8211" max="8211" width="12.81640625" style="2" customWidth="1"/>
    <col min="8212" max="8212" width="12.54296875" style="2" customWidth="1"/>
    <col min="8213" max="8213" width="13" style="2" customWidth="1"/>
    <col min="8214" max="8214" width="14.1796875" style="2" customWidth="1"/>
    <col min="8215" max="8215" width="11.1796875" style="2" customWidth="1"/>
    <col min="8216" max="8216" width="13.54296875" style="2" customWidth="1"/>
    <col min="8217" max="8217" width="14.1796875" style="2" customWidth="1"/>
    <col min="8218" max="8218" width="12.7265625" style="2" customWidth="1"/>
    <col min="8219" max="8219" width="12.1796875" style="2" customWidth="1"/>
    <col min="8220" max="8220" width="12.81640625" style="2" customWidth="1"/>
    <col min="8221" max="8221" width="13" style="2" customWidth="1"/>
    <col min="8222" max="8222" width="10.7265625" style="2" customWidth="1"/>
    <col min="8223" max="8223" width="11.81640625" style="2" customWidth="1"/>
    <col min="8224" max="8224" width="0.81640625" style="2" customWidth="1"/>
    <col min="8225" max="8225" width="13.54296875" style="2" customWidth="1"/>
    <col min="8226" max="8226" width="0.81640625" style="2" customWidth="1"/>
    <col min="8227" max="8227" width="13.1796875" style="2" customWidth="1"/>
    <col min="8228" max="8228" width="13.7265625" style="2" bestFit="1" customWidth="1"/>
    <col min="8229" max="8229" width="11.54296875" style="2" bestFit="1" customWidth="1"/>
    <col min="8230" max="8463" width="11.453125" style="2"/>
    <col min="8464" max="8464" width="7.26953125" style="2" customWidth="1"/>
    <col min="8465" max="8465" width="18.26953125" style="2" customWidth="1"/>
    <col min="8466" max="8466" width="13" style="2" customWidth="1"/>
    <col min="8467" max="8467" width="12.81640625" style="2" customWidth="1"/>
    <col min="8468" max="8468" width="12.54296875" style="2" customWidth="1"/>
    <col min="8469" max="8469" width="13" style="2" customWidth="1"/>
    <col min="8470" max="8470" width="14.1796875" style="2" customWidth="1"/>
    <col min="8471" max="8471" width="11.1796875" style="2" customWidth="1"/>
    <col min="8472" max="8472" width="13.54296875" style="2" customWidth="1"/>
    <col min="8473" max="8473" width="14.1796875" style="2" customWidth="1"/>
    <col min="8474" max="8474" width="12.7265625" style="2" customWidth="1"/>
    <col min="8475" max="8475" width="12.1796875" style="2" customWidth="1"/>
    <col min="8476" max="8476" width="12.81640625" style="2" customWidth="1"/>
    <col min="8477" max="8477" width="13" style="2" customWidth="1"/>
    <col min="8478" max="8478" width="10.7265625" style="2" customWidth="1"/>
    <col min="8479" max="8479" width="11.81640625" style="2" customWidth="1"/>
    <col min="8480" max="8480" width="0.81640625" style="2" customWidth="1"/>
    <col min="8481" max="8481" width="13.54296875" style="2" customWidth="1"/>
    <col min="8482" max="8482" width="0.81640625" style="2" customWidth="1"/>
    <col min="8483" max="8483" width="13.1796875" style="2" customWidth="1"/>
    <col min="8484" max="8484" width="13.7265625" style="2" bestFit="1" customWidth="1"/>
    <col min="8485" max="8485" width="11.54296875" style="2" bestFit="1" customWidth="1"/>
    <col min="8486" max="8719" width="11.453125" style="2"/>
    <col min="8720" max="8720" width="7.26953125" style="2" customWidth="1"/>
    <col min="8721" max="8721" width="18.26953125" style="2" customWidth="1"/>
    <col min="8722" max="8722" width="13" style="2" customWidth="1"/>
    <col min="8723" max="8723" width="12.81640625" style="2" customWidth="1"/>
    <col min="8724" max="8724" width="12.54296875" style="2" customWidth="1"/>
    <col min="8725" max="8725" width="13" style="2" customWidth="1"/>
    <col min="8726" max="8726" width="14.1796875" style="2" customWidth="1"/>
    <col min="8727" max="8727" width="11.1796875" style="2" customWidth="1"/>
    <col min="8728" max="8728" width="13.54296875" style="2" customWidth="1"/>
    <col min="8729" max="8729" width="14.1796875" style="2" customWidth="1"/>
    <col min="8730" max="8730" width="12.7265625" style="2" customWidth="1"/>
    <col min="8731" max="8731" width="12.1796875" style="2" customWidth="1"/>
    <col min="8732" max="8732" width="12.81640625" style="2" customWidth="1"/>
    <col min="8733" max="8733" width="13" style="2" customWidth="1"/>
    <col min="8734" max="8734" width="10.7265625" style="2" customWidth="1"/>
    <col min="8735" max="8735" width="11.81640625" style="2" customWidth="1"/>
    <col min="8736" max="8736" width="0.81640625" style="2" customWidth="1"/>
    <col min="8737" max="8737" width="13.54296875" style="2" customWidth="1"/>
    <col min="8738" max="8738" width="0.81640625" style="2" customWidth="1"/>
    <col min="8739" max="8739" width="13.1796875" style="2" customWidth="1"/>
    <col min="8740" max="8740" width="13.7265625" style="2" bestFit="1" customWidth="1"/>
    <col min="8741" max="8741" width="11.54296875" style="2" bestFit="1" customWidth="1"/>
    <col min="8742" max="8975" width="11.453125" style="2"/>
    <col min="8976" max="8976" width="7.26953125" style="2" customWidth="1"/>
    <col min="8977" max="8977" width="18.26953125" style="2" customWidth="1"/>
    <col min="8978" max="8978" width="13" style="2" customWidth="1"/>
    <col min="8979" max="8979" width="12.81640625" style="2" customWidth="1"/>
    <col min="8980" max="8980" width="12.54296875" style="2" customWidth="1"/>
    <col min="8981" max="8981" width="13" style="2" customWidth="1"/>
    <col min="8982" max="8982" width="14.1796875" style="2" customWidth="1"/>
    <col min="8983" max="8983" width="11.1796875" style="2" customWidth="1"/>
    <col min="8984" max="8984" width="13.54296875" style="2" customWidth="1"/>
    <col min="8985" max="8985" width="14.1796875" style="2" customWidth="1"/>
    <col min="8986" max="8986" width="12.7265625" style="2" customWidth="1"/>
    <col min="8987" max="8987" width="12.1796875" style="2" customWidth="1"/>
    <col min="8988" max="8988" width="12.81640625" style="2" customWidth="1"/>
    <col min="8989" max="8989" width="13" style="2" customWidth="1"/>
    <col min="8990" max="8990" width="10.7265625" style="2" customWidth="1"/>
    <col min="8991" max="8991" width="11.81640625" style="2" customWidth="1"/>
    <col min="8992" max="8992" width="0.81640625" style="2" customWidth="1"/>
    <col min="8993" max="8993" width="13.54296875" style="2" customWidth="1"/>
    <col min="8994" max="8994" width="0.81640625" style="2" customWidth="1"/>
    <col min="8995" max="8995" width="13.1796875" style="2" customWidth="1"/>
    <col min="8996" max="8996" width="13.7265625" style="2" bestFit="1" customWidth="1"/>
    <col min="8997" max="8997" width="11.54296875" style="2" bestFit="1" customWidth="1"/>
    <col min="8998" max="9231" width="11.453125" style="2"/>
    <col min="9232" max="9232" width="7.26953125" style="2" customWidth="1"/>
    <col min="9233" max="9233" width="18.26953125" style="2" customWidth="1"/>
    <col min="9234" max="9234" width="13" style="2" customWidth="1"/>
    <col min="9235" max="9235" width="12.81640625" style="2" customWidth="1"/>
    <col min="9236" max="9236" width="12.54296875" style="2" customWidth="1"/>
    <col min="9237" max="9237" width="13" style="2" customWidth="1"/>
    <col min="9238" max="9238" width="14.1796875" style="2" customWidth="1"/>
    <col min="9239" max="9239" width="11.1796875" style="2" customWidth="1"/>
    <col min="9240" max="9240" width="13.54296875" style="2" customWidth="1"/>
    <col min="9241" max="9241" width="14.1796875" style="2" customWidth="1"/>
    <col min="9242" max="9242" width="12.7265625" style="2" customWidth="1"/>
    <col min="9243" max="9243" width="12.1796875" style="2" customWidth="1"/>
    <col min="9244" max="9244" width="12.81640625" style="2" customWidth="1"/>
    <col min="9245" max="9245" width="13" style="2" customWidth="1"/>
    <col min="9246" max="9246" width="10.7265625" style="2" customWidth="1"/>
    <col min="9247" max="9247" width="11.81640625" style="2" customWidth="1"/>
    <col min="9248" max="9248" width="0.81640625" style="2" customWidth="1"/>
    <col min="9249" max="9249" width="13.54296875" style="2" customWidth="1"/>
    <col min="9250" max="9250" width="0.81640625" style="2" customWidth="1"/>
    <col min="9251" max="9251" width="13.1796875" style="2" customWidth="1"/>
    <col min="9252" max="9252" width="13.7265625" style="2" bestFit="1" customWidth="1"/>
    <col min="9253" max="9253" width="11.54296875" style="2" bestFit="1" customWidth="1"/>
    <col min="9254" max="9487" width="11.453125" style="2"/>
    <col min="9488" max="9488" width="7.26953125" style="2" customWidth="1"/>
    <col min="9489" max="9489" width="18.26953125" style="2" customWidth="1"/>
    <col min="9490" max="9490" width="13" style="2" customWidth="1"/>
    <col min="9491" max="9491" width="12.81640625" style="2" customWidth="1"/>
    <col min="9492" max="9492" width="12.54296875" style="2" customWidth="1"/>
    <col min="9493" max="9493" width="13" style="2" customWidth="1"/>
    <col min="9494" max="9494" width="14.1796875" style="2" customWidth="1"/>
    <col min="9495" max="9495" width="11.1796875" style="2" customWidth="1"/>
    <col min="9496" max="9496" width="13.54296875" style="2" customWidth="1"/>
    <col min="9497" max="9497" width="14.1796875" style="2" customWidth="1"/>
    <col min="9498" max="9498" width="12.7265625" style="2" customWidth="1"/>
    <col min="9499" max="9499" width="12.1796875" style="2" customWidth="1"/>
    <col min="9500" max="9500" width="12.81640625" style="2" customWidth="1"/>
    <col min="9501" max="9501" width="13" style="2" customWidth="1"/>
    <col min="9502" max="9502" width="10.7265625" style="2" customWidth="1"/>
    <col min="9503" max="9503" width="11.81640625" style="2" customWidth="1"/>
    <col min="9504" max="9504" width="0.81640625" style="2" customWidth="1"/>
    <col min="9505" max="9505" width="13.54296875" style="2" customWidth="1"/>
    <col min="9506" max="9506" width="0.81640625" style="2" customWidth="1"/>
    <col min="9507" max="9507" width="13.1796875" style="2" customWidth="1"/>
    <col min="9508" max="9508" width="13.7265625" style="2" bestFit="1" customWidth="1"/>
    <col min="9509" max="9509" width="11.54296875" style="2" bestFit="1" customWidth="1"/>
    <col min="9510" max="9743" width="11.453125" style="2"/>
    <col min="9744" max="9744" width="7.26953125" style="2" customWidth="1"/>
    <col min="9745" max="9745" width="18.26953125" style="2" customWidth="1"/>
    <col min="9746" max="9746" width="13" style="2" customWidth="1"/>
    <col min="9747" max="9747" width="12.81640625" style="2" customWidth="1"/>
    <col min="9748" max="9748" width="12.54296875" style="2" customWidth="1"/>
    <col min="9749" max="9749" width="13" style="2" customWidth="1"/>
    <col min="9750" max="9750" width="14.1796875" style="2" customWidth="1"/>
    <col min="9751" max="9751" width="11.1796875" style="2" customWidth="1"/>
    <col min="9752" max="9752" width="13.54296875" style="2" customWidth="1"/>
    <col min="9753" max="9753" width="14.1796875" style="2" customWidth="1"/>
    <col min="9754" max="9754" width="12.7265625" style="2" customWidth="1"/>
    <col min="9755" max="9755" width="12.1796875" style="2" customWidth="1"/>
    <col min="9756" max="9756" width="12.81640625" style="2" customWidth="1"/>
    <col min="9757" max="9757" width="13" style="2" customWidth="1"/>
    <col min="9758" max="9758" width="10.7265625" style="2" customWidth="1"/>
    <col min="9759" max="9759" width="11.81640625" style="2" customWidth="1"/>
    <col min="9760" max="9760" width="0.81640625" style="2" customWidth="1"/>
    <col min="9761" max="9761" width="13.54296875" style="2" customWidth="1"/>
    <col min="9762" max="9762" width="0.81640625" style="2" customWidth="1"/>
    <col min="9763" max="9763" width="13.1796875" style="2" customWidth="1"/>
    <col min="9764" max="9764" width="13.7265625" style="2" bestFit="1" customWidth="1"/>
    <col min="9765" max="9765" width="11.54296875" style="2" bestFit="1" customWidth="1"/>
    <col min="9766" max="9999" width="11.453125" style="2"/>
    <col min="10000" max="10000" width="7.26953125" style="2" customWidth="1"/>
    <col min="10001" max="10001" width="18.26953125" style="2" customWidth="1"/>
    <col min="10002" max="10002" width="13" style="2" customWidth="1"/>
    <col min="10003" max="10003" width="12.81640625" style="2" customWidth="1"/>
    <col min="10004" max="10004" width="12.54296875" style="2" customWidth="1"/>
    <col min="10005" max="10005" width="13" style="2" customWidth="1"/>
    <col min="10006" max="10006" width="14.1796875" style="2" customWidth="1"/>
    <col min="10007" max="10007" width="11.1796875" style="2" customWidth="1"/>
    <col min="10008" max="10008" width="13.54296875" style="2" customWidth="1"/>
    <col min="10009" max="10009" width="14.1796875" style="2" customWidth="1"/>
    <col min="10010" max="10010" width="12.7265625" style="2" customWidth="1"/>
    <col min="10011" max="10011" width="12.1796875" style="2" customWidth="1"/>
    <col min="10012" max="10012" width="12.81640625" style="2" customWidth="1"/>
    <col min="10013" max="10013" width="13" style="2" customWidth="1"/>
    <col min="10014" max="10014" width="10.7265625" style="2" customWidth="1"/>
    <col min="10015" max="10015" width="11.81640625" style="2" customWidth="1"/>
    <col min="10016" max="10016" width="0.81640625" style="2" customWidth="1"/>
    <col min="10017" max="10017" width="13.54296875" style="2" customWidth="1"/>
    <col min="10018" max="10018" width="0.81640625" style="2" customWidth="1"/>
    <col min="10019" max="10019" width="13.1796875" style="2" customWidth="1"/>
    <col min="10020" max="10020" width="13.7265625" style="2" bestFit="1" customWidth="1"/>
    <col min="10021" max="10021" width="11.54296875" style="2" bestFit="1" customWidth="1"/>
    <col min="10022" max="10255" width="11.453125" style="2"/>
    <col min="10256" max="10256" width="7.26953125" style="2" customWidth="1"/>
    <col min="10257" max="10257" width="18.26953125" style="2" customWidth="1"/>
    <col min="10258" max="10258" width="13" style="2" customWidth="1"/>
    <col min="10259" max="10259" width="12.81640625" style="2" customWidth="1"/>
    <col min="10260" max="10260" width="12.54296875" style="2" customWidth="1"/>
    <col min="10261" max="10261" width="13" style="2" customWidth="1"/>
    <col min="10262" max="10262" width="14.1796875" style="2" customWidth="1"/>
    <col min="10263" max="10263" width="11.1796875" style="2" customWidth="1"/>
    <col min="10264" max="10264" width="13.54296875" style="2" customWidth="1"/>
    <col min="10265" max="10265" width="14.1796875" style="2" customWidth="1"/>
    <col min="10266" max="10266" width="12.7265625" style="2" customWidth="1"/>
    <col min="10267" max="10267" width="12.1796875" style="2" customWidth="1"/>
    <col min="10268" max="10268" width="12.81640625" style="2" customWidth="1"/>
    <col min="10269" max="10269" width="13" style="2" customWidth="1"/>
    <col min="10270" max="10270" width="10.7265625" style="2" customWidth="1"/>
    <col min="10271" max="10271" width="11.81640625" style="2" customWidth="1"/>
    <col min="10272" max="10272" width="0.81640625" style="2" customWidth="1"/>
    <col min="10273" max="10273" width="13.54296875" style="2" customWidth="1"/>
    <col min="10274" max="10274" width="0.81640625" style="2" customWidth="1"/>
    <col min="10275" max="10275" width="13.1796875" style="2" customWidth="1"/>
    <col min="10276" max="10276" width="13.7265625" style="2" bestFit="1" customWidth="1"/>
    <col min="10277" max="10277" width="11.54296875" style="2" bestFit="1" customWidth="1"/>
    <col min="10278" max="10511" width="11.453125" style="2"/>
    <col min="10512" max="10512" width="7.26953125" style="2" customWidth="1"/>
    <col min="10513" max="10513" width="18.26953125" style="2" customWidth="1"/>
    <col min="10514" max="10514" width="13" style="2" customWidth="1"/>
    <col min="10515" max="10515" width="12.81640625" style="2" customWidth="1"/>
    <col min="10516" max="10516" width="12.54296875" style="2" customWidth="1"/>
    <col min="10517" max="10517" width="13" style="2" customWidth="1"/>
    <col min="10518" max="10518" width="14.1796875" style="2" customWidth="1"/>
    <col min="10519" max="10519" width="11.1796875" style="2" customWidth="1"/>
    <col min="10520" max="10520" width="13.54296875" style="2" customWidth="1"/>
    <col min="10521" max="10521" width="14.1796875" style="2" customWidth="1"/>
    <col min="10522" max="10522" width="12.7265625" style="2" customWidth="1"/>
    <col min="10523" max="10523" width="12.1796875" style="2" customWidth="1"/>
    <col min="10524" max="10524" width="12.81640625" style="2" customWidth="1"/>
    <col min="10525" max="10525" width="13" style="2" customWidth="1"/>
    <col min="10526" max="10526" width="10.7265625" style="2" customWidth="1"/>
    <col min="10527" max="10527" width="11.81640625" style="2" customWidth="1"/>
    <col min="10528" max="10528" width="0.81640625" style="2" customWidth="1"/>
    <col min="10529" max="10529" width="13.54296875" style="2" customWidth="1"/>
    <col min="10530" max="10530" width="0.81640625" style="2" customWidth="1"/>
    <col min="10531" max="10531" width="13.1796875" style="2" customWidth="1"/>
    <col min="10532" max="10532" width="13.7265625" style="2" bestFit="1" customWidth="1"/>
    <col min="10533" max="10533" width="11.54296875" style="2" bestFit="1" customWidth="1"/>
    <col min="10534" max="10767" width="11.453125" style="2"/>
    <col min="10768" max="10768" width="7.26953125" style="2" customWidth="1"/>
    <col min="10769" max="10769" width="18.26953125" style="2" customWidth="1"/>
    <col min="10770" max="10770" width="13" style="2" customWidth="1"/>
    <col min="10771" max="10771" width="12.81640625" style="2" customWidth="1"/>
    <col min="10772" max="10772" width="12.54296875" style="2" customWidth="1"/>
    <col min="10773" max="10773" width="13" style="2" customWidth="1"/>
    <col min="10774" max="10774" width="14.1796875" style="2" customWidth="1"/>
    <col min="10775" max="10775" width="11.1796875" style="2" customWidth="1"/>
    <col min="10776" max="10776" width="13.54296875" style="2" customWidth="1"/>
    <col min="10777" max="10777" width="14.1796875" style="2" customWidth="1"/>
    <col min="10778" max="10778" width="12.7265625" style="2" customWidth="1"/>
    <col min="10779" max="10779" width="12.1796875" style="2" customWidth="1"/>
    <col min="10780" max="10780" width="12.81640625" style="2" customWidth="1"/>
    <col min="10781" max="10781" width="13" style="2" customWidth="1"/>
    <col min="10782" max="10782" width="10.7265625" style="2" customWidth="1"/>
    <col min="10783" max="10783" width="11.81640625" style="2" customWidth="1"/>
    <col min="10784" max="10784" width="0.81640625" style="2" customWidth="1"/>
    <col min="10785" max="10785" width="13.54296875" style="2" customWidth="1"/>
    <col min="10786" max="10786" width="0.81640625" style="2" customWidth="1"/>
    <col min="10787" max="10787" width="13.1796875" style="2" customWidth="1"/>
    <col min="10788" max="10788" width="13.7265625" style="2" bestFit="1" customWidth="1"/>
    <col min="10789" max="10789" width="11.54296875" style="2" bestFit="1" customWidth="1"/>
    <col min="10790" max="11023" width="11.453125" style="2"/>
    <col min="11024" max="11024" width="7.26953125" style="2" customWidth="1"/>
    <col min="11025" max="11025" width="18.26953125" style="2" customWidth="1"/>
    <col min="11026" max="11026" width="13" style="2" customWidth="1"/>
    <col min="11027" max="11027" width="12.81640625" style="2" customWidth="1"/>
    <col min="11028" max="11028" width="12.54296875" style="2" customWidth="1"/>
    <col min="11029" max="11029" width="13" style="2" customWidth="1"/>
    <col min="11030" max="11030" width="14.1796875" style="2" customWidth="1"/>
    <col min="11031" max="11031" width="11.1796875" style="2" customWidth="1"/>
    <col min="11032" max="11032" width="13.54296875" style="2" customWidth="1"/>
    <col min="11033" max="11033" width="14.1796875" style="2" customWidth="1"/>
    <col min="11034" max="11034" width="12.7265625" style="2" customWidth="1"/>
    <col min="11035" max="11035" width="12.1796875" style="2" customWidth="1"/>
    <col min="11036" max="11036" width="12.81640625" style="2" customWidth="1"/>
    <col min="11037" max="11037" width="13" style="2" customWidth="1"/>
    <col min="11038" max="11038" width="10.7265625" style="2" customWidth="1"/>
    <col min="11039" max="11039" width="11.81640625" style="2" customWidth="1"/>
    <col min="11040" max="11040" width="0.81640625" style="2" customWidth="1"/>
    <col min="11041" max="11041" width="13.54296875" style="2" customWidth="1"/>
    <col min="11042" max="11042" width="0.81640625" style="2" customWidth="1"/>
    <col min="11043" max="11043" width="13.1796875" style="2" customWidth="1"/>
    <col min="11044" max="11044" width="13.7265625" style="2" bestFit="1" customWidth="1"/>
    <col min="11045" max="11045" width="11.54296875" style="2" bestFit="1" customWidth="1"/>
    <col min="11046" max="11279" width="11.453125" style="2"/>
    <col min="11280" max="11280" width="7.26953125" style="2" customWidth="1"/>
    <col min="11281" max="11281" width="18.26953125" style="2" customWidth="1"/>
    <col min="11282" max="11282" width="13" style="2" customWidth="1"/>
    <col min="11283" max="11283" width="12.81640625" style="2" customWidth="1"/>
    <col min="11284" max="11284" width="12.54296875" style="2" customWidth="1"/>
    <col min="11285" max="11285" width="13" style="2" customWidth="1"/>
    <col min="11286" max="11286" width="14.1796875" style="2" customWidth="1"/>
    <col min="11287" max="11287" width="11.1796875" style="2" customWidth="1"/>
    <col min="11288" max="11288" width="13.54296875" style="2" customWidth="1"/>
    <col min="11289" max="11289" width="14.1796875" style="2" customWidth="1"/>
    <col min="11290" max="11290" width="12.7265625" style="2" customWidth="1"/>
    <col min="11291" max="11291" width="12.1796875" style="2" customWidth="1"/>
    <col min="11292" max="11292" width="12.81640625" style="2" customWidth="1"/>
    <col min="11293" max="11293" width="13" style="2" customWidth="1"/>
    <col min="11294" max="11294" width="10.7265625" style="2" customWidth="1"/>
    <col min="11295" max="11295" width="11.81640625" style="2" customWidth="1"/>
    <col min="11296" max="11296" width="0.81640625" style="2" customWidth="1"/>
    <col min="11297" max="11297" width="13.54296875" style="2" customWidth="1"/>
    <col min="11298" max="11298" width="0.81640625" style="2" customWidth="1"/>
    <col min="11299" max="11299" width="13.1796875" style="2" customWidth="1"/>
    <col min="11300" max="11300" width="13.7265625" style="2" bestFit="1" customWidth="1"/>
    <col min="11301" max="11301" width="11.54296875" style="2" bestFit="1" customWidth="1"/>
    <col min="11302" max="11535" width="11.453125" style="2"/>
    <col min="11536" max="11536" width="7.26953125" style="2" customWidth="1"/>
    <col min="11537" max="11537" width="18.26953125" style="2" customWidth="1"/>
    <col min="11538" max="11538" width="13" style="2" customWidth="1"/>
    <col min="11539" max="11539" width="12.81640625" style="2" customWidth="1"/>
    <col min="11540" max="11540" width="12.54296875" style="2" customWidth="1"/>
    <col min="11541" max="11541" width="13" style="2" customWidth="1"/>
    <col min="11542" max="11542" width="14.1796875" style="2" customWidth="1"/>
    <col min="11543" max="11543" width="11.1796875" style="2" customWidth="1"/>
    <col min="11544" max="11544" width="13.54296875" style="2" customWidth="1"/>
    <col min="11545" max="11545" width="14.1796875" style="2" customWidth="1"/>
    <col min="11546" max="11546" width="12.7265625" style="2" customWidth="1"/>
    <col min="11547" max="11547" width="12.1796875" style="2" customWidth="1"/>
    <col min="11548" max="11548" width="12.81640625" style="2" customWidth="1"/>
    <col min="11549" max="11549" width="13" style="2" customWidth="1"/>
    <col min="11550" max="11550" width="10.7265625" style="2" customWidth="1"/>
    <col min="11551" max="11551" width="11.81640625" style="2" customWidth="1"/>
    <col min="11552" max="11552" width="0.81640625" style="2" customWidth="1"/>
    <col min="11553" max="11553" width="13.54296875" style="2" customWidth="1"/>
    <col min="11554" max="11554" width="0.81640625" style="2" customWidth="1"/>
    <col min="11555" max="11555" width="13.1796875" style="2" customWidth="1"/>
    <col min="11556" max="11556" width="13.7265625" style="2" bestFit="1" customWidth="1"/>
    <col min="11557" max="11557" width="11.54296875" style="2" bestFit="1" customWidth="1"/>
    <col min="11558" max="11791" width="11.453125" style="2"/>
    <col min="11792" max="11792" width="7.26953125" style="2" customWidth="1"/>
    <col min="11793" max="11793" width="18.26953125" style="2" customWidth="1"/>
    <col min="11794" max="11794" width="13" style="2" customWidth="1"/>
    <col min="11795" max="11795" width="12.81640625" style="2" customWidth="1"/>
    <col min="11796" max="11796" width="12.54296875" style="2" customWidth="1"/>
    <col min="11797" max="11797" width="13" style="2" customWidth="1"/>
    <col min="11798" max="11798" width="14.1796875" style="2" customWidth="1"/>
    <col min="11799" max="11799" width="11.1796875" style="2" customWidth="1"/>
    <col min="11800" max="11800" width="13.54296875" style="2" customWidth="1"/>
    <col min="11801" max="11801" width="14.1796875" style="2" customWidth="1"/>
    <col min="11802" max="11802" width="12.7265625" style="2" customWidth="1"/>
    <col min="11803" max="11803" width="12.1796875" style="2" customWidth="1"/>
    <col min="11804" max="11804" width="12.81640625" style="2" customWidth="1"/>
    <col min="11805" max="11805" width="13" style="2" customWidth="1"/>
    <col min="11806" max="11806" width="10.7265625" style="2" customWidth="1"/>
    <col min="11807" max="11807" width="11.81640625" style="2" customWidth="1"/>
    <col min="11808" max="11808" width="0.81640625" style="2" customWidth="1"/>
    <col min="11809" max="11809" width="13.54296875" style="2" customWidth="1"/>
    <col min="11810" max="11810" width="0.81640625" style="2" customWidth="1"/>
    <col min="11811" max="11811" width="13.1796875" style="2" customWidth="1"/>
    <col min="11812" max="11812" width="13.7265625" style="2" bestFit="1" customWidth="1"/>
    <col min="11813" max="11813" width="11.54296875" style="2" bestFit="1" customWidth="1"/>
    <col min="11814" max="12047" width="11.453125" style="2"/>
    <col min="12048" max="12048" width="7.26953125" style="2" customWidth="1"/>
    <col min="12049" max="12049" width="18.26953125" style="2" customWidth="1"/>
    <col min="12050" max="12050" width="13" style="2" customWidth="1"/>
    <col min="12051" max="12051" width="12.81640625" style="2" customWidth="1"/>
    <col min="12052" max="12052" width="12.54296875" style="2" customWidth="1"/>
    <col min="12053" max="12053" width="13" style="2" customWidth="1"/>
    <col min="12054" max="12054" width="14.1796875" style="2" customWidth="1"/>
    <col min="12055" max="12055" width="11.1796875" style="2" customWidth="1"/>
    <col min="12056" max="12056" width="13.54296875" style="2" customWidth="1"/>
    <col min="12057" max="12057" width="14.1796875" style="2" customWidth="1"/>
    <col min="12058" max="12058" width="12.7265625" style="2" customWidth="1"/>
    <col min="12059" max="12059" width="12.1796875" style="2" customWidth="1"/>
    <col min="12060" max="12060" width="12.81640625" style="2" customWidth="1"/>
    <col min="12061" max="12061" width="13" style="2" customWidth="1"/>
    <col min="12062" max="12062" width="10.7265625" style="2" customWidth="1"/>
    <col min="12063" max="12063" width="11.81640625" style="2" customWidth="1"/>
    <col min="12064" max="12064" width="0.81640625" style="2" customWidth="1"/>
    <col min="12065" max="12065" width="13.54296875" style="2" customWidth="1"/>
    <col min="12066" max="12066" width="0.81640625" style="2" customWidth="1"/>
    <col min="12067" max="12067" width="13.1796875" style="2" customWidth="1"/>
    <col min="12068" max="12068" width="13.7265625" style="2" bestFit="1" customWidth="1"/>
    <col min="12069" max="12069" width="11.54296875" style="2" bestFit="1" customWidth="1"/>
    <col min="12070" max="12303" width="11.453125" style="2"/>
    <col min="12304" max="12304" width="7.26953125" style="2" customWidth="1"/>
    <col min="12305" max="12305" width="18.26953125" style="2" customWidth="1"/>
    <col min="12306" max="12306" width="13" style="2" customWidth="1"/>
    <col min="12307" max="12307" width="12.81640625" style="2" customWidth="1"/>
    <col min="12308" max="12308" width="12.54296875" style="2" customWidth="1"/>
    <col min="12309" max="12309" width="13" style="2" customWidth="1"/>
    <col min="12310" max="12310" width="14.1796875" style="2" customWidth="1"/>
    <col min="12311" max="12311" width="11.1796875" style="2" customWidth="1"/>
    <col min="12312" max="12312" width="13.54296875" style="2" customWidth="1"/>
    <col min="12313" max="12313" width="14.1796875" style="2" customWidth="1"/>
    <col min="12314" max="12314" width="12.7265625" style="2" customWidth="1"/>
    <col min="12315" max="12315" width="12.1796875" style="2" customWidth="1"/>
    <col min="12316" max="12316" width="12.81640625" style="2" customWidth="1"/>
    <col min="12317" max="12317" width="13" style="2" customWidth="1"/>
    <col min="12318" max="12318" width="10.7265625" style="2" customWidth="1"/>
    <col min="12319" max="12319" width="11.81640625" style="2" customWidth="1"/>
    <col min="12320" max="12320" width="0.81640625" style="2" customWidth="1"/>
    <col min="12321" max="12321" width="13.54296875" style="2" customWidth="1"/>
    <col min="12322" max="12322" width="0.81640625" style="2" customWidth="1"/>
    <col min="12323" max="12323" width="13.1796875" style="2" customWidth="1"/>
    <col min="12324" max="12324" width="13.7265625" style="2" bestFit="1" customWidth="1"/>
    <col min="12325" max="12325" width="11.54296875" style="2" bestFit="1" customWidth="1"/>
    <col min="12326" max="12559" width="11.453125" style="2"/>
    <col min="12560" max="12560" width="7.26953125" style="2" customWidth="1"/>
    <col min="12561" max="12561" width="18.26953125" style="2" customWidth="1"/>
    <col min="12562" max="12562" width="13" style="2" customWidth="1"/>
    <col min="12563" max="12563" width="12.81640625" style="2" customWidth="1"/>
    <col min="12564" max="12564" width="12.54296875" style="2" customWidth="1"/>
    <col min="12565" max="12565" width="13" style="2" customWidth="1"/>
    <col min="12566" max="12566" width="14.1796875" style="2" customWidth="1"/>
    <col min="12567" max="12567" width="11.1796875" style="2" customWidth="1"/>
    <col min="12568" max="12568" width="13.54296875" style="2" customWidth="1"/>
    <col min="12569" max="12569" width="14.1796875" style="2" customWidth="1"/>
    <col min="12570" max="12570" width="12.7265625" style="2" customWidth="1"/>
    <col min="12571" max="12571" width="12.1796875" style="2" customWidth="1"/>
    <col min="12572" max="12572" width="12.81640625" style="2" customWidth="1"/>
    <col min="12573" max="12573" width="13" style="2" customWidth="1"/>
    <col min="12574" max="12574" width="10.7265625" style="2" customWidth="1"/>
    <col min="12575" max="12575" width="11.81640625" style="2" customWidth="1"/>
    <col min="12576" max="12576" width="0.81640625" style="2" customWidth="1"/>
    <col min="12577" max="12577" width="13.54296875" style="2" customWidth="1"/>
    <col min="12578" max="12578" width="0.81640625" style="2" customWidth="1"/>
    <col min="12579" max="12579" width="13.1796875" style="2" customWidth="1"/>
    <col min="12580" max="12580" width="13.7265625" style="2" bestFit="1" customWidth="1"/>
    <col min="12581" max="12581" width="11.54296875" style="2" bestFit="1" customWidth="1"/>
    <col min="12582" max="12815" width="11.453125" style="2"/>
    <col min="12816" max="12816" width="7.26953125" style="2" customWidth="1"/>
    <col min="12817" max="12817" width="18.26953125" style="2" customWidth="1"/>
    <col min="12818" max="12818" width="13" style="2" customWidth="1"/>
    <col min="12819" max="12819" width="12.81640625" style="2" customWidth="1"/>
    <col min="12820" max="12820" width="12.54296875" style="2" customWidth="1"/>
    <col min="12821" max="12821" width="13" style="2" customWidth="1"/>
    <col min="12822" max="12822" width="14.1796875" style="2" customWidth="1"/>
    <col min="12823" max="12823" width="11.1796875" style="2" customWidth="1"/>
    <col min="12824" max="12824" width="13.54296875" style="2" customWidth="1"/>
    <col min="12825" max="12825" width="14.1796875" style="2" customWidth="1"/>
    <col min="12826" max="12826" width="12.7265625" style="2" customWidth="1"/>
    <col min="12827" max="12827" width="12.1796875" style="2" customWidth="1"/>
    <col min="12828" max="12828" width="12.81640625" style="2" customWidth="1"/>
    <col min="12829" max="12829" width="13" style="2" customWidth="1"/>
    <col min="12830" max="12830" width="10.7265625" style="2" customWidth="1"/>
    <col min="12831" max="12831" width="11.81640625" style="2" customWidth="1"/>
    <col min="12832" max="12832" width="0.81640625" style="2" customWidth="1"/>
    <col min="12833" max="12833" width="13.54296875" style="2" customWidth="1"/>
    <col min="12834" max="12834" width="0.81640625" style="2" customWidth="1"/>
    <col min="12835" max="12835" width="13.1796875" style="2" customWidth="1"/>
    <col min="12836" max="12836" width="13.7265625" style="2" bestFit="1" customWidth="1"/>
    <col min="12837" max="12837" width="11.54296875" style="2" bestFit="1" customWidth="1"/>
    <col min="12838" max="13071" width="11.453125" style="2"/>
    <col min="13072" max="13072" width="7.26953125" style="2" customWidth="1"/>
    <col min="13073" max="13073" width="18.26953125" style="2" customWidth="1"/>
    <col min="13074" max="13074" width="13" style="2" customWidth="1"/>
    <col min="13075" max="13075" width="12.81640625" style="2" customWidth="1"/>
    <col min="13076" max="13076" width="12.54296875" style="2" customWidth="1"/>
    <col min="13077" max="13077" width="13" style="2" customWidth="1"/>
    <col min="13078" max="13078" width="14.1796875" style="2" customWidth="1"/>
    <col min="13079" max="13079" width="11.1796875" style="2" customWidth="1"/>
    <col min="13080" max="13080" width="13.54296875" style="2" customWidth="1"/>
    <col min="13081" max="13081" width="14.1796875" style="2" customWidth="1"/>
    <col min="13082" max="13082" width="12.7265625" style="2" customWidth="1"/>
    <col min="13083" max="13083" width="12.1796875" style="2" customWidth="1"/>
    <col min="13084" max="13084" width="12.81640625" style="2" customWidth="1"/>
    <col min="13085" max="13085" width="13" style="2" customWidth="1"/>
    <col min="13086" max="13086" width="10.7265625" style="2" customWidth="1"/>
    <col min="13087" max="13087" width="11.81640625" style="2" customWidth="1"/>
    <col min="13088" max="13088" width="0.81640625" style="2" customWidth="1"/>
    <col min="13089" max="13089" width="13.54296875" style="2" customWidth="1"/>
    <col min="13090" max="13090" width="0.81640625" style="2" customWidth="1"/>
    <col min="13091" max="13091" width="13.1796875" style="2" customWidth="1"/>
    <col min="13092" max="13092" width="13.7265625" style="2" bestFit="1" customWidth="1"/>
    <col min="13093" max="13093" width="11.54296875" style="2" bestFit="1" customWidth="1"/>
    <col min="13094" max="13327" width="11.453125" style="2"/>
    <col min="13328" max="13328" width="7.26953125" style="2" customWidth="1"/>
    <col min="13329" max="13329" width="18.26953125" style="2" customWidth="1"/>
    <col min="13330" max="13330" width="13" style="2" customWidth="1"/>
    <col min="13331" max="13331" width="12.81640625" style="2" customWidth="1"/>
    <col min="13332" max="13332" width="12.54296875" style="2" customWidth="1"/>
    <col min="13333" max="13333" width="13" style="2" customWidth="1"/>
    <col min="13334" max="13334" width="14.1796875" style="2" customWidth="1"/>
    <col min="13335" max="13335" width="11.1796875" style="2" customWidth="1"/>
    <col min="13336" max="13336" width="13.54296875" style="2" customWidth="1"/>
    <col min="13337" max="13337" width="14.1796875" style="2" customWidth="1"/>
    <col min="13338" max="13338" width="12.7265625" style="2" customWidth="1"/>
    <col min="13339" max="13339" width="12.1796875" style="2" customWidth="1"/>
    <col min="13340" max="13340" width="12.81640625" style="2" customWidth="1"/>
    <col min="13341" max="13341" width="13" style="2" customWidth="1"/>
    <col min="13342" max="13342" width="10.7265625" style="2" customWidth="1"/>
    <col min="13343" max="13343" width="11.81640625" style="2" customWidth="1"/>
    <col min="13344" max="13344" width="0.81640625" style="2" customWidth="1"/>
    <col min="13345" max="13345" width="13.54296875" style="2" customWidth="1"/>
    <col min="13346" max="13346" width="0.81640625" style="2" customWidth="1"/>
    <col min="13347" max="13347" width="13.1796875" style="2" customWidth="1"/>
    <col min="13348" max="13348" width="13.7265625" style="2" bestFit="1" customWidth="1"/>
    <col min="13349" max="13349" width="11.54296875" style="2" bestFit="1" customWidth="1"/>
    <col min="13350" max="13583" width="11.453125" style="2"/>
    <col min="13584" max="13584" width="7.26953125" style="2" customWidth="1"/>
    <col min="13585" max="13585" width="18.26953125" style="2" customWidth="1"/>
    <col min="13586" max="13586" width="13" style="2" customWidth="1"/>
    <col min="13587" max="13587" width="12.81640625" style="2" customWidth="1"/>
    <col min="13588" max="13588" width="12.54296875" style="2" customWidth="1"/>
    <col min="13589" max="13589" width="13" style="2" customWidth="1"/>
    <col min="13590" max="13590" width="14.1796875" style="2" customWidth="1"/>
    <col min="13591" max="13591" width="11.1796875" style="2" customWidth="1"/>
    <col min="13592" max="13592" width="13.54296875" style="2" customWidth="1"/>
    <col min="13593" max="13593" width="14.1796875" style="2" customWidth="1"/>
    <col min="13594" max="13594" width="12.7265625" style="2" customWidth="1"/>
    <col min="13595" max="13595" width="12.1796875" style="2" customWidth="1"/>
    <col min="13596" max="13596" width="12.81640625" style="2" customWidth="1"/>
    <col min="13597" max="13597" width="13" style="2" customWidth="1"/>
    <col min="13598" max="13598" width="10.7265625" style="2" customWidth="1"/>
    <col min="13599" max="13599" width="11.81640625" style="2" customWidth="1"/>
    <col min="13600" max="13600" width="0.81640625" style="2" customWidth="1"/>
    <col min="13601" max="13601" width="13.54296875" style="2" customWidth="1"/>
    <col min="13602" max="13602" width="0.81640625" style="2" customWidth="1"/>
    <col min="13603" max="13603" width="13.1796875" style="2" customWidth="1"/>
    <col min="13604" max="13604" width="13.7265625" style="2" bestFit="1" customWidth="1"/>
    <col min="13605" max="13605" width="11.54296875" style="2" bestFit="1" customWidth="1"/>
    <col min="13606" max="13839" width="11.453125" style="2"/>
    <col min="13840" max="13840" width="7.26953125" style="2" customWidth="1"/>
    <col min="13841" max="13841" width="18.26953125" style="2" customWidth="1"/>
    <col min="13842" max="13842" width="13" style="2" customWidth="1"/>
    <col min="13843" max="13843" width="12.81640625" style="2" customWidth="1"/>
    <col min="13844" max="13844" width="12.54296875" style="2" customWidth="1"/>
    <col min="13845" max="13845" width="13" style="2" customWidth="1"/>
    <col min="13846" max="13846" width="14.1796875" style="2" customWidth="1"/>
    <col min="13847" max="13847" width="11.1796875" style="2" customWidth="1"/>
    <col min="13848" max="13848" width="13.54296875" style="2" customWidth="1"/>
    <col min="13849" max="13849" width="14.1796875" style="2" customWidth="1"/>
    <col min="13850" max="13850" width="12.7265625" style="2" customWidth="1"/>
    <col min="13851" max="13851" width="12.1796875" style="2" customWidth="1"/>
    <col min="13852" max="13852" width="12.81640625" style="2" customWidth="1"/>
    <col min="13853" max="13853" width="13" style="2" customWidth="1"/>
    <col min="13854" max="13854" width="10.7265625" style="2" customWidth="1"/>
    <col min="13855" max="13855" width="11.81640625" style="2" customWidth="1"/>
    <col min="13856" max="13856" width="0.81640625" style="2" customWidth="1"/>
    <col min="13857" max="13857" width="13.54296875" style="2" customWidth="1"/>
    <col min="13858" max="13858" width="0.81640625" style="2" customWidth="1"/>
    <col min="13859" max="13859" width="13.1796875" style="2" customWidth="1"/>
    <col min="13860" max="13860" width="13.7265625" style="2" bestFit="1" customWidth="1"/>
    <col min="13861" max="13861" width="11.54296875" style="2" bestFit="1" customWidth="1"/>
    <col min="13862" max="14095" width="11.453125" style="2"/>
    <col min="14096" max="14096" width="7.26953125" style="2" customWidth="1"/>
    <col min="14097" max="14097" width="18.26953125" style="2" customWidth="1"/>
    <col min="14098" max="14098" width="13" style="2" customWidth="1"/>
    <col min="14099" max="14099" width="12.81640625" style="2" customWidth="1"/>
    <col min="14100" max="14100" width="12.54296875" style="2" customWidth="1"/>
    <col min="14101" max="14101" width="13" style="2" customWidth="1"/>
    <col min="14102" max="14102" width="14.1796875" style="2" customWidth="1"/>
    <col min="14103" max="14103" width="11.1796875" style="2" customWidth="1"/>
    <col min="14104" max="14104" width="13.54296875" style="2" customWidth="1"/>
    <col min="14105" max="14105" width="14.1796875" style="2" customWidth="1"/>
    <col min="14106" max="14106" width="12.7265625" style="2" customWidth="1"/>
    <col min="14107" max="14107" width="12.1796875" style="2" customWidth="1"/>
    <col min="14108" max="14108" width="12.81640625" style="2" customWidth="1"/>
    <col min="14109" max="14109" width="13" style="2" customWidth="1"/>
    <col min="14110" max="14110" width="10.7265625" style="2" customWidth="1"/>
    <col min="14111" max="14111" width="11.81640625" style="2" customWidth="1"/>
    <col min="14112" max="14112" width="0.81640625" style="2" customWidth="1"/>
    <col min="14113" max="14113" width="13.54296875" style="2" customWidth="1"/>
    <col min="14114" max="14114" width="0.81640625" style="2" customWidth="1"/>
    <col min="14115" max="14115" width="13.1796875" style="2" customWidth="1"/>
    <col min="14116" max="14116" width="13.7265625" style="2" bestFit="1" customWidth="1"/>
    <col min="14117" max="14117" width="11.54296875" style="2" bestFit="1" customWidth="1"/>
    <col min="14118" max="14351" width="11.453125" style="2"/>
    <col min="14352" max="14352" width="7.26953125" style="2" customWidth="1"/>
    <col min="14353" max="14353" width="18.26953125" style="2" customWidth="1"/>
    <col min="14354" max="14354" width="13" style="2" customWidth="1"/>
    <col min="14355" max="14355" width="12.81640625" style="2" customWidth="1"/>
    <col min="14356" max="14356" width="12.54296875" style="2" customWidth="1"/>
    <col min="14357" max="14357" width="13" style="2" customWidth="1"/>
    <col min="14358" max="14358" width="14.1796875" style="2" customWidth="1"/>
    <col min="14359" max="14359" width="11.1796875" style="2" customWidth="1"/>
    <col min="14360" max="14360" width="13.54296875" style="2" customWidth="1"/>
    <col min="14361" max="14361" width="14.1796875" style="2" customWidth="1"/>
    <col min="14362" max="14362" width="12.7265625" style="2" customWidth="1"/>
    <col min="14363" max="14363" width="12.1796875" style="2" customWidth="1"/>
    <col min="14364" max="14364" width="12.81640625" style="2" customWidth="1"/>
    <col min="14365" max="14365" width="13" style="2" customWidth="1"/>
    <col min="14366" max="14366" width="10.7265625" style="2" customWidth="1"/>
    <col min="14367" max="14367" width="11.81640625" style="2" customWidth="1"/>
    <col min="14368" max="14368" width="0.81640625" style="2" customWidth="1"/>
    <col min="14369" max="14369" width="13.54296875" style="2" customWidth="1"/>
    <col min="14370" max="14370" width="0.81640625" style="2" customWidth="1"/>
    <col min="14371" max="14371" width="13.1796875" style="2" customWidth="1"/>
    <col min="14372" max="14372" width="13.7265625" style="2" bestFit="1" customWidth="1"/>
    <col min="14373" max="14373" width="11.54296875" style="2" bestFit="1" customWidth="1"/>
    <col min="14374" max="14607" width="11.453125" style="2"/>
    <col min="14608" max="14608" width="7.26953125" style="2" customWidth="1"/>
    <col min="14609" max="14609" width="18.26953125" style="2" customWidth="1"/>
    <col min="14610" max="14610" width="13" style="2" customWidth="1"/>
    <col min="14611" max="14611" width="12.81640625" style="2" customWidth="1"/>
    <col min="14612" max="14612" width="12.54296875" style="2" customWidth="1"/>
    <col min="14613" max="14613" width="13" style="2" customWidth="1"/>
    <col min="14614" max="14614" width="14.1796875" style="2" customWidth="1"/>
    <col min="14615" max="14615" width="11.1796875" style="2" customWidth="1"/>
    <col min="14616" max="14616" width="13.54296875" style="2" customWidth="1"/>
    <col min="14617" max="14617" width="14.1796875" style="2" customWidth="1"/>
    <col min="14618" max="14618" width="12.7265625" style="2" customWidth="1"/>
    <col min="14619" max="14619" width="12.1796875" style="2" customWidth="1"/>
    <col min="14620" max="14620" width="12.81640625" style="2" customWidth="1"/>
    <col min="14621" max="14621" width="13" style="2" customWidth="1"/>
    <col min="14622" max="14622" width="10.7265625" style="2" customWidth="1"/>
    <col min="14623" max="14623" width="11.81640625" style="2" customWidth="1"/>
    <col min="14624" max="14624" width="0.81640625" style="2" customWidth="1"/>
    <col min="14625" max="14625" width="13.54296875" style="2" customWidth="1"/>
    <col min="14626" max="14626" width="0.81640625" style="2" customWidth="1"/>
    <col min="14627" max="14627" width="13.1796875" style="2" customWidth="1"/>
    <col min="14628" max="14628" width="13.7265625" style="2" bestFit="1" customWidth="1"/>
    <col min="14629" max="14629" width="11.54296875" style="2" bestFit="1" customWidth="1"/>
    <col min="14630" max="14863" width="11.453125" style="2"/>
    <col min="14864" max="14864" width="7.26953125" style="2" customWidth="1"/>
    <col min="14865" max="14865" width="18.26953125" style="2" customWidth="1"/>
    <col min="14866" max="14866" width="13" style="2" customWidth="1"/>
    <col min="14867" max="14867" width="12.81640625" style="2" customWidth="1"/>
    <col min="14868" max="14868" width="12.54296875" style="2" customWidth="1"/>
    <col min="14869" max="14869" width="13" style="2" customWidth="1"/>
    <col min="14870" max="14870" width="14.1796875" style="2" customWidth="1"/>
    <col min="14871" max="14871" width="11.1796875" style="2" customWidth="1"/>
    <col min="14872" max="14872" width="13.54296875" style="2" customWidth="1"/>
    <col min="14873" max="14873" width="14.1796875" style="2" customWidth="1"/>
    <col min="14874" max="14874" width="12.7265625" style="2" customWidth="1"/>
    <col min="14875" max="14875" width="12.1796875" style="2" customWidth="1"/>
    <col min="14876" max="14876" width="12.81640625" style="2" customWidth="1"/>
    <col min="14877" max="14877" width="13" style="2" customWidth="1"/>
    <col min="14878" max="14878" width="10.7265625" style="2" customWidth="1"/>
    <col min="14879" max="14879" width="11.81640625" style="2" customWidth="1"/>
    <col min="14880" max="14880" width="0.81640625" style="2" customWidth="1"/>
    <col min="14881" max="14881" width="13.54296875" style="2" customWidth="1"/>
    <col min="14882" max="14882" width="0.81640625" style="2" customWidth="1"/>
    <col min="14883" max="14883" width="13.1796875" style="2" customWidth="1"/>
    <col min="14884" max="14884" width="13.7265625" style="2" bestFit="1" customWidth="1"/>
    <col min="14885" max="14885" width="11.54296875" style="2" bestFit="1" customWidth="1"/>
    <col min="14886" max="15119" width="11.453125" style="2"/>
    <col min="15120" max="15120" width="7.26953125" style="2" customWidth="1"/>
    <col min="15121" max="15121" width="18.26953125" style="2" customWidth="1"/>
    <col min="15122" max="15122" width="13" style="2" customWidth="1"/>
    <col min="15123" max="15123" width="12.81640625" style="2" customWidth="1"/>
    <col min="15124" max="15124" width="12.54296875" style="2" customWidth="1"/>
    <col min="15125" max="15125" width="13" style="2" customWidth="1"/>
    <col min="15126" max="15126" width="14.1796875" style="2" customWidth="1"/>
    <col min="15127" max="15127" width="11.1796875" style="2" customWidth="1"/>
    <col min="15128" max="15128" width="13.54296875" style="2" customWidth="1"/>
    <col min="15129" max="15129" width="14.1796875" style="2" customWidth="1"/>
    <col min="15130" max="15130" width="12.7265625" style="2" customWidth="1"/>
    <col min="15131" max="15131" width="12.1796875" style="2" customWidth="1"/>
    <col min="15132" max="15132" width="12.81640625" style="2" customWidth="1"/>
    <col min="15133" max="15133" width="13" style="2" customWidth="1"/>
    <col min="15134" max="15134" width="10.7265625" style="2" customWidth="1"/>
    <col min="15135" max="15135" width="11.81640625" style="2" customWidth="1"/>
    <col min="15136" max="15136" width="0.81640625" style="2" customWidth="1"/>
    <col min="15137" max="15137" width="13.54296875" style="2" customWidth="1"/>
    <col min="15138" max="15138" width="0.81640625" style="2" customWidth="1"/>
    <col min="15139" max="15139" width="13.1796875" style="2" customWidth="1"/>
    <col min="15140" max="15140" width="13.7265625" style="2" bestFit="1" customWidth="1"/>
    <col min="15141" max="15141" width="11.54296875" style="2" bestFit="1" customWidth="1"/>
    <col min="15142" max="15375" width="11.453125" style="2"/>
    <col min="15376" max="15376" width="7.26953125" style="2" customWidth="1"/>
    <col min="15377" max="15377" width="18.26953125" style="2" customWidth="1"/>
    <col min="15378" max="15378" width="13" style="2" customWidth="1"/>
    <col min="15379" max="15379" width="12.81640625" style="2" customWidth="1"/>
    <col min="15380" max="15380" width="12.54296875" style="2" customWidth="1"/>
    <col min="15381" max="15381" width="13" style="2" customWidth="1"/>
    <col min="15382" max="15382" width="14.1796875" style="2" customWidth="1"/>
    <col min="15383" max="15383" width="11.1796875" style="2" customWidth="1"/>
    <col min="15384" max="15384" width="13.54296875" style="2" customWidth="1"/>
    <col min="15385" max="15385" width="14.1796875" style="2" customWidth="1"/>
    <col min="15386" max="15386" width="12.7265625" style="2" customWidth="1"/>
    <col min="15387" max="15387" width="12.1796875" style="2" customWidth="1"/>
    <col min="15388" max="15388" width="12.81640625" style="2" customWidth="1"/>
    <col min="15389" max="15389" width="13" style="2" customWidth="1"/>
    <col min="15390" max="15390" width="10.7265625" style="2" customWidth="1"/>
    <col min="15391" max="15391" width="11.81640625" style="2" customWidth="1"/>
    <col min="15392" max="15392" width="0.81640625" style="2" customWidth="1"/>
    <col min="15393" max="15393" width="13.54296875" style="2" customWidth="1"/>
    <col min="15394" max="15394" width="0.81640625" style="2" customWidth="1"/>
    <col min="15395" max="15395" width="13.1796875" style="2" customWidth="1"/>
    <col min="15396" max="15396" width="13.7265625" style="2" bestFit="1" customWidth="1"/>
    <col min="15397" max="15397" width="11.54296875" style="2" bestFit="1" customWidth="1"/>
    <col min="15398" max="15631" width="11.453125" style="2"/>
    <col min="15632" max="15632" width="7.26953125" style="2" customWidth="1"/>
    <col min="15633" max="15633" width="18.26953125" style="2" customWidth="1"/>
    <col min="15634" max="15634" width="13" style="2" customWidth="1"/>
    <col min="15635" max="15635" width="12.81640625" style="2" customWidth="1"/>
    <col min="15636" max="15636" width="12.54296875" style="2" customWidth="1"/>
    <col min="15637" max="15637" width="13" style="2" customWidth="1"/>
    <col min="15638" max="15638" width="14.1796875" style="2" customWidth="1"/>
    <col min="15639" max="15639" width="11.1796875" style="2" customWidth="1"/>
    <col min="15640" max="15640" width="13.54296875" style="2" customWidth="1"/>
    <col min="15641" max="15641" width="14.1796875" style="2" customWidth="1"/>
    <col min="15642" max="15642" width="12.7265625" style="2" customWidth="1"/>
    <col min="15643" max="15643" width="12.1796875" style="2" customWidth="1"/>
    <col min="15644" max="15644" width="12.81640625" style="2" customWidth="1"/>
    <col min="15645" max="15645" width="13" style="2" customWidth="1"/>
    <col min="15646" max="15646" width="10.7265625" style="2" customWidth="1"/>
    <col min="15647" max="15647" width="11.81640625" style="2" customWidth="1"/>
    <col min="15648" max="15648" width="0.81640625" style="2" customWidth="1"/>
    <col min="15649" max="15649" width="13.54296875" style="2" customWidth="1"/>
    <col min="15650" max="15650" width="0.81640625" style="2" customWidth="1"/>
    <col min="15651" max="15651" width="13.1796875" style="2" customWidth="1"/>
    <col min="15652" max="15652" width="13.7265625" style="2" bestFit="1" customWidth="1"/>
    <col min="15653" max="15653" width="11.54296875" style="2" bestFit="1" customWidth="1"/>
    <col min="15654" max="15887" width="11.453125" style="2"/>
    <col min="15888" max="15888" width="7.26953125" style="2" customWidth="1"/>
    <col min="15889" max="15889" width="18.26953125" style="2" customWidth="1"/>
    <col min="15890" max="15890" width="13" style="2" customWidth="1"/>
    <col min="15891" max="15891" width="12.81640625" style="2" customWidth="1"/>
    <col min="15892" max="15892" width="12.54296875" style="2" customWidth="1"/>
    <col min="15893" max="15893" width="13" style="2" customWidth="1"/>
    <col min="15894" max="15894" width="14.1796875" style="2" customWidth="1"/>
    <col min="15895" max="15895" width="11.1796875" style="2" customWidth="1"/>
    <col min="15896" max="15896" width="13.54296875" style="2" customWidth="1"/>
    <col min="15897" max="15897" width="14.1796875" style="2" customWidth="1"/>
    <col min="15898" max="15898" width="12.7265625" style="2" customWidth="1"/>
    <col min="15899" max="15899" width="12.1796875" style="2" customWidth="1"/>
    <col min="15900" max="15900" width="12.81640625" style="2" customWidth="1"/>
    <col min="15901" max="15901" width="13" style="2" customWidth="1"/>
    <col min="15902" max="15902" width="10.7265625" style="2" customWidth="1"/>
    <col min="15903" max="15903" width="11.81640625" style="2" customWidth="1"/>
    <col min="15904" max="15904" width="0.81640625" style="2" customWidth="1"/>
    <col min="15905" max="15905" width="13.54296875" style="2" customWidth="1"/>
    <col min="15906" max="15906" width="0.81640625" style="2" customWidth="1"/>
    <col min="15907" max="15907" width="13.1796875" style="2" customWidth="1"/>
    <col min="15908" max="15908" width="13.7265625" style="2" bestFit="1" customWidth="1"/>
    <col min="15909" max="15909" width="11.54296875" style="2" bestFit="1" customWidth="1"/>
    <col min="15910" max="16143" width="11.453125" style="2"/>
    <col min="16144" max="16144" width="7.26953125" style="2" customWidth="1"/>
    <col min="16145" max="16145" width="18.26953125" style="2" customWidth="1"/>
    <col min="16146" max="16146" width="13" style="2" customWidth="1"/>
    <col min="16147" max="16147" width="12.81640625" style="2" customWidth="1"/>
    <col min="16148" max="16148" width="12.54296875" style="2" customWidth="1"/>
    <col min="16149" max="16149" width="13" style="2" customWidth="1"/>
    <col min="16150" max="16150" width="14.1796875" style="2" customWidth="1"/>
    <col min="16151" max="16151" width="11.1796875" style="2" customWidth="1"/>
    <col min="16152" max="16152" width="13.54296875" style="2" customWidth="1"/>
    <col min="16153" max="16153" width="14.1796875" style="2" customWidth="1"/>
    <col min="16154" max="16154" width="12.7265625" style="2" customWidth="1"/>
    <col min="16155" max="16155" width="12.1796875" style="2" customWidth="1"/>
    <col min="16156" max="16156" width="12.81640625" style="2" customWidth="1"/>
    <col min="16157" max="16157" width="13" style="2" customWidth="1"/>
    <col min="16158" max="16158" width="10.7265625" style="2" customWidth="1"/>
    <col min="16159" max="16159" width="11.81640625" style="2" customWidth="1"/>
    <col min="16160" max="16160" width="0.81640625" style="2" customWidth="1"/>
    <col min="16161" max="16161" width="13.54296875" style="2" customWidth="1"/>
    <col min="16162" max="16162" width="0.81640625" style="2" customWidth="1"/>
    <col min="16163" max="16163" width="13.1796875" style="2" customWidth="1"/>
    <col min="16164" max="16164" width="13.7265625" style="2" bestFit="1" customWidth="1"/>
    <col min="16165" max="16165" width="11.54296875" style="2" bestFit="1" customWidth="1"/>
    <col min="16166" max="16381" width="11.453125" style="2"/>
    <col min="16382" max="16384" width="11.453125" style="2" customWidth="1"/>
  </cols>
  <sheetData>
    <row r="1" spans="1:55" hidden="1" x14ac:dyDescent="0.35">
      <c r="AI1" s="5"/>
      <c r="AJ1" s="5"/>
    </row>
    <row r="2" spans="1:55" ht="14.25" customHeight="1" x14ac:dyDescent="0.35">
      <c r="B2" s="33" t="s">
        <v>78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0"/>
      <c r="W2" s="30"/>
      <c r="X2" s="30"/>
      <c r="Y2" s="30"/>
      <c r="Z2" s="58"/>
      <c r="AA2" s="58"/>
      <c r="AB2" s="57"/>
      <c r="AC2" s="57"/>
      <c r="AD2" s="6"/>
      <c r="AE2" s="6"/>
      <c r="AF2" s="6"/>
      <c r="AG2" s="6"/>
      <c r="AH2" s="6"/>
      <c r="AI2" s="6"/>
      <c r="AJ2" s="6"/>
    </row>
    <row r="3" spans="1:55" ht="17.5" x14ac:dyDescent="0.35">
      <c r="B3" s="33" t="s">
        <v>80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0"/>
      <c r="W3" s="30"/>
      <c r="X3" s="30"/>
      <c r="Y3" s="30"/>
      <c r="Z3" s="30"/>
      <c r="AA3" s="6"/>
      <c r="AB3" s="6"/>
      <c r="AC3" s="6"/>
      <c r="AD3" s="6"/>
      <c r="AE3" s="6"/>
      <c r="AF3" s="270"/>
      <c r="AG3" s="270"/>
      <c r="AH3" s="270"/>
      <c r="AI3" s="270"/>
      <c r="AJ3" s="6"/>
    </row>
    <row r="4" spans="1:55" ht="17.5" x14ac:dyDescent="0.35">
      <c r="B4" s="32" t="s">
        <v>41</v>
      </c>
      <c r="C4" s="32"/>
      <c r="D4" s="32"/>
      <c r="E4" s="32"/>
      <c r="F4" s="189">
        <v>45839</v>
      </c>
      <c r="G4" s="32"/>
      <c r="H4" s="189"/>
      <c r="I4" s="32"/>
      <c r="J4" s="32"/>
      <c r="K4" s="189"/>
      <c r="L4" s="189"/>
      <c r="M4" s="189"/>
      <c r="N4" s="189"/>
      <c r="O4" s="32" t="s">
        <v>42</v>
      </c>
      <c r="P4" s="32"/>
      <c r="Q4" s="32"/>
      <c r="R4" s="189"/>
      <c r="S4" s="34"/>
      <c r="T4" s="34"/>
      <c r="U4" s="34"/>
      <c r="V4" s="31"/>
      <c r="W4" s="31"/>
      <c r="X4" s="31"/>
      <c r="Y4" s="31"/>
      <c r="Z4" s="31"/>
      <c r="AA4" s="7"/>
      <c r="AB4" s="7"/>
      <c r="AC4" s="7"/>
      <c r="AD4" s="7"/>
      <c r="AE4" s="7"/>
      <c r="AF4" s="271"/>
      <c r="AG4" s="271"/>
      <c r="AH4" s="271"/>
      <c r="AI4" s="271"/>
      <c r="AJ4" s="7"/>
    </row>
    <row r="5" spans="1:55" x14ac:dyDescent="0.35">
      <c r="P5" s="269">
        <f>P18+Q18</f>
        <v>5200000</v>
      </c>
      <c r="Q5" s="269"/>
      <c r="AF5" s="272"/>
      <c r="AG5" s="272"/>
      <c r="AH5" s="274">
        <f>AH12-(-AH33)</f>
        <v>4581000</v>
      </c>
      <c r="AI5" s="273"/>
      <c r="AK5" s="24"/>
    </row>
    <row r="6" spans="1:55" ht="30" customHeight="1" x14ac:dyDescent="0.35">
      <c r="C6" s="330" t="s">
        <v>90</v>
      </c>
      <c r="D6" s="331"/>
      <c r="E6" s="331"/>
      <c r="F6" s="332"/>
      <c r="G6" s="330" t="s">
        <v>81</v>
      </c>
      <c r="H6" s="331"/>
      <c r="I6" s="331"/>
      <c r="J6" s="331"/>
      <c r="K6" s="332"/>
      <c r="L6" s="330" t="s">
        <v>52</v>
      </c>
      <c r="M6" s="331"/>
      <c r="N6" s="331"/>
      <c r="O6" s="332"/>
      <c r="P6" s="320" t="s">
        <v>0</v>
      </c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6" t="s">
        <v>1</v>
      </c>
      <c r="AF6" s="327"/>
      <c r="AG6" s="327"/>
      <c r="AH6" s="327"/>
      <c r="AI6" s="327"/>
      <c r="AJ6" s="327"/>
      <c r="AK6" s="327"/>
      <c r="AL6" s="328"/>
      <c r="AM6" s="294" t="s">
        <v>91</v>
      </c>
      <c r="AN6" s="295"/>
      <c r="AO6" s="296"/>
      <c r="AP6" s="294" t="s">
        <v>93</v>
      </c>
      <c r="AQ6" s="295"/>
      <c r="AR6" s="296"/>
      <c r="AS6" s="294" t="s">
        <v>92</v>
      </c>
      <c r="AT6" s="295"/>
      <c r="AU6" s="296"/>
      <c r="AW6" s="277"/>
    </row>
    <row r="7" spans="1:55" s="8" customFormat="1" ht="31.5" customHeight="1" x14ac:dyDescent="0.25">
      <c r="A7" s="321" t="s">
        <v>2</v>
      </c>
      <c r="B7" s="322" t="s">
        <v>3</v>
      </c>
      <c r="C7" s="182" t="s">
        <v>76</v>
      </c>
      <c r="D7" s="182" t="s">
        <v>5</v>
      </c>
      <c r="E7" s="182" t="s">
        <v>53</v>
      </c>
      <c r="F7" s="182" t="s">
        <v>10</v>
      </c>
      <c r="G7" s="182" t="s">
        <v>76</v>
      </c>
      <c r="H7" s="182" t="s">
        <v>5</v>
      </c>
      <c r="I7" s="182" t="s">
        <v>53</v>
      </c>
      <c r="J7" s="182" t="s">
        <v>4</v>
      </c>
      <c r="K7" s="182" t="s">
        <v>10</v>
      </c>
      <c r="L7" s="182" t="s">
        <v>76</v>
      </c>
      <c r="M7" s="182" t="s">
        <v>5</v>
      </c>
      <c r="N7" s="182" t="s">
        <v>77</v>
      </c>
      <c r="O7" s="182" t="s">
        <v>53</v>
      </c>
      <c r="P7" s="250" t="s">
        <v>60</v>
      </c>
      <c r="Q7" s="250" t="s">
        <v>61</v>
      </c>
      <c r="R7" s="182" t="s">
        <v>67</v>
      </c>
      <c r="S7" s="182" t="s">
        <v>62</v>
      </c>
      <c r="T7" s="182" t="s">
        <v>85</v>
      </c>
      <c r="U7" s="182" t="s">
        <v>68</v>
      </c>
      <c r="V7" s="182" t="s">
        <v>7</v>
      </c>
      <c r="W7" s="182" t="s">
        <v>72</v>
      </c>
      <c r="X7" s="182" t="s">
        <v>73</v>
      </c>
      <c r="Y7" s="182" t="s">
        <v>84</v>
      </c>
      <c r="Z7" s="182" t="s">
        <v>53</v>
      </c>
      <c r="AA7" s="182" t="s">
        <v>83</v>
      </c>
      <c r="AB7" s="183" t="s">
        <v>70</v>
      </c>
      <c r="AC7" s="183" t="s">
        <v>86</v>
      </c>
      <c r="AD7" s="323" t="s">
        <v>9</v>
      </c>
      <c r="AE7" s="324" t="s">
        <v>5</v>
      </c>
      <c r="AF7" s="182" t="s">
        <v>6</v>
      </c>
      <c r="AG7" s="182" t="s">
        <v>7</v>
      </c>
      <c r="AH7" s="182" t="s">
        <v>4</v>
      </c>
      <c r="AI7" s="182" t="s">
        <v>8</v>
      </c>
      <c r="AJ7" s="324" t="s">
        <v>9</v>
      </c>
      <c r="AK7" s="182" t="s">
        <v>10</v>
      </c>
      <c r="AL7" s="323" t="s">
        <v>9</v>
      </c>
      <c r="AM7" s="182" t="s">
        <v>5</v>
      </c>
      <c r="AN7" s="182" t="s">
        <v>95</v>
      </c>
      <c r="AO7" s="182" t="s">
        <v>10</v>
      </c>
      <c r="AP7" s="182" t="s">
        <v>5</v>
      </c>
      <c r="AQ7" s="182" t="s">
        <v>95</v>
      </c>
      <c r="AR7" s="182" t="s">
        <v>10</v>
      </c>
      <c r="AS7" s="182" t="s">
        <v>5</v>
      </c>
      <c r="AT7" s="182" t="s">
        <v>95</v>
      </c>
      <c r="AU7" s="182" t="s">
        <v>10</v>
      </c>
      <c r="AW7" s="182" t="s">
        <v>102</v>
      </c>
      <c r="AX7" s="182" t="s">
        <v>96</v>
      </c>
      <c r="AY7" s="182" t="s">
        <v>97</v>
      </c>
      <c r="AZ7" s="182" t="s">
        <v>100</v>
      </c>
      <c r="BA7" s="182" t="s">
        <v>101</v>
      </c>
      <c r="BB7" s="182" t="s">
        <v>103</v>
      </c>
    </row>
    <row r="8" spans="1:55" s="8" customFormat="1" ht="15.75" customHeight="1" x14ac:dyDescent="0.25">
      <c r="A8" s="321"/>
      <c r="B8" s="322"/>
      <c r="C8" s="184"/>
      <c r="D8" s="184" t="s">
        <v>11</v>
      </c>
      <c r="E8" s="184" t="s">
        <v>11</v>
      </c>
      <c r="F8" s="184" t="s">
        <v>11</v>
      </c>
      <c r="G8" s="184"/>
      <c r="H8" s="184" t="s">
        <v>11</v>
      </c>
      <c r="I8" s="184" t="s">
        <v>11</v>
      </c>
      <c r="J8" s="184" t="s">
        <v>11</v>
      </c>
      <c r="K8" s="184" t="s">
        <v>11</v>
      </c>
      <c r="L8" s="184"/>
      <c r="M8" s="184" t="s">
        <v>11</v>
      </c>
      <c r="N8" s="184" t="s">
        <v>11</v>
      </c>
      <c r="O8" s="184" t="s">
        <v>11</v>
      </c>
      <c r="P8" s="329" t="s">
        <v>12</v>
      </c>
      <c r="Q8" s="329" t="s">
        <v>12</v>
      </c>
      <c r="R8" s="329" t="s">
        <v>12</v>
      </c>
      <c r="S8" s="329" t="s">
        <v>12</v>
      </c>
      <c r="T8" s="329" t="s">
        <v>12</v>
      </c>
      <c r="U8" s="329" t="s">
        <v>12</v>
      </c>
      <c r="V8" s="329" t="s">
        <v>12</v>
      </c>
      <c r="W8" s="185" t="s">
        <v>11</v>
      </c>
      <c r="X8" s="185" t="s">
        <v>11</v>
      </c>
      <c r="Y8" s="185" t="s">
        <v>11</v>
      </c>
      <c r="Z8" s="185" t="s">
        <v>11</v>
      </c>
      <c r="AA8" s="185" t="s">
        <v>11</v>
      </c>
      <c r="AB8" s="185" t="s">
        <v>11</v>
      </c>
      <c r="AC8" s="185" t="s">
        <v>11</v>
      </c>
      <c r="AD8" s="323"/>
      <c r="AE8" s="325" t="s">
        <v>12</v>
      </c>
      <c r="AF8" s="329" t="s">
        <v>12</v>
      </c>
      <c r="AG8" s="329" t="s">
        <v>12</v>
      </c>
      <c r="AH8" s="186" t="s">
        <v>11</v>
      </c>
      <c r="AI8" s="186" t="s">
        <v>11</v>
      </c>
      <c r="AJ8" s="325"/>
      <c r="AK8" s="186" t="s">
        <v>11</v>
      </c>
      <c r="AL8" s="323"/>
      <c r="AM8" s="184" t="s">
        <v>11</v>
      </c>
      <c r="AN8" s="184" t="s">
        <v>11</v>
      </c>
      <c r="AO8" s="184" t="s">
        <v>11</v>
      </c>
      <c r="AP8" s="184" t="s">
        <v>11</v>
      </c>
      <c r="AQ8" s="184" t="s">
        <v>11</v>
      </c>
      <c r="AR8" s="184" t="s">
        <v>11</v>
      </c>
      <c r="AS8" s="184" t="s">
        <v>11</v>
      </c>
      <c r="AT8" s="184" t="s">
        <v>11</v>
      </c>
      <c r="AU8" s="184" t="s">
        <v>11</v>
      </c>
      <c r="AW8" s="184" t="s">
        <v>11</v>
      </c>
      <c r="AX8" s="184" t="s">
        <v>11</v>
      </c>
      <c r="AY8" s="184" t="s">
        <v>11</v>
      </c>
      <c r="AZ8" s="184" t="s">
        <v>11</v>
      </c>
      <c r="BA8" s="184" t="s">
        <v>11</v>
      </c>
      <c r="BB8" s="184" t="s">
        <v>11</v>
      </c>
    </row>
    <row r="9" spans="1:55" s="8" customFormat="1" ht="12.75" customHeight="1" x14ac:dyDescent="0.25">
      <c r="A9" s="321"/>
      <c r="B9" s="322"/>
      <c r="C9" s="194" t="s">
        <v>12</v>
      </c>
      <c r="D9" s="194" t="s">
        <v>12</v>
      </c>
      <c r="E9" s="240" t="s">
        <v>12</v>
      </c>
      <c r="F9" s="187" t="s">
        <v>12</v>
      </c>
      <c r="G9" s="223" t="s">
        <v>12</v>
      </c>
      <c r="H9" s="223" t="s">
        <v>12</v>
      </c>
      <c r="I9" s="223" t="s">
        <v>12</v>
      </c>
      <c r="J9" s="223" t="s">
        <v>12</v>
      </c>
      <c r="K9" s="223" t="s">
        <v>12</v>
      </c>
      <c r="L9" s="187" t="s">
        <v>12</v>
      </c>
      <c r="M9" s="187" t="s">
        <v>12</v>
      </c>
      <c r="N9" s="187" t="s">
        <v>12</v>
      </c>
      <c r="O9" s="187" t="s">
        <v>12</v>
      </c>
      <c r="P9" s="329"/>
      <c r="Q9" s="329"/>
      <c r="R9" s="329"/>
      <c r="S9" s="329"/>
      <c r="T9" s="329"/>
      <c r="U9" s="329"/>
      <c r="V9" s="329"/>
      <c r="W9" s="66" t="s">
        <v>12</v>
      </c>
      <c r="X9" s="66" t="s">
        <v>12</v>
      </c>
      <c r="Y9" s="66" t="s">
        <v>12</v>
      </c>
      <c r="Z9" s="66" t="s">
        <v>12</v>
      </c>
      <c r="AA9" s="66" t="s">
        <v>12</v>
      </c>
      <c r="AB9" s="188" t="s">
        <v>12</v>
      </c>
      <c r="AC9" s="188" t="s">
        <v>12</v>
      </c>
      <c r="AD9" s="323"/>
      <c r="AE9" s="325"/>
      <c r="AF9" s="329"/>
      <c r="AG9" s="329"/>
      <c r="AH9" s="66" t="s">
        <v>12</v>
      </c>
      <c r="AI9" s="66" t="s">
        <v>12</v>
      </c>
      <c r="AJ9" s="325"/>
      <c r="AK9" s="188" t="s">
        <v>12</v>
      </c>
      <c r="AL9" s="323"/>
      <c r="AM9" s="247" t="s">
        <v>12</v>
      </c>
      <c r="AN9" s="247" t="s">
        <v>12</v>
      </c>
      <c r="AO9" s="247" t="s">
        <v>12</v>
      </c>
      <c r="AP9" s="247" t="s">
        <v>12</v>
      </c>
      <c r="AQ9" s="247" t="s">
        <v>12</v>
      </c>
      <c r="AR9" s="247" t="s">
        <v>12</v>
      </c>
      <c r="AS9" s="247" t="s">
        <v>12</v>
      </c>
      <c r="AT9" s="247" t="s">
        <v>12</v>
      </c>
      <c r="AU9" s="247" t="s">
        <v>12</v>
      </c>
      <c r="AW9" s="259" t="s">
        <v>12</v>
      </c>
      <c r="AX9" s="259" t="s">
        <v>12</v>
      </c>
      <c r="AY9" s="259" t="s">
        <v>12</v>
      </c>
      <c r="AZ9" s="259" t="s">
        <v>12</v>
      </c>
      <c r="BA9" s="275" t="s">
        <v>12</v>
      </c>
      <c r="BB9" s="275" t="s">
        <v>12</v>
      </c>
      <c r="BC9" s="8" t="s">
        <v>98</v>
      </c>
    </row>
    <row r="10" spans="1:55" ht="15.75" customHeight="1" x14ac:dyDescent="0.35">
      <c r="A10" s="132" t="s">
        <v>44</v>
      </c>
      <c r="B10" s="133" t="s">
        <v>13</v>
      </c>
      <c r="C10" s="198">
        <v>0</v>
      </c>
      <c r="D10" s="276">
        <v>50000</v>
      </c>
      <c r="E10" s="201">
        <f>+D10*0.12</f>
        <v>6000</v>
      </c>
      <c r="F10" s="286">
        <f>+D10-E10</f>
        <v>44000</v>
      </c>
      <c r="G10" s="198">
        <v>0</v>
      </c>
      <c r="H10" s="265">
        <v>1050000</v>
      </c>
      <c r="I10" s="201">
        <f>+H10*0.12</f>
        <v>126000</v>
      </c>
      <c r="J10" s="199"/>
      <c r="K10" s="284">
        <f>+H10-I10</f>
        <v>924000</v>
      </c>
      <c r="L10" s="203"/>
      <c r="M10" s="134"/>
      <c r="N10" s="134"/>
      <c r="O10" s="136"/>
      <c r="P10" s="260">
        <v>2000000</v>
      </c>
      <c r="Q10" s="260">
        <v>50000000</v>
      </c>
      <c r="R10" s="135">
        <f>+P10+Q10</f>
        <v>52000000</v>
      </c>
      <c r="S10" s="135"/>
      <c r="T10" s="134">
        <v>0</v>
      </c>
      <c r="U10" s="134">
        <f>+S10+T10</f>
        <v>0</v>
      </c>
      <c r="V10" s="137">
        <f>T10+AD10</f>
        <v>52000000</v>
      </c>
      <c r="W10" s="134">
        <f>+P10</f>
        <v>2000000</v>
      </c>
      <c r="X10" s="134"/>
      <c r="Y10" s="134">
        <v>2001000</v>
      </c>
      <c r="Z10" s="134">
        <f>+Q10*0.12</f>
        <v>6000000</v>
      </c>
      <c r="AA10" s="134"/>
      <c r="AB10" s="134"/>
      <c r="AC10" s="287">
        <f>+Q10-Z10-Y10</f>
        <v>41999000</v>
      </c>
      <c r="AD10" s="138">
        <f>SUM(W10:AC10)</f>
        <v>52000000</v>
      </c>
      <c r="AE10" s="237">
        <v>7500000</v>
      </c>
      <c r="AF10" s="134">
        <v>0</v>
      </c>
      <c r="AG10" s="137">
        <f>AF10+AL10</f>
        <v>7500000</v>
      </c>
      <c r="AH10" s="135"/>
      <c r="AI10" s="135"/>
      <c r="AJ10" s="137">
        <f>AH10+AI10</f>
        <v>0</v>
      </c>
      <c r="AK10" s="135">
        <f>+AE10-AH10</f>
        <v>7500000</v>
      </c>
      <c r="AL10" s="138">
        <f t="shared" ref="AL10:AL15" si="0">+AJ10+AK10</f>
        <v>7500000</v>
      </c>
      <c r="AM10" s="265">
        <v>3800000</v>
      </c>
      <c r="AN10" s="201">
        <f>AM10*0.1</f>
        <v>380000</v>
      </c>
      <c r="AO10" s="136">
        <f>+AM10-AN10</f>
        <v>3420000</v>
      </c>
      <c r="AP10" s="265">
        <v>450000</v>
      </c>
      <c r="AQ10" s="201">
        <f>AP10*0.1</f>
        <v>45000</v>
      </c>
      <c r="AR10" s="136">
        <f>+AP10-AQ10</f>
        <v>405000</v>
      </c>
      <c r="AS10" s="265">
        <v>38250000</v>
      </c>
      <c r="AT10" s="201">
        <f>AS10*0.0477</f>
        <v>1824525</v>
      </c>
      <c r="AU10" s="136">
        <f>+AS10-AT10</f>
        <v>36425475</v>
      </c>
      <c r="AV10" s="264"/>
      <c r="AW10" s="264">
        <f>+AS10+AP10+AM10+AE10</f>
        <v>50000000</v>
      </c>
      <c r="AX10" s="264">
        <f>+AT10+AQ10+AN10</f>
        <v>2249525</v>
      </c>
      <c r="AY10" s="27">
        <f>+AH10+AI10</f>
        <v>0</v>
      </c>
      <c r="AZ10" s="27">
        <f t="shared" ref="AZ10:AZ26" si="1">+AU10+AR10+AO10+AK10</f>
        <v>47750475</v>
      </c>
      <c r="BA10" s="27">
        <f>R10</f>
        <v>52000000</v>
      </c>
      <c r="BB10" s="264">
        <f>F10+K10+AC10</f>
        <v>42967000</v>
      </c>
      <c r="BC10" s="2">
        <f>+AW10/26</f>
        <v>1923076.923076923</v>
      </c>
    </row>
    <row r="11" spans="1:55" ht="15.75" customHeight="1" x14ac:dyDescent="0.35">
      <c r="A11" s="139" t="s">
        <v>45</v>
      </c>
      <c r="B11" s="140" t="s">
        <v>14</v>
      </c>
      <c r="C11" s="200"/>
      <c r="D11" s="266"/>
      <c r="E11" s="201"/>
      <c r="F11" s="285"/>
      <c r="G11" s="200"/>
      <c r="H11" s="266"/>
      <c r="I11" s="201"/>
      <c r="J11" s="201"/>
      <c r="K11" s="285"/>
      <c r="L11" s="144"/>
      <c r="M11" s="227"/>
      <c r="N11" s="135"/>
      <c r="O11" s="141"/>
      <c r="P11" s="261">
        <v>715000</v>
      </c>
      <c r="Q11" s="261">
        <v>12685000</v>
      </c>
      <c r="R11" s="135">
        <f t="shared" ref="R11:R18" si="2">+P11+Q11</f>
        <v>13400000</v>
      </c>
      <c r="S11" s="135"/>
      <c r="T11" s="135">
        <v>0</v>
      </c>
      <c r="U11" s="135">
        <f t="shared" ref="U11:U31" si="3">+S11+T11</f>
        <v>0</v>
      </c>
      <c r="V11" s="142">
        <f>S11+AD11</f>
        <v>13400000</v>
      </c>
      <c r="W11" s="134">
        <f>+P11</f>
        <v>715000</v>
      </c>
      <c r="X11" s="135"/>
      <c r="Y11" s="134"/>
      <c r="Z11" s="134">
        <f>+Q11*0.12</f>
        <v>1522200</v>
      </c>
      <c r="AA11" s="135"/>
      <c r="AB11" s="135"/>
      <c r="AC11" s="288">
        <f>+Q11-Z11-Y11</f>
        <v>11162800</v>
      </c>
      <c r="AD11" s="143">
        <f>SUM(W11:AC11)</f>
        <v>13400000</v>
      </c>
      <c r="AE11" s="236">
        <v>14000000</v>
      </c>
      <c r="AF11" s="135">
        <v>0</v>
      </c>
      <c r="AG11" s="142">
        <f>AF11+AL11</f>
        <v>14000000</v>
      </c>
      <c r="AH11" s="135"/>
      <c r="AI11" s="135"/>
      <c r="AJ11" s="142">
        <f t="shared" ref="AJ11:AJ31" si="4">AH11+AI11</f>
        <v>0</v>
      </c>
      <c r="AK11" s="135">
        <f t="shared" ref="AK11:AK31" si="5">+AE11-AH11</f>
        <v>14000000</v>
      </c>
      <c r="AL11" s="143">
        <f t="shared" si="0"/>
        <v>14000000</v>
      </c>
      <c r="AM11" s="266"/>
      <c r="AN11" s="201"/>
      <c r="AO11" s="141"/>
      <c r="AP11" s="266"/>
      <c r="AQ11" s="201"/>
      <c r="AR11" s="141"/>
      <c r="AS11" s="266"/>
      <c r="AT11" s="201"/>
      <c r="AU11" s="141"/>
      <c r="AW11" s="264">
        <f t="shared" ref="AW11:AW31" si="6">+AS11+AP11+AM11+AE11</f>
        <v>14000000</v>
      </c>
      <c r="AX11" s="264">
        <f t="shared" ref="AX11:AX31" si="7">+AT11+AQ11+AN11</f>
        <v>0</v>
      </c>
      <c r="AY11" s="27">
        <f t="shared" ref="AY11:AY31" si="8">+AH11+AI11</f>
        <v>0</v>
      </c>
      <c r="AZ11" s="27">
        <f t="shared" si="1"/>
        <v>14000000</v>
      </c>
      <c r="BA11" s="27">
        <f t="shared" ref="BA11:BA31" si="9">R11</f>
        <v>13400000</v>
      </c>
      <c r="BB11" s="264">
        <f t="shared" ref="BB11:BB31" si="10">F11+K11+AC11</f>
        <v>11162800</v>
      </c>
      <c r="BC11" s="20">
        <f t="shared" ref="BC11:BC31" si="11">+AW11/26</f>
        <v>538461.5384615385</v>
      </c>
    </row>
    <row r="12" spans="1:55" ht="17.149999999999999" customHeight="1" x14ac:dyDescent="0.35">
      <c r="A12" s="299" t="s">
        <v>46</v>
      </c>
      <c r="B12" s="140" t="s">
        <v>15</v>
      </c>
      <c r="C12" s="200">
        <v>0</v>
      </c>
      <c r="D12" s="266"/>
      <c r="E12" s="201"/>
      <c r="F12" s="285"/>
      <c r="G12" s="200">
        <v>0</v>
      </c>
      <c r="H12" s="266">
        <v>1000000</v>
      </c>
      <c r="I12" s="201">
        <f>+H12*0.12</f>
        <v>120000</v>
      </c>
      <c r="J12" s="201"/>
      <c r="K12" s="284">
        <f>+H12-I12</f>
        <v>880000</v>
      </c>
      <c r="L12" s="204"/>
      <c r="M12" s="227"/>
      <c r="N12" s="135"/>
      <c r="O12" s="141"/>
      <c r="P12" s="262"/>
      <c r="Q12" s="262">
        <v>27000000</v>
      </c>
      <c r="R12" s="135">
        <f t="shared" si="2"/>
        <v>27000000</v>
      </c>
      <c r="S12" s="135"/>
      <c r="T12" s="135">
        <v>0</v>
      </c>
      <c r="U12" s="135">
        <f t="shared" si="3"/>
        <v>0</v>
      </c>
      <c r="V12" s="142">
        <f>S12+AD12</f>
        <v>27000000</v>
      </c>
      <c r="W12" s="134">
        <f>+P12</f>
        <v>0</v>
      </c>
      <c r="X12" s="135"/>
      <c r="Y12" s="135">
        <v>23760000</v>
      </c>
      <c r="Z12" s="134">
        <f>+Q12*0.12</f>
        <v>3240000</v>
      </c>
      <c r="AA12" s="135"/>
      <c r="AB12" s="135"/>
      <c r="AC12" s="288">
        <f>+Q12-Z12-Y12</f>
        <v>0</v>
      </c>
      <c r="AD12" s="143">
        <f>SUM(W12:AC12)</f>
        <v>27000000</v>
      </c>
      <c r="AE12" s="236">
        <v>27500000</v>
      </c>
      <c r="AF12" s="135">
        <v>0</v>
      </c>
      <c r="AG12" s="142">
        <f t="shared" ref="AG12:AG31" si="12">AF12+AL12</f>
        <v>27500000</v>
      </c>
      <c r="AH12" s="135">
        <v>4581000</v>
      </c>
      <c r="AI12" s="135"/>
      <c r="AJ12" s="142">
        <f t="shared" si="4"/>
        <v>4581000</v>
      </c>
      <c r="AK12" s="135">
        <f>+AE12-AH12</f>
        <v>22919000</v>
      </c>
      <c r="AL12" s="143">
        <f t="shared" si="0"/>
        <v>27500000</v>
      </c>
      <c r="AM12" s="266"/>
      <c r="AN12" s="201"/>
      <c r="AO12" s="136"/>
      <c r="AP12" s="266"/>
      <c r="AQ12" s="201"/>
      <c r="AR12" s="136"/>
      <c r="AS12" s="266"/>
      <c r="AT12" s="201"/>
      <c r="AU12" s="136"/>
      <c r="AW12" s="264">
        <f t="shared" si="6"/>
        <v>27500000</v>
      </c>
      <c r="AX12" s="264">
        <f t="shared" si="7"/>
        <v>0</v>
      </c>
      <c r="AY12" s="27">
        <f>+AH12+AI12</f>
        <v>4581000</v>
      </c>
      <c r="AZ12" s="27">
        <f t="shared" si="1"/>
        <v>22919000</v>
      </c>
      <c r="BA12" s="27">
        <f t="shared" si="9"/>
        <v>27000000</v>
      </c>
      <c r="BB12" s="264">
        <f t="shared" si="10"/>
        <v>880000</v>
      </c>
      <c r="BC12" s="20">
        <f t="shared" si="11"/>
        <v>1057692.3076923077</v>
      </c>
    </row>
    <row r="13" spans="1:55" ht="17.149999999999999" customHeight="1" x14ac:dyDescent="0.35">
      <c r="A13" s="299"/>
      <c r="B13" s="140" t="s">
        <v>16</v>
      </c>
      <c r="C13" s="200"/>
      <c r="D13" s="266"/>
      <c r="E13" s="201"/>
      <c r="F13" s="285"/>
      <c r="G13" s="200"/>
      <c r="H13" s="266"/>
      <c r="I13" s="201"/>
      <c r="J13" s="201"/>
      <c r="K13" s="285"/>
      <c r="L13" s="144"/>
      <c r="M13" s="227"/>
      <c r="N13" s="135"/>
      <c r="O13" s="141"/>
      <c r="P13" s="262"/>
      <c r="Q13" s="262">
        <v>4000000</v>
      </c>
      <c r="R13" s="135">
        <f>+P13+Q13</f>
        <v>4000000</v>
      </c>
      <c r="S13" s="135"/>
      <c r="T13" s="135"/>
      <c r="U13" s="135">
        <f t="shared" si="3"/>
        <v>0</v>
      </c>
      <c r="V13" s="142">
        <f t="shared" ref="V11:V18" si="13">S13+AD13</f>
        <v>4000000</v>
      </c>
      <c r="W13" s="135">
        <v>0</v>
      </c>
      <c r="X13" s="135"/>
      <c r="Y13" s="135"/>
      <c r="Z13" s="134">
        <f>+Q13*0.12</f>
        <v>480000</v>
      </c>
      <c r="AA13" s="135"/>
      <c r="AB13" s="135"/>
      <c r="AC13" s="288">
        <f>R13-W13-Z13</f>
        <v>3520000</v>
      </c>
      <c r="AD13" s="143">
        <f t="shared" ref="AD13:AD31" si="14">SUM(W13:AC13)</f>
        <v>4000000</v>
      </c>
      <c r="AE13" s="236">
        <v>3400000</v>
      </c>
      <c r="AF13" s="135">
        <v>0</v>
      </c>
      <c r="AG13" s="142">
        <f t="shared" si="12"/>
        <v>3400000</v>
      </c>
      <c r="AH13" s="135"/>
      <c r="AI13" s="135"/>
      <c r="AJ13" s="142">
        <f t="shared" si="4"/>
        <v>0</v>
      </c>
      <c r="AK13" s="135">
        <f t="shared" si="5"/>
        <v>3400000</v>
      </c>
      <c r="AL13" s="143">
        <f t="shared" si="0"/>
        <v>3400000</v>
      </c>
      <c r="AM13" s="266"/>
      <c r="AN13" s="201"/>
      <c r="AO13" s="141"/>
      <c r="AP13" s="266"/>
      <c r="AQ13" s="201"/>
      <c r="AR13" s="141"/>
      <c r="AS13" s="266"/>
      <c r="AT13" s="201"/>
      <c r="AU13" s="141"/>
      <c r="AW13" s="264">
        <f t="shared" si="6"/>
        <v>3400000</v>
      </c>
      <c r="AX13" s="264">
        <f t="shared" si="7"/>
        <v>0</v>
      </c>
      <c r="AY13" s="27">
        <f t="shared" si="8"/>
        <v>0</v>
      </c>
      <c r="AZ13" s="27">
        <f t="shared" si="1"/>
        <v>3400000</v>
      </c>
      <c r="BA13" s="27">
        <f t="shared" si="9"/>
        <v>4000000</v>
      </c>
      <c r="BB13" s="264">
        <f t="shared" si="10"/>
        <v>3520000</v>
      </c>
      <c r="BC13" s="20">
        <f t="shared" si="11"/>
        <v>130769.23076923077</v>
      </c>
    </row>
    <row r="14" spans="1:55" ht="17.149999999999999" customHeight="1" x14ac:dyDescent="0.35">
      <c r="A14" s="299"/>
      <c r="B14" s="140" t="s">
        <v>17</v>
      </c>
      <c r="C14" s="200"/>
      <c r="D14" s="266"/>
      <c r="E14" s="201"/>
      <c r="F14" s="285"/>
      <c r="G14" s="200"/>
      <c r="H14" s="266"/>
      <c r="I14" s="201"/>
      <c r="J14" s="201"/>
      <c r="K14" s="285"/>
      <c r="L14" s="144"/>
      <c r="M14" s="227"/>
      <c r="N14" s="135"/>
      <c r="O14" s="141"/>
      <c r="P14" s="262"/>
      <c r="Q14" s="262">
        <v>5500000</v>
      </c>
      <c r="R14" s="135">
        <f t="shared" si="2"/>
        <v>5500000</v>
      </c>
      <c r="S14" s="135"/>
      <c r="T14" s="135">
        <v>0</v>
      </c>
      <c r="U14" s="135">
        <f t="shared" si="3"/>
        <v>0</v>
      </c>
      <c r="V14" s="142">
        <f t="shared" si="13"/>
        <v>5500000</v>
      </c>
      <c r="W14" s="135">
        <f>+P14</f>
        <v>0</v>
      </c>
      <c r="X14" s="135"/>
      <c r="Y14" s="135">
        <f>5500000-Z14</f>
        <v>4840000</v>
      </c>
      <c r="Z14" s="134">
        <f>+Q14*0.12</f>
        <v>660000</v>
      </c>
      <c r="AA14" s="135"/>
      <c r="AB14" s="135"/>
      <c r="AC14" s="288">
        <f>+Q14-Z14-Y14</f>
        <v>0</v>
      </c>
      <c r="AD14" s="143">
        <f>SUM(W14:AC14)</f>
        <v>5500000</v>
      </c>
      <c r="AE14" s="236">
        <v>3132000</v>
      </c>
      <c r="AF14" s="135">
        <v>0</v>
      </c>
      <c r="AG14" s="142">
        <f t="shared" si="12"/>
        <v>3132000</v>
      </c>
      <c r="AH14" s="135"/>
      <c r="AI14" s="135"/>
      <c r="AJ14" s="142">
        <f t="shared" si="4"/>
        <v>0</v>
      </c>
      <c r="AK14" s="135">
        <f t="shared" si="5"/>
        <v>3132000</v>
      </c>
      <c r="AL14" s="143">
        <f t="shared" si="0"/>
        <v>3132000</v>
      </c>
      <c r="AM14" s="266"/>
      <c r="AN14" s="201"/>
      <c r="AO14" s="141"/>
      <c r="AP14" s="266"/>
      <c r="AQ14" s="201"/>
      <c r="AR14" s="141"/>
      <c r="AS14" s="266"/>
      <c r="AT14" s="201"/>
      <c r="AU14" s="141"/>
      <c r="AW14" s="264">
        <f t="shared" si="6"/>
        <v>3132000</v>
      </c>
      <c r="AX14" s="264">
        <f t="shared" si="7"/>
        <v>0</v>
      </c>
      <c r="AY14" s="27">
        <f t="shared" si="8"/>
        <v>0</v>
      </c>
      <c r="AZ14" s="27">
        <f t="shared" si="1"/>
        <v>3132000</v>
      </c>
      <c r="BA14" s="27">
        <f t="shared" si="9"/>
        <v>5500000</v>
      </c>
      <c r="BB14" s="264">
        <f t="shared" si="10"/>
        <v>0</v>
      </c>
      <c r="BC14" s="20">
        <f t="shared" si="11"/>
        <v>120461.53846153847</v>
      </c>
    </row>
    <row r="15" spans="1:55" ht="17.149999999999999" customHeight="1" x14ac:dyDescent="0.35">
      <c r="A15" s="299" t="s">
        <v>47</v>
      </c>
      <c r="B15" s="140" t="s">
        <v>18</v>
      </c>
      <c r="C15" s="200"/>
      <c r="D15" s="266"/>
      <c r="E15" s="201"/>
      <c r="F15" s="285"/>
      <c r="G15" s="200"/>
      <c r="H15" s="266"/>
      <c r="I15" s="201"/>
      <c r="J15" s="201"/>
      <c r="K15" s="285"/>
      <c r="L15" s="144"/>
      <c r="M15" s="227"/>
      <c r="N15" s="135"/>
      <c r="O15" s="141"/>
      <c r="P15" s="260">
        <v>1000000</v>
      </c>
      <c r="Q15" s="262"/>
      <c r="R15" s="135">
        <f t="shared" si="2"/>
        <v>1000000</v>
      </c>
      <c r="S15" s="135"/>
      <c r="T15" s="135"/>
      <c r="U15" s="135">
        <f t="shared" si="3"/>
        <v>0</v>
      </c>
      <c r="V15" s="142">
        <f t="shared" si="13"/>
        <v>1000000</v>
      </c>
      <c r="W15" s="135">
        <f>+P15</f>
        <v>1000000</v>
      </c>
      <c r="X15" s="135"/>
      <c r="Y15" s="135"/>
      <c r="Z15" s="135">
        <f t="shared" ref="Z15:Z21" si="15">+Q15*0.12</f>
        <v>0</v>
      </c>
      <c r="AA15" s="135"/>
      <c r="AB15" s="135"/>
      <c r="AC15" s="288">
        <f>+Q15-Z15-Y15</f>
        <v>0</v>
      </c>
      <c r="AD15" s="143">
        <f t="shared" si="14"/>
        <v>1000000</v>
      </c>
      <c r="AE15" s="236">
        <v>900000</v>
      </c>
      <c r="AF15" s="135">
        <v>0</v>
      </c>
      <c r="AG15" s="142">
        <f t="shared" si="12"/>
        <v>900000</v>
      </c>
      <c r="AH15" s="135">
        <f>+AE15</f>
        <v>900000</v>
      </c>
      <c r="AI15" s="135"/>
      <c r="AJ15" s="142">
        <f t="shared" si="4"/>
        <v>900000</v>
      </c>
      <c r="AK15" s="135">
        <f t="shared" si="5"/>
        <v>0</v>
      </c>
      <c r="AL15" s="143">
        <f t="shared" si="0"/>
        <v>900000</v>
      </c>
      <c r="AM15" s="266"/>
      <c r="AN15" s="201"/>
      <c r="AO15" s="141"/>
      <c r="AP15" s="266"/>
      <c r="AQ15" s="201"/>
      <c r="AR15" s="141"/>
      <c r="AS15" s="266"/>
      <c r="AT15" s="201"/>
      <c r="AU15" s="141"/>
      <c r="AW15" s="264">
        <f t="shared" si="6"/>
        <v>900000</v>
      </c>
      <c r="AX15" s="264">
        <f t="shared" si="7"/>
        <v>0</v>
      </c>
      <c r="AY15" s="27">
        <f t="shared" si="8"/>
        <v>900000</v>
      </c>
      <c r="AZ15" s="27">
        <f t="shared" si="1"/>
        <v>0</v>
      </c>
      <c r="BA15" s="27">
        <f t="shared" si="9"/>
        <v>1000000</v>
      </c>
      <c r="BB15" s="264">
        <f t="shared" si="10"/>
        <v>0</v>
      </c>
      <c r="BC15" s="20">
        <f t="shared" si="11"/>
        <v>34615.384615384617</v>
      </c>
    </row>
    <row r="16" spans="1:55" ht="17.149999999999999" customHeight="1" x14ac:dyDescent="0.35">
      <c r="A16" s="299"/>
      <c r="B16" s="140" t="s">
        <v>19</v>
      </c>
      <c r="C16" s="200"/>
      <c r="D16" s="266"/>
      <c r="E16" s="201"/>
      <c r="F16" s="285"/>
      <c r="G16" s="200"/>
      <c r="H16" s="266"/>
      <c r="I16" s="201"/>
      <c r="J16" s="201"/>
      <c r="K16" s="285"/>
      <c r="L16" s="144"/>
      <c r="M16" s="227"/>
      <c r="N16" s="135"/>
      <c r="O16" s="141"/>
      <c r="P16" s="262">
        <v>2700000</v>
      </c>
      <c r="Q16" s="262"/>
      <c r="R16" s="135">
        <f t="shared" si="2"/>
        <v>2700000</v>
      </c>
      <c r="S16" s="135"/>
      <c r="T16" s="135"/>
      <c r="U16" s="135">
        <f t="shared" si="3"/>
        <v>0</v>
      </c>
      <c r="V16" s="142">
        <f t="shared" si="13"/>
        <v>2700000</v>
      </c>
      <c r="W16" s="135">
        <f>+P16</f>
        <v>2700000</v>
      </c>
      <c r="X16" s="135"/>
      <c r="Y16" s="135"/>
      <c r="Z16" s="135">
        <f t="shared" si="15"/>
        <v>0</v>
      </c>
      <c r="AA16" s="135"/>
      <c r="AB16" s="135"/>
      <c r="AC16" s="288">
        <f>+Q16-Z16-Y16</f>
        <v>0</v>
      </c>
      <c r="AD16" s="143">
        <f t="shared" si="14"/>
        <v>2700000</v>
      </c>
      <c r="AE16" s="236">
        <v>3000000</v>
      </c>
      <c r="AF16" s="135">
        <v>0</v>
      </c>
      <c r="AG16" s="142">
        <f t="shared" si="12"/>
        <v>3000000</v>
      </c>
      <c r="AH16" s="135">
        <f>+AE16</f>
        <v>3000000</v>
      </c>
      <c r="AI16" s="135"/>
      <c r="AJ16" s="142">
        <f t="shared" si="4"/>
        <v>3000000</v>
      </c>
      <c r="AK16" s="135">
        <f t="shared" ref="AK16" si="16">+AE16-AH16</f>
        <v>0</v>
      </c>
      <c r="AL16" s="143">
        <f t="shared" ref="AL16:AL31" si="17">+AJ16+AK16</f>
        <v>3000000</v>
      </c>
      <c r="AM16" s="266"/>
      <c r="AN16" s="201"/>
      <c r="AO16" s="141"/>
      <c r="AP16" s="266"/>
      <c r="AQ16" s="201"/>
      <c r="AR16" s="141"/>
      <c r="AS16" s="266"/>
      <c r="AT16" s="201"/>
      <c r="AU16" s="141"/>
      <c r="AW16" s="264">
        <f t="shared" si="6"/>
        <v>3000000</v>
      </c>
      <c r="AX16" s="264">
        <f t="shared" si="7"/>
        <v>0</v>
      </c>
      <c r="AY16" s="27">
        <f t="shared" si="8"/>
        <v>3000000</v>
      </c>
      <c r="AZ16" s="27">
        <f t="shared" si="1"/>
        <v>0</v>
      </c>
      <c r="BA16" s="27">
        <f t="shared" si="9"/>
        <v>2700000</v>
      </c>
      <c r="BB16" s="264">
        <f t="shared" si="10"/>
        <v>0</v>
      </c>
      <c r="BC16" s="20">
        <f t="shared" si="11"/>
        <v>115384.61538461539</v>
      </c>
    </row>
    <row r="17" spans="1:55" ht="17.149999999999999" customHeight="1" x14ac:dyDescent="0.35">
      <c r="A17" s="299"/>
      <c r="B17" s="140" t="s">
        <v>20</v>
      </c>
      <c r="C17" s="200"/>
      <c r="D17" s="266"/>
      <c r="E17" s="201"/>
      <c r="F17" s="285"/>
      <c r="G17" s="200"/>
      <c r="H17" s="266"/>
      <c r="I17" s="201"/>
      <c r="J17" s="201"/>
      <c r="K17" s="285"/>
      <c r="L17" s="144"/>
      <c r="M17" s="227"/>
      <c r="N17" s="135"/>
      <c r="O17" s="141"/>
      <c r="P17" s="262">
        <v>2100000</v>
      </c>
      <c r="Q17" s="262"/>
      <c r="R17" s="135">
        <f t="shared" si="2"/>
        <v>2100000</v>
      </c>
      <c r="S17" s="135"/>
      <c r="T17" s="135"/>
      <c r="U17" s="135">
        <f t="shared" si="3"/>
        <v>0</v>
      </c>
      <c r="V17" s="142">
        <f t="shared" si="13"/>
        <v>2100000</v>
      </c>
      <c r="W17" s="135">
        <f>+P17</f>
        <v>2100000</v>
      </c>
      <c r="X17" s="135"/>
      <c r="Y17" s="135"/>
      <c r="Z17" s="135">
        <f t="shared" si="15"/>
        <v>0</v>
      </c>
      <c r="AA17" s="135"/>
      <c r="AB17" s="135"/>
      <c r="AC17" s="288">
        <f>+Q17-Z17-Y17</f>
        <v>0</v>
      </c>
      <c r="AD17" s="143">
        <f t="shared" si="14"/>
        <v>2100000</v>
      </c>
      <c r="AE17" s="236">
        <v>2400000</v>
      </c>
      <c r="AF17" s="135">
        <v>0</v>
      </c>
      <c r="AG17" s="142">
        <f t="shared" si="12"/>
        <v>2400000</v>
      </c>
      <c r="AH17" s="135">
        <v>1900000</v>
      </c>
      <c r="AI17" s="135"/>
      <c r="AJ17" s="142">
        <f t="shared" si="4"/>
        <v>1900000</v>
      </c>
      <c r="AK17" s="135">
        <f t="shared" si="5"/>
        <v>500000</v>
      </c>
      <c r="AL17" s="143">
        <f t="shared" si="17"/>
        <v>2400000</v>
      </c>
      <c r="AM17" s="266"/>
      <c r="AN17" s="201"/>
      <c r="AO17" s="141"/>
      <c r="AP17" s="266"/>
      <c r="AQ17" s="201"/>
      <c r="AR17" s="141"/>
      <c r="AS17" s="266"/>
      <c r="AT17" s="201"/>
      <c r="AU17" s="141"/>
      <c r="AW17" s="264">
        <f t="shared" si="6"/>
        <v>2400000</v>
      </c>
      <c r="AX17" s="264">
        <f t="shared" si="7"/>
        <v>0</v>
      </c>
      <c r="AY17" s="27">
        <f t="shared" si="8"/>
        <v>1900000</v>
      </c>
      <c r="AZ17" s="27">
        <f t="shared" si="1"/>
        <v>500000</v>
      </c>
      <c r="BA17" s="27">
        <f t="shared" si="9"/>
        <v>2100000</v>
      </c>
      <c r="BB17" s="264">
        <f t="shared" si="10"/>
        <v>0</v>
      </c>
      <c r="BC17" s="20">
        <f t="shared" si="11"/>
        <v>92307.692307692312</v>
      </c>
    </row>
    <row r="18" spans="1:55" ht="17.149999999999999" customHeight="1" x14ac:dyDescent="0.35">
      <c r="A18" s="299" t="s">
        <v>48</v>
      </c>
      <c r="B18" s="140" t="s">
        <v>21</v>
      </c>
      <c r="C18" s="200"/>
      <c r="D18" s="266"/>
      <c r="E18" s="201"/>
      <c r="F18" s="285"/>
      <c r="G18" s="200"/>
      <c r="H18" s="266"/>
      <c r="I18" s="201"/>
      <c r="J18" s="201"/>
      <c r="K18" s="285"/>
      <c r="L18" s="204"/>
      <c r="M18" s="227">
        <v>60000</v>
      </c>
      <c r="N18" s="135">
        <f>+M18-O18</f>
        <v>54000</v>
      </c>
      <c r="O18" s="141">
        <f>0.1*M18</f>
        <v>6000</v>
      </c>
      <c r="P18" s="262">
        <v>2600000</v>
      </c>
      <c r="Q18" s="262">
        <v>2600000</v>
      </c>
      <c r="R18" s="135">
        <f t="shared" si="2"/>
        <v>5200000</v>
      </c>
      <c r="S18" s="135"/>
      <c r="T18" s="135">
        <v>0</v>
      </c>
      <c r="U18" s="135">
        <f t="shared" si="3"/>
        <v>0</v>
      </c>
      <c r="V18" s="142">
        <f t="shared" si="13"/>
        <v>5200000</v>
      </c>
      <c r="W18" s="135">
        <f t="shared" ref="W18:W31" si="18">+P18</f>
        <v>2600000</v>
      </c>
      <c r="X18" s="135"/>
      <c r="Y18" s="135"/>
      <c r="Z18" s="134">
        <f>+Q18*0.12</f>
        <v>312000</v>
      </c>
      <c r="AA18" s="135"/>
      <c r="AB18" s="135"/>
      <c r="AC18" s="288">
        <f>+Q18-Z18-Y18</f>
        <v>2288000</v>
      </c>
      <c r="AD18" s="143">
        <f>SUM(W18:AC18)</f>
        <v>5200000</v>
      </c>
      <c r="AE18" s="236">
        <v>5000000</v>
      </c>
      <c r="AF18" s="135">
        <v>0</v>
      </c>
      <c r="AG18" s="142">
        <f t="shared" si="12"/>
        <v>5000000</v>
      </c>
      <c r="AH18" s="135"/>
      <c r="AI18" s="135"/>
      <c r="AJ18" s="142">
        <f t="shared" si="4"/>
        <v>0</v>
      </c>
      <c r="AK18" s="135">
        <f t="shared" si="5"/>
        <v>5000000</v>
      </c>
      <c r="AL18" s="143">
        <f t="shared" si="17"/>
        <v>5000000</v>
      </c>
      <c r="AM18" s="266"/>
      <c r="AN18" s="201"/>
      <c r="AO18" s="141"/>
      <c r="AP18" s="266"/>
      <c r="AQ18" s="201"/>
      <c r="AR18" s="141"/>
      <c r="AS18" s="266"/>
      <c r="AT18" s="201"/>
      <c r="AU18" s="141"/>
      <c r="AW18" s="264">
        <f t="shared" si="6"/>
        <v>5000000</v>
      </c>
      <c r="AX18" s="264">
        <f t="shared" si="7"/>
        <v>0</v>
      </c>
      <c r="AY18" s="27">
        <f t="shared" si="8"/>
        <v>0</v>
      </c>
      <c r="AZ18" s="27">
        <f t="shared" si="1"/>
        <v>5000000</v>
      </c>
      <c r="BA18" s="27">
        <f t="shared" si="9"/>
        <v>5200000</v>
      </c>
      <c r="BB18" s="264">
        <f t="shared" si="10"/>
        <v>2288000</v>
      </c>
      <c r="BC18" s="20">
        <f t="shared" si="11"/>
        <v>192307.69230769231</v>
      </c>
    </row>
    <row r="19" spans="1:55" ht="17.149999999999999" customHeight="1" x14ac:dyDescent="0.35">
      <c r="A19" s="299"/>
      <c r="B19" s="140" t="s">
        <v>22</v>
      </c>
      <c r="C19" s="200"/>
      <c r="D19" s="266"/>
      <c r="E19" s="201"/>
      <c r="F19" s="285"/>
      <c r="G19" s="200"/>
      <c r="H19" s="266"/>
      <c r="I19" s="201"/>
      <c r="J19" s="201"/>
      <c r="K19" s="285"/>
      <c r="L19" s="144"/>
      <c r="M19" s="227"/>
      <c r="N19" s="135"/>
      <c r="O19" s="141"/>
      <c r="P19" s="262">
        <v>650000</v>
      </c>
      <c r="Q19" s="262"/>
      <c r="R19" s="135">
        <f t="shared" ref="R19:R31" si="19">+P19+Q19</f>
        <v>650000</v>
      </c>
      <c r="S19" s="135"/>
      <c r="T19" s="135"/>
      <c r="U19" s="135">
        <f t="shared" si="3"/>
        <v>0</v>
      </c>
      <c r="V19" s="142">
        <f t="shared" ref="V19:V30" si="20">S19+AD19</f>
        <v>650000</v>
      </c>
      <c r="W19" s="135">
        <f t="shared" si="18"/>
        <v>650000</v>
      </c>
      <c r="X19" s="135"/>
      <c r="Y19" s="135"/>
      <c r="Z19" s="135">
        <f t="shared" si="15"/>
        <v>0</v>
      </c>
      <c r="AA19" s="135"/>
      <c r="AB19" s="135"/>
      <c r="AC19" s="288">
        <f>+Q19-Z19-Y19</f>
        <v>0</v>
      </c>
      <c r="AD19" s="143">
        <f t="shared" si="14"/>
        <v>650000</v>
      </c>
      <c r="AE19" s="236">
        <v>934000</v>
      </c>
      <c r="AF19" s="135">
        <v>0</v>
      </c>
      <c r="AG19" s="142">
        <f t="shared" si="12"/>
        <v>934000</v>
      </c>
      <c r="AH19" s="135"/>
      <c r="AI19" s="135"/>
      <c r="AJ19" s="142">
        <f t="shared" si="4"/>
        <v>0</v>
      </c>
      <c r="AK19" s="135">
        <f t="shared" si="5"/>
        <v>934000</v>
      </c>
      <c r="AL19" s="143">
        <f t="shared" si="17"/>
        <v>934000</v>
      </c>
      <c r="AM19" s="266"/>
      <c r="AN19" s="201"/>
      <c r="AO19" s="141"/>
      <c r="AP19" s="266"/>
      <c r="AQ19" s="201"/>
      <c r="AR19" s="141"/>
      <c r="AS19" s="266"/>
      <c r="AT19" s="201"/>
      <c r="AU19" s="141"/>
      <c r="AW19" s="264">
        <f t="shared" si="6"/>
        <v>934000</v>
      </c>
      <c r="AX19" s="264">
        <f t="shared" si="7"/>
        <v>0</v>
      </c>
      <c r="AY19" s="27">
        <f t="shared" si="8"/>
        <v>0</v>
      </c>
      <c r="AZ19" s="27">
        <f t="shared" si="1"/>
        <v>934000</v>
      </c>
      <c r="BA19" s="27">
        <f t="shared" si="9"/>
        <v>650000</v>
      </c>
      <c r="BB19" s="264">
        <f t="shared" si="10"/>
        <v>0</v>
      </c>
      <c r="BC19" s="20">
        <f t="shared" si="11"/>
        <v>35923.076923076922</v>
      </c>
    </row>
    <row r="20" spans="1:55" ht="17.149999999999999" customHeight="1" x14ac:dyDescent="0.35">
      <c r="A20" s="299"/>
      <c r="B20" s="140" t="s">
        <v>23</v>
      </c>
      <c r="C20" s="200"/>
      <c r="D20" s="266"/>
      <c r="E20" s="201"/>
      <c r="F20" s="285"/>
      <c r="G20" s="200"/>
      <c r="H20" s="266"/>
      <c r="I20" s="201"/>
      <c r="J20" s="201"/>
      <c r="K20" s="285"/>
      <c r="L20" s="144"/>
      <c r="M20" s="227"/>
      <c r="N20" s="135"/>
      <c r="O20" s="141"/>
      <c r="P20" s="262">
        <v>1620000</v>
      </c>
      <c r="Q20" s="262"/>
      <c r="R20" s="135">
        <f t="shared" si="19"/>
        <v>1620000</v>
      </c>
      <c r="S20" s="135"/>
      <c r="T20" s="135"/>
      <c r="U20" s="135">
        <f t="shared" si="3"/>
        <v>0</v>
      </c>
      <c r="V20" s="142">
        <f t="shared" si="20"/>
        <v>1620000</v>
      </c>
      <c r="W20" s="135">
        <f t="shared" si="18"/>
        <v>1620000</v>
      </c>
      <c r="X20" s="135"/>
      <c r="Y20" s="135"/>
      <c r="Z20" s="135">
        <f t="shared" si="15"/>
        <v>0</v>
      </c>
      <c r="AA20" s="135"/>
      <c r="AB20" s="135"/>
      <c r="AC20" s="288">
        <f>+Q20-Z20-Y20</f>
        <v>0</v>
      </c>
      <c r="AD20" s="143">
        <f t="shared" si="14"/>
        <v>1620000</v>
      </c>
      <c r="AE20" s="236">
        <v>4000000</v>
      </c>
      <c r="AF20" s="135">
        <v>0</v>
      </c>
      <c r="AG20" s="142">
        <f>AF20+AL20</f>
        <v>4000000</v>
      </c>
      <c r="AH20" s="135"/>
      <c r="AI20" s="135"/>
      <c r="AJ20" s="142">
        <f t="shared" si="4"/>
        <v>0</v>
      </c>
      <c r="AK20" s="135">
        <f t="shared" si="5"/>
        <v>4000000</v>
      </c>
      <c r="AL20" s="143">
        <f t="shared" si="17"/>
        <v>4000000</v>
      </c>
      <c r="AM20" s="266"/>
      <c r="AN20" s="201"/>
      <c r="AO20" s="141"/>
      <c r="AP20" s="266"/>
      <c r="AQ20" s="201"/>
      <c r="AR20" s="141"/>
      <c r="AS20" s="266"/>
      <c r="AT20" s="201"/>
      <c r="AU20" s="141"/>
      <c r="AW20" s="264">
        <f t="shared" si="6"/>
        <v>4000000</v>
      </c>
      <c r="AX20" s="264">
        <f t="shared" si="7"/>
        <v>0</v>
      </c>
      <c r="AY20" s="27">
        <f t="shared" si="8"/>
        <v>0</v>
      </c>
      <c r="AZ20" s="27">
        <f t="shared" si="1"/>
        <v>4000000</v>
      </c>
      <c r="BA20" s="27">
        <f t="shared" si="9"/>
        <v>1620000</v>
      </c>
      <c r="BB20" s="264">
        <f t="shared" si="10"/>
        <v>0</v>
      </c>
      <c r="BC20" s="20">
        <f t="shared" si="11"/>
        <v>153846.15384615384</v>
      </c>
    </row>
    <row r="21" spans="1:55" ht="17.149999999999999" customHeight="1" x14ac:dyDescent="0.35">
      <c r="A21" s="299"/>
      <c r="B21" s="140" t="s">
        <v>24</v>
      </c>
      <c r="C21" s="200"/>
      <c r="D21" s="266"/>
      <c r="E21" s="201"/>
      <c r="F21" s="285"/>
      <c r="G21" s="200"/>
      <c r="H21" s="266"/>
      <c r="I21" s="201"/>
      <c r="J21" s="201"/>
      <c r="K21" s="285"/>
      <c r="L21" s="144"/>
      <c r="M21" s="227"/>
      <c r="N21" s="135"/>
      <c r="O21" s="141"/>
      <c r="P21" s="262">
        <v>950000</v>
      </c>
      <c r="Q21" s="262"/>
      <c r="R21" s="135">
        <f t="shared" si="19"/>
        <v>950000</v>
      </c>
      <c r="S21" s="135"/>
      <c r="T21" s="135"/>
      <c r="U21" s="135">
        <f t="shared" si="3"/>
        <v>0</v>
      </c>
      <c r="V21" s="142">
        <f t="shared" si="20"/>
        <v>950000</v>
      </c>
      <c r="W21" s="135">
        <f t="shared" si="18"/>
        <v>950000</v>
      </c>
      <c r="X21" s="135"/>
      <c r="Y21" s="135"/>
      <c r="Z21" s="135">
        <f t="shared" si="15"/>
        <v>0</v>
      </c>
      <c r="AA21" s="135"/>
      <c r="AB21" s="135"/>
      <c r="AC21" s="288">
        <f>+Q21-Z21-Y21</f>
        <v>0</v>
      </c>
      <c r="AD21" s="143">
        <f t="shared" si="14"/>
        <v>950000</v>
      </c>
      <c r="AE21" s="236">
        <v>2250000</v>
      </c>
      <c r="AF21" s="135">
        <v>0</v>
      </c>
      <c r="AG21" s="142">
        <f t="shared" si="12"/>
        <v>2250000</v>
      </c>
      <c r="AH21" s="135"/>
      <c r="AI21" s="135"/>
      <c r="AJ21" s="142">
        <f t="shared" si="4"/>
        <v>0</v>
      </c>
      <c r="AK21" s="135">
        <f t="shared" si="5"/>
        <v>2250000</v>
      </c>
      <c r="AL21" s="143">
        <f t="shared" si="17"/>
        <v>2250000</v>
      </c>
      <c r="AM21" s="266"/>
      <c r="AN21" s="201"/>
      <c r="AO21" s="141"/>
      <c r="AP21" s="266"/>
      <c r="AQ21" s="201"/>
      <c r="AR21" s="141"/>
      <c r="AS21" s="266"/>
      <c r="AT21" s="201"/>
      <c r="AU21" s="141"/>
      <c r="AW21" s="264">
        <f t="shared" si="6"/>
        <v>2250000</v>
      </c>
      <c r="AX21" s="264">
        <f t="shared" si="7"/>
        <v>0</v>
      </c>
      <c r="AY21" s="27">
        <f t="shared" si="8"/>
        <v>0</v>
      </c>
      <c r="AZ21" s="27">
        <f t="shared" si="1"/>
        <v>2250000</v>
      </c>
      <c r="BA21" s="27">
        <f t="shared" si="9"/>
        <v>950000</v>
      </c>
      <c r="BB21" s="264">
        <f t="shared" si="10"/>
        <v>0</v>
      </c>
      <c r="BC21" s="20">
        <f t="shared" si="11"/>
        <v>86538.461538461532</v>
      </c>
    </row>
    <row r="22" spans="1:55" ht="17.149999999999999" customHeight="1" x14ac:dyDescent="0.35">
      <c r="A22" s="299" t="s">
        <v>49</v>
      </c>
      <c r="B22" s="140" t="s">
        <v>25</v>
      </c>
      <c r="C22" s="200">
        <v>0</v>
      </c>
      <c r="D22" s="276">
        <v>100000</v>
      </c>
      <c r="E22" s="201">
        <f>+D22*0.12</f>
        <v>12000</v>
      </c>
      <c r="F22" s="286">
        <f>+D22-E22</f>
        <v>88000</v>
      </c>
      <c r="G22" s="200">
        <v>0</v>
      </c>
      <c r="H22" s="266">
        <v>2100000</v>
      </c>
      <c r="I22" s="201">
        <f>+H22*0.12</f>
        <v>252000</v>
      </c>
      <c r="J22" s="201"/>
      <c r="K22" s="284">
        <f>+H22-I22</f>
        <v>1848000</v>
      </c>
      <c r="L22" s="204"/>
      <c r="M22" s="267"/>
      <c r="N22" s="135"/>
      <c r="O22" s="146"/>
      <c r="P22" s="263">
        <v>1700000</v>
      </c>
      <c r="Q22" s="263">
        <v>58300000</v>
      </c>
      <c r="R22" s="243">
        <f t="shared" si="19"/>
        <v>60000000</v>
      </c>
      <c r="S22" s="135"/>
      <c r="T22" s="135">
        <v>0</v>
      </c>
      <c r="U22" s="135">
        <f t="shared" si="3"/>
        <v>0</v>
      </c>
      <c r="V22" s="142">
        <f t="shared" si="20"/>
        <v>60000000</v>
      </c>
      <c r="W22" s="135">
        <f t="shared" si="18"/>
        <v>1700000</v>
      </c>
      <c r="X22" s="135"/>
      <c r="Y22" s="135"/>
      <c r="Z22" s="134">
        <f>+Q22*0.12</f>
        <v>6996000</v>
      </c>
      <c r="AA22" s="135">
        <v>1585000</v>
      </c>
      <c r="AB22" s="135"/>
      <c r="AC22" s="288">
        <f>+Q22-Z22-Y22-AA22</f>
        <v>49719000</v>
      </c>
      <c r="AD22" s="143">
        <f>SUM(W22:AC22)</f>
        <v>60000000</v>
      </c>
      <c r="AE22" s="236">
        <v>60000000</v>
      </c>
      <c r="AF22" s="135">
        <v>0</v>
      </c>
      <c r="AG22" s="142">
        <f>AF22+AL22</f>
        <v>60000000</v>
      </c>
      <c r="AH22" s="135"/>
      <c r="AI22" s="135">
        <v>860000</v>
      </c>
      <c r="AJ22" s="142">
        <f>AH22+AI22</f>
        <v>860000</v>
      </c>
      <c r="AK22" s="135">
        <f>+AE22-AH22-AI22</f>
        <v>59140000</v>
      </c>
      <c r="AL22" s="143">
        <f>+AJ22+AK22</f>
        <v>60000000</v>
      </c>
      <c r="AM22" s="266">
        <v>6000000</v>
      </c>
      <c r="AN22" s="201">
        <f>AM22*0.1</f>
        <v>600000</v>
      </c>
      <c r="AO22" s="136">
        <f>+AM22-AN22</f>
        <v>5400000</v>
      </c>
      <c r="AP22" s="266">
        <v>500000</v>
      </c>
      <c r="AQ22" s="201">
        <f>AP22*0.1</f>
        <v>50000</v>
      </c>
      <c r="AR22" s="136">
        <f>+AP22-AQ22</f>
        <v>450000</v>
      </c>
      <c r="AS22" s="266">
        <v>13500000</v>
      </c>
      <c r="AT22" s="201">
        <f>AS22*0.0477</f>
        <v>643950</v>
      </c>
      <c r="AU22" s="136">
        <f>+AS22-AT22</f>
        <v>12856050</v>
      </c>
      <c r="AW22" s="264">
        <f t="shared" si="6"/>
        <v>80000000</v>
      </c>
      <c r="AX22" s="264">
        <f t="shared" si="7"/>
        <v>1293950</v>
      </c>
      <c r="AY22" s="27">
        <f t="shared" si="8"/>
        <v>860000</v>
      </c>
      <c r="AZ22" s="27">
        <f t="shared" si="1"/>
        <v>77846050</v>
      </c>
      <c r="BA22" s="27">
        <f t="shared" si="9"/>
        <v>60000000</v>
      </c>
      <c r="BB22" s="264">
        <f t="shared" si="10"/>
        <v>51655000</v>
      </c>
      <c r="BC22" s="20">
        <f t="shared" si="11"/>
        <v>3076923.076923077</v>
      </c>
    </row>
    <row r="23" spans="1:55" ht="17.149999999999999" customHeight="1" x14ac:dyDescent="0.35">
      <c r="A23" s="299"/>
      <c r="B23" s="140" t="s">
        <v>26</v>
      </c>
      <c r="C23" s="200"/>
      <c r="D23" s="266"/>
      <c r="E23" s="201"/>
      <c r="F23" s="286"/>
      <c r="G23" s="200"/>
      <c r="H23" s="266"/>
      <c r="I23" s="201"/>
      <c r="J23" s="201"/>
      <c r="K23" s="286"/>
      <c r="L23" s="147"/>
      <c r="M23" s="267"/>
      <c r="N23" s="135"/>
      <c r="O23" s="146"/>
      <c r="P23" s="263">
        <v>965000</v>
      </c>
      <c r="Q23" s="263"/>
      <c r="R23" s="243">
        <f t="shared" si="19"/>
        <v>965000</v>
      </c>
      <c r="S23" s="135"/>
      <c r="T23" s="135"/>
      <c r="U23" s="135">
        <f t="shared" si="3"/>
        <v>0</v>
      </c>
      <c r="V23" s="142">
        <f t="shared" si="20"/>
        <v>965000</v>
      </c>
      <c r="W23" s="135">
        <f t="shared" si="18"/>
        <v>965000</v>
      </c>
      <c r="X23" s="135"/>
      <c r="Y23" s="135"/>
      <c r="Z23" s="135"/>
      <c r="AA23" s="135"/>
      <c r="AB23" s="135"/>
      <c r="AC23" s="288">
        <f t="shared" ref="AC19:AC31" si="21">+Q23-Z23-Y23</f>
        <v>0</v>
      </c>
      <c r="AD23" s="143">
        <f t="shared" si="14"/>
        <v>965000</v>
      </c>
      <c r="AE23" s="236">
        <v>790000</v>
      </c>
      <c r="AF23" s="135">
        <v>0</v>
      </c>
      <c r="AG23" s="142">
        <f t="shared" si="12"/>
        <v>790000</v>
      </c>
      <c r="AH23" s="135"/>
      <c r="AI23" s="135"/>
      <c r="AJ23" s="142">
        <f t="shared" si="4"/>
        <v>0</v>
      </c>
      <c r="AK23" s="135">
        <f t="shared" si="5"/>
        <v>790000</v>
      </c>
      <c r="AL23" s="143">
        <f t="shared" si="17"/>
        <v>790000</v>
      </c>
      <c r="AM23" s="266"/>
      <c r="AN23" s="201"/>
      <c r="AO23" s="146"/>
      <c r="AP23" s="266"/>
      <c r="AQ23" s="201"/>
      <c r="AR23" s="146"/>
      <c r="AS23" s="266"/>
      <c r="AT23" s="201"/>
      <c r="AU23" s="146"/>
      <c r="AW23" s="264">
        <f t="shared" si="6"/>
        <v>790000</v>
      </c>
      <c r="AX23" s="264">
        <f t="shared" si="7"/>
        <v>0</v>
      </c>
      <c r="AY23" s="27">
        <f t="shared" si="8"/>
        <v>0</v>
      </c>
      <c r="AZ23" s="27">
        <f t="shared" si="1"/>
        <v>790000</v>
      </c>
      <c r="BA23" s="27">
        <f t="shared" si="9"/>
        <v>965000</v>
      </c>
      <c r="BB23" s="264">
        <f t="shared" si="10"/>
        <v>0</v>
      </c>
      <c r="BC23" s="20">
        <f t="shared" si="11"/>
        <v>30384.615384615383</v>
      </c>
    </row>
    <row r="24" spans="1:55" ht="17.149999999999999" customHeight="1" x14ac:dyDescent="0.35">
      <c r="A24" s="299"/>
      <c r="B24" s="140" t="s">
        <v>27</v>
      </c>
      <c r="C24" s="200"/>
      <c r="D24" s="266"/>
      <c r="E24" s="201"/>
      <c r="F24" s="286"/>
      <c r="G24" s="200"/>
      <c r="H24" s="266"/>
      <c r="I24" s="201"/>
      <c r="J24" s="201"/>
      <c r="K24" s="286"/>
      <c r="L24" s="147"/>
      <c r="M24" s="145"/>
      <c r="N24" s="145"/>
      <c r="O24" s="146"/>
      <c r="P24" s="263">
        <v>3100000</v>
      </c>
      <c r="Q24" s="263"/>
      <c r="R24" s="243">
        <f t="shared" si="19"/>
        <v>3100000</v>
      </c>
      <c r="S24" s="135"/>
      <c r="T24" s="135"/>
      <c r="U24" s="135">
        <f t="shared" si="3"/>
        <v>0</v>
      </c>
      <c r="V24" s="142">
        <f t="shared" si="20"/>
        <v>3100000</v>
      </c>
      <c r="W24" s="135">
        <f t="shared" si="18"/>
        <v>3100000</v>
      </c>
      <c r="X24" s="135"/>
      <c r="Y24" s="135"/>
      <c r="Z24" s="135"/>
      <c r="AA24" s="135"/>
      <c r="AB24" s="135"/>
      <c r="AC24" s="288">
        <f t="shared" si="21"/>
        <v>0</v>
      </c>
      <c r="AD24" s="143">
        <f t="shared" si="14"/>
        <v>3100000</v>
      </c>
      <c r="AE24" s="236">
        <v>4680000</v>
      </c>
      <c r="AF24" s="135">
        <v>0</v>
      </c>
      <c r="AG24" s="142">
        <f t="shared" si="12"/>
        <v>4680000</v>
      </c>
      <c r="AH24" s="135"/>
      <c r="AI24" s="135"/>
      <c r="AJ24" s="142">
        <f t="shared" si="4"/>
        <v>0</v>
      </c>
      <c r="AK24" s="135">
        <f t="shared" si="5"/>
        <v>4680000</v>
      </c>
      <c r="AL24" s="143">
        <f t="shared" si="17"/>
        <v>4680000</v>
      </c>
      <c r="AM24" s="266"/>
      <c r="AN24" s="201"/>
      <c r="AO24" s="146"/>
      <c r="AP24" s="266"/>
      <c r="AQ24" s="201"/>
      <c r="AR24" s="146"/>
      <c r="AS24" s="266"/>
      <c r="AT24" s="201"/>
      <c r="AU24" s="146"/>
      <c r="AW24" s="264">
        <f t="shared" si="6"/>
        <v>4680000</v>
      </c>
      <c r="AX24" s="264">
        <f t="shared" si="7"/>
        <v>0</v>
      </c>
      <c r="AY24" s="27">
        <f t="shared" si="8"/>
        <v>0</v>
      </c>
      <c r="AZ24" s="27">
        <f t="shared" si="1"/>
        <v>4680000</v>
      </c>
      <c r="BA24" s="27">
        <f t="shared" si="9"/>
        <v>3100000</v>
      </c>
      <c r="BB24" s="264">
        <f t="shared" si="10"/>
        <v>0</v>
      </c>
      <c r="BC24" s="20">
        <f t="shared" si="11"/>
        <v>180000</v>
      </c>
    </row>
    <row r="25" spans="1:55" ht="17.149999999999999" customHeight="1" x14ac:dyDescent="0.35">
      <c r="A25" s="299"/>
      <c r="B25" s="140" t="s">
        <v>28</v>
      </c>
      <c r="C25" s="200"/>
      <c r="D25" s="266"/>
      <c r="E25" s="201"/>
      <c r="F25" s="286"/>
      <c r="G25" s="200"/>
      <c r="H25" s="266"/>
      <c r="I25" s="201"/>
      <c r="J25" s="201"/>
      <c r="K25" s="286"/>
      <c r="L25" s="147"/>
      <c r="M25" s="145"/>
      <c r="N25" s="145"/>
      <c r="O25" s="146"/>
      <c r="P25" s="263">
        <v>1860000</v>
      </c>
      <c r="Q25" s="263"/>
      <c r="R25" s="243">
        <f t="shared" si="19"/>
        <v>1860000</v>
      </c>
      <c r="S25" s="135"/>
      <c r="T25" s="135"/>
      <c r="U25" s="135">
        <f t="shared" si="3"/>
        <v>0</v>
      </c>
      <c r="V25" s="142">
        <f t="shared" si="20"/>
        <v>1860000</v>
      </c>
      <c r="W25" s="135">
        <f t="shared" si="18"/>
        <v>1860000</v>
      </c>
      <c r="X25" s="135"/>
      <c r="Y25" s="135"/>
      <c r="Z25" s="135"/>
      <c r="AA25" s="135"/>
      <c r="AB25" s="135"/>
      <c r="AC25" s="288">
        <f t="shared" si="21"/>
        <v>0</v>
      </c>
      <c r="AD25" s="143">
        <f t="shared" si="14"/>
        <v>1860000</v>
      </c>
      <c r="AE25" s="236">
        <v>2400000</v>
      </c>
      <c r="AF25" s="135">
        <v>0</v>
      </c>
      <c r="AG25" s="142">
        <f t="shared" si="12"/>
        <v>2400000</v>
      </c>
      <c r="AH25" s="135"/>
      <c r="AI25" s="135"/>
      <c r="AJ25" s="142">
        <f t="shared" si="4"/>
        <v>0</v>
      </c>
      <c r="AK25" s="135">
        <f t="shared" si="5"/>
        <v>2400000</v>
      </c>
      <c r="AL25" s="143">
        <f t="shared" si="17"/>
        <v>2400000</v>
      </c>
      <c r="AM25" s="266"/>
      <c r="AN25" s="201"/>
      <c r="AO25" s="146"/>
      <c r="AP25" s="266"/>
      <c r="AQ25" s="201"/>
      <c r="AR25" s="146"/>
      <c r="AS25" s="266"/>
      <c r="AT25" s="201"/>
      <c r="AU25" s="146"/>
      <c r="AW25" s="264">
        <f t="shared" si="6"/>
        <v>2400000</v>
      </c>
      <c r="AX25" s="264">
        <f t="shared" si="7"/>
        <v>0</v>
      </c>
      <c r="AY25" s="27">
        <f t="shared" si="8"/>
        <v>0</v>
      </c>
      <c r="AZ25" s="27">
        <f t="shared" si="1"/>
        <v>2400000</v>
      </c>
      <c r="BA25" s="27">
        <f t="shared" si="9"/>
        <v>1860000</v>
      </c>
      <c r="BB25" s="264">
        <f t="shared" si="10"/>
        <v>0</v>
      </c>
      <c r="BC25" s="20">
        <f t="shared" si="11"/>
        <v>92307.692307692312</v>
      </c>
    </row>
    <row r="26" spans="1:55" ht="16.899999999999999" customHeight="1" x14ac:dyDescent="0.35">
      <c r="A26" s="299" t="s">
        <v>50</v>
      </c>
      <c r="B26" s="140" t="s">
        <v>29</v>
      </c>
      <c r="C26" s="200"/>
      <c r="D26" s="266"/>
      <c r="E26" s="201"/>
      <c r="F26" s="285"/>
      <c r="G26" s="200"/>
      <c r="H26" s="201"/>
      <c r="I26" s="201"/>
      <c r="J26" s="201"/>
      <c r="K26" s="285"/>
      <c r="L26" s="144"/>
      <c r="M26" s="135"/>
      <c r="N26" s="135"/>
      <c r="O26" s="141"/>
      <c r="P26" s="262">
        <v>7000000</v>
      </c>
      <c r="Q26" s="262"/>
      <c r="R26" s="135">
        <f t="shared" si="19"/>
        <v>7000000</v>
      </c>
      <c r="S26" s="135"/>
      <c r="T26" s="135"/>
      <c r="U26" s="135">
        <f t="shared" si="3"/>
        <v>0</v>
      </c>
      <c r="V26" s="142">
        <f>S26+AD26</f>
        <v>7000000</v>
      </c>
      <c r="W26" s="135">
        <f t="shared" si="18"/>
        <v>7000000</v>
      </c>
      <c r="X26" s="135"/>
      <c r="Y26" s="135"/>
      <c r="Z26" s="135"/>
      <c r="AA26" s="135"/>
      <c r="AB26" s="135"/>
      <c r="AC26" s="288">
        <f t="shared" si="21"/>
        <v>0</v>
      </c>
      <c r="AD26" s="143">
        <f t="shared" si="14"/>
        <v>7000000</v>
      </c>
      <c r="AE26" s="236">
        <v>7000000</v>
      </c>
      <c r="AF26" s="135">
        <v>0</v>
      </c>
      <c r="AG26" s="142">
        <f t="shared" si="12"/>
        <v>7000000</v>
      </c>
      <c r="AH26" s="135">
        <v>400000</v>
      </c>
      <c r="AI26" s="135"/>
      <c r="AJ26" s="142">
        <f t="shared" si="4"/>
        <v>400000</v>
      </c>
      <c r="AK26" s="135">
        <f>+AE26-AH26</f>
        <v>6600000</v>
      </c>
      <c r="AL26" s="143">
        <f>+AJ26+AK26</f>
        <v>7000000</v>
      </c>
      <c r="AM26" s="201"/>
      <c r="AN26" s="201"/>
      <c r="AO26" s="141"/>
      <c r="AP26" s="266"/>
      <c r="AQ26" s="201"/>
      <c r="AR26" s="141"/>
      <c r="AS26" s="266"/>
      <c r="AT26" s="201"/>
      <c r="AU26" s="141"/>
      <c r="AW26" s="264">
        <f t="shared" si="6"/>
        <v>7000000</v>
      </c>
      <c r="AX26" s="264">
        <f t="shared" si="7"/>
        <v>0</v>
      </c>
      <c r="AY26" s="27">
        <f t="shared" si="8"/>
        <v>400000</v>
      </c>
      <c r="AZ26" s="27">
        <f t="shared" si="1"/>
        <v>6600000</v>
      </c>
      <c r="BA26" s="27">
        <f t="shared" si="9"/>
        <v>7000000</v>
      </c>
      <c r="BB26" s="264">
        <f t="shared" si="10"/>
        <v>0</v>
      </c>
      <c r="BC26" s="20">
        <f t="shared" si="11"/>
        <v>269230.76923076925</v>
      </c>
    </row>
    <row r="27" spans="1:55" x14ac:dyDescent="0.35">
      <c r="A27" s="299"/>
      <c r="B27" s="140" t="s">
        <v>30</v>
      </c>
      <c r="C27" s="200"/>
      <c r="D27" s="201"/>
      <c r="E27" s="201"/>
      <c r="F27" s="285"/>
      <c r="G27" s="200"/>
      <c r="H27" s="201"/>
      <c r="I27" s="201"/>
      <c r="J27" s="201"/>
      <c r="K27" s="285"/>
      <c r="L27" s="144"/>
      <c r="M27" s="135"/>
      <c r="N27" s="135"/>
      <c r="O27" s="141"/>
      <c r="P27" s="262">
        <v>550000</v>
      </c>
      <c r="Q27" s="262"/>
      <c r="R27" s="135">
        <f t="shared" si="19"/>
        <v>550000</v>
      </c>
      <c r="S27" s="135"/>
      <c r="T27" s="135"/>
      <c r="U27" s="135">
        <f t="shared" si="3"/>
        <v>0</v>
      </c>
      <c r="V27" s="142">
        <f t="shared" si="20"/>
        <v>550000</v>
      </c>
      <c r="W27" s="135">
        <f t="shared" si="18"/>
        <v>550000</v>
      </c>
      <c r="X27" s="135"/>
      <c r="Y27" s="135"/>
      <c r="Z27" s="135"/>
      <c r="AA27" s="135"/>
      <c r="AB27" s="135"/>
      <c r="AC27" s="288">
        <f t="shared" si="21"/>
        <v>0</v>
      </c>
      <c r="AD27" s="143">
        <f t="shared" si="14"/>
        <v>550000</v>
      </c>
      <c r="AE27" s="236">
        <v>600000</v>
      </c>
      <c r="AF27" s="135">
        <v>0</v>
      </c>
      <c r="AG27" s="142">
        <f t="shared" si="12"/>
        <v>600000</v>
      </c>
      <c r="AH27" s="135">
        <f>AE27</f>
        <v>600000</v>
      </c>
      <c r="AI27" s="135"/>
      <c r="AJ27" s="142">
        <f t="shared" si="4"/>
        <v>600000</v>
      </c>
      <c r="AK27" s="135">
        <f>+AE27-AH27</f>
        <v>0</v>
      </c>
      <c r="AL27" s="143">
        <f t="shared" si="17"/>
        <v>600000</v>
      </c>
      <c r="AM27" s="201"/>
      <c r="AN27" s="201"/>
      <c r="AO27" s="141"/>
      <c r="AP27" s="201"/>
      <c r="AQ27" s="201"/>
      <c r="AR27" s="141"/>
      <c r="AS27" s="266"/>
      <c r="AT27" s="201"/>
      <c r="AU27" s="141"/>
      <c r="AW27" s="264">
        <f t="shared" si="6"/>
        <v>600000</v>
      </c>
      <c r="AX27" s="264">
        <f t="shared" si="7"/>
        <v>0</v>
      </c>
      <c r="AY27" s="27">
        <f t="shared" si="8"/>
        <v>600000</v>
      </c>
      <c r="AZ27" s="27">
        <f t="shared" ref="AZ27" si="22">+AU27+AR27+AO27+AK27</f>
        <v>0</v>
      </c>
      <c r="BA27" s="27">
        <f t="shared" si="9"/>
        <v>550000</v>
      </c>
      <c r="BB27" s="264">
        <f t="shared" si="10"/>
        <v>0</v>
      </c>
      <c r="BC27" s="20">
        <f t="shared" si="11"/>
        <v>23076.923076923078</v>
      </c>
    </row>
    <row r="28" spans="1:55" ht="16.149999999999999" customHeight="1" x14ac:dyDescent="0.35">
      <c r="A28" s="299" t="s">
        <v>51</v>
      </c>
      <c r="B28" s="140" t="s">
        <v>31</v>
      </c>
      <c r="C28" s="200"/>
      <c r="D28" s="201"/>
      <c r="E28" s="201"/>
      <c r="F28" s="285"/>
      <c r="G28" s="200"/>
      <c r="H28" s="201"/>
      <c r="I28" s="201"/>
      <c r="J28" s="201"/>
      <c r="K28" s="285"/>
      <c r="L28" s="144"/>
      <c r="M28" s="135"/>
      <c r="N28" s="135"/>
      <c r="O28" s="141"/>
      <c r="P28" s="262">
        <v>7500000</v>
      </c>
      <c r="Q28" s="262"/>
      <c r="R28" s="135">
        <f t="shared" si="19"/>
        <v>7500000</v>
      </c>
      <c r="S28" s="135"/>
      <c r="T28" s="135"/>
      <c r="U28" s="135">
        <f>+S28+T28</f>
        <v>0</v>
      </c>
      <c r="V28" s="142">
        <f t="shared" si="20"/>
        <v>7500000</v>
      </c>
      <c r="W28" s="135">
        <f t="shared" si="18"/>
        <v>7500000</v>
      </c>
      <c r="X28" s="135"/>
      <c r="Y28" s="135"/>
      <c r="Z28" s="135"/>
      <c r="AA28" s="135"/>
      <c r="AB28" s="135"/>
      <c r="AC28" s="288">
        <f t="shared" si="21"/>
        <v>0</v>
      </c>
      <c r="AD28" s="143">
        <f t="shared" si="14"/>
        <v>7500000</v>
      </c>
      <c r="AE28" s="238">
        <v>8000000</v>
      </c>
      <c r="AF28" s="135">
        <v>0</v>
      </c>
      <c r="AG28" s="142">
        <f t="shared" si="12"/>
        <v>8000000</v>
      </c>
      <c r="AH28" s="135"/>
      <c r="AI28" s="135"/>
      <c r="AJ28" s="142">
        <f t="shared" si="4"/>
        <v>0</v>
      </c>
      <c r="AK28" s="135">
        <f t="shared" si="5"/>
        <v>8000000</v>
      </c>
      <c r="AL28" s="143">
        <f t="shared" si="17"/>
        <v>8000000</v>
      </c>
      <c r="AM28" s="201"/>
      <c r="AN28" s="201"/>
      <c r="AO28" s="141"/>
      <c r="AP28" s="201"/>
      <c r="AQ28" s="201"/>
      <c r="AR28" s="141"/>
      <c r="AS28" s="266"/>
      <c r="AT28" s="201"/>
      <c r="AU28" s="141"/>
      <c r="AW28" s="264">
        <f t="shared" si="6"/>
        <v>8000000</v>
      </c>
      <c r="AX28" s="264">
        <f t="shared" si="7"/>
        <v>0</v>
      </c>
      <c r="AY28" s="27">
        <f t="shared" si="8"/>
        <v>0</v>
      </c>
      <c r="AZ28" s="27">
        <f>+AU28+AR28+AO28+AK28</f>
        <v>8000000</v>
      </c>
      <c r="BA28" s="27">
        <f t="shared" si="9"/>
        <v>7500000</v>
      </c>
      <c r="BB28" s="264">
        <f t="shared" si="10"/>
        <v>0</v>
      </c>
      <c r="BC28" s="20">
        <f t="shared" si="11"/>
        <v>307692.30769230769</v>
      </c>
    </row>
    <row r="29" spans="1:55" ht="17.149999999999999" customHeight="1" x14ac:dyDescent="0.35">
      <c r="A29" s="299"/>
      <c r="B29" s="140" t="s">
        <v>32</v>
      </c>
      <c r="C29" s="200"/>
      <c r="D29" s="201"/>
      <c r="E29" s="201"/>
      <c r="F29" s="285"/>
      <c r="G29" s="200"/>
      <c r="H29" s="201"/>
      <c r="I29" s="201"/>
      <c r="J29" s="201"/>
      <c r="K29" s="285"/>
      <c r="L29" s="144"/>
      <c r="M29" s="135"/>
      <c r="N29" s="135"/>
      <c r="O29" s="141"/>
      <c r="P29" s="262">
        <v>1300000</v>
      </c>
      <c r="Q29" s="262"/>
      <c r="R29" s="135">
        <f t="shared" si="19"/>
        <v>1300000</v>
      </c>
      <c r="S29" s="135"/>
      <c r="T29" s="135"/>
      <c r="U29" s="135">
        <f t="shared" si="3"/>
        <v>0</v>
      </c>
      <c r="V29" s="142">
        <f t="shared" si="20"/>
        <v>1300000</v>
      </c>
      <c r="W29" s="135">
        <f t="shared" si="18"/>
        <v>1300000</v>
      </c>
      <c r="X29" s="135"/>
      <c r="Y29" s="135"/>
      <c r="Z29" s="135"/>
      <c r="AA29" s="135"/>
      <c r="AB29" s="135"/>
      <c r="AC29" s="288">
        <f t="shared" si="21"/>
        <v>0</v>
      </c>
      <c r="AD29" s="143">
        <f t="shared" si="14"/>
        <v>1300000</v>
      </c>
      <c r="AE29" s="238">
        <v>1700000</v>
      </c>
      <c r="AF29" s="135">
        <v>0</v>
      </c>
      <c r="AG29" s="142">
        <f t="shared" si="12"/>
        <v>1700000</v>
      </c>
      <c r="AH29" s="135"/>
      <c r="AI29" s="135"/>
      <c r="AJ29" s="142">
        <f t="shared" si="4"/>
        <v>0</v>
      </c>
      <c r="AK29" s="135">
        <f t="shared" si="5"/>
        <v>1700000</v>
      </c>
      <c r="AL29" s="143">
        <f t="shared" si="17"/>
        <v>1700000</v>
      </c>
      <c r="AM29" s="201"/>
      <c r="AN29" s="201"/>
      <c r="AO29" s="141"/>
      <c r="AP29" s="201"/>
      <c r="AQ29" s="201"/>
      <c r="AR29" s="141"/>
      <c r="AS29" s="201"/>
      <c r="AT29" s="201"/>
      <c r="AU29" s="141"/>
      <c r="AW29" s="264">
        <f t="shared" si="6"/>
        <v>1700000</v>
      </c>
      <c r="AX29" s="264">
        <f t="shared" si="7"/>
        <v>0</v>
      </c>
      <c r="AY29" s="27">
        <f t="shared" si="8"/>
        <v>0</v>
      </c>
      <c r="AZ29" s="27">
        <f>+AU29+AR29+AO29+AK29</f>
        <v>1700000</v>
      </c>
      <c r="BA29" s="27">
        <f t="shared" si="9"/>
        <v>1300000</v>
      </c>
      <c r="BB29" s="264">
        <f t="shared" si="10"/>
        <v>0</v>
      </c>
      <c r="BC29" s="20">
        <f t="shared" si="11"/>
        <v>65384.615384615383</v>
      </c>
    </row>
    <row r="30" spans="1:55" ht="17.149999999999999" customHeight="1" x14ac:dyDescent="0.35">
      <c r="A30" s="299"/>
      <c r="B30" s="140" t="s">
        <v>33</v>
      </c>
      <c r="C30" s="200"/>
      <c r="D30" s="201"/>
      <c r="E30" s="201"/>
      <c r="F30" s="285"/>
      <c r="G30" s="200"/>
      <c r="H30" s="201"/>
      <c r="I30" s="201"/>
      <c r="J30" s="201"/>
      <c r="K30" s="285"/>
      <c r="L30" s="144"/>
      <c r="M30" s="135"/>
      <c r="N30" s="135"/>
      <c r="O30" s="141"/>
      <c r="P30" s="262">
        <v>2300000</v>
      </c>
      <c r="Q30" s="262"/>
      <c r="R30" s="135">
        <f t="shared" si="19"/>
        <v>2300000</v>
      </c>
      <c r="S30" s="135"/>
      <c r="T30" s="135"/>
      <c r="U30" s="135">
        <f t="shared" si="3"/>
        <v>0</v>
      </c>
      <c r="V30" s="142">
        <f t="shared" si="20"/>
        <v>2300000</v>
      </c>
      <c r="W30" s="135">
        <f t="shared" si="18"/>
        <v>2300000</v>
      </c>
      <c r="X30" s="135"/>
      <c r="Y30" s="135"/>
      <c r="Z30" s="135"/>
      <c r="AA30" s="135"/>
      <c r="AB30" s="135"/>
      <c r="AC30" s="288">
        <f t="shared" si="21"/>
        <v>0</v>
      </c>
      <c r="AD30" s="143">
        <f t="shared" si="14"/>
        <v>2300000</v>
      </c>
      <c r="AE30" s="238">
        <v>4200000</v>
      </c>
      <c r="AF30" s="135">
        <v>0</v>
      </c>
      <c r="AG30" s="142">
        <f t="shared" si="12"/>
        <v>4200000</v>
      </c>
      <c r="AH30" s="135"/>
      <c r="AI30" s="135"/>
      <c r="AJ30" s="142">
        <f t="shared" si="4"/>
        <v>0</v>
      </c>
      <c r="AK30" s="135">
        <f t="shared" si="5"/>
        <v>4200000</v>
      </c>
      <c r="AL30" s="143">
        <f t="shared" si="17"/>
        <v>4200000</v>
      </c>
      <c r="AM30" s="201"/>
      <c r="AN30" s="201"/>
      <c r="AO30" s="141"/>
      <c r="AP30" s="201"/>
      <c r="AQ30" s="201"/>
      <c r="AR30" s="141"/>
      <c r="AS30" s="201"/>
      <c r="AT30" s="201"/>
      <c r="AU30" s="141"/>
      <c r="AW30" s="264">
        <f t="shared" si="6"/>
        <v>4200000</v>
      </c>
      <c r="AX30" s="264">
        <f t="shared" si="7"/>
        <v>0</v>
      </c>
      <c r="AY30" s="27">
        <f t="shared" si="8"/>
        <v>0</v>
      </c>
      <c r="AZ30" s="27">
        <f>+AU30+AR30+AO30+AK30</f>
        <v>4200000</v>
      </c>
      <c r="BA30" s="27">
        <f t="shared" si="9"/>
        <v>2300000</v>
      </c>
      <c r="BB30" s="264">
        <f t="shared" si="10"/>
        <v>0</v>
      </c>
      <c r="BC30" s="20">
        <f t="shared" si="11"/>
        <v>161538.46153846153</v>
      </c>
    </row>
    <row r="31" spans="1:55" ht="17.149999999999999" customHeight="1" x14ac:dyDescent="0.35">
      <c r="A31" s="299"/>
      <c r="B31" s="140" t="s">
        <v>34</v>
      </c>
      <c r="C31" s="200"/>
      <c r="D31" s="201"/>
      <c r="E31" s="201"/>
      <c r="F31" s="285"/>
      <c r="G31" s="200"/>
      <c r="H31" s="201"/>
      <c r="I31" s="201"/>
      <c r="J31" s="201"/>
      <c r="K31" s="285"/>
      <c r="L31" s="205"/>
      <c r="M31" s="206"/>
      <c r="N31" s="206"/>
      <c r="O31" s="207"/>
      <c r="P31" s="262">
        <v>800000</v>
      </c>
      <c r="Q31" s="262"/>
      <c r="R31" s="135">
        <f t="shared" si="19"/>
        <v>800000</v>
      </c>
      <c r="S31" s="135"/>
      <c r="T31" s="135"/>
      <c r="U31" s="135">
        <f t="shared" si="3"/>
        <v>0</v>
      </c>
      <c r="V31" s="142">
        <f>S31+AD31</f>
        <v>800000</v>
      </c>
      <c r="W31" s="135">
        <f t="shared" si="18"/>
        <v>800000</v>
      </c>
      <c r="X31" s="135"/>
      <c r="Y31" s="135"/>
      <c r="Z31" s="135"/>
      <c r="AA31" s="135"/>
      <c r="AB31" s="135"/>
      <c r="AC31" s="288">
        <f t="shared" si="21"/>
        <v>0</v>
      </c>
      <c r="AD31" s="143">
        <f t="shared" si="14"/>
        <v>800000</v>
      </c>
      <c r="AE31" s="238">
        <v>1500000</v>
      </c>
      <c r="AF31" s="135">
        <v>0</v>
      </c>
      <c r="AG31" s="142">
        <f t="shared" si="12"/>
        <v>1500000</v>
      </c>
      <c r="AH31" s="135"/>
      <c r="AI31" s="135"/>
      <c r="AJ31" s="142">
        <f t="shared" si="4"/>
        <v>0</v>
      </c>
      <c r="AK31" s="135">
        <f t="shared" si="5"/>
        <v>1500000</v>
      </c>
      <c r="AL31" s="143">
        <f t="shared" si="17"/>
        <v>1500000</v>
      </c>
      <c r="AM31" s="201"/>
      <c r="AN31" s="201"/>
      <c r="AO31" s="141"/>
      <c r="AP31" s="201"/>
      <c r="AQ31" s="201"/>
      <c r="AR31" s="141"/>
      <c r="AS31" s="201"/>
      <c r="AT31" s="201"/>
      <c r="AU31" s="141"/>
      <c r="AW31" s="264">
        <f t="shared" si="6"/>
        <v>1500000</v>
      </c>
      <c r="AX31" s="264">
        <f t="shared" si="7"/>
        <v>0</v>
      </c>
      <c r="AY31" s="27">
        <f t="shared" si="8"/>
        <v>0</v>
      </c>
      <c r="AZ31" s="27">
        <f>+AU31+AR31+AO31+AK31</f>
        <v>1500000</v>
      </c>
      <c r="BA31" s="27">
        <f t="shared" si="9"/>
        <v>800000</v>
      </c>
      <c r="BB31" s="264">
        <f t="shared" si="10"/>
        <v>0</v>
      </c>
      <c r="BC31" s="20">
        <f t="shared" si="11"/>
        <v>57692.307692307695</v>
      </c>
    </row>
    <row r="32" spans="1:55" s="10" customFormat="1" ht="13" x14ac:dyDescent="0.25">
      <c r="A32" s="300" t="s">
        <v>35</v>
      </c>
      <c r="B32" s="301"/>
      <c r="C32" s="190">
        <f t="shared" ref="C32:AJ32" si="23">SUM(C10:C31)</f>
        <v>0</v>
      </c>
      <c r="D32" s="202">
        <f t="shared" si="23"/>
        <v>150000</v>
      </c>
      <c r="E32" s="202">
        <f t="shared" si="23"/>
        <v>18000</v>
      </c>
      <c r="F32" s="150">
        <f>SUM(F10:F31)</f>
        <v>132000</v>
      </c>
      <c r="G32" s="224">
        <f t="shared" ref="G32:K32" si="24">SUM(G10:G31)</f>
        <v>0</v>
      </c>
      <c r="H32" s="202">
        <f t="shared" si="24"/>
        <v>4150000</v>
      </c>
      <c r="I32" s="202">
        <f t="shared" si="24"/>
        <v>498000</v>
      </c>
      <c r="J32" s="202">
        <f t="shared" si="24"/>
        <v>0</v>
      </c>
      <c r="K32" s="244">
        <f t="shared" si="24"/>
        <v>3652000</v>
      </c>
      <c r="L32" s="148">
        <f t="shared" ref="L32:O32" si="25">SUM(L10:L31)</f>
        <v>0</v>
      </c>
      <c r="M32" s="149">
        <f>SUM(M10:M31)</f>
        <v>60000</v>
      </c>
      <c r="N32" s="149">
        <f>SUM(N10:N31)</f>
        <v>54000</v>
      </c>
      <c r="O32" s="150">
        <f t="shared" si="25"/>
        <v>6000</v>
      </c>
      <c r="P32" s="151">
        <f t="shared" si="23"/>
        <v>41410000</v>
      </c>
      <c r="Q32" s="149">
        <f>SUM(Q10:Q31)</f>
        <v>160085000</v>
      </c>
      <c r="R32" s="149">
        <f>SUM(R10:R31)</f>
        <v>201495000</v>
      </c>
      <c r="S32" s="149">
        <f t="shared" si="23"/>
        <v>0</v>
      </c>
      <c r="T32" s="149">
        <f t="shared" si="23"/>
        <v>0</v>
      </c>
      <c r="U32" s="149">
        <f t="shared" ref="U32" si="26">SUM(U10:U31)</f>
        <v>0</v>
      </c>
      <c r="V32" s="152">
        <f>SUM(V10:V31)</f>
        <v>201495000</v>
      </c>
      <c r="W32" s="229">
        <f>SUM(W10:W31)</f>
        <v>41410000</v>
      </c>
      <c r="X32" s="149">
        <f t="shared" ref="X32" si="27">SUM(X10:X31)</f>
        <v>0</v>
      </c>
      <c r="Y32" s="149">
        <f>SUM(Y10:Y31)</f>
        <v>30601000</v>
      </c>
      <c r="Z32" s="149">
        <f>SUM(Z10:Z31)</f>
        <v>19210200</v>
      </c>
      <c r="AA32" s="149">
        <f t="shared" si="23"/>
        <v>1585000</v>
      </c>
      <c r="AB32" s="149">
        <f t="shared" ref="AB32" si="28">SUM(AB10:AB31)</f>
        <v>0</v>
      </c>
      <c r="AC32" s="149">
        <f>SUM(AC10:AC31)</f>
        <v>108688800</v>
      </c>
      <c r="AD32" s="153">
        <f>SUM(AD10:AD31)</f>
        <v>201495000</v>
      </c>
      <c r="AE32" s="151">
        <f>SUM(AE10:AE31)</f>
        <v>164886000</v>
      </c>
      <c r="AF32" s="149">
        <f t="shared" si="23"/>
        <v>0</v>
      </c>
      <c r="AG32" s="152">
        <f t="shared" si="23"/>
        <v>164886000</v>
      </c>
      <c r="AH32" s="149">
        <f>SUM(AH10:AH31)</f>
        <v>11381000</v>
      </c>
      <c r="AI32" s="149">
        <f t="shared" si="23"/>
        <v>860000</v>
      </c>
      <c r="AJ32" s="152">
        <f t="shared" si="23"/>
        <v>12241000</v>
      </c>
      <c r="AK32" s="149">
        <f>SUM(AK10:AK31)</f>
        <v>152645000</v>
      </c>
      <c r="AL32" s="153">
        <f>SUM(AL10:AL31)</f>
        <v>164886000</v>
      </c>
      <c r="AM32" s="202">
        <f t="shared" ref="AM32:AN32" si="29">SUM(AM10:AM31)</f>
        <v>9800000</v>
      </c>
      <c r="AN32" s="202">
        <f t="shared" si="29"/>
        <v>980000</v>
      </c>
      <c r="AO32" s="244">
        <f>SUM(AO10:AO31)</f>
        <v>8820000</v>
      </c>
      <c r="AP32" s="202">
        <f t="shared" ref="AP32:AY32" si="30">SUM(AP10:AP31)</f>
        <v>950000</v>
      </c>
      <c r="AQ32" s="202">
        <f t="shared" si="30"/>
        <v>95000</v>
      </c>
      <c r="AR32" s="244">
        <f>SUM(AR10:AR31)</f>
        <v>855000</v>
      </c>
      <c r="AS32" s="202">
        <f t="shared" si="30"/>
        <v>51750000</v>
      </c>
      <c r="AT32" s="202">
        <f t="shared" si="30"/>
        <v>2468475</v>
      </c>
      <c r="AU32" s="244">
        <f>SUM(AU10:AU31)</f>
        <v>49281525</v>
      </c>
      <c r="AW32" s="290">
        <f>SUM(AW10:AW31)</f>
        <v>227386000</v>
      </c>
      <c r="AX32" s="244">
        <f t="shared" si="30"/>
        <v>3543475</v>
      </c>
      <c r="AY32" s="244">
        <f t="shared" si="30"/>
        <v>12241000</v>
      </c>
      <c r="AZ32" s="244">
        <f>SUM(AZ10:AZ31)</f>
        <v>211601525</v>
      </c>
      <c r="BA32" s="289">
        <f>SUM(BA10:BA31)</f>
        <v>201495000</v>
      </c>
      <c r="BB32" s="244">
        <f>SUM(BB10:BB31)</f>
        <v>112472800</v>
      </c>
    </row>
    <row r="33" spans="1:49" ht="12" customHeight="1" x14ac:dyDescent="0.35">
      <c r="A33" s="67"/>
      <c r="B33" s="230">
        <v>72065000</v>
      </c>
      <c r="C33" s="90"/>
      <c r="D33" s="90"/>
      <c r="E33" s="90"/>
      <c r="F33" s="91"/>
      <c r="G33" s="90"/>
      <c r="H33" s="90"/>
      <c r="I33" s="90"/>
      <c r="J33" s="90"/>
      <c r="K33" s="91">
        <f>+K32+AC32</f>
        <v>112340800</v>
      </c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 t="s">
        <v>99</v>
      </c>
      <c r="W33" s="92">
        <f>+B34-W34</f>
        <v>0</v>
      </c>
      <c r="X33" s="154">
        <f>+X32/(W32+X32)</f>
        <v>0</v>
      </c>
      <c r="Y33" s="154">
        <f>+Y32/(X32+Y32)</f>
        <v>1</v>
      </c>
      <c r="Z33" s="155"/>
      <c r="AA33" s="154"/>
      <c r="AB33" s="155">
        <f>5000000*0.2/0.8</f>
        <v>1250000</v>
      </c>
      <c r="AC33" s="155">
        <v>4928000</v>
      </c>
      <c r="AD33" s="95"/>
      <c r="AE33" s="92"/>
      <c r="AF33" s="92"/>
      <c r="AG33" s="92">
        <f>+B35*1000-AH32</f>
        <v>11369619000</v>
      </c>
      <c r="AH33" s="268">
        <f>B35-AH32</f>
        <v>0</v>
      </c>
      <c r="AI33" s="92"/>
      <c r="AJ33" s="91"/>
      <c r="AK33" s="156"/>
      <c r="AL33" s="91"/>
      <c r="AM33" s="29"/>
      <c r="AN33" s="29"/>
    </row>
    <row r="34" spans="1:49" ht="15.5" x14ac:dyDescent="0.35">
      <c r="A34" s="96" t="s">
        <v>43</v>
      </c>
      <c r="B34" s="230">
        <v>72065000</v>
      </c>
      <c r="C34" s="157"/>
      <c r="D34" s="157"/>
      <c r="E34" s="157"/>
      <c r="F34" s="158"/>
      <c r="G34" s="157"/>
      <c r="H34" s="157" t="s">
        <v>88</v>
      </c>
      <c r="I34" s="228"/>
      <c r="J34" s="157"/>
      <c r="K34" s="158"/>
      <c r="L34" s="158"/>
      <c r="M34" s="158"/>
      <c r="N34" s="158"/>
      <c r="O34" s="159"/>
      <c r="P34" s="158"/>
      <c r="Q34" s="158"/>
      <c r="R34" s="158"/>
      <c r="S34" s="158"/>
      <c r="T34" s="158"/>
      <c r="U34" s="158"/>
      <c r="V34" s="158"/>
      <c r="W34" s="283">
        <f>+W32+Y32+N32</f>
        <v>72065000</v>
      </c>
      <c r="X34" s="160"/>
      <c r="Y34" s="161"/>
      <c r="Z34" s="161"/>
      <c r="AA34" s="162"/>
      <c r="AB34" s="162">
        <v>5200000</v>
      </c>
      <c r="AC34" s="162">
        <v>78800000</v>
      </c>
      <c r="AD34" s="103"/>
      <c r="AE34" s="103"/>
      <c r="AF34" s="103"/>
      <c r="AG34" s="103" t="s">
        <v>104</v>
      </c>
      <c r="AH34" s="103">
        <f>B35-SUM(AH15:AH27)</f>
        <v>4581000</v>
      </c>
      <c r="AI34" s="103"/>
      <c r="AJ34" s="163"/>
      <c r="AK34" s="164"/>
      <c r="AL34" s="163"/>
      <c r="AM34" s="25"/>
      <c r="AN34" s="25"/>
      <c r="AW34" s="2">
        <f>+AW32/26</f>
        <v>8745615.384615384</v>
      </c>
    </row>
    <row r="35" spans="1:49" s="12" customFormat="1" ht="15" customHeight="1" x14ac:dyDescent="0.35">
      <c r="A35" s="165"/>
      <c r="B35" s="166">
        <v>11381000</v>
      </c>
      <c r="C35" s="166"/>
      <c r="D35" s="166"/>
      <c r="E35" s="166"/>
      <c r="F35" s="158"/>
      <c r="G35" s="166"/>
      <c r="H35" s="166" t="s">
        <v>89</v>
      </c>
      <c r="I35" s="166"/>
      <c r="J35" s="166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359"/>
      <c r="X35" s="167"/>
      <c r="Y35" s="167"/>
      <c r="Z35" s="167"/>
      <c r="AA35" s="168"/>
      <c r="AB35" s="169" t="e">
        <f>+AB33/AB32</f>
        <v>#DIV/0!</v>
      </c>
      <c r="AC35" s="169">
        <f>+AC33/AC32</f>
        <v>4.5340458262488864E-2</v>
      </c>
      <c r="AD35" s="170"/>
      <c r="AE35" s="158"/>
      <c r="AF35" s="158"/>
      <c r="AG35" s="158"/>
      <c r="AH35" s="158"/>
      <c r="AI35" s="171"/>
      <c r="AJ35" s="171"/>
      <c r="AK35" s="171"/>
      <c r="AL35" s="171"/>
      <c r="AM35" s="26"/>
      <c r="AN35" s="26"/>
      <c r="AQ35" s="23"/>
      <c r="AR35" s="23"/>
      <c r="AS35" s="23"/>
      <c r="AT35" s="23"/>
      <c r="AU35" s="23"/>
    </row>
    <row r="36" spans="1:49" x14ac:dyDescent="0.35">
      <c r="A36" s="308">
        <f>H4+31</f>
        <v>31</v>
      </c>
      <c r="B36" s="309"/>
      <c r="C36" s="191"/>
      <c r="D36" s="172">
        <f>+D32</f>
        <v>150000</v>
      </c>
      <c r="E36" s="172"/>
      <c r="F36" s="172">
        <f>+D36</f>
        <v>150000</v>
      </c>
      <c r="G36" s="220"/>
      <c r="H36" s="172">
        <f>5000000-M36</f>
        <v>4940000</v>
      </c>
      <c r="I36" s="172"/>
      <c r="J36" s="172"/>
      <c r="K36" s="172">
        <f>+H36</f>
        <v>4940000</v>
      </c>
      <c r="L36" s="172"/>
      <c r="M36" s="172">
        <f>+M32</f>
        <v>60000</v>
      </c>
      <c r="N36" s="172">
        <f>+M36*0.88</f>
        <v>52800</v>
      </c>
      <c r="O36" s="172">
        <f>+M36*0.12</f>
        <v>7200</v>
      </c>
      <c r="P36" s="172">
        <f>+P32</f>
        <v>41410000</v>
      </c>
      <c r="Q36" s="172">
        <f>+R36-P36</f>
        <v>149993855.31195199</v>
      </c>
      <c r="R36" s="173">
        <v>191403855.31195199</v>
      </c>
      <c r="S36" s="172"/>
      <c r="T36" s="172"/>
      <c r="U36" s="172"/>
      <c r="V36" s="172"/>
      <c r="W36" s="174">
        <f>+P32</f>
        <v>41410000</v>
      </c>
      <c r="X36" s="174"/>
      <c r="Y36" s="174">
        <f>76237000-N36-W36</f>
        <v>34774200</v>
      </c>
      <c r="Z36" s="174">
        <f>+Q36*0.1</f>
        <v>14999385.531195201</v>
      </c>
      <c r="AA36" s="174">
        <v>5940000</v>
      </c>
      <c r="AB36" s="173"/>
      <c r="AC36" s="173">
        <f>+Q36-Y36-Z36-AA36</f>
        <v>94280269.780756801</v>
      </c>
      <c r="AD36" s="172"/>
      <c r="AE36" s="174">
        <v>199319077.90658775</v>
      </c>
      <c r="AF36" s="174"/>
      <c r="AG36" s="174"/>
      <c r="AH36" s="174">
        <f>22714000-5000000</f>
        <v>17714000</v>
      </c>
      <c r="AI36" s="174">
        <v>6430000</v>
      </c>
      <c r="AJ36" s="175"/>
      <c r="AK36" s="175">
        <f>+AE36-AH36-AI36</f>
        <v>175175077.90658775</v>
      </c>
      <c r="AL36" s="103"/>
      <c r="AM36" s="14"/>
      <c r="AN36" s="14"/>
    </row>
    <row r="37" spans="1:49" ht="9" customHeight="1" x14ac:dyDescent="0.35">
      <c r="A37" s="176"/>
      <c r="B37" s="176"/>
      <c r="C37" s="176"/>
      <c r="D37" s="176"/>
      <c r="E37" s="176"/>
      <c r="F37" s="177"/>
      <c r="G37" s="176"/>
      <c r="H37" s="176"/>
      <c r="I37" s="176"/>
      <c r="J37" s="176"/>
      <c r="K37" s="177"/>
      <c r="L37" s="177"/>
      <c r="M37" s="177"/>
      <c r="N37" s="177"/>
      <c r="O37" s="177"/>
      <c r="P37" s="177"/>
      <c r="Q37" s="177"/>
      <c r="R37" s="178"/>
      <c r="S37" s="177"/>
      <c r="T37" s="177"/>
      <c r="U37" s="177"/>
      <c r="V37" s="177"/>
      <c r="W37" s="179"/>
      <c r="X37" s="179"/>
      <c r="Y37" s="179"/>
      <c r="Z37" s="179"/>
      <c r="AA37" s="180"/>
      <c r="AB37" s="180"/>
      <c r="AC37" s="180"/>
      <c r="AD37" s="180"/>
      <c r="AE37" s="179"/>
      <c r="AF37" s="179"/>
      <c r="AG37" s="179"/>
      <c r="AH37" s="179"/>
      <c r="AI37" s="181"/>
      <c r="AJ37" s="91"/>
      <c r="AK37" s="181"/>
      <c r="AL37" s="103"/>
      <c r="AM37" s="27"/>
      <c r="AN37" s="9"/>
    </row>
    <row r="38" spans="1:49" x14ac:dyDescent="0.35">
      <c r="A38" s="308">
        <f>A36+31</f>
        <v>62</v>
      </c>
      <c r="B38" s="309"/>
      <c r="C38" s="191"/>
      <c r="D38" s="172">
        <f>+D32</f>
        <v>150000</v>
      </c>
      <c r="E38" s="172"/>
      <c r="F38" s="172">
        <f>+D38</f>
        <v>150000</v>
      </c>
      <c r="G38" s="220"/>
      <c r="H38" s="172">
        <f>5000000-M38</f>
        <v>4940000</v>
      </c>
      <c r="I38" s="172"/>
      <c r="J38" s="172"/>
      <c r="K38" s="172">
        <f>+H38</f>
        <v>4940000</v>
      </c>
      <c r="L38" s="172"/>
      <c r="M38" s="172">
        <f>+M36</f>
        <v>60000</v>
      </c>
      <c r="N38" s="172">
        <f>+M38*0.88</f>
        <v>52800</v>
      </c>
      <c r="O38" s="172">
        <f>+M38*0.12</f>
        <v>7200</v>
      </c>
      <c r="P38" s="172">
        <f>+P32</f>
        <v>41410000</v>
      </c>
      <c r="Q38" s="172">
        <f>+R38-P38</f>
        <v>147228288.79756525</v>
      </c>
      <c r="R38" s="173">
        <v>188638288.79756525</v>
      </c>
      <c r="S38" s="172"/>
      <c r="T38" s="172"/>
      <c r="U38" s="172"/>
      <c r="V38" s="172"/>
      <c r="W38" s="174">
        <f>+P32</f>
        <v>41410000</v>
      </c>
      <c r="X38" s="174"/>
      <c r="Y38" s="174">
        <f>70493000-N38-W38</f>
        <v>29030200</v>
      </c>
      <c r="Z38" s="174">
        <f>+Q38*0.1</f>
        <v>14722828.879756525</v>
      </c>
      <c r="AA38" s="174">
        <v>5940000</v>
      </c>
      <c r="AB38" s="173"/>
      <c r="AC38" s="173">
        <f>+Q38-Y38-Z38-AA38</f>
        <v>97535259.917808726</v>
      </c>
      <c r="AD38" s="172"/>
      <c r="AE38" s="174">
        <v>205506993.05941883</v>
      </c>
      <c r="AF38" s="174"/>
      <c r="AG38" s="174"/>
      <c r="AH38" s="174">
        <f>15926000-5000000</f>
        <v>10926000</v>
      </c>
      <c r="AI38" s="174">
        <v>6430000</v>
      </c>
      <c r="AJ38" s="175"/>
      <c r="AK38" s="175">
        <f>+AE38-AH38-AI38</f>
        <v>188150993.05941883</v>
      </c>
      <c r="AL38" s="103"/>
      <c r="AM38" s="27"/>
      <c r="AN38" s="9"/>
    </row>
    <row r="39" spans="1:49" x14ac:dyDescent="0.35">
      <c r="A39" s="16"/>
      <c r="AB39" s="35"/>
      <c r="AC39" s="35"/>
      <c r="AI39" s="20"/>
      <c r="AK39" s="27"/>
      <c r="AM39" s="17"/>
    </row>
    <row r="40" spans="1:49" ht="15" customHeight="1" x14ac:dyDescent="0.35">
      <c r="A40" s="16"/>
      <c r="B40" s="33" t="s">
        <v>79</v>
      </c>
      <c r="C40" s="33"/>
      <c r="D40" s="33"/>
      <c r="E40" s="33"/>
      <c r="F40" s="15"/>
      <c r="G40" s="33"/>
      <c r="H40" s="33"/>
      <c r="I40" s="33"/>
      <c r="J40" s="33"/>
      <c r="K40" s="29"/>
      <c r="L40" s="29"/>
      <c r="M40" s="29"/>
      <c r="N40" s="29"/>
      <c r="O40" s="29"/>
      <c r="P40" s="15"/>
      <c r="Q40" s="29"/>
      <c r="R40" s="29"/>
      <c r="S40" s="15"/>
      <c r="T40" s="29"/>
      <c r="U40" s="29"/>
      <c r="V40" s="15"/>
      <c r="W40" s="18"/>
      <c r="X40" s="28"/>
      <c r="Y40" s="28"/>
      <c r="Z40" s="28"/>
      <c r="AA40" s="18"/>
      <c r="AB40" s="28"/>
      <c r="AC40" s="28"/>
      <c r="AD40" s="15"/>
      <c r="AE40" s="18"/>
      <c r="AF40" s="18"/>
      <c r="AG40" s="18"/>
      <c r="AH40" s="18"/>
      <c r="AI40" s="21"/>
      <c r="AJ40" s="15"/>
      <c r="AK40" s="11"/>
      <c r="AL40" s="15"/>
      <c r="AM40" s="11"/>
      <c r="AN40" s="15"/>
    </row>
    <row r="41" spans="1:49" ht="16" thickBot="1" x14ac:dyDescent="0.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1"/>
      <c r="AG41" s="1"/>
      <c r="AH41" s="1"/>
      <c r="AI41" s="13"/>
      <c r="AJ41" s="13"/>
      <c r="AK41" s="13"/>
      <c r="AL41" s="13"/>
      <c r="AM41" s="13"/>
      <c r="AN41" s="13"/>
    </row>
    <row r="42" spans="1:49" ht="37.5" customHeight="1" thickBot="1" x14ac:dyDescent="0.4">
      <c r="B42" s="61"/>
      <c r="C42" s="313" t="str">
        <f>+C6</f>
        <v>GASOLINA ULTRA PREMIUM 100</v>
      </c>
      <c r="D42" s="314"/>
      <c r="E42" s="314"/>
      <c r="F42" s="315"/>
      <c r="G42" s="313" t="str">
        <f>+G6</f>
        <v>GASOLINA PREMIUM PLUS</v>
      </c>
      <c r="H42" s="314"/>
      <c r="I42" s="314"/>
      <c r="J42" s="314"/>
      <c r="K42" s="315"/>
      <c r="L42" s="310" t="str">
        <f>+L6</f>
        <v>GASOLINA SUPER ETANOL 92</v>
      </c>
      <c r="M42" s="311"/>
      <c r="N42" s="311"/>
      <c r="O42" s="312"/>
      <c r="P42" s="347" t="s">
        <v>0</v>
      </c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B42" s="340"/>
      <c r="AC42" s="340"/>
      <c r="AD42" s="341"/>
      <c r="AE42" s="340" t="s">
        <v>1</v>
      </c>
      <c r="AF42" s="340"/>
      <c r="AG42" s="340"/>
      <c r="AH42" s="340"/>
      <c r="AI42" s="340"/>
      <c r="AJ42" s="340"/>
      <c r="AK42" s="341"/>
      <c r="AL42" s="291" t="s">
        <v>91</v>
      </c>
      <c r="AM42" s="292"/>
      <c r="AN42" s="293"/>
      <c r="AO42" s="291" t="s">
        <v>93</v>
      </c>
      <c r="AP42" s="292"/>
      <c r="AQ42" s="293"/>
      <c r="AR42" s="291" t="s">
        <v>94</v>
      </c>
      <c r="AS42" s="292"/>
      <c r="AT42" s="293"/>
    </row>
    <row r="43" spans="1:49" ht="41.25" customHeight="1" x14ac:dyDescent="0.35">
      <c r="A43" s="19"/>
      <c r="B43" s="348" t="s">
        <v>39</v>
      </c>
      <c r="C43" s="195" t="s">
        <v>76</v>
      </c>
      <c r="D43" s="195" t="s">
        <v>54</v>
      </c>
      <c r="E43" s="195" t="s">
        <v>55</v>
      </c>
      <c r="F43" s="62" t="s">
        <v>10</v>
      </c>
      <c r="G43" s="195" t="s">
        <v>76</v>
      </c>
      <c r="H43" s="195" t="s">
        <v>54</v>
      </c>
      <c r="I43" s="195" t="s">
        <v>55</v>
      </c>
      <c r="J43" s="195" t="s">
        <v>82</v>
      </c>
      <c r="K43" s="62" t="s">
        <v>10</v>
      </c>
      <c r="L43" s="63" t="s">
        <v>76</v>
      </c>
      <c r="M43" s="64" t="s">
        <v>54</v>
      </c>
      <c r="N43" s="64" t="s">
        <v>75</v>
      </c>
      <c r="O43" s="65" t="s">
        <v>55</v>
      </c>
      <c r="P43" s="351" t="s">
        <v>63</v>
      </c>
      <c r="Q43" s="338" t="s">
        <v>64</v>
      </c>
      <c r="R43" s="338" t="s">
        <v>66</v>
      </c>
      <c r="S43" s="336" t="s">
        <v>65</v>
      </c>
      <c r="T43" s="336" t="s">
        <v>87</v>
      </c>
      <c r="U43" s="336" t="s">
        <v>69</v>
      </c>
      <c r="V43" s="66" t="s">
        <v>7</v>
      </c>
      <c r="W43" s="36" t="s">
        <v>59</v>
      </c>
      <c r="X43" s="36" t="s">
        <v>74</v>
      </c>
      <c r="Y43" s="36" t="str">
        <f>+Y7</f>
        <v>YPFBR   GB80 o GBC</v>
      </c>
      <c r="Z43" s="36" t="s">
        <v>55</v>
      </c>
      <c r="AA43" s="36" t="str">
        <f>+AA7</f>
        <v>ORO NEGRO GB80 o GBC</v>
      </c>
      <c r="AB43" s="37" t="s">
        <v>71</v>
      </c>
      <c r="AC43" s="37" t="str">
        <f>+AC7</f>
        <v>YPFB
GB80 o GBC</v>
      </c>
      <c r="AD43" s="333" t="s">
        <v>9</v>
      </c>
      <c r="AE43" s="343" t="s">
        <v>40</v>
      </c>
      <c r="AF43" s="36" t="s">
        <v>6</v>
      </c>
      <c r="AG43" s="36" t="s">
        <v>7</v>
      </c>
      <c r="AH43" s="36" t="s">
        <v>4</v>
      </c>
      <c r="AI43" s="36" t="s">
        <v>8</v>
      </c>
      <c r="AJ43" s="36" t="s">
        <v>10</v>
      </c>
      <c r="AK43" s="333" t="s">
        <v>9</v>
      </c>
      <c r="AL43" s="251" t="s">
        <v>5</v>
      </c>
      <c r="AM43" s="249" t="s">
        <v>95</v>
      </c>
      <c r="AN43" s="252" t="s">
        <v>10</v>
      </c>
      <c r="AO43" s="251" t="s">
        <v>5</v>
      </c>
      <c r="AP43" s="249" t="s">
        <v>95</v>
      </c>
      <c r="AQ43" s="252" t="s">
        <v>10</v>
      </c>
      <c r="AR43" s="251" t="s">
        <v>5</v>
      </c>
      <c r="AS43" s="249" t="s">
        <v>95</v>
      </c>
      <c r="AT43" s="252" t="s">
        <v>10</v>
      </c>
      <c r="AU43" s="2"/>
    </row>
    <row r="44" spans="1:49" x14ac:dyDescent="0.35">
      <c r="B44" s="349"/>
      <c r="C44" s="306" t="s">
        <v>12</v>
      </c>
      <c r="D44" s="297" t="s">
        <v>12</v>
      </c>
      <c r="E44" s="241"/>
      <c r="F44" s="318" t="s">
        <v>12</v>
      </c>
      <c r="G44" s="306" t="s">
        <v>12</v>
      </c>
      <c r="H44" s="297" t="s">
        <v>12</v>
      </c>
      <c r="I44" s="297" t="s">
        <v>12</v>
      </c>
      <c r="J44" s="297" t="s">
        <v>12</v>
      </c>
      <c r="K44" s="318" t="s">
        <v>12</v>
      </c>
      <c r="L44" s="306" t="s">
        <v>12</v>
      </c>
      <c r="M44" s="297" t="s">
        <v>12</v>
      </c>
      <c r="N44" s="297" t="s">
        <v>12</v>
      </c>
      <c r="O44" s="316" t="s">
        <v>12</v>
      </c>
      <c r="P44" s="351"/>
      <c r="Q44" s="353"/>
      <c r="R44" s="353"/>
      <c r="S44" s="342"/>
      <c r="T44" s="342"/>
      <c r="U44" s="342"/>
      <c r="V44" s="338" t="s">
        <v>12</v>
      </c>
      <c r="W44" s="336" t="s">
        <v>12</v>
      </c>
      <c r="X44" s="336" t="s">
        <v>12</v>
      </c>
      <c r="Y44" s="336" t="s">
        <v>12</v>
      </c>
      <c r="Z44" s="336" t="s">
        <v>12</v>
      </c>
      <c r="AA44" s="336" t="s">
        <v>12</v>
      </c>
      <c r="AB44" s="338" t="s">
        <v>12</v>
      </c>
      <c r="AC44" s="338" t="s">
        <v>12</v>
      </c>
      <c r="AD44" s="334"/>
      <c r="AE44" s="343"/>
      <c r="AF44" s="336" t="s">
        <v>12</v>
      </c>
      <c r="AG44" s="345" t="s">
        <v>12</v>
      </c>
      <c r="AH44" s="336" t="s">
        <v>12</v>
      </c>
      <c r="AI44" s="336" t="s">
        <v>12</v>
      </c>
      <c r="AJ44" s="338" t="s">
        <v>12</v>
      </c>
      <c r="AK44" s="334"/>
      <c r="AL44" s="253" t="s">
        <v>11</v>
      </c>
      <c r="AM44" s="184" t="s">
        <v>11</v>
      </c>
      <c r="AN44" s="254" t="s">
        <v>11</v>
      </c>
      <c r="AO44" s="253" t="s">
        <v>11</v>
      </c>
      <c r="AP44" s="184" t="s">
        <v>11</v>
      </c>
      <c r="AQ44" s="254" t="s">
        <v>11</v>
      </c>
      <c r="AR44" s="253" t="s">
        <v>11</v>
      </c>
      <c r="AS44" s="184" t="s">
        <v>11</v>
      </c>
      <c r="AT44" s="254" t="s">
        <v>11</v>
      </c>
      <c r="AU44" s="2"/>
    </row>
    <row r="45" spans="1:49" ht="15" thickBot="1" x14ac:dyDescent="0.4">
      <c r="B45" s="350"/>
      <c r="C45" s="307"/>
      <c r="D45" s="298"/>
      <c r="E45" s="242"/>
      <c r="F45" s="319"/>
      <c r="G45" s="307"/>
      <c r="H45" s="298"/>
      <c r="I45" s="298"/>
      <c r="J45" s="298"/>
      <c r="K45" s="319"/>
      <c r="L45" s="307"/>
      <c r="M45" s="298"/>
      <c r="N45" s="298"/>
      <c r="O45" s="317"/>
      <c r="P45" s="352"/>
      <c r="Q45" s="339"/>
      <c r="R45" s="339"/>
      <c r="S45" s="337"/>
      <c r="T45" s="337"/>
      <c r="U45" s="337"/>
      <c r="V45" s="339"/>
      <c r="W45" s="337"/>
      <c r="X45" s="337"/>
      <c r="Y45" s="337"/>
      <c r="Z45" s="337"/>
      <c r="AA45" s="337"/>
      <c r="AB45" s="339"/>
      <c r="AC45" s="339"/>
      <c r="AD45" s="335"/>
      <c r="AE45" s="344"/>
      <c r="AF45" s="337"/>
      <c r="AG45" s="346"/>
      <c r="AH45" s="337"/>
      <c r="AI45" s="337"/>
      <c r="AJ45" s="339"/>
      <c r="AK45" s="335"/>
      <c r="AL45" s="245" t="s">
        <v>12</v>
      </c>
      <c r="AM45" s="248" t="s">
        <v>12</v>
      </c>
      <c r="AN45" s="246" t="s">
        <v>12</v>
      </c>
      <c r="AO45" s="245" t="s">
        <v>12</v>
      </c>
      <c r="AP45" s="248" t="s">
        <v>12</v>
      </c>
      <c r="AQ45" s="246" t="s">
        <v>12</v>
      </c>
      <c r="AR45" s="245" t="s">
        <v>12</v>
      </c>
      <c r="AS45" s="248" t="s">
        <v>12</v>
      </c>
      <c r="AT45" s="246" t="s">
        <v>12</v>
      </c>
      <c r="AU45" s="2"/>
    </row>
    <row r="46" spans="1:49" ht="15" thickBot="1" x14ac:dyDescent="0.4">
      <c r="A46" s="67"/>
      <c r="B46" s="68" t="s">
        <v>13</v>
      </c>
      <c r="C46" s="209">
        <f t="shared" ref="C46" si="31">C10</f>
        <v>0</v>
      </c>
      <c r="D46" s="210">
        <f>D10</f>
        <v>50000</v>
      </c>
      <c r="E46" s="281">
        <f>D46*0.12</f>
        <v>6000</v>
      </c>
      <c r="F46" s="231">
        <f>+F10</f>
        <v>44000</v>
      </c>
      <c r="G46" s="209">
        <f t="shared" ref="G46" si="32">G10</f>
        <v>0</v>
      </c>
      <c r="H46" s="210">
        <f>+H10</f>
        <v>1050000</v>
      </c>
      <c r="I46" s="225">
        <f t="shared" ref="I46:J46" si="33">+I10</f>
        <v>126000</v>
      </c>
      <c r="J46" s="225">
        <f t="shared" si="33"/>
        <v>0</v>
      </c>
      <c r="K46" s="231">
        <f>+K10</f>
        <v>924000</v>
      </c>
      <c r="L46" s="69">
        <f t="shared" ref="L46" si="34">L10</f>
        <v>0</v>
      </c>
      <c r="M46" s="70">
        <f>+M10</f>
        <v>0</v>
      </c>
      <c r="N46" s="70">
        <f t="shared" ref="N46:O46" si="35">+N10</f>
        <v>0</v>
      </c>
      <c r="O46" s="71">
        <f t="shared" si="35"/>
        <v>0</v>
      </c>
      <c r="P46" s="72">
        <f t="shared" ref="P46:AI46" si="36">P10</f>
        <v>2000000</v>
      </c>
      <c r="Q46" s="73">
        <f t="shared" ref="Q46" si="37">Q10</f>
        <v>50000000</v>
      </c>
      <c r="R46" s="73">
        <f t="shared" ref="R46" si="38">R10</f>
        <v>52000000</v>
      </c>
      <c r="S46" s="70">
        <f t="shared" ref="S46" si="39">S10</f>
        <v>0</v>
      </c>
      <c r="T46" s="70">
        <f>T10</f>
        <v>0</v>
      </c>
      <c r="U46" s="70">
        <f>U10</f>
        <v>0</v>
      </c>
      <c r="V46" s="70">
        <f>V10</f>
        <v>52000000</v>
      </c>
      <c r="W46" s="278">
        <f t="shared" si="36"/>
        <v>2000000</v>
      </c>
      <c r="X46" s="278">
        <f t="shared" ref="X46:Y46" si="40">X10</f>
        <v>0</v>
      </c>
      <c r="Y46" s="278">
        <f t="shared" si="40"/>
        <v>2001000</v>
      </c>
      <c r="Z46" s="256">
        <f t="shared" ref="Z46" si="41">Z10</f>
        <v>6000000</v>
      </c>
      <c r="AA46" s="70">
        <f t="shared" si="36"/>
        <v>0</v>
      </c>
      <c r="AB46" s="70">
        <f t="shared" ref="AB46:AC46" si="42">AB10</f>
        <v>0</v>
      </c>
      <c r="AC46" s="233">
        <f t="shared" si="42"/>
        <v>41999000</v>
      </c>
      <c r="AD46" s="71">
        <f>AD10</f>
        <v>52000000</v>
      </c>
      <c r="AE46" s="73">
        <f t="shared" si="36"/>
        <v>7500000</v>
      </c>
      <c r="AF46" s="70">
        <f t="shared" si="36"/>
        <v>0</v>
      </c>
      <c r="AG46" s="70">
        <f t="shared" si="36"/>
        <v>7500000</v>
      </c>
      <c r="AH46" s="278">
        <f t="shared" si="36"/>
        <v>0</v>
      </c>
      <c r="AI46" s="70">
        <f t="shared" si="36"/>
        <v>0</v>
      </c>
      <c r="AJ46" s="233">
        <f>AK10</f>
        <v>7500000</v>
      </c>
      <c r="AK46" s="71">
        <f>AH46+AI46+AJ46</f>
        <v>7500000</v>
      </c>
      <c r="AL46" s="70">
        <f t="shared" ref="AL46:AT46" si="43">AM10</f>
        <v>3800000</v>
      </c>
      <c r="AM46" s="70">
        <f t="shared" si="43"/>
        <v>380000</v>
      </c>
      <c r="AN46" s="231">
        <f t="shared" si="43"/>
        <v>3420000</v>
      </c>
      <c r="AO46" s="70">
        <f t="shared" si="43"/>
        <v>450000</v>
      </c>
      <c r="AP46" s="70">
        <f t="shared" si="43"/>
        <v>45000</v>
      </c>
      <c r="AQ46" s="231">
        <f t="shared" si="43"/>
        <v>405000</v>
      </c>
      <c r="AR46" s="69">
        <f t="shared" si="43"/>
        <v>38250000</v>
      </c>
      <c r="AS46" s="70">
        <f t="shared" si="43"/>
        <v>1824525</v>
      </c>
      <c r="AT46" s="231">
        <f t="shared" si="43"/>
        <v>36425475</v>
      </c>
      <c r="AU46" s="2"/>
    </row>
    <row r="47" spans="1:49" x14ac:dyDescent="0.35">
      <c r="A47" s="67"/>
      <c r="B47" s="74" t="s">
        <v>25</v>
      </c>
      <c r="C47" s="211">
        <f>+C22</f>
        <v>0</v>
      </c>
      <c r="D47" s="212">
        <f>D22</f>
        <v>100000</v>
      </c>
      <c r="E47" s="212">
        <f>D47*0.12</f>
        <v>12000</v>
      </c>
      <c r="F47" s="232">
        <f>F22</f>
        <v>88000</v>
      </c>
      <c r="G47" s="211">
        <f>+G22</f>
        <v>0</v>
      </c>
      <c r="H47" s="212">
        <f t="shared" ref="H47:K47" si="44">+H22</f>
        <v>2100000</v>
      </c>
      <c r="I47" s="226">
        <f>+I22</f>
        <v>252000</v>
      </c>
      <c r="J47" s="226">
        <f t="shared" si="44"/>
        <v>0</v>
      </c>
      <c r="K47" s="232">
        <f t="shared" si="44"/>
        <v>1848000</v>
      </c>
      <c r="L47" s="75">
        <f>+L22</f>
        <v>0</v>
      </c>
      <c r="M47" s="76">
        <f>+M22</f>
        <v>0</v>
      </c>
      <c r="N47" s="76">
        <f t="shared" ref="N47:O47" si="45">+N22</f>
        <v>0</v>
      </c>
      <c r="O47" s="77">
        <f t="shared" si="45"/>
        <v>0</v>
      </c>
      <c r="P47" s="78">
        <f t="shared" ref="P47:AH47" si="46">P22+P23+P24+P25</f>
        <v>7625000</v>
      </c>
      <c r="Q47" s="79">
        <f t="shared" ref="Q47" si="47">Q22+Q23+Q24+Q25</f>
        <v>58300000</v>
      </c>
      <c r="R47" s="79">
        <f t="shared" ref="R47" si="48">R22+R23+R24+R25</f>
        <v>65925000</v>
      </c>
      <c r="S47" s="76">
        <f t="shared" ref="S47" si="49">S22+S23+S24+S25</f>
        <v>0</v>
      </c>
      <c r="T47" s="76">
        <f t="shared" ref="T47" si="50">T22+T23+T24+T25</f>
        <v>0</v>
      </c>
      <c r="U47" s="76">
        <f t="shared" ref="U47" si="51">U22+U23+U24+U25</f>
        <v>0</v>
      </c>
      <c r="V47" s="76">
        <f t="shared" si="46"/>
        <v>65925000</v>
      </c>
      <c r="W47" s="279">
        <f t="shared" si="46"/>
        <v>7625000</v>
      </c>
      <c r="X47" s="279">
        <f t="shared" ref="X47:Y47" si="52">X22+X23+X24+X25</f>
        <v>0</v>
      </c>
      <c r="Y47" s="279">
        <f t="shared" si="52"/>
        <v>0</v>
      </c>
      <c r="Z47" s="257">
        <f t="shared" ref="Z47" si="53">Z22+Z23+Z24+Z25</f>
        <v>6996000</v>
      </c>
      <c r="AA47" s="76">
        <f t="shared" si="46"/>
        <v>1585000</v>
      </c>
      <c r="AB47" s="76">
        <f t="shared" ref="AB47:AC47" si="54">AB22+AB23+AB24+AB25</f>
        <v>0</v>
      </c>
      <c r="AC47" s="234">
        <f t="shared" si="54"/>
        <v>49719000</v>
      </c>
      <c r="AD47" s="77">
        <f t="shared" si="46"/>
        <v>65925000</v>
      </c>
      <c r="AE47" s="79">
        <f t="shared" si="46"/>
        <v>67870000</v>
      </c>
      <c r="AF47" s="76">
        <f t="shared" si="46"/>
        <v>0</v>
      </c>
      <c r="AG47" s="76">
        <f t="shared" si="46"/>
        <v>67870000</v>
      </c>
      <c r="AH47" s="279">
        <f t="shared" si="46"/>
        <v>0</v>
      </c>
      <c r="AI47" s="76">
        <f>AI22+AI23+AI24+AI25</f>
        <v>860000</v>
      </c>
      <c r="AJ47" s="234">
        <f>AK22+AK23+AK24+AK25</f>
        <v>67010000</v>
      </c>
      <c r="AK47" s="77">
        <f t="shared" ref="AK47:AK54" si="55">AH47+AI47+AJ47</f>
        <v>67870000</v>
      </c>
      <c r="AL47" s="76">
        <f t="shared" ref="AL47:AT47" si="56">AM22</f>
        <v>6000000</v>
      </c>
      <c r="AM47" s="70">
        <f t="shared" si="56"/>
        <v>600000</v>
      </c>
      <c r="AN47" s="231">
        <f t="shared" si="56"/>
        <v>5400000</v>
      </c>
      <c r="AO47" s="76">
        <f t="shared" si="56"/>
        <v>500000</v>
      </c>
      <c r="AP47" s="76">
        <f t="shared" si="56"/>
        <v>50000</v>
      </c>
      <c r="AQ47" s="231">
        <f t="shared" si="56"/>
        <v>450000</v>
      </c>
      <c r="AR47" s="75">
        <f t="shared" si="56"/>
        <v>13500000</v>
      </c>
      <c r="AS47" s="70">
        <f t="shared" si="56"/>
        <v>643950</v>
      </c>
      <c r="AT47" s="231">
        <f t="shared" si="56"/>
        <v>12856050</v>
      </c>
      <c r="AU47" s="2"/>
    </row>
    <row r="48" spans="1:49" x14ac:dyDescent="0.35">
      <c r="A48" s="67"/>
      <c r="B48" s="74" t="s">
        <v>15</v>
      </c>
      <c r="C48" s="211">
        <f t="shared" ref="C48" si="57">C12</f>
        <v>0</v>
      </c>
      <c r="D48" s="212">
        <v>0</v>
      </c>
      <c r="E48" s="282">
        <f t="shared" ref="E48" si="58">D48*0.12</f>
        <v>0</v>
      </c>
      <c r="F48" s="232">
        <f t="shared" ref="F48:K48" si="59">F12</f>
        <v>0</v>
      </c>
      <c r="G48" s="211">
        <f t="shared" si="59"/>
        <v>0</v>
      </c>
      <c r="H48" s="212">
        <f t="shared" si="59"/>
        <v>1000000</v>
      </c>
      <c r="I48" s="226">
        <f t="shared" si="59"/>
        <v>120000</v>
      </c>
      <c r="J48" s="226">
        <f t="shared" si="59"/>
        <v>0</v>
      </c>
      <c r="K48" s="232">
        <f t="shared" si="59"/>
        <v>880000</v>
      </c>
      <c r="L48" s="75">
        <f>+L12</f>
        <v>0</v>
      </c>
      <c r="M48" s="76">
        <f>+M12</f>
        <v>0</v>
      </c>
      <c r="N48" s="76">
        <f t="shared" ref="N48:O48" si="60">+N12</f>
        <v>0</v>
      </c>
      <c r="O48" s="77">
        <f t="shared" si="60"/>
        <v>0</v>
      </c>
      <c r="P48" s="78">
        <f t="shared" ref="P48:AI48" si="61">P12+P14</f>
        <v>0</v>
      </c>
      <c r="Q48" s="79">
        <f t="shared" ref="Q48" si="62">Q12+Q14</f>
        <v>32500000</v>
      </c>
      <c r="R48" s="79">
        <f t="shared" ref="R48" si="63">R12+R14</f>
        <v>32500000</v>
      </c>
      <c r="S48" s="76">
        <f t="shared" ref="S48" si="64">S12+S14</f>
        <v>0</v>
      </c>
      <c r="T48" s="76">
        <f>T12+T14</f>
        <v>0</v>
      </c>
      <c r="U48" s="76">
        <f t="shared" ref="U48" si="65">U12+U14</f>
        <v>0</v>
      </c>
      <c r="V48" s="76">
        <f t="shared" si="61"/>
        <v>32500000</v>
      </c>
      <c r="W48" s="279">
        <f t="shared" si="61"/>
        <v>0</v>
      </c>
      <c r="X48" s="279">
        <f t="shared" ref="X48:Y48" si="66">X12+X14</f>
        <v>0</v>
      </c>
      <c r="Y48" s="279">
        <f t="shared" si="66"/>
        <v>28600000</v>
      </c>
      <c r="Z48" s="257">
        <f t="shared" ref="Z48" si="67">Z12+Z14</f>
        <v>3900000</v>
      </c>
      <c r="AA48" s="76">
        <f t="shared" si="61"/>
        <v>0</v>
      </c>
      <c r="AB48" s="76">
        <f t="shared" ref="AB48:AC48" si="68">AB12+AB14</f>
        <v>0</v>
      </c>
      <c r="AC48" s="234">
        <f t="shared" si="68"/>
        <v>0</v>
      </c>
      <c r="AD48" s="77">
        <f t="shared" si="61"/>
        <v>32500000</v>
      </c>
      <c r="AE48" s="79">
        <f t="shared" si="61"/>
        <v>30632000</v>
      </c>
      <c r="AF48" s="76">
        <f t="shared" si="61"/>
        <v>0</v>
      </c>
      <c r="AG48" s="76">
        <f t="shared" si="61"/>
        <v>30632000</v>
      </c>
      <c r="AH48" s="279">
        <f t="shared" si="61"/>
        <v>4581000</v>
      </c>
      <c r="AI48" s="76">
        <f t="shared" si="61"/>
        <v>0</v>
      </c>
      <c r="AJ48" s="234">
        <f>AK12+AK14</f>
        <v>26051000</v>
      </c>
      <c r="AK48" s="77">
        <f t="shared" si="55"/>
        <v>30632000</v>
      </c>
      <c r="AL48" s="76">
        <f t="shared" ref="AL48:AT48" si="69">+AM12</f>
        <v>0</v>
      </c>
      <c r="AM48" s="76">
        <f t="shared" si="69"/>
        <v>0</v>
      </c>
      <c r="AN48" s="232">
        <f t="shared" si="69"/>
        <v>0</v>
      </c>
      <c r="AO48" s="76">
        <f t="shared" si="69"/>
        <v>0</v>
      </c>
      <c r="AP48" s="76">
        <f t="shared" si="69"/>
        <v>0</v>
      </c>
      <c r="AQ48" s="232">
        <f t="shared" si="69"/>
        <v>0</v>
      </c>
      <c r="AR48" s="75">
        <f t="shared" si="69"/>
        <v>0</v>
      </c>
      <c r="AS48" s="76">
        <f t="shared" si="69"/>
        <v>0</v>
      </c>
      <c r="AT48" s="232">
        <f t="shared" si="69"/>
        <v>0</v>
      </c>
      <c r="AU48" s="2"/>
    </row>
    <row r="49" spans="1:47" x14ac:dyDescent="0.35">
      <c r="A49" s="67"/>
      <c r="B49" s="74" t="s">
        <v>14</v>
      </c>
      <c r="C49" s="211"/>
      <c r="D49" s="212"/>
      <c r="E49" s="226"/>
      <c r="F49" s="232"/>
      <c r="G49" s="211"/>
      <c r="H49" s="212"/>
      <c r="I49" s="226">
        <f t="shared" ref="I49:J49" si="70">+I13</f>
        <v>0</v>
      </c>
      <c r="J49" s="226">
        <f t="shared" si="70"/>
        <v>0</v>
      </c>
      <c r="K49" s="232"/>
      <c r="L49" s="75"/>
      <c r="M49" s="76"/>
      <c r="N49" s="76"/>
      <c r="O49" s="77"/>
      <c r="P49" s="78">
        <f t="shared" ref="P49:AI49" si="71">P11</f>
        <v>715000</v>
      </c>
      <c r="Q49" s="79">
        <f t="shared" ref="Q49" si="72">Q11</f>
        <v>12685000</v>
      </c>
      <c r="R49" s="79">
        <f t="shared" ref="R49" si="73">R11</f>
        <v>13400000</v>
      </c>
      <c r="S49" s="76">
        <f t="shared" ref="S49" si="74">S11</f>
        <v>0</v>
      </c>
      <c r="T49" s="76">
        <f>T11</f>
        <v>0</v>
      </c>
      <c r="U49" s="76">
        <f t="shared" ref="U49" si="75">U11</f>
        <v>0</v>
      </c>
      <c r="V49" s="76">
        <f t="shared" si="71"/>
        <v>13400000</v>
      </c>
      <c r="W49" s="279">
        <f t="shared" si="71"/>
        <v>715000</v>
      </c>
      <c r="X49" s="279">
        <f t="shared" ref="X49:Y49" si="76">X11</f>
        <v>0</v>
      </c>
      <c r="Y49" s="279">
        <f t="shared" si="76"/>
        <v>0</v>
      </c>
      <c r="Z49" s="257">
        <f t="shared" ref="Z49" si="77">Z11</f>
        <v>1522200</v>
      </c>
      <c r="AA49" s="76">
        <f t="shared" si="71"/>
        <v>0</v>
      </c>
      <c r="AB49" s="76">
        <f t="shared" ref="AB49:AC49" si="78">AB11</f>
        <v>0</v>
      </c>
      <c r="AC49" s="234">
        <f t="shared" si="78"/>
        <v>11162800</v>
      </c>
      <c r="AD49" s="77">
        <f t="shared" si="71"/>
        <v>13400000</v>
      </c>
      <c r="AE49" s="79">
        <f t="shared" si="71"/>
        <v>14000000</v>
      </c>
      <c r="AF49" s="76">
        <f t="shared" si="71"/>
        <v>0</v>
      </c>
      <c r="AG49" s="76">
        <f t="shared" si="71"/>
        <v>14000000</v>
      </c>
      <c r="AH49" s="279">
        <f t="shared" si="71"/>
        <v>0</v>
      </c>
      <c r="AI49" s="76">
        <f t="shared" si="71"/>
        <v>0</v>
      </c>
      <c r="AJ49" s="234">
        <f>AK11</f>
        <v>14000000</v>
      </c>
      <c r="AK49" s="77">
        <f t="shared" si="55"/>
        <v>14000000</v>
      </c>
      <c r="AL49" s="76"/>
      <c r="AM49" s="76"/>
      <c r="AN49" s="232"/>
      <c r="AO49" s="76"/>
      <c r="AP49" s="76"/>
      <c r="AQ49" s="232"/>
      <c r="AR49" s="75"/>
      <c r="AS49" s="76"/>
      <c r="AT49" s="232"/>
      <c r="AU49" s="2"/>
    </row>
    <row r="50" spans="1:47" x14ac:dyDescent="0.35">
      <c r="A50" s="67"/>
      <c r="B50" s="74" t="s">
        <v>31</v>
      </c>
      <c r="C50" s="211"/>
      <c r="D50" s="212"/>
      <c r="E50" s="226"/>
      <c r="F50" s="232"/>
      <c r="G50" s="211"/>
      <c r="H50" s="212"/>
      <c r="I50" s="226">
        <f t="shared" ref="I50:J50" si="79">+I14</f>
        <v>0</v>
      </c>
      <c r="J50" s="226">
        <f t="shared" si="79"/>
        <v>0</v>
      </c>
      <c r="K50" s="232"/>
      <c r="L50" s="75"/>
      <c r="M50" s="76"/>
      <c r="N50" s="76"/>
      <c r="O50" s="77"/>
      <c r="P50" s="78">
        <f t="shared" ref="P50:AI50" si="80">P28+P29+P30+P31</f>
        <v>11900000</v>
      </c>
      <c r="Q50" s="79">
        <f t="shared" ref="Q50" si="81">Q28+Q29+Q30+Q31</f>
        <v>0</v>
      </c>
      <c r="R50" s="79">
        <f t="shared" ref="R50" si="82">R28+R29+R30+R31</f>
        <v>11900000</v>
      </c>
      <c r="S50" s="76">
        <f t="shared" ref="S50" si="83">S28+S29+S30+S31</f>
        <v>0</v>
      </c>
      <c r="T50" s="76">
        <f t="shared" ref="T50" si="84">T28+T29+T30+T31</f>
        <v>0</v>
      </c>
      <c r="U50" s="76">
        <f t="shared" ref="U50" si="85">U28+U29+U30+U31</f>
        <v>0</v>
      </c>
      <c r="V50" s="76">
        <f t="shared" si="80"/>
        <v>11900000</v>
      </c>
      <c r="W50" s="279">
        <f t="shared" si="80"/>
        <v>11900000</v>
      </c>
      <c r="X50" s="279">
        <f t="shared" ref="X50:Y50" si="86">X28+X29+X30+X31</f>
        <v>0</v>
      </c>
      <c r="Y50" s="279">
        <f t="shared" si="86"/>
        <v>0</v>
      </c>
      <c r="Z50" s="257">
        <f t="shared" ref="Z50" si="87">Z28+Z29+Z30+Z31</f>
        <v>0</v>
      </c>
      <c r="AA50" s="76">
        <f t="shared" si="80"/>
        <v>0</v>
      </c>
      <c r="AB50" s="76">
        <f t="shared" ref="AB50:AC50" si="88">AB28+AB29+AB30+AB31</f>
        <v>0</v>
      </c>
      <c r="AC50" s="234">
        <f t="shared" si="88"/>
        <v>0</v>
      </c>
      <c r="AD50" s="77">
        <f t="shared" si="80"/>
        <v>11900000</v>
      </c>
      <c r="AE50" s="79">
        <f t="shared" si="80"/>
        <v>15400000</v>
      </c>
      <c r="AF50" s="76">
        <f t="shared" si="80"/>
        <v>0</v>
      </c>
      <c r="AG50" s="76">
        <f t="shared" si="80"/>
        <v>15400000</v>
      </c>
      <c r="AH50" s="279">
        <f t="shared" si="80"/>
        <v>0</v>
      </c>
      <c r="AI50" s="76">
        <f t="shared" si="80"/>
        <v>0</v>
      </c>
      <c r="AJ50" s="234">
        <f>AK28+AK29+AK30+AK31</f>
        <v>15400000</v>
      </c>
      <c r="AK50" s="77">
        <f t="shared" si="55"/>
        <v>15400000</v>
      </c>
      <c r="AL50" s="76"/>
      <c r="AM50" s="76"/>
      <c r="AN50" s="232"/>
      <c r="AO50" s="76"/>
      <c r="AP50" s="76"/>
      <c r="AQ50" s="232"/>
      <c r="AR50" s="75"/>
      <c r="AS50" s="76"/>
      <c r="AT50" s="232"/>
      <c r="AU50" s="2"/>
    </row>
    <row r="51" spans="1:47" x14ac:dyDescent="0.35">
      <c r="A51" s="67"/>
      <c r="B51" s="74" t="s">
        <v>36</v>
      </c>
      <c r="C51" s="211"/>
      <c r="D51" s="212"/>
      <c r="E51" s="226"/>
      <c r="F51" s="232"/>
      <c r="G51" s="211"/>
      <c r="H51" s="212"/>
      <c r="I51" s="226">
        <f t="shared" ref="I51:J51" si="89">+I15</f>
        <v>0</v>
      </c>
      <c r="J51" s="226">
        <f t="shared" si="89"/>
        <v>0</v>
      </c>
      <c r="K51" s="213"/>
      <c r="L51" s="75"/>
      <c r="M51" s="76"/>
      <c r="N51" s="76"/>
      <c r="O51" s="77"/>
      <c r="P51" s="78">
        <f t="shared" ref="P51:AI51" si="90">P26+P27</f>
        <v>7550000</v>
      </c>
      <c r="Q51" s="79">
        <f t="shared" ref="Q51" si="91">Q26+Q27</f>
        <v>0</v>
      </c>
      <c r="R51" s="79">
        <f>R26+R27</f>
        <v>7550000</v>
      </c>
      <c r="S51" s="76">
        <f t="shared" ref="S51" si="92">S26+S27</f>
        <v>0</v>
      </c>
      <c r="T51" s="76">
        <f t="shared" ref="T51" si="93">T26+T27</f>
        <v>0</v>
      </c>
      <c r="U51" s="76">
        <f t="shared" ref="U51" si="94">U26+U27</f>
        <v>0</v>
      </c>
      <c r="V51" s="76">
        <f t="shared" si="90"/>
        <v>7550000</v>
      </c>
      <c r="W51" s="279">
        <f t="shared" si="90"/>
        <v>7550000</v>
      </c>
      <c r="X51" s="279">
        <f t="shared" ref="X51:Y51" si="95">X26+X27</f>
        <v>0</v>
      </c>
      <c r="Y51" s="279">
        <f t="shared" si="95"/>
        <v>0</v>
      </c>
      <c r="Z51" s="257">
        <f t="shared" ref="Z51" si="96">Z26+Z27</f>
        <v>0</v>
      </c>
      <c r="AA51" s="76">
        <f t="shared" si="90"/>
        <v>0</v>
      </c>
      <c r="AB51" s="76">
        <f t="shared" ref="AB51:AC51" si="97">AB26+AB27</f>
        <v>0</v>
      </c>
      <c r="AC51" s="234">
        <f t="shared" si="97"/>
        <v>0</v>
      </c>
      <c r="AD51" s="77">
        <f t="shared" si="90"/>
        <v>7550000</v>
      </c>
      <c r="AE51" s="79">
        <f t="shared" si="90"/>
        <v>7600000</v>
      </c>
      <c r="AF51" s="76">
        <f t="shared" si="90"/>
        <v>0</v>
      </c>
      <c r="AG51" s="76">
        <f t="shared" si="90"/>
        <v>7600000</v>
      </c>
      <c r="AH51" s="279">
        <f t="shared" si="90"/>
        <v>1000000</v>
      </c>
      <c r="AI51" s="76">
        <f t="shared" si="90"/>
        <v>0</v>
      </c>
      <c r="AJ51" s="234">
        <f>AK26+AK27</f>
        <v>6600000</v>
      </c>
      <c r="AK51" s="77">
        <f t="shared" si="55"/>
        <v>7600000</v>
      </c>
      <c r="AL51" s="76"/>
      <c r="AM51" s="76"/>
      <c r="AN51" s="232"/>
      <c r="AO51" s="76"/>
      <c r="AP51" s="76"/>
      <c r="AQ51" s="232"/>
      <c r="AR51" s="75"/>
      <c r="AS51" s="76"/>
      <c r="AT51" s="232"/>
      <c r="AU51" s="2"/>
    </row>
    <row r="52" spans="1:47" x14ac:dyDescent="0.35">
      <c r="A52" s="67"/>
      <c r="B52" s="74" t="s">
        <v>21</v>
      </c>
      <c r="C52" s="211"/>
      <c r="D52" s="212"/>
      <c r="E52" s="226"/>
      <c r="F52" s="232"/>
      <c r="G52" s="211"/>
      <c r="H52" s="212"/>
      <c r="I52" s="226">
        <f t="shared" ref="I52:J52" si="98">+I16</f>
        <v>0</v>
      </c>
      <c r="J52" s="226">
        <f t="shared" si="98"/>
        <v>0</v>
      </c>
      <c r="K52" s="213"/>
      <c r="L52" s="75">
        <f>+L18</f>
        <v>0</v>
      </c>
      <c r="M52" s="76">
        <f>+M18</f>
        <v>60000</v>
      </c>
      <c r="N52" s="76">
        <f t="shared" ref="N52:O52" si="99">+N18</f>
        <v>54000</v>
      </c>
      <c r="O52" s="77">
        <f t="shared" si="99"/>
        <v>6000</v>
      </c>
      <c r="P52" s="78">
        <f t="shared" ref="P52:AI52" si="100">P18+P19+P20+P21</f>
        <v>5820000</v>
      </c>
      <c r="Q52" s="79">
        <f t="shared" ref="Q52" si="101">Q18+Q19+Q20+Q21</f>
        <v>2600000</v>
      </c>
      <c r="R52" s="79">
        <f t="shared" ref="R52" si="102">R18+R19+R20+R21</f>
        <v>8420000</v>
      </c>
      <c r="S52" s="76">
        <f t="shared" ref="S52" si="103">S18+S19+S20+S21</f>
        <v>0</v>
      </c>
      <c r="T52" s="76">
        <f t="shared" ref="T52" si="104">T18+T19+T20+T21</f>
        <v>0</v>
      </c>
      <c r="U52" s="76">
        <f t="shared" ref="U52" si="105">U18+U19+U20+U21</f>
        <v>0</v>
      </c>
      <c r="V52" s="76">
        <f t="shared" si="100"/>
        <v>8420000</v>
      </c>
      <c r="W52" s="279">
        <f t="shared" si="100"/>
        <v>5820000</v>
      </c>
      <c r="X52" s="279">
        <f t="shared" ref="X52:Y52" si="106">X18+X19+X20+X21</f>
        <v>0</v>
      </c>
      <c r="Y52" s="279">
        <f t="shared" si="106"/>
        <v>0</v>
      </c>
      <c r="Z52" s="257">
        <f t="shared" ref="Z52" si="107">Z18+Z19+Z20+Z21</f>
        <v>312000</v>
      </c>
      <c r="AA52" s="76">
        <f t="shared" si="100"/>
        <v>0</v>
      </c>
      <c r="AB52" s="76">
        <f t="shared" ref="AB52:AC52" si="108">AB18+AB19+AB20+AB21</f>
        <v>0</v>
      </c>
      <c r="AC52" s="234">
        <f t="shared" si="108"/>
        <v>2288000</v>
      </c>
      <c r="AD52" s="77">
        <f t="shared" si="100"/>
        <v>8420000</v>
      </c>
      <c r="AE52" s="79">
        <f t="shared" si="100"/>
        <v>12184000</v>
      </c>
      <c r="AF52" s="76">
        <f t="shared" si="100"/>
        <v>0</v>
      </c>
      <c r="AG52" s="76">
        <f t="shared" si="100"/>
        <v>12184000</v>
      </c>
      <c r="AH52" s="279">
        <f t="shared" si="100"/>
        <v>0</v>
      </c>
      <c r="AI52" s="76">
        <f t="shared" si="100"/>
        <v>0</v>
      </c>
      <c r="AJ52" s="234">
        <f>AK18+AK19+AK20+AK21</f>
        <v>12184000</v>
      </c>
      <c r="AK52" s="77">
        <f t="shared" si="55"/>
        <v>12184000</v>
      </c>
      <c r="AL52" s="76">
        <f t="shared" ref="AL52:AT52" si="109">+AM18</f>
        <v>0</v>
      </c>
      <c r="AM52" s="76">
        <f t="shared" si="109"/>
        <v>0</v>
      </c>
      <c r="AN52" s="232">
        <f t="shared" si="109"/>
        <v>0</v>
      </c>
      <c r="AO52" s="76">
        <f t="shared" si="109"/>
        <v>0</v>
      </c>
      <c r="AP52" s="76">
        <f t="shared" si="109"/>
        <v>0</v>
      </c>
      <c r="AQ52" s="232">
        <f t="shared" si="109"/>
        <v>0</v>
      </c>
      <c r="AR52" s="75">
        <f t="shared" si="109"/>
        <v>0</v>
      </c>
      <c r="AS52" s="76">
        <f t="shared" si="109"/>
        <v>0</v>
      </c>
      <c r="AT52" s="232">
        <f t="shared" si="109"/>
        <v>0</v>
      </c>
      <c r="AU52" s="2"/>
    </row>
    <row r="53" spans="1:47" x14ac:dyDescent="0.35">
      <c r="A53" s="67"/>
      <c r="B53" s="74" t="s">
        <v>37</v>
      </c>
      <c r="C53" s="211"/>
      <c r="D53" s="212"/>
      <c r="E53" s="226"/>
      <c r="F53" s="213"/>
      <c r="G53" s="211"/>
      <c r="H53" s="212"/>
      <c r="I53" s="226">
        <f t="shared" ref="I53:J53" si="110">+I17</f>
        <v>0</v>
      </c>
      <c r="J53" s="226">
        <f t="shared" si="110"/>
        <v>0</v>
      </c>
      <c r="K53" s="213"/>
      <c r="L53" s="75"/>
      <c r="M53" s="76"/>
      <c r="N53" s="76"/>
      <c r="O53" s="77"/>
      <c r="P53" s="78">
        <f t="shared" ref="P53:AI53" si="111">P13+P15+P16</f>
        <v>3700000</v>
      </c>
      <c r="Q53" s="79">
        <f t="shared" ref="Q53" si="112">Q13+Q15+Q16</f>
        <v>4000000</v>
      </c>
      <c r="R53" s="79">
        <f t="shared" ref="R53" si="113">R13+R15+R16</f>
        <v>7700000</v>
      </c>
      <c r="S53" s="76">
        <f t="shared" ref="S53" si="114">S13+S15+S16</f>
        <v>0</v>
      </c>
      <c r="T53" s="76">
        <f t="shared" ref="T53" si="115">T13+T15+T16</f>
        <v>0</v>
      </c>
      <c r="U53" s="76">
        <f t="shared" ref="U53" si="116">U13+U15+U16</f>
        <v>0</v>
      </c>
      <c r="V53" s="76">
        <f t="shared" si="111"/>
        <v>7700000</v>
      </c>
      <c r="W53" s="279">
        <f t="shared" si="111"/>
        <v>3700000</v>
      </c>
      <c r="X53" s="279">
        <f t="shared" ref="X53:Y53" si="117">X13+X15+X16</f>
        <v>0</v>
      </c>
      <c r="Y53" s="279">
        <f t="shared" si="117"/>
        <v>0</v>
      </c>
      <c r="Z53" s="257">
        <f t="shared" ref="Z53" si="118">Z13+Z15+Z16</f>
        <v>480000</v>
      </c>
      <c r="AA53" s="76">
        <f t="shared" si="111"/>
        <v>0</v>
      </c>
      <c r="AB53" s="76">
        <f t="shared" ref="AB53:AC53" si="119">AB13+AB15+AB16</f>
        <v>0</v>
      </c>
      <c r="AC53" s="234">
        <f t="shared" si="119"/>
        <v>3520000</v>
      </c>
      <c r="AD53" s="77">
        <f t="shared" si="111"/>
        <v>7700000</v>
      </c>
      <c r="AE53" s="79">
        <f t="shared" si="111"/>
        <v>7300000</v>
      </c>
      <c r="AF53" s="76">
        <f t="shared" si="111"/>
        <v>0</v>
      </c>
      <c r="AG53" s="76">
        <f t="shared" si="111"/>
        <v>7300000</v>
      </c>
      <c r="AH53" s="279">
        <f t="shared" si="111"/>
        <v>3900000</v>
      </c>
      <c r="AI53" s="76">
        <f t="shared" si="111"/>
        <v>0</v>
      </c>
      <c r="AJ53" s="234">
        <f>AK13+AK15+AK16</f>
        <v>3400000</v>
      </c>
      <c r="AK53" s="77">
        <f t="shared" si="55"/>
        <v>7300000</v>
      </c>
      <c r="AL53" s="76"/>
      <c r="AM53" s="76"/>
      <c r="AN53" s="232"/>
      <c r="AO53" s="76"/>
      <c r="AP53" s="76"/>
      <c r="AQ53" s="232"/>
      <c r="AR53" s="75"/>
      <c r="AS53" s="76"/>
      <c r="AT53" s="232"/>
      <c r="AU53" s="2"/>
    </row>
    <row r="54" spans="1:47" ht="15" thickBot="1" x14ac:dyDescent="0.4">
      <c r="A54" s="67"/>
      <c r="B54" s="196" t="s">
        <v>38</v>
      </c>
      <c r="C54" s="214"/>
      <c r="D54" s="215"/>
      <c r="E54" s="198"/>
      <c r="F54" s="216"/>
      <c r="G54" s="214"/>
      <c r="H54" s="215"/>
      <c r="I54" s="198">
        <f t="shared" ref="I54:J54" si="120">+I18</f>
        <v>0</v>
      </c>
      <c r="J54" s="198">
        <f t="shared" si="120"/>
        <v>0</v>
      </c>
      <c r="K54" s="216"/>
      <c r="L54" s="80"/>
      <c r="M54" s="81"/>
      <c r="N54" s="81"/>
      <c r="O54" s="82"/>
      <c r="P54" s="83">
        <f t="shared" ref="P54:AI54" si="121">P17</f>
        <v>2100000</v>
      </c>
      <c r="Q54" s="84">
        <f t="shared" ref="Q54" si="122">Q17</f>
        <v>0</v>
      </c>
      <c r="R54" s="84">
        <f t="shared" ref="R54" si="123">R17</f>
        <v>2100000</v>
      </c>
      <c r="S54" s="81">
        <f t="shared" ref="S54" si="124">S17</f>
        <v>0</v>
      </c>
      <c r="T54" s="81">
        <f t="shared" ref="T54" si="125">T17</f>
        <v>0</v>
      </c>
      <c r="U54" s="81">
        <f t="shared" ref="U54" si="126">U17</f>
        <v>0</v>
      </c>
      <c r="V54" s="81">
        <f t="shared" si="121"/>
        <v>2100000</v>
      </c>
      <c r="W54" s="280">
        <f t="shared" si="121"/>
        <v>2100000</v>
      </c>
      <c r="X54" s="280">
        <f t="shared" ref="X54:Y54" si="127">X17</f>
        <v>0</v>
      </c>
      <c r="Y54" s="280">
        <f t="shared" si="127"/>
        <v>0</v>
      </c>
      <c r="Z54" s="258">
        <f t="shared" ref="Z54" si="128">Z17</f>
        <v>0</v>
      </c>
      <c r="AA54" s="81">
        <f t="shared" si="121"/>
        <v>0</v>
      </c>
      <c r="AB54" s="81">
        <f t="shared" ref="AB54:AC54" si="129">AB17</f>
        <v>0</v>
      </c>
      <c r="AC54" s="235">
        <f t="shared" si="129"/>
        <v>0</v>
      </c>
      <c r="AD54" s="82">
        <f t="shared" si="121"/>
        <v>2100000</v>
      </c>
      <c r="AE54" s="84">
        <f t="shared" si="121"/>
        <v>2400000</v>
      </c>
      <c r="AF54" s="81">
        <f t="shared" si="121"/>
        <v>0</v>
      </c>
      <c r="AG54" s="81">
        <f t="shared" si="121"/>
        <v>2400000</v>
      </c>
      <c r="AH54" s="280">
        <f t="shared" si="121"/>
        <v>1900000</v>
      </c>
      <c r="AI54" s="81">
        <f t="shared" si="121"/>
        <v>0</v>
      </c>
      <c r="AJ54" s="235">
        <f>AK17</f>
        <v>500000</v>
      </c>
      <c r="AK54" s="82">
        <f t="shared" si="55"/>
        <v>2400000</v>
      </c>
      <c r="AL54" s="81"/>
      <c r="AM54" s="81"/>
      <c r="AN54" s="255"/>
      <c r="AO54" s="81"/>
      <c r="AP54" s="81"/>
      <c r="AQ54" s="255"/>
      <c r="AR54" s="80"/>
      <c r="AS54" s="81"/>
      <c r="AT54" s="255"/>
      <c r="AU54" s="2"/>
    </row>
    <row r="55" spans="1:47" ht="15" thickBot="1" x14ac:dyDescent="0.4">
      <c r="A55" s="67"/>
      <c r="B55" s="197" t="s">
        <v>35</v>
      </c>
      <c r="C55" s="217">
        <f t="shared" ref="C55:E55" si="130">SUM(C46:C54)</f>
        <v>0</v>
      </c>
      <c r="D55" s="218">
        <f t="shared" si="130"/>
        <v>150000</v>
      </c>
      <c r="E55" s="218">
        <f t="shared" si="130"/>
        <v>18000</v>
      </c>
      <c r="F55" s="88">
        <f>SUM(F46:F54)</f>
        <v>132000</v>
      </c>
      <c r="G55" s="217">
        <f t="shared" ref="G55:J55" si="131">SUM(G46:G54)</f>
        <v>0</v>
      </c>
      <c r="H55" s="218">
        <f t="shared" si="131"/>
        <v>4150000</v>
      </c>
      <c r="I55" s="218">
        <f t="shared" si="131"/>
        <v>498000</v>
      </c>
      <c r="J55" s="218">
        <f t="shared" si="131"/>
        <v>0</v>
      </c>
      <c r="K55" s="88">
        <f>SUM(K46:K54)</f>
        <v>3652000</v>
      </c>
      <c r="L55" s="217">
        <f t="shared" ref="L55:O55" si="132">SUM(L46:L54)</f>
        <v>0</v>
      </c>
      <c r="M55" s="218">
        <f t="shared" si="132"/>
        <v>60000</v>
      </c>
      <c r="N55" s="218">
        <f t="shared" si="132"/>
        <v>54000</v>
      </c>
      <c r="O55" s="219">
        <f t="shared" si="132"/>
        <v>6000</v>
      </c>
      <c r="P55" s="86">
        <f t="shared" ref="P55:AC55" si="133">SUM(P46:P54)</f>
        <v>41410000</v>
      </c>
      <c r="Q55" s="87">
        <f t="shared" si="133"/>
        <v>160085000</v>
      </c>
      <c r="R55" s="87">
        <f t="shared" ref="R55" si="134">SUM(R46:R54)</f>
        <v>201495000</v>
      </c>
      <c r="S55" s="85">
        <f t="shared" si="133"/>
        <v>0</v>
      </c>
      <c r="T55" s="85">
        <f t="shared" ref="T55" si="135">SUM(T46:T54)</f>
        <v>0</v>
      </c>
      <c r="U55" s="85">
        <f t="shared" ref="U55" si="136">SUM(U46:U54)</f>
        <v>0</v>
      </c>
      <c r="V55" s="85">
        <f t="shared" si="133"/>
        <v>201495000</v>
      </c>
      <c r="W55" s="85">
        <f>SUM(W46:W54)</f>
        <v>41410000</v>
      </c>
      <c r="X55" s="85">
        <f>SUM(X46:X54)</f>
        <v>0</v>
      </c>
      <c r="Y55" s="85">
        <f>SUM(Y46:Y54)</f>
        <v>30601000</v>
      </c>
      <c r="Z55" s="85">
        <f>SUM(Z46:Z54)</f>
        <v>19210200</v>
      </c>
      <c r="AA55" s="85">
        <f t="shared" si="133"/>
        <v>1585000</v>
      </c>
      <c r="AB55" s="85">
        <f t="shared" si="133"/>
        <v>0</v>
      </c>
      <c r="AC55" s="85">
        <f t="shared" si="133"/>
        <v>108688800</v>
      </c>
      <c r="AD55" s="88">
        <f>SUM(AD46:AD54)</f>
        <v>201495000</v>
      </c>
      <c r="AE55" s="87">
        <f>SUM(AE46:AE54)</f>
        <v>164886000</v>
      </c>
      <c r="AF55" s="89">
        <f t="shared" ref="AF55:AI55" si="137">SUM(AF46:AF54)</f>
        <v>0</v>
      </c>
      <c r="AG55" s="89">
        <f t="shared" si="137"/>
        <v>164886000</v>
      </c>
      <c r="AH55" s="89">
        <f t="shared" si="137"/>
        <v>11381000</v>
      </c>
      <c r="AI55" s="89">
        <f t="shared" si="137"/>
        <v>860000</v>
      </c>
      <c r="AJ55" s="89">
        <f>SUM(AJ46:AJ54)</f>
        <v>152645000</v>
      </c>
      <c r="AK55" s="89">
        <f>SUM(AK46:AK54)</f>
        <v>164886000</v>
      </c>
      <c r="AL55" s="218">
        <f t="shared" ref="AL55:AN55" si="138">SUM(AL46:AL54)</f>
        <v>9800000</v>
      </c>
      <c r="AM55" s="218">
        <f t="shared" si="138"/>
        <v>980000</v>
      </c>
      <c r="AN55" s="219">
        <f t="shared" si="138"/>
        <v>8820000</v>
      </c>
      <c r="AO55" s="218">
        <f t="shared" ref="AO55:AQ55" si="139">SUM(AO46:AO54)</f>
        <v>950000</v>
      </c>
      <c r="AP55" s="218">
        <f t="shared" si="139"/>
        <v>95000</v>
      </c>
      <c r="AQ55" s="219">
        <f t="shared" si="139"/>
        <v>855000</v>
      </c>
      <c r="AR55" s="217">
        <f t="shared" ref="AR55:AT55" si="140">SUM(AR46:AR54)</f>
        <v>51750000</v>
      </c>
      <c r="AS55" s="218">
        <f t="shared" si="140"/>
        <v>2468475</v>
      </c>
      <c r="AT55" s="219">
        <f t="shared" si="140"/>
        <v>49281525</v>
      </c>
      <c r="AU55" s="2"/>
    </row>
    <row r="56" spans="1:47" ht="15.5" x14ac:dyDescent="0.35">
      <c r="A56" s="67"/>
      <c r="B56" s="90"/>
      <c r="C56" s="90"/>
      <c r="D56" s="90"/>
      <c r="E56" s="90"/>
      <c r="F56" s="91"/>
      <c r="G56" s="90"/>
      <c r="H56" s="90"/>
      <c r="I56" s="90"/>
      <c r="J56" s="90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2"/>
      <c r="X56" s="92"/>
      <c r="Y56" s="92"/>
      <c r="Z56" s="92"/>
      <c r="AA56" s="92"/>
      <c r="AB56" s="93"/>
      <c r="AC56" s="93"/>
      <c r="AD56" s="94"/>
      <c r="AE56" s="92"/>
      <c r="AF56" s="92"/>
      <c r="AG56" s="92"/>
      <c r="AH56" s="92"/>
      <c r="AI56" s="92"/>
      <c r="AJ56" s="95"/>
      <c r="AK56" s="91"/>
    </row>
    <row r="57" spans="1:47" ht="15.5" x14ac:dyDescent="0.35">
      <c r="A57" s="96" t="s">
        <v>43</v>
      </c>
      <c r="B57" s="97"/>
      <c r="C57" s="97"/>
      <c r="D57" s="97"/>
      <c r="E57" s="97"/>
      <c r="F57" s="98"/>
      <c r="G57" s="97"/>
      <c r="H57" s="97"/>
      <c r="I57" s="97"/>
      <c r="J57" s="97"/>
      <c r="K57" s="98"/>
      <c r="L57" s="98"/>
      <c r="M57" s="98"/>
      <c r="N57" s="98"/>
      <c r="O57" s="98"/>
      <c r="P57" s="98"/>
      <c r="Q57" s="98"/>
      <c r="R57" s="99"/>
      <c r="S57" s="98"/>
      <c r="T57" s="98"/>
      <c r="U57" s="98"/>
      <c r="V57" s="98"/>
      <c r="W57" s="100"/>
      <c r="X57" s="100"/>
      <c r="Y57" s="100"/>
      <c r="Z57" s="100"/>
      <c r="AA57" s="100"/>
      <c r="AB57" s="101">
        <f>80000*0.15</f>
        <v>12000</v>
      </c>
      <c r="AC57" s="101"/>
      <c r="AD57" s="94"/>
      <c r="AE57" s="102"/>
      <c r="AF57" s="103"/>
      <c r="AG57" s="103"/>
      <c r="AH57" s="104"/>
      <c r="AI57" s="105"/>
      <c r="AJ57" s="106"/>
      <c r="AK57" s="106"/>
      <c r="AO57" s="27">
        <f>AT55+AQ55+AN55+AJ55</f>
        <v>211601525</v>
      </c>
    </row>
    <row r="58" spans="1:47" ht="16" thickBot="1" x14ac:dyDescent="0.4">
      <c r="A58" s="67"/>
      <c r="B58" s="107"/>
      <c r="C58" s="107"/>
      <c r="D58" s="107"/>
      <c r="E58" s="107"/>
      <c r="F58" s="98"/>
      <c r="G58" s="107"/>
      <c r="H58" s="107"/>
      <c r="I58" s="107"/>
      <c r="J58" s="107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108"/>
      <c r="AB58" s="108"/>
      <c r="AC58" s="108"/>
      <c r="AD58" s="108"/>
      <c r="AE58" s="98"/>
      <c r="AF58" s="98"/>
      <c r="AG58" s="98"/>
      <c r="AH58" s="98"/>
      <c r="AI58" s="109"/>
      <c r="AJ58" s="109"/>
      <c r="AK58" s="110"/>
    </row>
    <row r="59" spans="1:47" ht="15" thickBot="1" x14ac:dyDescent="0.4">
      <c r="A59" s="302">
        <f>A36</f>
        <v>31</v>
      </c>
      <c r="B59" s="303"/>
      <c r="C59" s="192"/>
      <c r="D59" s="208">
        <f>+D36</f>
        <v>150000</v>
      </c>
      <c r="E59" s="208"/>
      <c r="F59" s="111">
        <f t="shared" ref="F59:AK59" si="141">+F36</f>
        <v>150000</v>
      </c>
      <c r="G59" s="221"/>
      <c r="H59" s="208">
        <f>+H36</f>
        <v>4940000</v>
      </c>
      <c r="I59" s="208"/>
      <c r="J59" s="208"/>
      <c r="K59" s="111">
        <f t="shared" ref="K59" si="142">+K36</f>
        <v>4940000</v>
      </c>
      <c r="L59" s="111">
        <f t="shared" si="141"/>
        <v>0</v>
      </c>
      <c r="M59" s="111">
        <f t="shared" si="141"/>
        <v>60000</v>
      </c>
      <c r="N59" s="111">
        <f t="shared" si="141"/>
        <v>52800</v>
      </c>
      <c r="O59" s="111">
        <f t="shared" si="141"/>
        <v>7200</v>
      </c>
      <c r="P59" s="112">
        <f t="shared" si="141"/>
        <v>41410000</v>
      </c>
      <c r="Q59" s="113">
        <f t="shared" si="141"/>
        <v>149993855.31195199</v>
      </c>
      <c r="R59" s="113">
        <f t="shared" si="141"/>
        <v>191403855.31195199</v>
      </c>
      <c r="S59" s="113">
        <f t="shared" si="141"/>
        <v>0</v>
      </c>
      <c r="T59" s="113">
        <f t="shared" si="141"/>
        <v>0</v>
      </c>
      <c r="U59" s="113">
        <f t="shared" si="141"/>
        <v>0</v>
      </c>
      <c r="V59" s="113">
        <f t="shared" si="141"/>
        <v>0</v>
      </c>
      <c r="W59" s="114">
        <f t="shared" si="141"/>
        <v>41410000</v>
      </c>
      <c r="X59" s="114">
        <f t="shared" si="141"/>
        <v>0</v>
      </c>
      <c r="Y59" s="114">
        <f t="shared" si="141"/>
        <v>34774200</v>
      </c>
      <c r="Z59" s="114">
        <f t="shared" si="141"/>
        <v>14999385.531195201</v>
      </c>
      <c r="AA59" s="114">
        <f t="shared" si="141"/>
        <v>5940000</v>
      </c>
      <c r="AB59" s="115">
        <f t="shared" si="141"/>
        <v>0</v>
      </c>
      <c r="AC59" s="115">
        <f t="shared" si="141"/>
        <v>94280269.780756801</v>
      </c>
      <c r="AD59" s="116">
        <f t="shared" si="141"/>
        <v>0</v>
      </c>
      <c r="AE59" s="117">
        <f t="shared" si="141"/>
        <v>199319077.90658775</v>
      </c>
      <c r="AF59" s="114">
        <f t="shared" si="141"/>
        <v>0</v>
      </c>
      <c r="AG59" s="114">
        <f t="shared" si="141"/>
        <v>0</v>
      </c>
      <c r="AH59" s="114">
        <f t="shared" si="141"/>
        <v>17714000</v>
      </c>
      <c r="AI59" s="114">
        <f t="shared" si="141"/>
        <v>6430000</v>
      </c>
      <c r="AJ59" s="115">
        <f t="shared" si="141"/>
        <v>0</v>
      </c>
      <c r="AK59" s="115">
        <f t="shared" si="141"/>
        <v>175175077.90658775</v>
      </c>
    </row>
    <row r="60" spans="1:47" ht="15" thickBot="1" x14ac:dyDescent="0.4">
      <c r="A60" s="67"/>
      <c r="B60" s="118"/>
      <c r="C60" s="118"/>
      <c r="D60" s="118"/>
      <c r="E60" s="118"/>
      <c r="F60" s="119"/>
      <c r="G60" s="118"/>
      <c r="H60" s="118"/>
      <c r="I60" s="118"/>
      <c r="J60" s="118"/>
      <c r="K60" s="119"/>
      <c r="L60" s="119"/>
      <c r="M60" s="119"/>
      <c r="N60" s="119"/>
      <c r="O60" s="119"/>
      <c r="P60" s="120"/>
      <c r="Q60" s="120"/>
      <c r="R60" s="120"/>
      <c r="S60" s="120"/>
      <c r="T60" s="120"/>
      <c r="U60" s="120"/>
      <c r="V60" s="120"/>
      <c r="W60" s="121"/>
      <c r="X60" s="121"/>
      <c r="Y60" s="121"/>
      <c r="Z60" s="121"/>
      <c r="AA60" s="122"/>
      <c r="AB60" s="122"/>
      <c r="AC60" s="122"/>
      <c r="AD60" s="122"/>
      <c r="AE60" s="121"/>
      <c r="AF60" s="121"/>
      <c r="AG60" s="121"/>
      <c r="AH60" s="121"/>
      <c r="AI60" s="123"/>
      <c r="AJ60" s="122"/>
      <c r="AK60" s="124"/>
    </row>
    <row r="61" spans="1:47" ht="15" thickBot="1" x14ac:dyDescent="0.4">
      <c r="A61" s="304">
        <f>A38</f>
        <v>62</v>
      </c>
      <c r="B61" s="305"/>
      <c r="C61" s="193"/>
      <c r="D61" s="193">
        <f t="shared" ref="D61:AK61" si="143">+D38</f>
        <v>150000</v>
      </c>
      <c r="E61" s="239"/>
      <c r="F61" s="125">
        <f t="shared" si="143"/>
        <v>150000</v>
      </c>
      <c r="G61" s="222"/>
      <c r="H61" s="222">
        <f t="shared" ref="H61:K61" si="144">+H38</f>
        <v>4940000</v>
      </c>
      <c r="I61" s="222"/>
      <c r="J61" s="222"/>
      <c r="K61" s="125">
        <f t="shared" si="144"/>
        <v>4940000</v>
      </c>
      <c r="L61" s="125">
        <f t="shared" si="143"/>
        <v>0</v>
      </c>
      <c r="M61" s="125">
        <f t="shared" si="143"/>
        <v>60000</v>
      </c>
      <c r="N61" s="125">
        <f t="shared" si="143"/>
        <v>52800</v>
      </c>
      <c r="O61" s="125">
        <f t="shared" si="143"/>
        <v>7200</v>
      </c>
      <c r="P61" s="126">
        <f t="shared" si="143"/>
        <v>41410000</v>
      </c>
      <c r="Q61" s="127">
        <f t="shared" si="143"/>
        <v>147228288.79756525</v>
      </c>
      <c r="R61" s="127">
        <f t="shared" si="143"/>
        <v>188638288.79756525</v>
      </c>
      <c r="S61" s="127">
        <f t="shared" si="143"/>
        <v>0</v>
      </c>
      <c r="T61" s="127">
        <f t="shared" si="143"/>
        <v>0</v>
      </c>
      <c r="U61" s="127">
        <f t="shared" si="143"/>
        <v>0</v>
      </c>
      <c r="V61" s="127">
        <f t="shared" si="143"/>
        <v>0</v>
      </c>
      <c r="W61" s="128">
        <f t="shared" si="143"/>
        <v>41410000</v>
      </c>
      <c r="X61" s="128">
        <f t="shared" si="143"/>
        <v>0</v>
      </c>
      <c r="Y61" s="128">
        <f t="shared" si="143"/>
        <v>29030200</v>
      </c>
      <c r="Z61" s="128">
        <f t="shared" si="143"/>
        <v>14722828.879756525</v>
      </c>
      <c r="AA61" s="128">
        <f t="shared" si="143"/>
        <v>5940000</v>
      </c>
      <c r="AB61" s="129">
        <f t="shared" si="143"/>
        <v>0</v>
      </c>
      <c r="AC61" s="129">
        <f t="shared" si="143"/>
        <v>97535259.917808726</v>
      </c>
      <c r="AD61" s="130">
        <f t="shared" si="143"/>
        <v>0</v>
      </c>
      <c r="AE61" s="131">
        <f t="shared" si="143"/>
        <v>205506993.05941883</v>
      </c>
      <c r="AF61" s="131">
        <f t="shared" si="143"/>
        <v>0</v>
      </c>
      <c r="AG61" s="131">
        <f t="shared" si="143"/>
        <v>0</v>
      </c>
      <c r="AH61" s="131">
        <f t="shared" si="143"/>
        <v>10926000</v>
      </c>
      <c r="AI61" s="131">
        <f t="shared" si="143"/>
        <v>6430000</v>
      </c>
      <c r="AJ61" s="129">
        <f t="shared" si="143"/>
        <v>0</v>
      </c>
      <c r="AK61" s="129">
        <f t="shared" si="143"/>
        <v>188150993.05941883</v>
      </c>
    </row>
    <row r="65" spans="18:36" x14ac:dyDescent="0.35">
      <c r="R65" s="59"/>
      <c r="W65" s="59"/>
      <c r="AB65" s="59"/>
      <c r="AC65" s="59"/>
      <c r="AE65" s="59"/>
      <c r="AH65" s="59"/>
      <c r="AJ65" s="59"/>
    </row>
  </sheetData>
  <mergeCells count="77">
    <mergeCell ref="A12:A14"/>
    <mergeCell ref="A15:A17"/>
    <mergeCell ref="P42:AD42"/>
    <mergeCell ref="B43:B45"/>
    <mergeCell ref="F44:F45"/>
    <mergeCell ref="P43:P45"/>
    <mergeCell ref="W44:W45"/>
    <mergeCell ref="AA44:AA45"/>
    <mergeCell ref="X44:X45"/>
    <mergeCell ref="T43:T45"/>
    <mergeCell ref="Z44:Z45"/>
    <mergeCell ref="Q43:Q45"/>
    <mergeCell ref="R43:R45"/>
    <mergeCell ref="Y44:Y45"/>
    <mergeCell ref="AD43:AD45"/>
    <mergeCell ref="AC44:AC45"/>
    <mergeCell ref="S8:S9"/>
    <mergeCell ref="V8:V9"/>
    <mergeCell ref="AF8:AF9"/>
    <mergeCell ref="AG8:AG9"/>
    <mergeCell ref="AK43:AK45"/>
    <mergeCell ref="AI44:AI45"/>
    <mergeCell ref="AJ44:AJ45"/>
    <mergeCell ref="AE42:AK42"/>
    <mergeCell ref="S43:S45"/>
    <mergeCell ref="U43:U45"/>
    <mergeCell ref="AB44:AB45"/>
    <mergeCell ref="AH44:AH45"/>
    <mergeCell ref="AE43:AE45"/>
    <mergeCell ref="V44:V45"/>
    <mergeCell ref="AF44:AF45"/>
    <mergeCell ref="AG44:AG45"/>
    <mergeCell ref="P6:AD6"/>
    <mergeCell ref="A7:A9"/>
    <mergeCell ref="B7:B9"/>
    <mergeCell ref="AD7:AD9"/>
    <mergeCell ref="AE7:AE9"/>
    <mergeCell ref="AE6:AL6"/>
    <mergeCell ref="AL7:AL9"/>
    <mergeCell ref="Q8:Q9"/>
    <mergeCell ref="T8:T9"/>
    <mergeCell ref="R8:R9"/>
    <mergeCell ref="U8:U9"/>
    <mergeCell ref="L6:O6"/>
    <mergeCell ref="C6:F6"/>
    <mergeCell ref="G6:K6"/>
    <mergeCell ref="AJ7:AJ9"/>
    <mergeCell ref="P8:P9"/>
    <mergeCell ref="A59:B59"/>
    <mergeCell ref="A61:B61"/>
    <mergeCell ref="L44:L45"/>
    <mergeCell ref="A36:B36"/>
    <mergeCell ref="A38:B38"/>
    <mergeCell ref="L42:O42"/>
    <mergeCell ref="C42:F42"/>
    <mergeCell ref="G42:K42"/>
    <mergeCell ref="O44:O45"/>
    <mergeCell ref="M44:M45"/>
    <mergeCell ref="N44:N45"/>
    <mergeCell ref="C44:C45"/>
    <mergeCell ref="D44:D45"/>
    <mergeCell ref="G44:G45"/>
    <mergeCell ref="H44:H45"/>
    <mergeCell ref="K44:K45"/>
    <mergeCell ref="I44:I45"/>
    <mergeCell ref="J44:J45"/>
    <mergeCell ref="A28:A31"/>
    <mergeCell ref="A32:B32"/>
    <mergeCell ref="A18:A21"/>
    <mergeCell ref="A22:A25"/>
    <mergeCell ref="A26:A27"/>
    <mergeCell ref="AL42:AN42"/>
    <mergeCell ref="AO42:AQ42"/>
    <mergeCell ref="AM6:AO6"/>
    <mergeCell ref="AP6:AR6"/>
    <mergeCell ref="AS6:AU6"/>
    <mergeCell ref="AR42:AT42"/>
  </mergeCells>
  <printOptions horizontalCentered="1" verticalCentered="1"/>
  <pageMargins left="0" right="0" top="0" bottom="0" header="0" footer="0"/>
  <pageSetup scale="55" orientation="landscape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G20" sqref="G20"/>
    </sheetView>
  </sheetViews>
  <sheetFormatPr baseColWidth="10" defaultRowHeight="12.5" x14ac:dyDescent="0.25"/>
  <cols>
    <col min="2" max="2" width="10" customWidth="1"/>
    <col min="3" max="3" width="9.453125" customWidth="1"/>
    <col min="4" max="4" width="10.453125" hidden="1" customWidth="1"/>
    <col min="5" max="5" width="9.81640625" customWidth="1"/>
    <col min="6" max="6" width="8.54296875" customWidth="1"/>
    <col min="7" max="7" width="9.54296875" customWidth="1"/>
    <col min="8" max="8" width="9.453125" customWidth="1"/>
    <col min="9" max="9" width="10" customWidth="1"/>
    <col min="10" max="10" width="10.26953125" customWidth="1"/>
    <col min="11" max="11" width="10" hidden="1" customWidth="1"/>
    <col min="12" max="12" width="10.26953125" customWidth="1"/>
    <col min="13" max="13" width="9.26953125" customWidth="1"/>
    <col min="14" max="15" width="9.54296875" customWidth="1"/>
  </cols>
  <sheetData>
    <row r="3" spans="1:15" ht="13" thickBot="1" x14ac:dyDescent="0.3"/>
    <row r="4" spans="1:15" ht="26.25" customHeight="1" thickBot="1" x14ac:dyDescent="0.3">
      <c r="A4" s="38"/>
      <c r="B4" s="354" t="s">
        <v>0</v>
      </c>
      <c r="C4" s="355"/>
      <c r="D4" s="355"/>
      <c r="E4" s="355"/>
      <c r="F4" s="355"/>
      <c r="G4" s="355"/>
      <c r="H4" s="356"/>
      <c r="I4" s="354" t="s">
        <v>1</v>
      </c>
      <c r="J4" s="355"/>
      <c r="K4" s="355"/>
      <c r="L4" s="355"/>
      <c r="M4" s="355"/>
      <c r="N4" s="355"/>
      <c r="O4" s="356"/>
    </row>
    <row r="5" spans="1:15" ht="21" x14ac:dyDescent="0.25">
      <c r="A5" s="348" t="s">
        <v>39</v>
      </c>
      <c r="B5" s="357" t="s">
        <v>56</v>
      </c>
      <c r="C5" s="36" t="s">
        <v>6</v>
      </c>
      <c r="D5" s="36" t="s">
        <v>7</v>
      </c>
      <c r="E5" s="36" t="s">
        <v>4</v>
      </c>
      <c r="F5" s="36" t="s">
        <v>8</v>
      </c>
      <c r="G5" s="37" t="s">
        <v>10</v>
      </c>
      <c r="H5" s="333" t="s">
        <v>58</v>
      </c>
      <c r="I5" s="357" t="s">
        <v>56</v>
      </c>
      <c r="J5" s="36" t="s">
        <v>6</v>
      </c>
      <c r="K5" s="36" t="s">
        <v>7</v>
      </c>
      <c r="L5" s="36" t="s">
        <v>4</v>
      </c>
      <c r="M5" s="36" t="s">
        <v>8</v>
      </c>
      <c r="N5" s="36" t="s">
        <v>10</v>
      </c>
      <c r="O5" s="333" t="s">
        <v>58</v>
      </c>
    </row>
    <row r="6" spans="1:15" x14ac:dyDescent="0.25">
      <c r="A6" s="349"/>
      <c r="B6" s="357"/>
      <c r="C6" s="336" t="s">
        <v>57</v>
      </c>
      <c r="D6" s="345" t="s">
        <v>57</v>
      </c>
      <c r="E6" s="336" t="s">
        <v>57</v>
      </c>
      <c r="F6" s="336" t="s">
        <v>57</v>
      </c>
      <c r="G6" s="338" t="s">
        <v>57</v>
      </c>
      <c r="H6" s="334"/>
      <c r="I6" s="357"/>
      <c r="J6" s="336" t="s">
        <v>57</v>
      </c>
      <c r="K6" s="345" t="s">
        <v>57</v>
      </c>
      <c r="L6" s="336" t="s">
        <v>57</v>
      </c>
      <c r="M6" s="336" t="s">
        <v>57</v>
      </c>
      <c r="N6" s="338" t="s">
        <v>57</v>
      </c>
      <c r="O6" s="334"/>
    </row>
    <row r="7" spans="1:15" ht="13" thickBot="1" x14ac:dyDescent="0.3">
      <c r="A7" s="350"/>
      <c r="B7" s="358"/>
      <c r="C7" s="337"/>
      <c r="D7" s="346"/>
      <c r="E7" s="337"/>
      <c r="F7" s="337"/>
      <c r="G7" s="339"/>
      <c r="H7" s="335"/>
      <c r="I7" s="358"/>
      <c r="J7" s="337"/>
      <c r="K7" s="346"/>
      <c r="L7" s="337"/>
      <c r="M7" s="337"/>
      <c r="N7" s="339"/>
      <c r="O7" s="335"/>
    </row>
    <row r="8" spans="1:15" x14ac:dyDescent="0.25">
      <c r="A8" s="39" t="s">
        <v>13</v>
      </c>
      <c r="B8" s="40">
        <f>+PROGCarb!R46/1000</f>
        <v>52000</v>
      </c>
      <c r="C8" s="41">
        <f>+PROGCarb!U46/1000</f>
        <v>0</v>
      </c>
      <c r="D8" s="41">
        <f>+PROGCarb!V46/1000</f>
        <v>52000</v>
      </c>
      <c r="E8" s="41">
        <f>(PROGCarb!W46+PROGCarb!X46)/1000</f>
        <v>2000</v>
      </c>
      <c r="F8" s="41">
        <f>+PROGCarb!AA46/1000</f>
        <v>0</v>
      </c>
      <c r="G8" s="41" t="e">
        <f>+PROGCarb!#REF!/1000</f>
        <v>#REF!</v>
      </c>
      <c r="H8" s="42">
        <f>+PROGCarb!AD46/1000</f>
        <v>52000</v>
      </c>
      <c r="I8" s="40">
        <f>+PROGCarb!AE46/1000</f>
        <v>7500</v>
      </c>
      <c r="J8" s="41">
        <f>+PROGCarb!AF46/1000</f>
        <v>0</v>
      </c>
      <c r="K8" s="41">
        <f>+PROGCarb!AG46/1000</f>
        <v>7500</v>
      </c>
      <c r="L8" s="41">
        <f>+PROGCarb!AH46/1000</f>
        <v>0</v>
      </c>
      <c r="M8" s="41">
        <f>+PROGCarb!AI46/1000</f>
        <v>0</v>
      </c>
      <c r="N8" s="41">
        <f>+PROGCarb!AJ46/1000</f>
        <v>7500</v>
      </c>
      <c r="O8" s="42">
        <f>+PROGCarb!AK46/1000</f>
        <v>7500</v>
      </c>
    </row>
    <row r="9" spans="1:15" x14ac:dyDescent="0.25">
      <c r="A9" s="43" t="s">
        <v>25</v>
      </c>
      <c r="B9" s="44">
        <f>+PROGCarb!R47/1000</f>
        <v>65925</v>
      </c>
      <c r="C9" s="45">
        <f>+PROGCarb!U47/1000</f>
        <v>0</v>
      </c>
      <c r="D9" s="45">
        <f>+PROGCarb!V47/1000</f>
        <v>65925</v>
      </c>
      <c r="E9" s="45">
        <f>(PROGCarb!W47+PROGCarb!X47)/1000</f>
        <v>7625</v>
      </c>
      <c r="F9" s="45">
        <f>+PROGCarb!AA47/1000</f>
        <v>1585</v>
      </c>
      <c r="G9" s="45" t="e">
        <f>+PROGCarb!#REF!/1000</f>
        <v>#REF!</v>
      </c>
      <c r="H9" s="46">
        <f>+PROGCarb!AD47/1000</f>
        <v>65925</v>
      </c>
      <c r="I9" s="44">
        <f>+PROGCarb!AE47/1000</f>
        <v>67870</v>
      </c>
      <c r="J9" s="45">
        <f>+PROGCarb!AF47/1000</f>
        <v>0</v>
      </c>
      <c r="K9" s="45">
        <f>+PROGCarb!AG47/1000</f>
        <v>67870</v>
      </c>
      <c r="L9" s="45">
        <f>+PROGCarb!AH47/1000</f>
        <v>0</v>
      </c>
      <c r="M9" s="45">
        <f>+PROGCarb!AI47/1000</f>
        <v>860</v>
      </c>
      <c r="N9" s="45">
        <f>+PROGCarb!AJ47/1000</f>
        <v>67010</v>
      </c>
      <c r="O9" s="46">
        <f>+PROGCarb!AK47/1000</f>
        <v>67870</v>
      </c>
    </row>
    <row r="10" spans="1:15" x14ac:dyDescent="0.25">
      <c r="A10" s="43" t="s">
        <v>15</v>
      </c>
      <c r="B10" s="44">
        <f>+PROGCarb!R48/1000</f>
        <v>32500</v>
      </c>
      <c r="C10" s="45">
        <f>+PROGCarb!U48/1000</f>
        <v>0</v>
      </c>
      <c r="D10" s="45">
        <f>+PROGCarb!V48/1000</f>
        <v>32500</v>
      </c>
      <c r="E10" s="45">
        <f>(PROGCarb!W48+PROGCarb!X48)/1000</f>
        <v>0</v>
      </c>
      <c r="F10" s="45">
        <f>+PROGCarb!AA48/1000</f>
        <v>0</v>
      </c>
      <c r="G10" s="45" t="e">
        <f>+PROGCarb!#REF!/1000</f>
        <v>#REF!</v>
      </c>
      <c r="H10" s="46">
        <f>+PROGCarb!AD48/1000</f>
        <v>32500</v>
      </c>
      <c r="I10" s="44">
        <f>+PROGCarb!AE48/1000</f>
        <v>30632</v>
      </c>
      <c r="J10" s="45">
        <f>+PROGCarb!AF48/1000</f>
        <v>0</v>
      </c>
      <c r="K10" s="45">
        <f>+PROGCarb!AG48/1000</f>
        <v>30632</v>
      </c>
      <c r="L10" s="45">
        <f>+PROGCarb!AH48/1000</f>
        <v>4581</v>
      </c>
      <c r="M10" s="45">
        <f>+PROGCarb!AI48/1000</f>
        <v>0</v>
      </c>
      <c r="N10" s="45">
        <f>+PROGCarb!AJ48/1000</f>
        <v>26051</v>
      </c>
      <c r="O10" s="46">
        <f>+PROGCarb!AK48/1000</f>
        <v>30632</v>
      </c>
    </row>
    <row r="11" spans="1:15" x14ac:dyDescent="0.25">
      <c r="A11" s="43" t="s">
        <v>14</v>
      </c>
      <c r="B11" s="44">
        <f>+PROGCarb!R49/1000</f>
        <v>13400</v>
      </c>
      <c r="C11" s="45">
        <f>+PROGCarb!U49/1000</f>
        <v>0</v>
      </c>
      <c r="D11" s="45">
        <f>+PROGCarb!V49/1000</f>
        <v>13400</v>
      </c>
      <c r="E11" s="45">
        <f>(PROGCarb!W49+PROGCarb!X49)/1000</f>
        <v>715</v>
      </c>
      <c r="F11" s="45">
        <f>+PROGCarb!AA49/1000</f>
        <v>0</v>
      </c>
      <c r="G11" s="45" t="e">
        <f>+PROGCarb!#REF!/1000</f>
        <v>#REF!</v>
      </c>
      <c r="H11" s="46">
        <f>+PROGCarb!AD49/1000</f>
        <v>13400</v>
      </c>
      <c r="I11" s="44">
        <f>+PROGCarb!AE49/1000</f>
        <v>14000</v>
      </c>
      <c r="J11" s="45">
        <f>+PROGCarb!AF49/1000</f>
        <v>0</v>
      </c>
      <c r="K11" s="45">
        <f>+PROGCarb!AG49/1000</f>
        <v>14000</v>
      </c>
      <c r="L11" s="45">
        <f>+PROGCarb!AH49/1000</f>
        <v>0</v>
      </c>
      <c r="M11" s="45">
        <f>+PROGCarb!AI49/1000</f>
        <v>0</v>
      </c>
      <c r="N11" s="45">
        <f>+PROGCarb!AJ49/1000</f>
        <v>14000</v>
      </c>
      <c r="O11" s="46">
        <f>+PROGCarb!AK49/1000</f>
        <v>14000</v>
      </c>
    </row>
    <row r="12" spans="1:15" x14ac:dyDescent="0.25">
      <c r="A12" s="43" t="s">
        <v>31</v>
      </c>
      <c r="B12" s="44">
        <f>+PROGCarb!R50/1000</f>
        <v>11900</v>
      </c>
      <c r="C12" s="45">
        <f>+PROGCarb!U50/1000</f>
        <v>0</v>
      </c>
      <c r="D12" s="45">
        <f>+PROGCarb!V50/1000</f>
        <v>11900</v>
      </c>
      <c r="E12" s="45">
        <f>(PROGCarb!W50+PROGCarb!X50)/1000</f>
        <v>11900</v>
      </c>
      <c r="F12" s="45">
        <f>+PROGCarb!AA50/1000</f>
        <v>0</v>
      </c>
      <c r="G12" s="45" t="e">
        <f>+PROGCarb!#REF!/1000</f>
        <v>#REF!</v>
      </c>
      <c r="H12" s="46">
        <f>+PROGCarb!AD50/1000</f>
        <v>11900</v>
      </c>
      <c r="I12" s="44">
        <f>+PROGCarb!AE50/1000</f>
        <v>15400</v>
      </c>
      <c r="J12" s="45">
        <f>+PROGCarb!AF50/1000</f>
        <v>0</v>
      </c>
      <c r="K12" s="45">
        <f>+PROGCarb!AG50/1000</f>
        <v>15400</v>
      </c>
      <c r="L12" s="45">
        <f>+PROGCarb!AH50/1000</f>
        <v>0</v>
      </c>
      <c r="M12" s="45">
        <f>+PROGCarb!AI50/1000</f>
        <v>0</v>
      </c>
      <c r="N12" s="45">
        <f>+PROGCarb!AJ50/1000</f>
        <v>15400</v>
      </c>
      <c r="O12" s="46">
        <f>+PROGCarb!AK50/1000</f>
        <v>15400</v>
      </c>
    </row>
    <row r="13" spans="1:15" x14ac:dyDescent="0.25">
      <c r="A13" s="43" t="s">
        <v>36</v>
      </c>
      <c r="B13" s="44">
        <f>+PROGCarb!R51/1000</f>
        <v>7550</v>
      </c>
      <c r="C13" s="45">
        <f>+PROGCarb!U51/1000</f>
        <v>0</v>
      </c>
      <c r="D13" s="45">
        <f>+PROGCarb!V51/1000</f>
        <v>7550</v>
      </c>
      <c r="E13" s="45">
        <f>(PROGCarb!W51+PROGCarb!X51)/1000</f>
        <v>7550</v>
      </c>
      <c r="F13" s="45">
        <f>+PROGCarb!AA51/1000</f>
        <v>0</v>
      </c>
      <c r="G13" s="45" t="e">
        <f>+PROGCarb!#REF!/1000</f>
        <v>#REF!</v>
      </c>
      <c r="H13" s="46">
        <f>+PROGCarb!AD51/1000</f>
        <v>7550</v>
      </c>
      <c r="I13" s="44">
        <f>+PROGCarb!AE51/1000</f>
        <v>7600</v>
      </c>
      <c r="J13" s="45">
        <f>+PROGCarb!AF51/1000</f>
        <v>0</v>
      </c>
      <c r="K13" s="45">
        <f>+PROGCarb!AG51/1000</f>
        <v>7600</v>
      </c>
      <c r="L13" s="45">
        <f>+PROGCarb!AH51/1000</f>
        <v>1000</v>
      </c>
      <c r="M13" s="45">
        <f>+PROGCarb!AI51/1000</f>
        <v>0</v>
      </c>
      <c r="N13" s="45">
        <f>+PROGCarb!AJ51/1000</f>
        <v>6600</v>
      </c>
      <c r="O13" s="46">
        <f>+PROGCarb!AK51/1000</f>
        <v>7600</v>
      </c>
    </row>
    <row r="14" spans="1:15" x14ac:dyDescent="0.25">
      <c r="A14" s="43" t="s">
        <v>21</v>
      </c>
      <c r="B14" s="44">
        <f>+PROGCarb!R52/1000</f>
        <v>8420</v>
      </c>
      <c r="C14" s="45">
        <f>+PROGCarb!U52/1000</f>
        <v>0</v>
      </c>
      <c r="D14" s="45">
        <f>+PROGCarb!V52/1000</f>
        <v>8420</v>
      </c>
      <c r="E14" s="45">
        <f>(PROGCarb!W52+PROGCarb!X52)/1000</f>
        <v>5820</v>
      </c>
      <c r="F14" s="45">
        <f>+PROGCarb!AA52/1000</f>
        <v>0</v>
      </c>
      <c r="G14" s="45" t="e">
        <f>+PROGCarb!#REF!/1000</f>
        <v>#REF!</v>
      </c>
      <c r="H14" s="46">
        <f>+PROGCarb!AD52/1000</f>
        <v>8420</v>
      </c>
      <c r="I14" s="44">
        <f>+PROGCarb!AE52/1000</f>
        <v>12184</v>
      </c>
      <c r="J14" s="45">
        <f>+PROGCarb!AF52/1000</f>
        <v>0</v>
      </c>
      <c r="K14" s="45">
        <f>+PROGCarb!AG52/1000</f>
        <v>12184</v>
      </c>
      <c r="L14" s="45">
        <f>+PROGCarb!AH52/1000</f>
        <v>0</v>
      </c>
      <c r="M14" s="45">
        <f>+PROGCarb!AI52/1000</f>
        <v>0</v>
      </c>
      <c r="N14" s="45">
        <f>+PROGCarb!AJ52/1000</f>
        <v>12184</v>
      </c>
      <c r="O14" s="46">
        <f>+PROGCarb!AK52/1000</f>
        <v>12184</v>
      </c>
    </row>
    <row r="15" spans="1:15" x14ac:dyDescent="0.25">
      <c r="A15" s="43" t="s">
        <v>37</v>
      </c>
      <c r="B15" s="44">
        <f>+PROGCarb!R53/1000</f>
        <v>7700</v>
      </c>
      <c r="C15" s="45">
        <f>+PROGCarb!U53/1000</f>
        <v>0</v>
      </c>
      <c r="D15" s="45">
        <f>+PROGCarb!V53/1000</f>
        <v>7700</v>
      </c>
      <c r="E15" s="45">
        <f>(PROGCarb!W53+PROGCarb!X53)/1000</f>
        <v>3700</v>
      </c>
      <c r="F15" s="45">
        <f>+PROGCarb!AA53/1000</f>
        <v>0</v>
      </c>
      <c r="G15" s="45" t="e">
        <f>+PROGCarb!#REF!/1000</f>
        <v>#REF!</v>
      </c>
      <c r="H15" s="46">
        <f>+PROGCarb!AD53/1000</f>
        <v>7700</v>
      </c>
      <c r="I15" s="44">
        <f>+PROGCarb!AE53/1000</f>
        <v>7300</v>
      </c>
      <c r="J15" s="45">
        <f>+PROGCarb!AF53/1000</f>
        <v>0</v>
      </c>
      <c r="K15" s="45">
        <f>+PROGCarb!AG53/1000</f>
        <v>7300</v>
      </c>
      <c r="L15" s="45">
        <f>+PROGCarb!AH53/1000</f>
        <v>3900</v>
      </c>
      <c r="M15" s="45">
        <f>+PROGCarb!AI53/1000</f>
        <v>0</v>
      </c>
      <c r="N15" s="45">
        <f>+PROGCarb!AJ53/1000</f>
        <v>3400</v>
      </c>
      <c r="O15" s="46">
        <f>+PROGCarb!AK53/1000</f>
        <v>7300</v>
      </c>
    </row>
    <row r="16" spans="1:15" ht="13" thickBot="1" x14ac:dyDescent="0.3">
      <c r="A16" s="43" t="s">
        <v>38</v>
      </c>
      <c r="B16" s="47">
        <f>+PROGCarb!R54/1000</f>
        <v>2100</v>
      </c>
      <c r="C16" s="48">
        <f>+PROGCarb!U54/1000</f>
        <v>0</v>
      </c>
      <c r="D16" s="48">
        <f>+PROGCarb!V54/1000</f>
        <v>2100</v>
      </c>
      <c r="E16" s="48">
        <f>(PROGCarb!W54+PROGCarb!X54)/1000</f>
        <v>2100</v>
      </c>
      <c r="F16" s="48">
        <f>+PROGCarb!AA54/1000</f>
        <v>0</v>
      </c>
      <c r="G16" s="48" t="e">
        <f>+PROGCarb!#REF!/1000</f>
        <v>#REF!</v>
      </c>
      <c r="H16" s="49">
        <f>+PROGCarb!AD54/1000</f>
        <v>2100</v>
      </c>
      <c r="I16" s="47">
        <f>+PROGCarb!AE54/1000</f>
        <v>2400</v>
      </c>
      <c r="J16" s="48">
        <f>+PROGCarb!AF54/1000</f>
        <v>0</v>
      </c>
      <c r="K16" s="48">
        <f>+PROGCarb!AG54/1000</f>
        <v>2400</v>
      </c>
      <c r="L16" s="48">
        <f>+PROGCarb!AH54/1000</f>
        <v>1900</v>
      </c>
      <c r="M16" s="48">
        <f>+PROGCarb!AI54/1000</f>
        <v>0</v>
      </c>
      <c r="N16" s="48">
        <f>+PROGCarb!AJ54/1000</f>
        <v>500</v>
      </c>
      <c r="O16" s="49">
        <f>+PROGCarb!AK54/1000</f>
        <v>2400</v>
      </c>
    </row>
    <row r="17" spans="1:15" ht="13" thickBot="1" x14ac:dyDescent="0.3">
      <c r="A17" s="50" t="s">
        <v>35</v>
      </c>
      <c r="B17" s="51">
        <f t="shared" ref="B17:M17" si="0">SUM(B8:B16)</f>
        <v>201495</v>
      </c>
      <c r="C17" s="52">
        <f t="shared" si="0"/>
        <v>0</v>
      </c>
      <c r="D17" s="52">
        <f t="shared" si="0"/>
        <v>201495</v>
      </c>
      <c r="E17" s="52">
        <f>SUM(E8:E16)</f>
        <v>41410</v>
      </c>
      <c r="F17" s="52">
        <f t="shared" si="0"/>
        <v>1585</v>
      </c>
      <c r="G17" s="52" t="e">
        <f t="shared" si="0"/>
        <v>#REF!</v>
      </c>
      <c r="H17" s="53">
        <f t="shared" si="0"/>
        <v>201495</v>
      </c>
      <c r="I17" s="51">
        <f t="shared" si="0"/>
        <v>164886</v>
      </c>
      <c r="J17" s="54">
        <f t="shared" si="0"/>
        <v>0</v>
      </c>
      <c r="K17" s="54">
        <f t="shared" si="0"/>
        <v>164886</v>
      </c>
      <c r="L17" s="54">
        <f t="shared" si="0"/>
        <v>11381</v>
      </c>
      <c r="M17" s="54">
        <f t="shared" si="0"/>
        <v>860</v>
      </c>
      <c r="N17" s="54">
        <f>SUM(N8:N16)</f>
        <v>152645</v>
      </c>
      <c r="O17" s="56">
        <f>SUM(O8:O16)</f>
        <v>164886</v>
      </c>
    </row>
    <row r="18" spans="1:15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</sheetData>
  <mergeCells count="17">
    <mergeCell ref="A5:A7"/>
    <mergeCell ref="B5:B7"/>
    <mergeCell ref="H5:H7"/>
    <mergeCell ref="I5:I7"/>
    <mergeCell ref="O5:O7"/>
    <mergeCell ref="C6:C7"/>
    <mergeCell ref="D6:D7"/>
    <mergeCell ref="E6:E7"/>
    <mergeCell ref="B4:H4"/>
    <mergeCell ref="I4:O4"/>
    <mergeCell ref="N6:N7"/>
    <mergeCell ref="F6:F7"/>
    <mergeCell ref="G6:G7"/>
    <mergeCell ref="J6:J7"/>
    <mergeCell ref="K6:K7"/>
    <mergeCell ref="L6:L7"/>
    <mergeCell ref="M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PROGCarb</vt:lpstr>
      <vt:lpstr>Hoja1</vt:lpstr>
      <vt:lpstr>PROGCarb!Área_de_impresión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DCD - Carla Andrea Leigue Jimenez</dc:creator>
  <cp:lastModifiedBy>Mariela Caisana Ribera</cp:lastModifiedBy>
  <cp:lastPrinted>2018-02-26T16:04:38Z</cp:lastPrinted>
  <dcterms:created xsi:type="dcterms:W3CDTF">2015-04-17T19:15:02Z</dcterms:created>
  <dcterms:modified xsi:type="dcterms:W3CDTF">2025-07-28T12:54:39Z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8f4aff02061f4c948ded591df5ea97fb</vt:lpwstr>
  </property>
</Properties>
</file>