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07_SERVICIO AL CLIENTE POLIDUCTOS\PROGRAMACION POLIDUCTOS\Gestion 2025\08 Agosto 2025\"/>
    </mc:Choice>
  </mc:AlternateContent>
  <bookViews>
    <workbookView xWindow="0" yWindow="0" windowWidth="23016" windowHeight="5256" activeTab="4"/>
  </bookViews>
  <sheets>
    <sheet name="NOMINACIÓN" sheetId="6" r:id="rId1"/>
    <sheet name="Z1PCSPSP" sheetId="5" r:id="rId2"/>
    <sheet name="PVT" sheetId="4" r:id="rId3"/>
    <sheet name="PCOLP I" sheetId="1" r:id="rId4"/>
    <sheet name="PCOLP II" sheetId="2" r:id="rId5"/>
    <sheet name="PCPV" sheetId="3" r:id="rId6"/>
    <sheet name="GLP CBBA" sheetId="7" r:id="rId7"/>
    <sheet name="CAP UTILIZADA" sheetId="13" state="hidden" r:id="rId8"/>
    <sheet name="CUMP ACUM" sheetId="8" r:id="rId9"/>
    <sheet name="CUMP DIA" sheetId="9" state="hidden" r:id="rId10"/>
    <sheet name="CONT FIRME YPFB" sheetId="12" state="hidden" r:id="rId11"/>
    <sheet name="ANH 15" sheetId="11" r:id="rId12"/>
    <sheet name="VOL ENTREGA" sheetId="10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Print_Area" localSheetId="3">'PCOLP I'!$B$1:$AL$45</definedName>
    <definedName name="_xlnm.Print_Area" localSheetId="4">'PCOLP II'!$B$1:$AL$45</definedName>
    <definedName name="_xlnm.Print_Area" localSheetId="5">PCPV!$B$1:$AN$45</definedName>
    <definedName name="_xlnm.Print_Area" localSheetId="2">PVT!$D$1:$AI$45</definedName>
    <definedName name="_xlnm.Print_Area" localSheetId="1">Z1PCSPSP!$DL$1:$EQ$45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5" i="2" l="1"/>
  <c r="Q32" i="5" l="1"/>
  <c r="Q33" i="5"/>
  <c r="Q34" i="5"/>
  <c r="Q35" i="5"/>
  <c r="H36" i="1"/>
  <c r="F29" i="2" l="1"/>
  <c r="Q26" i="2" l="1"/>
  <c r="Q27" i="2"/>
  <c r="Q28" i="2"/>
  <c r="Q29" i="2"/>
  <c r="A35" i="7" l="1"/>
  <c r="A21" i="7"/>
  <c r="A19" i="7"/>
  <c r="AL38" i="2" l="1"/>
  <c r="Q34" i="2"/>
  <c r="A13" i="7" l="1"/>
  <c r="A14" i="7"/>
  <c r="A15" i="7" s="1"/>
  <c r="Q25" i="2" l="1"/>
  <c r="Q35" i="2" l="1"/>
  <c r="Q36" i="2"/>
  <c r="Q37" i="2"/>
  <c r="Q38" i="2"/>
  <c r="A16" i="7" l="1"/>
  <c r="A17" i="7" s="1"/>
  <c r="Q30" i="2" l="1"/>
  <c r="Q31" i="2"/>
  <c r="Q19" i="5" l="1"/>
  <c r="Q20" i="5"/>
  <c r="Q21" i="5"/>
  <c r="Q22" i="5"/>
  <c r="Q23" i="5"/>
  <c r="Q24" i="5"/>
  <c r="AV9" i="3" l="1"/>
  <c r="EA21" i="5" l="1"/>
  <c r="EA22" i="5"/>
  <c r="EA23" i="5"/>
  <c r="EA9" i="5"/>
  <c r="EA10" i="5"/>
  <c r="EA11" i="5"/>
  <c r="EA12" i="5"/>
  <c r="M30" i="8" l="1"/>
  <c r="M31" i="8"/>
  <c r="M32" i="8"/>
  <c r="N36" i="8"/>
  <c r="M37" i="8"/>
  <c r="M38" i="8"/>
  <c r="M39" i="8"/>
  <c r="N39" i="8"/>
  <c r="Q14" i="3" l="1"/>
  <c r="Q13" i="3"/>
  <c r="Q12" i="3"/>
  <c r="Q11" i="3"/>
  <c r="Q10" i="3"/>
  <c r="Q9" i="3"/>
  <c r="Q8" i="3"/>
  <c r="A7" i="7" l="1"/>
  <c r="A8" i="7" s="1"/>
  <c r="A9" i="7" s="1"/>
  <c r="A10" i="7" s="1"/>
  <c r="A11" i="7" s="1"/>
  <c r="A12" i="7" s="1"/>
  <c r="A18" i="7" s="1"/>
  <c r="A20" i="7" s="1"/>
  <c r="A22" i="7" s="1"/>
  <c r="A23" i="7" s="1"/>
  <c r="A24" i="7" l="1"/>
  <c r="A25" i="7" s="1"/>
  <c r="A26" i="7" s="1"/>
  <c r="A27" i="7" s="1"/>
  <c r="Q12" i="2"/>
  <c r="Q13" i="2"/>
  <c r="A28" i="7" l="1"/>
  <c r="A29" i="7" s="1"/>
  <c r="A30" i="7" s="1"/>
  <c r="A31" i="7" s="1"/>
  <c r="Q18" i="2"/>
  <c r="Q19" i="2"/>
  <c r="Q20" i="2"/>
  <c r="A32" i="7" l="1"/>
  <c r="A33" i="7" s="1"/>
  <c r="A34" i="7" s="1"/>
  <c r="A36" i="7" s="1"/>
  <c r="Q15" i="2"/>
  <c r="Q16" i="2"/>
  <c r="B36" i="7"/>
  <c r="AP8" i="4" l="1"/>
  <c r="AM8" i="4"/>
  <c r="AL8" i="4"/>
  <c r="AR8" i="5" l="1"/>
  <c r="AP8" i="5"/>
  <c r="DA8" i="5"/>
  <c r="CZ8" i="5"/>
  <c r="CY8" i="5"/>
  <c r="EU8" i="5"/>
  <c r="Q32" i="2" l="1"/>
  <c r="Q33" i="2"/>
  <c r="Q21" i="2"/>
  <c r="Q22" i="2"/>
  <c r="Q23" i="2"/>
  <c r="B8" i="7" l="1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7" i="7"/>
  <c r="B28" i="7"/>
  <c r="B29" i="7"/>
  <c r="B32" i="7"/>
  <c r="B33" i="7"/>
  <c r="B34" i="7"/>
  <c r="B35" i="7"/>
  <c r="B6" i="7"/>
  <c r="S20" i="4" l="1"/>
  <c r="EA16" i="5" l="1"/>
  <c r="EA15" i="5"/>
  <c r="Q27" i="5" l="1"/>
  <c r="Q26" i="5"/>
  <c r="Q25" i="5"/>
  <c r="BR38" i="5" l="1"/>
  <c r="BR37" i="5"/>
  <c r="BR36" i="5"/>
  <c r="BR35" i="5"/>
  <c r="BR34" i="5"/>
  <c r="BR33" i="5"/>
  <c r="BR32" i="5"/>
  <c r="EA34" i="5"/>
  <c r="EA26" i="5"/>
  <c r="EA14" i="5"/>
  <c r="EA13" i="5"/>
  <c r="EA17" i="5" l="1"/>
  <c r="EA25" i="5"/>
  <c r="EA24" i="5"/>
  <c r="Q14" i="2" l="1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Q11" i="2" l="1"/>
  <c r="P39" i="2"/>
  <c r="N39" i="2"/>
  <c r="L39" i="2"/>
  <c r="J39" i="2"/>
  <c r="H39" i="2"/>
  <c r="F39" i="2"/>
  <c r="AA39" i="2"/>
  <c r="Y39" i="2"/>
  <c r="W39" i="2"/>
  <c r="D39" i="2" l="1"/>
  <c r="Q39" i="2" s="1"/>
  <c r="Q17" i="2" l="1"/>
  <c r="Q24" i="2" l="1"/>
  <c r="Q8" i="2"/>
  <c r="AS39" i="4" l="1"/>
  <c r="E36" i="7" l="1"/>
  <c r="Q9" i="2" l="1"/>
  <c r="AW39" i="2" l="1"/>
  <c r="Q10" i="2" l="1"/>
  <c r="S16" i="4"/>
  <c r="S17" i="4"/>
  <c r="S18" i="4"/>
  <c r="S19" i="4"/>
  <c r="AI26" i="4" l="1"/>
  <c r="P27" i="8" s="1"/>
  <c r="AI27" i="4"/>
  <c r="P28" i="8" s="1"/>
  <c r="S27" i="4"/>
  <c r="S28" i="4"/>
  <c r="B7" i="7" l="1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AU40" i="5" l="1"/>
  <c r="AT8" i="1" l="1"/>
  <c r="AP8" i="1"/>
  <c r="AV39" i="1"/>
  <c r="AW39" i="1"/>
  <c r="AX39" i="1"/>
  <c r="AY39" i="1"/>
  <c r="AZ39" i="1"/>
  <c r="BA39" i="1"/>
  <c r="AT8" i="2"/>
  <c r="AV39" i="2" l="1"/>
  <c r="EA8" i="5" l="1"/>
  <c r="EA30" i="5" l="1"/>
  <c r="EA29" i="5"/>
  <c r="EA28" i="5"/>
  <c r="EA27" i="5"/>
  <c r="EA33" i="5"/>
  <c r="EA32" i="5"/>
  <c r="EA31" i="5"/>
  <c r="EA18" i="5" l="1"/>
  <c r="Q31" i="5" l="1"/>
  <c r="Q30" i="5"/>
  <c r="Q29" i="5"/>
  <c r="Q28" i="5"/>
  <c r="Q36" i="5" l="1"/>
  <c r="Q18" i="5"/>
  <c r="Q17" i="5"/>
  <c r="Q16" i="5"/>
  <c r="Q15" i="5"/>
  <c r="Q14" i="5"/>
  <c r="Q13" i="5"/>
  <c r="Q12" i="5"/>
  <c r="Q11" i="5"/>
  <c r="Q10" i="5"/>
  <c r="Q9" i="5"/>
  <c r="Q8" i="5"/>
  <c r="BR31" i="5"/>
  <c r="BR30" i="5"/>
  <c r="BR29" i="5"/>
  <c r="BR28" i="5"/>
  <c r="BR27" i="5"/>
  <c r="BR26" i="5"/>
  <c r="BR25" i="5"/>
  <c r="BR24" i="5"/>
  <c r="BR23" i="5"/>
  <c r="BR22" i="5"/>
  <c r="BR21" i="5"/>
  <c r="BR20" i="5"/>
  <c r="BR19" i="5"/>
  <c r="BR18" i="5"/>
  <c r="BR17" i="5"/>
  <c r="BR16" i="5"/>
  <c r="BR15" i="5"/>
  <c r="BR14" i="5"/>
  <c r="BR13" i="5"/>
  <c r="BR12" i="5"/>
  <c r="BR11" i="5"/>
  <c r="BR10" i="5"/>
  <c r="BR9" i="5"/>
  <c r="BR8" i="5"/>
  <c r="F36" i="7" l="1"/>
  <c r="G36" i="7"/>
  <c r="H36" i="7" l="1"/>
  <c r="AX17" i="5" l="1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10" i="5"/>
  <c r="AX11" i="5"/>
  <c r="AX12" i="5"/>
  <c r="AX13" i="5"/>
  <c r="AX14" i="5"/>
  <c r="AX16" i="5"/>
  <c r="AT39" i="4" l="1"/>
  <c r="AU39" i="4"/>
  <c r="AV39" i="4"/>
  <c r="AW39" i="4"/>
  <c r="C38" i="7" l="1"/>
  <c r="S33" i="4" l="1"/>
  <c r="S32" i="4"/>
  <c r="S31" i="4"/>
  <c r="AL17" i="2" l="1"/>
  <c r="K18" i="8" s="1"/>
  <c r="AL18" i="2"/>
  <c r="K19" i="8" s="1"/>
  <c r="EA35" i="5" l="1"/>
  <c r="AI38" i="4" l="1"/>
  <c r="P39" i="8" s="1"/>
  <c r="AI37" i="4"/>
  <c r="P38" i="8" s="1"/>
  <c r="Q37" i="5"/>
  <c r="I39" i="8" l="1"/>
  <c r="AM17" i="2" l="1"/>
  <c r="AM18" i="2"/>
  <c r="AN8" i="3" l="1"/>
  <c r="AN9" i="3"/>
  <c r="L10" i="8" s="1"/>
  <c r="AN10" i="3"/>
  <c r="L11" i="8" s="1"/>
  <c r="AN11" i="3"/>
  <c r="L12" i="8" s="1"/>
  <c r="AN12" i="3"/>
  <c r="L13" i="8" s="1"/>
  <c r="AN13" i="3"/>
  <c r="L14" i="8" s="1"/>
  <c r="AN14" i="3"/>
  <c r="L15" i="8" s="1"/>
  <c r="AN15" i="3"/>
  <c r="L16" i="8" s="1"/>
  <c r="AN16" i="3"/>
  <c r="L17" i="8" s="1"/>
  <c r="AN17" i="3"/>
  <c r="L18" i="8" s="1"/>
  <c r="AN18" i="3"/>
  <c r="L19" i="8" s="1"/>
  <c r="AN19" i="3"/>
  <c r="L20" i="8" s="1"/>
  <c r="CT32" i="5" l="1"/>
  <c r="N33" i="8" s="1"/>
  <c r="CT33" i="5"/>
  <c r="N34" i="8" s="1"/>
  <c r="AV10" i="3" l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AV26" i="3" s="1"/>
  <c r="AV27" i="3" s="1"/>
  <c r="AV28" i="3" s="1"/>
  <c r="AV29" i="3" s="1"/>
  <c r="AV30" i="3" s="1"/>
  <c r="AV31" i="3" s="1"/>
  <c r="AV32" i="3" s="1"/>
  <c r="AV33" i="3" s="1"/>
  <c r="AV34" i="3" s="1"/>
  <c r="AV35" i="3" s="1"/>
  <c r="AV36" i="3" s="1"/>
  <c r="AV37" i="3" s="1"/>
  <c r="AV38" i="3" s="1"/>
  <c r="S8" i="4" l="1"/>
  <c r="AK23" i="5" l="1"/>
  <c r="M24" i="8" s="1"/>
  <c r="EA20" i="5" l="1"/>
  <c r="EA19" i="5"/>
  <c r="AX9" i="5" l="1"/>
  <c r="FA39" i="5" l="1"/>
  <c r="K36" i="6" l="1"/>
  <c r="K35" i="6"/>
  <c r="K33" i="6"/>
  <c r="K32" i="6"/>
  <c r="J31" i="6"/>
  <c r="K30" i="6"/>
  <c r="J29" i="6"/>
  <c r="K28" i="6"/>
  <c r="J27" i="6"/>
  <c r="K26" i="6"/>
  <c r="K37" i="6" s="1"/>
  <c r="J25" i="6"/>
  <c r="EA36" i="5" l="1"/>
  <c r="EA37" i="5"/>
  <c r="EA38" i="5"/>
  <c r="AL9" i="2" l="1"/>
  <c r="K10" i="8" s="1"/>
  <c r="EQ29" i="5" l="1"/>
  <c r="O30" i="8" s="1"/>
  <c r="CI39" i="5" l="1"/>
  <c r="Q15" i="1" l="1"/>
  <c r="R15" i="1"/>
  <c r="Q16" i="1"/>
  <c r="R16" i="1"/>
  <c r="CT26" i="5" l="1"/>
  <c r="CT27" i="5"/>
  <c r="CT28" i="5"/>
  <c r="CT29" i="5"/>
  <c r="CU28" i="5" l="1"/>
  <c r="N29" i="8"/>
  <c r="CU27" i="5"/>
  <c r="N28" i="8"/>
  <c r="CU26" i="5"/>
  <c r="N27" i="8"/>
  <c r="CU29" i="5"/>
  <c r="N30" i="8"/>
  <c r="AI33" i="4"/>
  <c r="P34" i="8" s="1"/>
  <c r="AI34" i="4"/>
  <c r="P35" i="8" s="1"/>
  <c r="AI35" i="4"/>
  <c r="P36" i="8" s="1"/>
  <c r="AI36" i="4"/>
  <c r="P37" i="8" s="1"/>
  <c r="EX8" i="5" l="1"/>
  <c r="EW8" i="5"/>
  <c r="EV8" i="5"/>
  <c r="AX39" i="2" l="1"/>
  <c r="AY39" i="2"/>
  <c r="AZ39" i="2"/>
  <c r="BA39" i="2"/>
  <c r="J23" i="11" l="1"/>
  <c r="J24" i="11" s="1"/>
  <c r="L15" i="11"/>
  <c r="L16" i="11" s="1"/>
  <c r="G36" i="6" l="1"/>
  <c r="J38" i="7" l="1"/>
  <c r="CT34" i="5" l="1"/>
  <c r="N35" i="8" s="1"/>
  <c r="AL36" i="1" l="1"/>
  <c r="J37" i="8" s="1"/>
  <c r="C36" i="6" l="1"/>
  <c r="AK21" i="5" l="1"/>
  <c r="M22" i="8" s="1"/>
  <c r="CT30" i="5" l="1"/>
  <c r="N31" i="8" s="1"/>
  <c r="CT25" i="5" l="1"/>
  <c r="A9" i="8"/>
  <c r="CU25" i="5" l="1"/>
  <c r="N26" i="8"/>
  <c r="F39" i="1"/>
  <c r="H39" i="1"/>
  <c r="J39" i="1"/>
  <c r="L39" i="1"/>
  <c r="Q37" i="3" l="1"/>
  <c r="H39" i="3"/>
  <c r="Q38" i="3"/>
  <c r="J39" i="3"/>
  <c r="L39" i="3"/>
  <c r="N39" i="3"/>
  <c r="P39" i="3"/>
  <c r="W39" i="3"/>
  <c r="Y39" i="3"/>
  <c r="AA39" i="3"/>
  <c r="AC39" i="3"/>
  <c r="AE39" i="3"/>
  <c r="AG39" i="3"/>
  <c r="AI39" i="3"/>
  <c r="AK39" i="3"/>
  <c r="I23" i="11" s="1"/>
  <c r="AS8" i="2" l="1"/>
  <c r="AR8" i="2"/>
  <c r="AQ8" i="2"/>
  <c r="N40" i="3" l="1"/>
  <c r="AR8" i="3" l="1"/>
  <c r="F39" i="4" l="1"/>
  <c r="H39" i="4"/>
  <c r="AB39" i="5" l="1"/>
  <c r="I37" i="8" l="1"/>
  <c r="I38" i="8"/>
  <c r="AN37" i="3" l="1"/>
  <c r="L38" i="8" s="1"/>
  <c r="AN36" i="3"/>
  <c r="L37" i="8" s="1"/>
  <c r="AN35" i="3"/>
  <c r="L36" i="8" s="1"/>
  <c r="AN34" i="3"/>
  <c r="L35" i="8" s="1"/>
  <c r="AN33" i="3"/>
  <c r="L34" i="8" s="1"/>
  <c r="AN32" i="3"/>
  <c r="L33" i="8" s="1"/>
  <c r="AN31" i="3"/>
  <c r="L32" i="8" s="1"/>
  <c r="AN30" i="3"/>
  <c r="L31" i="8" s="1"/>
  <c r="AN29" i="3"/>
  <c r="L30" i="8" s="1"/>
  <c r="AN28" i="3"/>
  <c r="L29" i="8" s="1"/>
  <c r="AN27" i="3"/>
  <c r="L28" i="8" s="1"/>
  <c r="AL15" i="1" l="1"/>
  <c r="J16" i="8" s="1"/>
  <c r="Q37" i="1" l="1"/>
  <c r="AL37" i="1"/>
  <c r="J38" i="8" s="1"/>
  <c r="AS8" i="1" l="1"/>
  <c r="AR8" i="1"/>
  <c r="AQ8" i="1"/>
  <c r="AO8" i="4" l="1"/>
  <c r="AN8" i="4"/>
  <c r="DE39" i="5" l="1"/>
  <c r="S9" i="1" l="1"/>
  <c r="S9" i="4" l="1"/>
  <c r="S10" i="4"/>
  <c r="S11" i="4"/>
  <c r="S12" i="4"/>
  <c r="S13" i="4"/>
  <c r="S14" i="4"/>
  <c r="S15" i="4"/>
  <c r="AJ10" i="8" l="1"/>
  <c r="AK10" i="8"/>
  <c r="AL10" i="8"/>
  <c r="AM10" i="8"/>
  <c r="AN10" i="8"/>
  <c r="AO10" i="8"/>
  <c r="AP10" i="8"/>
  <c r="AI10" i="8"/>
  <c r="D39" i="1" l="1"/>
  <c r="E35" i="7" l="1"/>
  <c r="E34" i="7"/>
  <c r="E33" i="7"/>
  <c r="E32" i="7"/>
  <c r="E31" i="7"/>
  <c r="E30" i="7"/>
  <c r="E29" i="7"/>
  <c r="E28" i="7"/>
  <c r="E27" i="7"/>
  <c r="E26" i="7"/>
  <c r="E25" i="7"/>
  <c r="S16" i="1" l="1"/>
  <c r="S15" i="1"/>
  <c r="DD39" i="5"/>
  <c r="DF39" i="5"/>
  <c r="DG39" i="5"/>
  <c r="DH39" i="5"/>
  <c r="G20" i="12" l="1"/>
  <c r="I24" i="12"/>
  <c r="F24" i="12"/>
  <c r="B24" i="12"/>
  <c r="D18" i="12"/>
  <c r="D19" i="12" s="1"/>
  <c r="C18" i="12"/>
  <c r="E18" i="12" s="1"/>
  <c r="C17" i="12"/>
  <c r="E17" i="12" s="1"/>
  <c r="I13" i="12"/>
  <c r="B13" i="12"/>
  <c r="D7" i="12"/>
  <c r="D10" i="12" s="1"/>
  <c r="C6" i="12"/>
  <c r="E6" i="12" s="1"/>
  <c r="D20" i="12" l="1"/>
  <c r="D21" i="12" s="1"/>
  <c r="C19" i="12"/>
  <c r="C7" i="12"/>
  <c r="E7" i="12" s="1"/>
  <c r="D22" i="12"/>
  <c r="C21" i="12"/>
  <c r="D11" i="12"/>
  <c r="C10" i="12"/>
  <c r="E19" i="12"/>
  <c r="D8" i="12"/>
  <c r="C20" i="12"/>
  <c r="D12" i="12" l="1"/>
  <c r="C12" i="12" s="1"/>
  <c r="C11" i="12"/>
  <c r="D9" i="12"/>
  <c r="C9" i="12" s="1"/>
  <c r="C8" i="12"/>
  <c r="D23" i="12"/>
  <c r="C23" i="12" s="1"/>
  <c r="C22" i="12"/>
  <c r="H20" i="12"/>
  <c r="E20" i="12"/>
  <c r="J20" i="12"/>
  <c r="K20" i="12" s="1"/>
  <c r="E21" i="12"/>
  <c r="C24" i="12"/>
  <c r="E10" i="12"/>
  <c r="E11" i="12" l="1"/>
  <c r="H9" i="12"/>
  <c r="J9" i="12"/>
  <c r="K9" i="12" s="1"/>
  <c r="E9" i="12"/>
  <c r="E22" i="12"/>
  <c r="H8" i="12"/>
  <c r="E8" i="12"/>
  <c r="J8" i="12"/>
  <c r="C13" i="12"/>
  <c r="E12" i="12"/>
  <c r="E23" i="12"/>
  <c r="E24" i="12" s="1"/>
  <c r="K8" i="12" l="1"/>
  <c r="E13" i="12"/>
  <c r="AK8" i="5" l="1"/>
  <c r="AK9" i="5"/>
  <c r="M10" i="8" s="1"/>
  <c r="AK10" i="5"/>
  <c r="M11" i="8" s="1"/>
  <c r="AK11" i="5"/>
  <c r="M12" i="8" s="1"/>
  <c r="AK12" i="5"/>
  <c r="M13" i="8" s="1"/>
  <c r="AK13" i="5"/>
  <c r="M14" i="8" s="1"/>
  <c r="AK14" i="5"/>
  <c r="M15" i="8" s="1"/>
  <c r="AK15" i="5"/>
  <c r="M16" i="8" s="1"/>
  <c r="AK16" i="5"/>
  <c r="M17" i="8" s="1"/>
  <c r="AK17" i="5"/>
  <c r="M18" i="8" s="1"/>
  <c r="AK18" i="5"/>
  <c r="M19" i="8" s="1"/>
  <c r="AK19" i="5"/>
  <c r="M20" i="8" s="1"/>
  <c r="AK20" i="5"/>
  <c r="M21" i="8" s="1"/>
  <c r="AK22" i="5"/>
  <c r="M23" i="8" s="1"/>
  <c r="AK24" i="5"/>
  <c r="M25" i="8" s="1"/>
  <c r="AK25" i="5"/>
  <c r="M26" i="8" s="1"/>
  <c r="AK26" i="5"/>
  <c r="M27" i="8" s="1"/>
  <c r="AK27" i="5"/>
  <c r="M28" i="8" s="1"/>
  <c r="AK28" i="5"/>
  <c r="M29" i="8" s="1"/>
  <c r="AK29" i="5"/>
  <c r="AK30" i="5"/>
  <c r="AK31" i="5"/>
  <c r="AK32" i="5"/>
  <c r="M33" i="8" s="1"/>
  <c r="AK33" i="5"/>
  <c r="M34" i="8" s="1"/>
  <c r="AK34" i="5"/>
  <c r="M35" i="8" s="1"/>
  <c r="AK35" i="5"/>
  <c r="M36" i="8" s="1"/>
  <c r="AK36" i="5"/>
  <c r="AK37" i="5"/>
  <c r="AK38" i="5"/>
  <c r="X39" i="5"/>
  <c r="Z39" i="5"/>
  <c r="AB41" i="5"/>
  <c r="AD39" i="5"/>
  <c r="AF39" i="5"/>
  <c r="AH39" i="5"/>
  <c r="AJ39" i="5"/>
  <c r="AD40" i="5"/>
  <c r="AH40" i="5"/>
  <c r="AJ40" i="5"/>
  <c r="AH41" i="5" l="1"/>
  <c r="AJ41" i="5"/>
  <c r="X41" i="5"/>
  <c r="AD41" i="5"/>
  <c r="AK39" i="5"/>
  <c r="V39" i="4"/>
  <c r="X39" i="4"/>
  <c r="G23" i="12" s="1"/>
  <c r="AB39" i="4"/>
  <c r="AD39" i="4"/>
  <c r="AB40" i="4"/>
  <c r="G12" i="12" l="1"/>
  <c r="J12" i="12" s="1"/>
  <c r="K12" i="12" s="1"/>
  <c r="H23" i="12"/>
  <c r="J23" i="12"/>
  <c r="K23" i="12" s="1"/>
  <c r="H12" i="12" l="1"/>
  <c r="C8" i="13" l="1"/>
  <c r="AE40" i="3" l="1"/>
  <c r="F8" i="7" l="1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G7" i="7"/>
  <c r="F7" i="7"/>
  <c r="G6" i="7"/>
  <c r="F6" i="7"/>
  <c r="H32" i="7" l="1"/>
  <c r="H31" i="7"/>
  <c r="H15" i="7"/>
  <c r="H16" i="7"/>
  <c r="H14" i="7"/>
  <c r="H8" i="7"/>
  <c r="H9" i="7"/>
  <c r="H22" i="7"/>
  <c r="H10" i="7"/>
  <c r="H25" i="7"/>
  <c r="H12" i="7"/>
  <c r="H13" i="7"/>
  <c r="H19" i="7"/>
  <c r="H20" i="7"/>
  <c r="H33" i="7"/>
  <c r="H34" i="7"/>
  <c r="H30" i="7"/>
  <c r="H29" i="7"/>
  <c r="H27" i="7"/>
  <c r="H28" i="7"/>
  <c r="H26" i="7"/>
  <c r="H24" i="7"/>
  <c r="H23" i="7"/>
  <c r="H18" i="7"/>
  <c r="H17" i="7"/>
  <c r="H11" i="7"/>
  <c r="H21" i="7"/>
  <c r="H35" i="7"/>
  <c r="AN38" i="3"/>
  <c r="L39" i="8" s="1"/>
  <c r="I34" i="7" l="1"/>
  <c r="I35" i="7" s="1"/>
  <c r="I36" i="7" s="1"/>
  <c r="EF39" i="5"/>
  <c r="G22" i="12" s="1"/>
  <c r="H22" i="12" l="1"/>
  <c r="J22" i="12"/>
  <c r="K22" i="12" s="1"/>
  <c r="AL38" i="1"/>
  <c r="J39" i="8" s="1"/>
  <c r="EQ38" i="5" l="1"/>
  <c r="O39" i="8" s="1"/>
  <c r="EQ37" i="5"/>
  <c r="O38" i="8" s="1"/>
  <c r="ER38" i="5" l="1"/>
  <c r="ER37" i="5"/>
  <c r="R10" i="1"/>
  <c r="R11" i="1"/>
  <c r="R12" i="1"/>
  <c r="R13" i="1"/>
  <c r="R14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9" i="1"/>
  <c r="R8" i="1"/>
  <c r="S10" i="1"/>
  <c r="S11" i="1"/>
  <c r="S12" i="1"/>
  <c r="S13" i="1"/>
  <c r="S14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D38" i="7"/>
  <c r="S38" i="1" l="1"/>
  <c r="S36" i="1"/>
  <c r="S32" i="1"/>
  <c r="S35" i="1"/>
  <c r="S34" i="1"/>
  <c r="S37" i="1"/>
  <c r="S33" i="1"/>
  <c r="S35" i="4" l="1"/>
  <c r="S34" i="4"/>
  <c r="S30" i="4"/>
  <c r="S29" i="4"/>
  <c r="S26" i="4"/>
  <c r="S25" i="4"/>
  <c r="S24" i="4"/>
  <c r="S23" i="4"/>
  <c r="S22" i="4"/>
  <c r="S21" i="4"/>
  <c r="CT36" i="5" l="1"/>
  <c r="N37" i="8" s="1"/>
  <c r="CT37" i="5"/>
  <c r="N38" i="8" s="1"/>
  <c r="CT38" i="5"/>
  <c r="EQ34" i="5" l="1"/>
  <c r="O35" i="8" s="1"/>
  <c r="EQ35" i="5"/>
  <c r="O36" i="8" s="1"/>
  <c r="EQ36" i="5"/>
  <c r="O37" i="8" s="1"/>
  <c r="Q38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4" i="1"/>
  <c r="Q13" i="1"/>
  <c r="Q12" i="1"/>
  <c r="Q11" i="1"/>
  <c r="Q10" i="1"/>
  <c r="Q9" i="1"/>
  <c r="Q8" i="1"/>
  <c r="S38" i="4"/>
  <c r="S37" i="4"/>
  <c r="AJ37" i="4" s="1"/>
  <c r="S36" i="4"/>
  <c r="Q38" i="5"/>
  <c r="AN23" i="3" l="1"/>
  <c r="L24" i="8" s="1"/>
  <c r="AN24" i="3"/>
  <c r="L25" i="8" s="1"/>
  <c r="H22" i="10" l="1"/>
  <c r="G22" i="10"/>
  <c r="E22" i="10"/>
  <c r="D22" i="10"/>
  <c r="H21" i="10"/>
  <c r="G21" i="10"/>
  <c r="E21" i="10"/>
  <c r="D21" i="10"/>
  <c r="H20" i="10"/>
  <c r="G20" i="10"/>
  <c r="E20" i="10"/>
  <c r="D20" i="10"/>
  <c r="H8" i="10"/>
  <c r="H19" i="10" s="1"/>
  <c r="G8" i="10"/>
  <c r="G19" i="10" s="1"/>
  <c r="F8" i="10"/>
  <c r="F19" i="10" s="1"/>
  <c r="E8" i="10"/>
  <c r="E19" i="10" s="1"/>
  <c r="D8" i="10"/>
  <c r="D19" i="10" s="1"/>
  <c r="C8" i="10"/>
  <c r="B8" i="10"/>
  <c r="B19" i="10" s="1"/>
  <c r="Q56" i="11"/>
  <c r="H56" i="11"/>
  <c r="F56" i="11"/>
  <c r="D56" i="11"/>
  <c r="P55" i="11"/>
  <c r="Q47" i="11"/>
  <c r="F47" i="11"/>
  <c r="D47" i="11"/>
  <c r="P46" i="11"/>
  <c r="Q39" i="11"/>
  <c r="P38" i="11"/>
  <c r="Q31" i="11"/>
  <c r="H31" i="11"/>
  <c r="F31" i="11"/>
  <c r="D31" i="11"/>
  <c r="P30" i="11"/>
  <c r="Q23" i="11"/>
  <c r="H23" i="11"/>
  <c r="F23" i="11"/>
  <c r="E23" i="11"/>
  <c r="D23" i="11"/>
  <c r="P22" i="11"/>
  <c r="Q15" i="11"/>
  <c r="H15" i="11"/>
  <c r="F15" i="11"/>
  <c r="D15" i="11"/>
  <c r="P14" i="11"/>
  <c r="Q7" i="11"/>
  <c r="N7" i="11"/>
  <c r="L7" i="11"/>
  <c r="J7" i="11"/>
  <c r="H7" i="11"/>
  <c r="F7" i="11"/>
  <c r="D7" i="11"/>
  <c r="P6" i="11"/>
  <c r="H63" i="9"/>
  <c r="G63" i="9"/>
  <c r="F63" i="9"/>
  <c r="E63" i="9"/>
  <c r="D63" i="9"/>
  <c r="C63" i="9"/>
  <c r="B63" i="9"/>
  <c r="I62" i="9"/>
  <c r="I61" i="9"/>
  <c r="I60" i="9"/>
  <c r="I59" i="9"/>
  <c r="I58" i="9"/>
  <c r="I57" i="9"/>
  <c r="I56" i="9"/>
  <c r="B43" i="9"/>
  <c r="H34" i="9"/>
  <c r="G34" i="9"/>
  <c r="F34" i="9"/>
  <c r="E34" i="9"/>
  <c r="D34" i="9"/>
  <c r="C34" i="9"/>
  <c r="B34" i="9"/>
  <c r="H29" i="9"/>
  <c r="G29" i="9"/>
  <c r="F29" i="9"/>
  <c r="E29" i="9"/>
  <c r="D29" i="9"/>
  <c r="C29" i="9"/>
  <c r="B29" i="9"/>
  <c r="H24" i="9"/>
  <c r="G24" i="9"/>
  <c r="F24" i="9"/>
  <c r="E24" i="9"/>
  <c r="D24" i="9"/>
  <c r="C24" i="9"/>
  <c r="B24" i="9"/>
  <c r="H19" i="9"/>
  <c r="G19" i="9"/>
  <c r="F19" i="9"/>
  <c r="E19" i="9"/>
  <c r="D19" i="9"/>
  <c r="C19" i="9"/>
  <c r="B19" i="9"/>
  <c r="H14" i="9"/>
  <c r="G14" i="9"/>
  <c r="F14" i="9"/>
  <c r="E14" i="9"/>
  <c r="D14" i="9"/>
  <c r="C14" i="9"/>
  <c r="B14" i="9"/>
  <c r="H9" i="9"/>
  <c r="G9" i="9"/>
  <c r="F9" i="9"/>
  <c r="E9" i="9"/>
  <c r="D9" i="9"/>
  <c r="C9" i="9"/>
  <c r="B9" i="9"/>
  <c r="H4" i="9"/>
  <c r="G4" i="9"/>
  <c r="F4" i="9"/>
  <c r="E4" i="9"/>
  <c r="D4" i="9"/>
  <c r="C4" i="9"/>
  <c r="B4" i="9"/>
  <c r="H40" i="8"/>
  <c r="G40" i="8"/>
  <c r="F40" i="8"/>
  <c r="E40" i="8"/>
  <c r="D40" i="8"/>
  <c r="C40" i="8"/>
  <c r="B40" i="8"/>
  <c r="I36" i="8"/>
  <c r="I35" i="8"/>
  <c r="I34" i="8"/>
  <c r="I33" i="8"/>
  <c r="I32" i="8"/>
  <c r="I31" i="8"/>
  <c r="I30" i="8"/>
  <c r="I29" i="8"/>
  <c r="I28" i="8"/>
  <c r="I27" i="8"/>
  <c r="I26" i="8"/>
  <c r="AB25" i="8"/>
  <c r="I25" i="8"/>
  <c r="AB24" i="8"/>
  <c r="I24" i="8"/>
  <c r="I23" i="8"/>
  <c r="I22" i="8"/>
  <c r="I21" i="8"/>
  <c r="I20" i="8"/>
  <c r="I19" i="8"/>
  <c r="I18" i="8"/>
  <c r="I17" i="8"/>
  <c r="I16" i="8"/>
  <c r="I15" i="8"/>
  <c r="I14" i="8"/>
  <c r="AC13" i="8"/>
  <c r="I13" i="8"/>
  <c r="I12" i="8"/>
  <c r="I11" i="8"/>
  <c r="I10" i="8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I9" i="8"/>
  <c r="S8" i="1"/>
  <c r="AU40" i="4"/>
  <c r="AU41" i="4" s="1"/>
  <c r="AH40" i="4"/>
  <c r="AF40" i="4"/>
  <c r="AY39" i="4"/>
  <c r="AX39" i="4"/>
  <c r="AH39" i="4"/>
  <c r="AF39" i="4"/>
  <c r="F11" i="10"/>
  <c r="F22" i="10" s="1"/>
  <c r="C11" i="10"/>
  <c r="R39" i="4"/>
  <c r="R41" i="4" s="1"/>
  <c r="P39" i="4"/>
  <c r="P41" i="4" s="1"/>
  <c r="N39" i="4"/>
  <c r="L39" i="4"/>
  <c r="L41" i="4" s="1"/>
  <c r="J39" i="4"/>
  <c r="C39" i="4"/>
  <c r="C41" i="4" s="1"/>
  <c r="AF36" i="8"/>
  <c r="AF35" i="8"/>
  <c r="AJ33" i="4"/>
  <c r="AI32" i="4"/>
  <c r="AI31" i="4"/>
  <c r="AI30" i="4"/>
  <c r="AI29" i="4"/>
  <c r="AI28" i="4"/>
  <c r="AF28" i="8"/>
  <c r="AF27" i="8"/>
  <c r="AI25" i="4"/>
  <c r="AI24" i="4"/>
  <c r="AI23" i="4"/>
  <c r="AI22" i="4"/>
  <c r="P23" i="8" s="1"/>
  <c r="AI21" i="4"/>
  <c r="AI20" i="4"/>
  <c r="AI19" i="4"/>
  <c r="AI18" i="4"/>
  <c r="P19" i="8" s="1"/>
  <c r="AI17" i="4"/>
  <c r="P18" i="8" s="1"/>
  <c r="AI16" i="4"/>
  <c r="P17" i="8" s="1"/>
  <c r="AI15" i="4"/>
  <c r="AI14" i="4"/>
  <c r="AI13" i="4"/>
  <c r="AI12" i="4"/>
  <c r="AI11" i="4"/>
  <c r="AI10" i="4"/>
  <c r="AI9" i="4"/>
  <c r="AI8" i="4"/>
  <c r="P9" i="8" s="1"/>
  <c r="AM40" i="3"/>
  <c r="AK40" i="3"/>
  <c r="AG40" i="3"/>
  <c r="AG41" i="3" s="1"/>
  <c r="Y40" i="3"/>
  <c r="W40" i="3"/>
  <c r="W41" i="3" s="1"/>
  <c r="BD39" i="3"/>
  <c r="BC39" i="3"/>
  <c r="BB39" i="3"/>
  <c r="BA39" i="3"/>
  <c r="AZ39" i="3"/>
  <c r="AY39" i="3"/>
  <c r="AX39" i="3"/>
  <c r="AM39" i="3"/>
  <c r="H7" i="10" s="1"/>
  <c r="G7" i="10"/>
  <c r="G18" i="10" s="1"/>
  <c r="G23" i="11"/>
  <c r="G24" i="11" s="1"/>
  <c r="D7" i="10"/>
  <c r="D18" i="10" s="1"/>
  <c r="AA41" i="3"/>
  <c r="Y41" i="3"/>
  <c r="P41" i="3"/>
  <c r="N41" i="3"/>
  <c r="J41" i="3"/>
  <c r="F39" i="3"/>
  <c r="D39" i="3"/>
  <c r="D41" i="3" s="1"/>
  <c r="AO38" i="3"/>
  <c r="AO37" i="3"/>
  <c r="AO36" i="3"/>
  <c r="AB35" i="8"/>
  <c r="AB34" i="8"/>
  <c r="AB33" i="8"/>
  <c r="AB32" i="8"/>
  <c r="AO30" i="3"/>
  <c r="AB30" i="8"/>
  <c r="AB29" i="8"/>
  <c r="AO27" i="3"/>
  <c r="AN26" i="3"/>
  <c r="AN25" i="3"/>
  <c r="AO24" i="3"/>
  <c r="AO23" i="3"/>
  <c r="AN22" i="3"/>
  <c r="AN21" i="3"/>
  <c r="AN20" i="3"/>
  <c r="AB19" i="8"/>
  <c r="AB18" i="8"/>
  <c r="AB17" i="8"/>
  <c r="AB16" i="8"/>
  <c r="AB15" i="8"/>
  <c r="AB14" i="8"/>
  <c r="AB13" i="8"/>
  <c r="AB12" i="8"/>
  <c r="AB11" i="8"/>
  <c r="AB10" i="8"/>
  <c r="L9" i="8"/>
  <c r="BI40" i="2"/>
  <c r="BG40" i="2"/>
  <c r="BE40" i="2"/>
  <c r="BC40" i="2"/>
  <c r="W40" i="2"/>
  <c r="W41" i="2" s="1"/>
  <c r="BI39" i="2"/>
  <c r="BH39" i="2"/>
  <c r="BG39" i="2"/>
  <c r="BF39" i="2"/>
  <c r="BE39" i="2"/>
  <c r="BE41" i="2" s="1"/>
  <c r="BD39" i="2"/>
  <c r="BD41" i="2" s="1"/>
  <c r="BC39" i="2"/>
  <c r="BB39" i="2"/>
  <c r="AK39" i="2"/>
  <c r="BB40" i="2" s="1"/>
  <c r="AI39" i="2"/>
  <c r="AG39" i="2"/>
  <c r="AZ40" i="2" s="1"/>
  <c r="AE39" i="2"/>
  <c r="AC39" i="2"/>
  <c r="AW40" i="2"/>
  <c r="G7" i="12"/>
  <c r="AL37" i="2"/>
  <c r="AL36" i="2"/>
  <c r="AL35" i="2"/>
  <c r="K36" i="8" s="1"/>
  <c r="AL34" i="2"/>
  <c r="K35" i="8" s="1"/>
  <c r="AL33" i="2"/>
  <c r="AL32" i="2"/>
  <c r="AL31" i="2"/>
  <c r="AL30" i="2"/>
  <c r="AL29" i="2"/>
  <c r="AL28" i="2"/>
  <c r="AL27" i="2"/>
  <c r="AL26" i="2"/>
  <c r="AL25" i="2"/>
  <c r="AL24" i="2"/>
  <c r="AL23" i="2"/>
  <c r="K24" i="8" s="1"/>
  <c r="AL22" i="2"/>
  <c r="K23" i="8" s="1"/>
  <c r="AL21" i="2"/>
  <c r="K22" i="8" s="1"/>
  <c r="AL20" i="2"/>
  <c r="AL19" i="2"/>
  <c r="AA18" i="8"/>
  <c r="AL16" i="2"/>
  <c r="AL15" i="2"/>
  <c r="AL14" i="2"/>
  <c r="AL13" i="2"/>
  <c r="AL12" i="2"/>
  <c r="AL11" i="2"/>
  <c r="AL10" i="2"/>
  <c r="K11" i="8" s="1"/>
  <c r="AA10" i="8"/>
  <c r="AL8" i="2"/>
  <c r="K9" i="8" s="1"/>
  <c r="AI40" i="1"/>
  <c r="W40" i="1"/>
  <c r="BB39" i="1"/>
  <c r="AK39" i="1"/>
  <c r="H5" i="10" s="1"/>
  <c r="H16" i="10" s="1"/>
  <c r="AI39" i="1"/>
  <c r="AG39" i="1"/>
  <c r="AE39" i="1"/>
  <c r="I7" i="11" s="1"/>
  <c r="AC39" i="1"/>
  <c r="AA39" i="1"/>
  <c r="Y39" i="1"/>
  <c r="W39" i="1"/>
  <c r="P39" i="1"/>
  <c r="N39" i="1"/>
  <c r="AM38" i="1"/>
  <c r="AM37" i="1"/>
  <c r="AM36" i="1"/>
  <c r="AL35" i="1"/>
  <c r="J36" i="8" s="1"/>
  <c r="AL34" i="1"/>
  <c r="AL33" i="1"/>
  <c r="AL32" i="1"/>
  <c r="AL31" i="1"/>
  <c r="J32" i="8" s="1"/>
  <c r="AL30" i="1"/>
  <c r="AL29" i="1"/>
  <c r="AL28" i="1"/>
  <c r="J29" i="8" s="1"/>
  <c r="AL27" i="1"/>
  <c r="AL26" i="1"/>
  <c r="J27" i="8" s="1"/>
  <c r="AL25" i="1"/>
  <c r="AL24" i="1"/>
  <c r="J25" i="8" s="1"/>
  <c r="AL23" i="1"/>
  <c r="J24" i="8" s="1"/>
  <c r="AL22" i="1"/>
  <c r="AL21" i="1"/>
  <c r="AL20" i="1"/>
  <c r="J21" i="8" s="1"/>
  <c r="AL19" i="1"/>
  <c r="AL18" i="1"/>
  <c r="J19" i="8" s="1"/>
  <c r="AL17" i="1"/>
  <c r="J18" i="8" s="1"/>
  <c r="AL16" i="1"/>
  <c r="J17" i="8" s="1"/>
  <c r="Z16" i="8"/>
  <c r="AL14" i="1"/>
  <c r="J15" i="8" s="1"/>
  <c r="AL13" i="1"/>
  <c r="AL12" i="1"/>
  <c r="AL11" i="1"/>
  <c r="AL10" i="1"/>
  <c r="AL9" i="1"/>
  <c r="AL8" i="1"/>
  <c r="J9" i="8" s="1"/>
  <c r="G3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EP40" i="5"/>
  <c r="EN40" i="5"/>
  <c r="EJ40" i="5"/>
  <c r="EH40" i="5"/>
  <c r="CM40" i="5"/>
  <c r="CE40" i="5"/>
  <c r="CC40" i="5"/>
  <c r="CA40" i="5"/>
  <c r="BY40" i="5"/>
  <c r="BW40" i="5"/>
  <c r="BU40" i="5"/>
  <c r="BA40" i="5"/>
  <c r="AY40" i="5"/>
  <c r="V40" i="5"/>
  <c r="FG39" i="5"/>
  <c r="FF39" i="5"/>
  <c r="EP39" i="5"/>
  <c r="EN39" i="5"/>
  <c r="EL39" i="5"/>
  <c r="FE40" i="5" s="1"/>
  <c r="EJ39" i="5"/>
  <c r="FD40" i="5" s="1"/>
  <c r="EH39" i="5"/>
  <c r="C10" i="10"/>
  <c r="ED39" i="5"/>
  <c r="C47" i="11" s="1"/>
  <c r="DZ39" i="5"/>
  <c r="DZ41" i="5" s="1"/>
  <c r="DX39" i="5"/>
  <c r="DX41" i="5" s="1"/>
  <c r="DV39" i="5"/>
  <c r="DT39" i="5"/>
  <c r="DT41" i="5" s="1"/>
  <c r="DR39" i="5"/>
  <c r="DR41" i="5" s="1"/>
  <c r="DP39" i="5"/>
  <c r="DN39" i="5"/>
  <c r="DJ39" i="5"/>
  <c r="DI39" i="5"/>
  <c r="CS39" i="5"/>
  <c r="CS41" i="5" s="1"/>
  <c r="CQ39" i="5"/>
  <c r="DI40" i="5" s="1"/>
  <c r="CO39" i="5"/>
  <c r="CM39" i="5"/>
  <c r="DG40" i="5" s="1"/>
  <c r="CK39" i="5"/>
  <c r="DF40" i="5" s="1"/>
  <c r="CG39" i="5"/>
  <c r="CE39" i="5"/>
  <c r="CC39" i="5"/>
  <c r="CA39" i="5"/>
  <c r="BY39" i="5"/>
  <c r="BW39" i="5"/>
  <c r="BU39" i="5"/>
  <c r="BQ39" i="5"/>
  <c r="BQ41" i="5" s="1"/>
  <c r="BO39" i="5"/>
  <c r="BO41" i="5" s="1"/>
  <c r="BM39" i="5"/>
  <c r="BK39" i="5"/>
  <c r="BK41" i="5" s="1"/>
  <c r="BI39" i="5"/>
  <c r="BG39" i="5"/>
  <c r="BE39" i="5"/>
  <c r="BA39" i="5"/>
  <c r="AZ39" i="5"/>
  <c r="AY39" i="5"/>
  <c r="AX39" i="5"/>
  <c r="AW39" i="5"/>
  <c r="AV39" i="5"/>
  <c r="AU39" i="5"/>
  <c r="AX40" i="5"/>
  <c r="E31" i="11"/>
  <c r="V39" i="5"/>
  <c r="T39" i="5"/>
  <c r="T41" i="5" s="1"/>
  <c r="P39" i="5"/>
  <c r="P41" i="5" s="1"/>
  <c r="N39" i="5"/>
  <c r="N41" i="5" s="1"/>
  <c r="L39" i="5"/>
  <c r="J39" i="5"/>
  <c r="J41" i="5" s="1"/>
  <c r="H39" i="5"/>
  <c r="H41" i="5" s="1"/>
  <c r="F39" i="5"/>
  <c r="D39" i="5"/>
  <c r="D41" i="5" s="1"/>
  <c r="CU38" i="5"/>
  <c r="AL38" i="5"/>
  <c r="CU37" i="5"/>
  <c r="AL37" i="5"/>
  <c r="ER36" i="5"/>
  <c r="CU36" i="5"/>
  <c r="AL36" i="5"/>
  <c r="AE36" i="8"/>
  <c r="CT35" i="5"/>
  <c r="AL35" i="5"/>
  <c r="ER34" i="5"/>
  <c r="AD35" i="8"/>
  <c r="AC35" i="8"/>
  <c r="EQ33" i="5"/>
  <c r="AL33" i="5"/>
  <c r="EQ32" i="5"/>
  <c r="AD33" i="8"/>
  <c r="AL32" i="5"/>
  <c r="EQ31" i="5"/>
  <c r="CT31" i="5"/>
  <c r="AC32" i="8"/>
  <c r="EQ30" i="5"/>
  <c r="AC31" i="8"/>
  <c r="AE30" i="8"/>
  <c r="AC30" i="8"/>
  <c r="EQ28" i="5"/>
  <c r="AD29" i="8"/>
  <c r="AL28" i="5"/>
  <c r="EQ27" i="5"/>
  <c r="AL27" i="5"/>
  <c r="EQ26" i="5"/>
  <c r="AC27" i="8"/>
  <c r="EQ25" i="5"/>
  <c r="O26" i="8" s="1"/>
  <c r="AD26" i="8"/>
  <c r="AC26" i="8"/>
  <c r="EQ24" i="5"/>
  <c r="CT24" i="5"/>
  <c r="AC25" i="8"/>
  <c r="EQ23" i="5"/>
  <c r="CT23" i="5"/>
  <c r="N24" i="8" s="1"/>
  <c r="AL23" i="5"/>
  <c r="EQ22" i="5"/>
  <c r="CT22" i="5"/>
  <c r="AC23" i="8"/>
  <c r="EQ21" i="5"/>
  <c r="O22" i="8" s="1"/>
  <c r="CT21" i="5"/>
  <c r="AC22" i="8"/>
  <c r="EQ20" i="5"/>
  <c r="CT20" i="5"/>
  <c r="AC21" i="8"/>
  <c r="EQ19" i="5"/>
  <c r="CT19" i="5"/>
  <c r="N20" i="8" s="1"/>
  <c r="AC20" i="8"/>
  <c r="EQ18" i="5"/>
  <c r="CT18" i="5"/>
  <c r="AL18" i="5"/>
  <c r="EQ17" i="5"/>
  <c r="O18" i="8" s="1"/>
  <c r="CT17" i="5"/>
  <c r="N18" i="8" s="1"/>
  <c r="AL17" i="5"/>
  <c r="EQ16" i="5"/>
  <c r="CT16" i="5"/>
  <c r="EQ15" i="5"/>
  <c r="CT15" i="5"/>
  <c r="EQ14" i="5"/>
  <c r="CT14" i="5"/>
  <c r="EQ13" i="5"/>
  <c r="CT13" i="5"/>
  <c r="EQ12" i="5"/>
  <c r="CT12" i="5"/>
  <c r="AL12" i="5"/>
  <c r="EQ11" i="5"/>
  <c r="CT11" i="5"/>
  <c r="N12" i="8" s="1"/>
  <c r="AL11" i="5"/>
  <c r="EQ10" i="5"/>
  <c r="CT10" i="5"/>
  <c r="EZ9" i="5"/>
  <c r="EZ10" i="5" s="1"/>
  <c r="EZ11" i="5" s="1"/>
  <c r="EZ12" i="5" s="1"/>
  <c r="EZ13" i="5" s="1"/>
  <c r="EZ14" i="5" s="1"/>
  <c r="EZ15" i="5" s="1"/>
  <c r="EZ16" i="5" s="1"/>
  <c r="EZ17" i="5" s="1"/>
  <c r="EZ18" i="5" s="1"/>
  <c r="EZ19" i="5" s="1"/>
  <c r="EZ20" i="5" s="1"/>
  <c r="EZ21" i="5" s="1"/>
  <c r="EZ22" i="5" s="1"/>
  <c r="EZ23" i="5" s="1"/>
  <c r="EZ24" i="5" s="1"/>
  <c r="EZ25" i="5" s="1"/>
  <c r="EZ26" i="5" s="1"/>
  <c r="EZ27" i="5" s="1"/>
  <c r="EZ28" i="5" s="1"/>
  <c r="EZ29" i="5" s="1"/>
  <c r="EZ30" i="5" s="1"/>
  <c r="EZ31" i="5" s="1"/>
  <c r="EZ32" i="5" s="1"/>
  <c r="EZ33" i="5" s="1"/>
  <c r="EZ34" i="5" s="1"/>
  <c r="EZ35" i="5" s="1"/>
  <c r="EZ36" i="5" s="1"/>
  <c r="EZ37" i="5" s="1"/>
  <c r="EZ38" i="5" s="1"/>
  <c r="EZ39" i="5" s="1"/>
  <c r="EY9" i="5"/>
  <c r="EY10" i="5" s="1"/>
  <c r="EY11" i="5" s="1"/>
  <c r="EY12" i="5" s="1"/>
  <c r="EY13" i="5" s="1"/>
  <c r="EY14" i="5" s="1"/>
  <c r="EY15" i="5" s="1"/>
  <c r="EY16" i="5" s="1"/>
  <c r="EY17" i="5" s="1"/>
  <c r="EY18" i="5" s="1"/>
  <c r="EY19" i="5" s="1"/>
  <c r="EY20" i="5" s="1"/>
  <c r="EY21" i="5" s="1"/>
  <c r="EY22" i="5" s="1"/>
  <c r="EY23" i="5" s="1"/>
  <c r="EY24" i="5" s="1"/>
  <c r="EY25" i="5" s="1"/>
  <c r="EY26" i="5" s="1"/>
  <c r="EY27" i="5" s="1"/>
  <c r="EY28" i="5" s="1"/>
  <c r="EY29" i="5" s="1"/>
  <c r="EY30" i="5" s="1"/>
  <c r="EY31" i="5" s="1"/>
  <c r="EY32" i="5" s="1"/>
  <c r="EY33" i="5" s="1"/>
  <c r="EY34" i="5" s="1"/>
  <c r="EY35" i="5" s="1"/>
  <c r="EY36" i="5" s="1"/>
  <c r="EY37" i="5" s="1"/>
  <c r="EY38" i="5" s="1"/>
  <c r="EY39" i="5" s="1"/>
  <c r="EQ9" i="5"/>
  <c r="O10" i="8" s="1"/>
  <c r="CT9" i="5"/>
  <c r="AT9" i="5"/>
  <c r="AT10" i="5" s="1"/>
  <c r="AT11" i="5" s="1"/>
  <c r="AT12" i="5" s="1"/>
  <c r="AT13" i="5" s="1"/>
  <c r="AT14" i="5" s="1"/>
  <c r="AT15" i="5" s="1"/>
  <c r="AT16" i="5" s="1"/>
  <c r="AT17" i="5" s="1"/>
  <c r="AT18" i="5" s="1"/>
  <c r="AT19" i="5" s="1"/>
  <c r="AT20" i="5" s="1"/>
  <c r="AT21" i="5" s="1"/>
  <c r="AT22" i="5" s="1"/>
  <c r="AT23" i="5" s="1"/>
  <c r="AT24" i="5" s="1"/>
  <c r="AT25" i="5" s="1"/>
  <c r="AT26" i="5" s="1"/>
  <c r="AT27" i="5" s="1"/>
  <c r="AT28" i="5" s="1"/>
  <c r="AT29" i="5" s="1"/>
  <c r="AT30" i="5" s="1"/>
  <c r="AT31" i="5" s="1"/>
  <c r="AT32" i="5" s="1"/>
  <c r="AT33" i="5" s="1"/>
  <c r="AT34" i="5" s="1"/>
  <c r="AT35" i="5" s="1"/>
  <c r="AT36" i="5" s="1"/>
  <c r="AT37" i="5" s="1"/>
  <c r="AT38" i="5" s="1"/>
  <c r="AT39" i="5" s="1"/>
  <c r="AS9" i="5"/>
  <c r="AS10" i="5" s="1"/>
  <c r="AS11" i="5" s="1"/>
  <c r="AS12" i="5" s="1"/>
  <c r="AS13" i="5" s="1"/>
  <c r="AS14" i="5" s="1"/>
  <c r="AS15" i="5" s="1"/>
  <c r="AS16" i="5" s="1"/>
  <c r="AS17" i="5" s="1"/>
  <c r="AS18" i="5" s="1"/>
  <c r="AS19" i="5" s="1"/>
  <c r="AS20" i="5" s="1"/>
  <c r="AS21" i="5" s="1"/>
  <c r="AS22" i="5" s="1"/>
  <c r="AS23" i="5" s="1"/>
  <c r="AS24" i="5" s="1"/>
  <c r="AS25" i="5" s="1"/>
  <c r="AS26" i="5" s="1"/>
  <c r="AS27" i="5" s="1"/>
  <c r="AS28" i="5" s="1"/>
  <c r="AS29" i="5" s="1"/>
  <c r="AS30" i="5" s="1"/>
  <c r="AS31" i="5" s="1"/>
  <c r="AS32" i="5" s="1"/>
  <c r="AS33" i="5" s="1"/>
  <c r="AS34" i="5" s="1"/>
  <c r="AS35" i="5" s="1"/>
  <c r="AS36" i="5" s="1"/>
  <c r="AS37" i="5" s="1"/>
  <c r="AS38" i="5" s="1"/>
  <c r="AS39" i="5" s="1"/>
  <c r="EQ8" i="5"/>
  <c r="O9" i="8" s="1"/>
  <c r="CT8" i="5"/>
  <c r="CU8" i="5" s="1"/>
  <c r="AL8" i="5"/>
  <c r="I36" i="6"/>
  <c r="H36" i="6"/>
  <c r="N40" i="4"/>
  <c r="AD40" i="4" s="1"/>
  <c r="F36" i="6"/>
  <c r="E36" i="6"/>
  <c r="J40" i="4" s="1"/>
  <c r="Z40" i="4" s="1"/>
  <c r="Z41" i="4" s="1"/>
  <c r="D36" i="6"/>
  <c r="F40" i="4"/>
  <c r="V40" i="4" s="1"/>
  <c r="I35" i="6"/>
  <c r="H35" i="6"/>
  <c r="G35" i="6"/>
  <c r="DV40" i="5" s="1"/>
  <c r="EL40" i="5" s="1"/>
  <c r="F35" i="6"/>
  <c r="E35" i="6"/>
  <c r="D35" i="6"/>
  <c r="C35" i="6"/>
  <c r="DN40" i="5" s="1"/>
  <c r="ED40" i="5" s="1"/>
  <c r="I33" i="6"/>
  <c r="I34" i="6" s="1"/>
  <c r="H33" i="6"/>
  <c r="H34" i="6" s="1"/>
  <c r="G33" i="6"/>
  <c r="G34" i="6" s="1"/>
  <c r="CO40" i="5" s="1"/>
  <c r="F33" i="6"/>
  <c r="F34" i="6" s="1"/>
  <c r="E33" i="6"/>
  <c r="D33" i="6"/>
  <c r="C33" i="6"/>
  <c r="BE40" i="5" s="1"/>
  <c r="I31" i="6"/>
  <c r="I32" i="6" s="1"/>
  <c r="H31" i="6"/>
  <c r="H32" i="6" s="1"/>
  <c r="G31" i="6"/>
  <c r="L40" i="5" s="1"/>
  <c r="F31" i="6"/>
  <c r="F32" i="6" s="1"/>
  <c r="E31" i="6"/>
  <c r="E32" i="6" s="1"/>
  <c r="D31" i="6"/>
  <c r="D32" i="6" s="1"/>
  <c r="I30" i="6"/>
  <c r="H30" i="6"/>
  <c r="G30" i="6"/>
  <c r="F30" i="6"/>
  <c r="E30" i="6"/>
  <c r="D30" i="6"/>
  <c r="AC40" i="3" s="1"/>
  <c r="AN40" i="3" s="1"/>
  <c r="C30" i="6"/>
  <c r="I29" i="6"/>
  <c r="H29" i="6"/>
  <c r="G29" i="6"/>
  <c r="L40" i="3" s="1"/>
  <c r="F29" i="6"/>
  <c r="E29" i="6"/>
  <c r="H40" i="3" s="1"/>
  <c r="H41" i="3" s="1"/>
  <c r="D29" i="6"/>
  <c r="F40" i="3" s="1"/>
  <c r="C29" i="6"/>
  <c r="I28" i="6"/>
  <c r="AK40" i="2" s="1"/>
  <c r="H28" i="6"/>
  <c r="AI40" i="2" s="1"/>
  <c r="G28" i="6"/>
  <c r="AG40" i="2" s="1"/>
  <c r="F28" i="6"/>
  <c r="AE40" i="2" s="1"/>
  <c r="E28" i="6"/>
  <c r="AC40" i="2" s="1"/>
  <c r="D28" i="6"/>
  <c r="AA40" i="2" s="1"/>
  <c r="C28" i="6"/>
  <c r="I27" i="6"/>
  <c r="H27" i="6"/>
  <c r="N40" i="2" s="1"/>
  <c r="G27" i="6"/>
  <c r="L40" i="2" s="1"/>
  <c r="F27" i="6"/>
  <c r="J40" i="2" s="1"/>
  <c r="E27" i="6"/>
  <c r="H40" i="2" s="1"/>
  <c r="D27" i="6"/>
  <c r="F40" i="2" s="1"/>
  <c r="C27" i="6"/>
  <c r="D40" i="2" s="1"/>
  <c r="I26" i="6"/>
  <c r="AK40" i="1" s="1"/>
  <c r="H26" i="6"/>
  <c r="G26" i="6"/>
  <c r="AG40" i="1" s="1"/>
  <c r="F26" i="6"/>
  <c r="AE40" i="1" s="1"/>
  <c r="E26" i="6"/>
  <c r="AC40" i="1" s="1"/>
  <c r="D26" i="6"/>
  <c r="AA40" i="1" s="1"/>
  <c r="C26" i="6"/>
  <c r="I25" i="6"/>
  <c r="P40" i="1" s="1"/>
  <c r="H25" i="6"/>
  <c r="N40" i="1" s="1"/>
  <c r="G25" i="6"/>
  <c r="L40" i="1" s="1"/>
  <c r="F25" i="6"/>
  <c r="J40" i="1" s="1"/>
  <c r="J41" i="1" s="1"/>
  <c r="E25" i="6"/>
  <c r="H40" i="1" s="1"/>
  <c r="H41" i="1" s="1"/>
  <c r="D25" i="6"/>
  <c r="F40" i="1" s="1"/>
  <c r="F41" i="1" s="1"/>
  <c r="C25" i="6"/>
  <c r="D40" i="1" s="1"/>
  <c r="T11" i="8" l="1"/>
  <c r="T10" i="8"/>
  <c r="T19" i="8"/>
  <c r="T14" i="8"/>
  <c r="T15" i="8"/>
  <c r="T13" i="8"/>
  <c r="T32" i="8"/>
  <c r="T33" i="8"/>
  <c r="T16" i="8"/>
  <c r="T17" i="8"/>
  <c r="T12" i="8"/>
  <c r="T20" i="8"/>
  <c r="T18" i="8"/>
  <c r="AJ29" i="4"/>
  <c r="P30" i="8"/>
  <c r="AF30" i="8" s="1"/>
  <c r="O27" i="8"/>
  <c r="AE27" i="8" s="1"/>
  <c r="N21" i="8"/>
  <c r="AD21" i="8" s="1"/>
  <c r="O20" i="8"/>
  <c r="AE20" i="8" s="1"/>
  <c r="N22" i="8"/>
  <c r="AD22" i="8" s="1"/>
  <c r="N25" i="8"/>
  <c r="AD25" i="8" s="1"/>
  <c r="N19" i="8"/>
  <c r="AD19" i="8" s="1"/>
  <c r="C48" i="11"/>
  <c r="C49" i="11"/>
  <c r="J28" i="8"/>
  <c r="Z28" i="8" s="1"/>
  <c r="O31" i="8"/>
  <c r="AE31" i="8" s="1"/>
  <c r="O32" i="8"/>
  <c r="AE32" i="8" s="1"/>
  <c r="O29" i="8"/>
  <c r="AE29" i="8" s="1"/>
  <c r="AZ40" i="1"/>
  <c r="AZ41" i="1" s="1"/>
  <c r="J14" i="8"/>
  <c r="Z14" i="8" s="1"/>
  <c r="P15" i="8"/>
  <c r="AF15" i="8" s="1"/>
  <c r="N15" i="8"/>
  <c r="AD15" i="8" s="1"/>
  <c r="J13" i="8"/>
  <c r="Z13" i="8" s="1"/>
  <c r="J35" i="8"/>
  <c r="Z35" i="8" s="1"/>
  <c r="J33" i="8"/>
  <c r="Z33" i="8" s="1"/>
  <c r="J34" i="8"/>
  <c r="Z34" i="8" s="1"/>
  <c r="J31" i="8"/>
  <c r="Z31" i="8" s="1"/>
  <c r="J30" i="8"/>
  <c r="Z30" i="8" s="1"/>
  <c r="J26" i="8"/>
  <c r="Z26" i="8" s="1"/>
  <c r="J23" i="8"/>
  <c r="Z23" i="8" s="1"/>
  <c r="J22" i="8"/>
  <c r="Z22" i="8" s="1"/>
  <c r="J20" i="8"/>
  <c r="Z20" i="8" s="1"/>
  <c r="K29" i="8"/>
  <c r="AA29" i="8" s="1"/>
  <c r="AM29" i="2"/>
  <c r="K30" i="8"/>
  <c r="AA30" i="8" s="1"/>
  <c r="K12" i="8"/>
  <c r="K31" i="8"/>
  <c r="AA31" i="8" s="1"/>
  <c r="K13" i="8"/>
  <c r="AA13" i="8" s="1"/>
  <c r="K32" i="8"/>
  <c r="AA32" i="8" s="1"/>
  <c r="K33" i="8"/>
  <c r="AA33" i="8" s="1"/>
  <c r="K37" i="8"/>
  <c r="Q37" i="8" s="1"/>
  <c r="K38" i="8"/>
  <c r="Q38" i="8" s="1"/>
  <c r="K39" i="8"/>
  <c r="Q39" i="8" s="1"/>
  <c r="K34" i="8"/>
  <c r="AA34" i="8" s="1"/>
  <c r="K26" i="8"/>
  <c r="AA26" i="8" s="1"/>
  <c r="AM26" i="2"/>
  <c r="K27" i="8"/>
  <c r="AA27" i="8" s="1"/>
  <c r="K28" i="8"/>
  <c r="AA28" i="8" s="1"/>
  <c r="K25" i="8"/>
  <c r="AA25" i="8" s="1"/>
  <c r="K21" i="8"/>
  <c r="AA21" i="8" s="1"/>
  <c r="K20" i="8"/>
  <c r="AA20" i="8" s="1"/>
  <c r="AM16" i="2"/>
  <c r="K17" i="8"/>
  <c r="K16" i="8"/>
  <c r="AA16" i="8" s="1"/>
  <c r="K15" i="8"/>
  <c r="AA15" i="8" s="1"/>
  <c r="P24" i="8"/>
  <c r="AF24" i="8" s="1"/>
  <c r="P33" i="8"/>
  <c r="AF33" i="8" s="1"/>
  <c r="AJ31" i="4"/>
  <c r="P32" i="8"/>
  <c r="AF32" i="8" s="1"/>
  <c r="AJ30" i="4"/>
  <c r="P31" i="8"/>
  <c r="AF31" i="8" s="1"/>
  <c r="P22" i="8"/>
  <c r="AF22" i="8" s="1"/>
  <c r="P26" i="8"/>
  <c r="AF26" i="8" s="1"/>
  <c r="P25" i="8"/>
  <c r="AF25" i="8" s="1"/>
  <c r="P29" i="8"/>
  <c r="AF29" i="8" s="1"/>
  <c r="P21" i="8"/>
  <c r="AF21" i="8" s="1"/>
  <c r="P20" i="8"/>
  <c r="AF20" i="8" s="1"/>
  <c r="P16" i="8"/>
  <c r="AF16" i="8" s="1"/>
  <c r="J12" i="8"/>
  <c r="Z12" i="8" s="1"/>
  <c r="J11" i="8"/>
  <c r="Z11" i="8" s="1"/>
  <c r="CU10" i="5"/>
  <c r="N11" i="8"/>
  <c r="AD11" i="8" s="1"/>
  <c r="AJ11" i="4"/>
  <c r="P12" i="8"/>
  <c r="AF12" i="8" s="1"/>
  <c r="L23" i="8"/>
  <c r="AB23" i="8" s="1"/>
  <c r="L26" i="8"/>
  <c r="AB26" i="8" s="1"/>
  <c r="L27" i="8"/>
  <c r="AB27" i="8" s="1"/>
  <c r="L22" i="8"/>
  <c r="AB22" i="8" s="1"/>
  <c r="L21" i="8"/>
  <c r="AB21" i="8" s="1"/>
  <c r="AJ10" i="4"/>
  <c r="P11" i="8"/>
  <c r="AF11" i="8" s="1"/>
  <c r="AJ9" i="4"/>
  <c r="P10" i="8"/>
  <c r="AF10" i="8" s="1"/>
  <c r="P13" i="8"/>
  <c r="AJ13" i="4"/>
  <c r="P14" i="8"/>
  <c r="AF14" i="8" s="1"/>
  <c r="AM13" i="2"/>
  <c r="K14" i="8"/>
  <c r="AA14" i="8" s="1"/>
  <c r="N32" i="8"/>
  <c r="AD32" i="8" s="1"/>
  <c r="ER33" i="5"/>
  <c r="O34" i="8"/>
  <c r="AE34" i="8" s="1"/>
  <c r="O33" i="8"/>
  <c r="AE33" i="8" s="1"/>
  <c r="O28" i="8"/>
  <c r="AE28" i="8" s="1"/>
  <c r="O21" i="8"/>
  <c r="AE21" i="8" s="1"/>
  <c r="O23" i="8"/>
  <c r="AE23" i="8" s="1"/>
  <c r="ER23" i="5"/>
  <c r="O24" i="8"/>
  <c r="AE24" i="8" s="1"/>
  <c r="ER24" i="5"/>
  <c r="O25" i="8"/>
  <c r="AE25" i="8" s="1"/>
  <c r="N23" i="8"/>
  <c r="O19" i="8"/>
  <c r="AE19" i="8" s="1"/>
  <c r="ER13" i="5"/>
  <c r="O14" i="8"/>
  <c r="AE14" i="8" s="1"/>
  <c r="O13" i="8"/>
  <c r="AE13" i="8" s="1"/>
  <c r="O17" i="8"/>
  <c r="AE17" i="8" s="1"/>
  <c r="ER14" i="5"/>
  <c r="O15" i="8"/>
  <c r="AE15" i="8" s="1"/>
  <c r="O16" i="8"/>
  <c r="AE16" i="8" s="1"/>
  <c r="J10" i="8"/>
  <c r="Z10" i="8" s="1"/>
  <c r="N16" i="8"/>
  <c r="AD16" i="8" s="1"/>
  <c r="N17" i="8"/>
  <c r="AD17" i="8" s="1"/>
  <c r="N14" i="8"/>
  <c r="AD14" i="8" s="1"/>
  <c r="N13" i="8"/>
  <c r="AD13" i="8" s="1"/>
  <c r="N10" i="8"/>
  <c r="AD10" i="8" s="1"/>
  <c r="O11" i="8"/>
  <c r="O12" i="8"/>
  <c r="AE12" i="8" s="1"/>
  <c r="AA36" i="8"/>
  <c r="CU35" i="5"/>
  <c r="AF41" i="4"/>
  <c r="EH41" i="5"/>
  <c r="F11" i="12"/>
  <c r="FA40" i="5"/>
  <c r="FA41" i="5" s="1"/>
  <c r="W41" i="1"/>
  <c r="BA41" i="5"/>
  <c r="BI40" i="5"/>
  <c r="E34" i="6"/>
  <c r="CK40" i="5" s="1"/>
  <c r="CK41" i="5" s="1"/>
  <c r="BI41" i="5"/>
  <c r="DV41" i="5"/>
  <c r="J41" i="2"/>
  <c r="L41" i="2"/>
  <c r="J41" i="4"/>
  <c r="AD12" i="8"/>
  <c r="AH41" i="4"/>
  <c r="J30" i="6"/>
  <c r="Y40" i="2"/>
  <c r="AV40" i="2" s="1"/>
  <c r="AV41" i="2" s="1"/>
  <c r="J28" i="6"/>
  <c r="L28" i="6" s="1"/>
  <c r="Y40" i="1"/>
  <c r="F6" i="12" s="1"/>
  <c r="J26" i="6"/>
  <c r="L26" i="6" s="1"/>
  <c r="H40" i="4"/>
  <c r="X40" i="4" s="1"/>
  <c r="X41" i="4" s="1"/>
  <c r="J36" i="6"/>
  <c r="L36" i="6" s="1"/>
  <c r="DP40" i="5"/>
  <c r="EA40" i="5" s="1"/>
  <c r="J35" i="6"/>
  <c r="L35" i="6" s="1"/>
  <c r="D34" i="6"/>
  <c r="CI40" i="5" s="1"/>
  <c r="CI41" i="5" s="1"/>
  <c r="J33" i="6"/>
  <c r="L33" i="6" s="1"/>
  <c r="Z40" i="5"/>
  <c r="Z41" i="5" s="1"/>
  <c r="G6" i="12"/>
  <c r="J6" i="12" s="1"/>
  <c r="K6" i="12" s="1"/>
  <c r="EN41" i="5"/>
  <c r="AA11" i="8"/>
  <c r="K15" i="11"/>
  <c r="BA40" i="2"/>
  <c r="BA41" i="2" s="1"/>
  <c r="G15" i="11"/>
  <c r="G16" i="11" s="1"/>
  <c r="AX40" i="2"/>
  <c r="AX41" i="2" s="1"/>
  <c r="E6" i="10"/>
  <c r="E17" i="10" s="1"/>
  <c r="AY40" i="2"/>
  <c r="AY41" i="2" s="1"/>
  <c r="G5" i="10"/>
  <c r="G16" i="10" s="1"/>
  <c r="O7" i="11"/>
  <c r="O9" i="11" s="1"/>
  <c r="Q39" i="3"/>
  <c r="Q40" i="2"/>
  <c r="AL39" i="2"/>
  <c r="G6" i="10"/>
  <c r="G17" i="10" s="1"/>
  <c r="AG41" i="2"/>
  <c r="AC17" i="8"/>
  <c r="AF19" i="8"/>
  <c r="AE10" i="8"/>
  <c r="P40" i="2"/>
  <c r="P41" i="2" s="1"/>
  <c r="BI41" i="2"/>
  <c r="N41" i="2"/>
  <c r="G18" i="12"/>
  <c r="J18" i="12" s="1"/>
  <c r="K18" i="12" s="1"/>
  <c r="L3" i="5"/>
  <c r="B8" i="5" s="1"/>
  <c r="R8" i="5" s="1"/>
  <c r="EP41" i="5"/>
  <c r="AJ38" i="4"/>
  <c r="AJ36" i="4"/>
  <c r="AM38" i="2"/>
  <c r="F12" i="12"/>
  <c r="AM37" i="2"/>
  <c r="AM36" i="2"/>
  <c r="C23" i="11"/>
  <c r="C24" i="11" s="1"/>
  <c r="P24" i="11" s="1"/>
  <c r="G19" i="12"/>
  <c r="G17" i="12"/>
  <c r="J17" i="12" s="1"/>
  <c r="K17" i="12" s="1"/>
  <c r="J7" i="12"/>
  <c r="K7" i="12" s="1"/>
  <c r="H7" i="12"/>
  <c r="G11" i="12"/>
  <c r="DD40" i="5"/>
  <c r="DD41" i="5" s="1"/>
  <c r="G10" i="12"/>
  <c r="DE40" i="5"/>
  <c r="DE41" i="5" s="1"/>
  <c r="G21" i="12"/>
  <c r="L41" i="1"/>
  <c r="BG41" i="2"/>
  <c r="BC41" i="2"/>
  <c r="AI41" i="2"/>
  <c r="DI41" i="5"/>
  <c r="DJ40" i="5"/>
  <c r="DJ41" i="5" s="1"/>
  <c r="I40" i="8"/>
  <c r="Z15" i="8"/>
  <c r="AM14" i="1"/>
  <c r="AO33" i="3"/>
  <c r="AO12" i="3"/>
  <c r="L41" i="3"/>
  <c r="AI40" i="3"/>
  <c r="AI41" i="3" s="1"/>
  <c r="Q40" i="3"/>
  <c r="AM14" i="2"/>
  <c r="AV41" i="5"/>
  <c r="AW40" i="5"/>
  <c r="AW41" i="5" s="1"/>
  <c r="CE41" i="5"/>
  <c r="CA41" i="5"/>
  <c r="BY41" i="5"/>
  <c r="BM40" i="5"/>
  <c r="BM41" i="5" s="1"/>
  <c r="G32" i="6"/>
  <c r="AF40" i="5" s="1"/>
  <c r="AF41" i="5" s="1"/>
  <c r="C34" i="6"/>
  <c r="CG40" i="5" s="1"/>
  <c r="F10" i="12" s="1"/>
  <c r="DF41" i="5"/>
  <c r="ER10" i="5"/>
  <c r="AL15" i="5"/>
  <c r="P41" i="1"/>
  <c r="AO15" i="3"/>
  <c r="AO18" i="3"/>
  <c r="AO32" i="3"/>
  <c r="AO11" i="3"/>
  <c r="AO10" i="3"/>
  <c r="AO8" i="3"/>
  <c r="ER9" i="5"/>
  <c r="AM31" i="1"/>
  <c r="AM12" i="1"/>
  <c r="AM15" i="1"/>
  <c r="AM11" i="1"/>
  <c r="E7" i="7"/>
  <c r="AL29" i="5"/>
  <c r="AL16" i="5"/>
  <c r="AO35" i="3"/>
  <c r="AB9" i="8"/>
  <c r="AO9" i="3"/>
  <c r="AO14" i="3"/>
  <c r="AO20" i="3"/>
  <c r="AO13" i="3"/>
  <c r="AB36" i="8"/>
  <c r="AO34" i="3"/>
  <c r="AO19" i="3"/>
  <c r="H41" i="2"/>
  <c r="N41" i="1"/>
  <c r="AA41" i="1"/>
  <c r="F41" i="2"/>
  <c r="AA41" i="2"/>
  <c r="F41" i="3"/>
  <c r="D41" i="1"/>
  <c r="Q40" i="1"/>
  <c r="BE41" i="5"/>
  <c r="I8" i="10"/>
  <c r="F41" i="4"/>
  <c r="BU41" i="5"/>
  <c r="AL31" i="5"/>
  <c r="AL30" i="5"/>
  <c r="BG40" i="5"/>
  <c r="L41" i="5"/>
  <c r="AY41" i="5"/>
  <c r="F40" i="5"/>
  <c r="Q40" i="5" s="1"/>
  <c r="C19" i="10"/>
  <c r="I19" i="10" s="1"/>
  <c r="N41" i="4"/>
  <c r="C7" i="11"/>
  <c r="C8" i="11" s="1"/>
  <c r="BB41" i="2"/>
  <c r="AK41" i="2"/>
  <c r="H6" i="10"/>
  <c r="H17" i="10" s="1"/>
  <c r="D41" i="2"/>
  <c r="AM15" i="2"/>
  <c r="AM10" i="2"/>
  <c r="AM8" i="2"/>
  <c r="AM9" i="2"/>
  <c r="E6" i="7"/>
  <c r="B38" i="7"/>
  <c r="F38" i="7"/>
  <c r="AL13" i="5"/>
  <c r="M9" i="8"/>
  <c r="ER12" i="5"/>
  <c r="AJ20" i="4"/>
  <c r="AJ8" i="4"/>
  <c r="AJ14" i="4"/>
  <c r="AJ26" i="4"/>
  <c r="H7" i="7"/>
  <c r="AM9" i="1"/>
  <c r="AM8" i="1"/>
  <c r="DN41" i="5"/>
  <c r="CU31" i="5"/>
  <c r="ER16" i="5"/>
  <c r="CU16" i="5"/>
  <c r="ER11" i="5"/>
  <c r="ER8" i="5"/>
  <c r="CU11" i="5"/>
  <c r="CU9" i="5"/>
  <c r="CU15" i="5"/>
  <c r="CU13" i="5"/>
  <c r="DG41" i="5"/>
  <c r="FF40" i="5"/>
  <c r="FF41" i="5" s="1"/>
  <c r="G47" i="11"/>
  <c r="F10" i="10"/>
  <c r="F21" i="10" s="1"/>
  <c r="AA9" i="8"/>
  <c r="S12" i="8"/>
  <c r="S11" i="8"/>
  <c r="S10" i="8"/>
  <c r="I15" i="11"/>
  <c r="I16" i="11" s="1"/>
  <c r="AM35" i="2"/>
  <c r="AC41" i="2"/>
  <c r="D6" i="10"/>
  <c r="D17" i="10" s="1"/>
  <c r="AM11" i="2"/>
  <c r="AZ41" i="2"/>
  <c r="AE41" i="2"/>
  <c r="H6" i="7"/>
  <c r="AM12" i="2"/>
  <c r="R9" i="8"/>
  <c r="Z9" i="8"/>
  <c r="AC41" i="1"/>
  <c r="G7" i="11"/>
  <c r="G8" i="11" s="1"/>
  <c r="AM10" i="1"/>
  <c r="AM13" i="1"/>
  <c r="AM29" i="1"/>
  <c r="BB40" i="1"/>
  <c r="BB41" i="1" s="1"/>
  <c r="M7" i="11"/>
  <c r="M8" i="11" s="1"/>
  <c r="M9" i="11" s="1"/>
  <c r="AK41" i="1"/>
  <c r="AB41" i="4"/>
  <c r="AX40" i="4"/>
  <c r="AX41" i="4" s="1"/>
  <c r="V41" i="4"/>
  <c r="AY40" i="4"/>
  <c r="AY41" i="4" s="1"/>
  <c r="AF9" i="8"/>
  <c r="AJ15" i="4"/>
  <c r="AJ25" i="4"/>
  <c r="AJ32" i="4"/>
  <c r="AJ34" i="4"/>
  <c r="AV40" i="4"/>
  <c r="AV41" i="4" s="1"/>
  <c r="AJ12" i="4"/>
  <c r="AJ28" i="4"/>
  <c r="AF34" i="8"/>
  <c r="AJ17" i="4"/>
  <c r="AJ35" i="4"/>
  <c r="AE9" i="8"/>
  <c r="ER15" i="5"/>
  <c r="ER18" i="5"/>
  <c r="AE35" i="8"/>
  <c r="ER26" i="5"/>
  <c r="EJ41" i="5"/>
  <c r="N9" i="8"/>
  <c r="CU12" i="5"/>
  <c r="CU14" i="5"/>
  <c r="G3" i="2"/>
  <c r="B8" i="2" s="1"/>
  <c r="B9" i="2" s="1"/>
  <c r="B10" i="2" s="1"/>
  <c r="B11" i="2" s="1"/>
  <c r="B12" i="2" s="1"/>
  <c r="N3" i="4"/>
  <c r="D8" i="4" s="1"/>
  <c r="T8" i="4" s="1"/>
  <c r="L3" i="3"/>
  <c r="B8" i="3" s="1"/>
  <c r="U8" i="3" s="1"/>
  <c r="FD41" i="5"/>
  <c r="ER35" i="5"/>
  <c r="FC40" i="5"/>
  <c r="FC41" i="5" s="1"/>
  <c r="FG40" i="5"/>
  <c r="FG41" i="5" s="1"/>
  <c r="CM41" i="5"/>
  <c r="EL41" i="5"/>
  <c r="AC36" i="8"/>
  <c r="CQ41" i="5"/>
  <c r="FE41" i="5"/>
  <c r="AZ40" i="5"/>
  <c r="AZ41" i="5" s="1"/>
  <c r="AC14" i="8"/>
  <c r="AC16" i="8"/>
  <c r="AC11" i="8"/>
  <c r="AC12" i="8"/>
  <c r="AC10" i="8"/>
  <c r="AC15" i="8"/>
  <c r="AC28" i="8"/>
  <c r="AC29" i="8"/>
  <c r="AC33" i="8"/>
  <c r="AL9" i="5"/>
  <c r="AL10" i="5"/>
  <c r="AL14" i="5"/>
  <c r="AL25" i="5"/>
  <c r="AL34" i="5"/>
  <c r="AX41" i="5"/>
  <c r="AC19" i="8"/>
  <c r="AL20" i="5"/>
  <c r="AL21" i="5"/>
  <c r="AL24" i="5"/>
  <c r="AU41" i="5"/>
  <c r="AB31" i="8"/>
  <c r="AO29" i="3"/>
  <c r="AO31" i="3"/>
  <c r="Q18" i="11"/>
  <c r="AB28" i="8"/>
  <c r="AO25" i="3"/>
  <c r="AO26" i="3"/>
  <c r="AO28" i="3"/>
  <c r="B7" i="10"/>
  <c r="B18" i="10" s="1"/>
  <c r="AX40" i="3"/>
  <c r="AX41" i="3" s="1"/>
  <c r="AL26" i="5"/>
  <c r="G31" i="11"/>
  <c r="G32" i="11" s="1"/>
  <c r="AC24" i="8"/>
  <c r="AJ27" i="4"/>
  <c r="AJ22" i="4"/>
  <c r="BC40" i="3"/>
  <c r="BC41" i="3" s="1"/>
  <c r="E7" i="10"/>
  <c r="E18" i="10" s="1"/>
  <c r="H18" i="10"/>
  <c r="AZ40" i="3"/>
  <c r="AZ41" i="3" s="1"/>
  <c r="BD40" i="3"/>
  <c r="BD41" i="3" s="1"/>
  <c r="AK41" i="3"/>
  <c r="F7" i="10"/>
  <c r="F18" i="10" s="1"/>
  <c r="BA40" i="3"/>
  <c r="BA41" i="3" s="1"/>
  <c r="AE41" i="3"/>
  <c r="AM41" i="3"/>
  <c r="BB40" i="3"/>
  <c r="BB41" i="3" s="1"/>
  <c r="AM24" i="2"/>
  <c r="AM27" i="1"/>
  <c r="AO21" i="3"/>
  <c r="AM22" i="2"/>
  <c r="CU21" i="5"/>
  <c r="ER21" i="5"/>
  <c r="ER27" i="5"/>
  <c r="AM31" i="2"/>
  <c r="AM28" i="2"/>
  <c r="F6" i="10"/>
  <c r="F17" i="10" s="1"/>
  <c r="AM20" i="2"/>
  <c r="AL22" i="5"/>
  <c r="AL19" i="5"/>
  <c r="Q39" i="5"/>
  <c r="CU19" i="5"/>
  <c r="AC34" i="8"/>
  <c r="V41" i="5"/>
  <c r="AJ24" i="4"/>
  <c r="AJ23" i="4"/>
  <c r="AF23" i="8"/>
  <c r="AJ21" i="4"/>
  <c r="AW40" i="4"/>
  <c r="AW41" i="4" s="1"/>
  <c r="I56" i="11"/>
  <c r="AD41" i="4"/>
  <c r="CU23" i="5"/>
  <c r="ER32" i="5"/>
  <c r="ER30" i="5"/>
  <c r="ER31" i="5"/>
  <c r="ER29" i="5"/>
  <c r="ER28" i="5"/>
  <c r="CU34" i="5"/>
  <c r="AE22" i="8"/>
  <c r="ER22" i="5"/>
  <c r="ER19" i="5"/>
  <c r="ER20" i="5"/>
  <c r="CU33" i="5"/>
  <c r="CU32" i="5"/>
  <c r="AD27" i="8"/>
  <c r="CU20" i="5"/>
  <c r="BR39" i="5"/>
  <c r="AB20" i="8"/>
  <c r="AM35" i="1"/>
  <c r="AM34" i="1"/>
  <c r="AM33" i="1"/>
  <c r="AX40" i="1"/>
  <c r="AX41" i="1" s="1"/>
  <c r="I8" i="11"/>
  <c r="D5" i="10"/>
  <c r="AM32" i="1"/>
  <c r="Z32" i="8"/>
  <c r="AM30" i="1"/>
  <c r="AA35" i="8"/>
  <c r="AM34" i="2"/>
  <c r="AM32" i="2"/>
  <c r="AM28" i="1"/>
  <c r="AM27" i="2"/>
  <c r="AM25" i="2"/>
  <c r="AM33" i="2"/>
  <c r="AM30" i="2"/>
  <c r="AM23" i="2"/>
  <c r="AA24" i="8"/>
  <c r="AM24" i="1"/>
  <c r="AM22" i="1"/>
  <c r="Q59" i="11"/>
  <c r="AJ19" i="4"/>
  <c r="F9" i="10"/>
  <c r="F20" i="10" s="1"/>
  <c r="AO22" i="3"/>
  <c r="AN39" i="3"/>
  <c r="C7" i="13" s="1"/>
  <c r="AM20" i="1"/>
  <c r="BA40" i="1"/>
  <c r="BA41" i="1" s="1"/>
  <c r="AI41" i="1"/>
  <c r="AM18" i="1"/>
  <c r="F39" i="9"/>
  <c r="AD34" i="8"/>
  <c r="AD28" i="8"/>
  <c r="CU24" i="5"/>
  <c r="AD24" i="8"/>
  <c r="CU22" i="5"/>
  <c r="B9" i="10"/>
  <c r="B20" i="10" s="1"/>
  <c r="Z36" i="8"/>
  <c r="AM26" i="1"/>
  <c r="Z27" i="8"/>
  <c r="Z29" i="8"/>
  <c r="AM25" i="1"/>
  <c r="AM23" i="1"/>
  <c r="AM21" i="1"/>
  <c r="AY40" i="1"/>
  <c r="AY41" i="1" s="1"/>
  <c r="E5" i="10"/>
  <c r="E16" i="10" s="1"/>
  <c r="AE41" i="1"/>
  <c r="F5" i="10"/>
  <c r="F16" i="10" s="1"/>
  <c r="AG41" i="1"/>
  <c r="K7" i="11"/>
  <c r="AM19" i="1"/>
  <c r="AM19" i="2"/>
  <c r="AA22" i="8"/>
  <c r="AM21" i="2"/>
  <c r="Z21" i="8"/>
  <c r="Z24" i="8"/>
  <c r="AO17" i="3"/>
  <c r="Z19" i="8"/>
  <c r="AL39" i="1"/>
  <c r="AW40" i="1"/>
  <c r="AW41" i="1" s="1"/>
  <c r="E7" i="11"/>
  <c r="E9" i="11" s="1"/>
  <c r="C5" i="10"/>
  <c r="C16" i="10" s="1"/>
  <c r="Q39" i="1"/>
  <c r="AT40" i="4"/>
  <c r="AT41" i="4" s="1"/>
  <c r="E56" i="11"/>
  <c r="E58" i="11" s="1"/>
  <c r="AJ18" i="4"/>
  <c r="C31" i="11"/>
  <c r="CU17" i="5"/>
  <c r="C9" i="10"/>
  <c r="C20" i="10" s="1"/>
  <c r="C39" i="11"/>
  <c r="C41" i="11" s="1"/>
  <c r="CU18" i="5"/>
  <c r="CC41" i="5"/>
  <c r="AD18" i="8"/>
  <c r="E39" i="11"/>
  <c r="BW41" i="5"/>
  <c r="ER17" i="5"/>
  <c r="AE18" i="8"/>
  <c r="B10" i="10"/>
  <c r="B21" i="10" s="1"/>
  <c r="ED41" i="5"/>
  <c r="EA39" i="5"/>
  <c r="I4" i="9"/>
  <c r="I14" i="9"/>
  <c r="I34" i="9"/>
  <c r="C39" i="9"/>
  <c r="G39" i="9"/>
  <c r="E39" i="9"/>
  <c r="D39" i="9"/>
  <c r="H39" i="9"/>
  <c r="I9" i="9"/>
  <c r="I19" i="9"/>
  <c r="I29" i="9"/>
  <c r="I63" i="9"/>
  <c r="AD31" i="8"/>
  <c r="CU30" i="5"/>
  <c r="DH40" i="5"/>
  <c r="DH41" i="5" s="1"/>
  <c r="CO41" i="5"/>
  <c r="CT39" i="5"/>
  <c r="I39" i="11"/>
  <c r="ER25" i="5"/>
  <c r="AE26" i="8"/>
  <c r="C21" i="10"/>
  <c r="E47" i="11"/>
  <c r="EQ39" i="5"/>
  <c r="FB40" i="5"/>
  <c r="FB41" i="5" s="1"/>
  <c r="Q34" i="11"/>
  <c r="Q50" i="11"/>
  <c r="Q10" i="11"/>
  <c r="Q26" i="11"/>
  <c r="E32" i="11"/>
  <c r="E33" i="11"/>
  <c r="Q42" i="11"/>
  <c r="B39" i="9"/>
  <c r="I24" i="9"/>
  <c r="C7" i="10"/>
  <c r="AY40" i="3"/>
  <c r="AY41" i="3" s="1"/>
  <c r="AC41" i="3"/>
  <c r="AO16" i="3"/>
  <c r="AA19" i="8"/>
  <c r="B6" i="10"/>
  <c r="B17" i="10" s="1"/>
  <c r="C15" i="11"/>
  <c r="C17" i="11" s="1"/>
  <c r="E15" i="11"/>
  <c r="C6" i="10"/>
  <c r="C17" i="10" s="1"/>
  <c r="AW41" i="2"/>
  <c r="Z18" i="8"/>
  <c r="AM17" i="1"/>
  <c r="AV40" i="1"/>
  <c r="AV41" i="1" s="1"/>
  <c r="Z17" i="8"/>
  <c r="B5" i="10"/>
  <c r="AM16" i="1"/>
  <c r="AF18" i="8"/>
  <c r="C22" i="10"/>
  <c r="AF17" i="8"/>
  <c r="AJ16" i="4"/>
  <c r="AI39" i="4"/>
  <c r="AS40" i="4"/>
  <c r="AS41" i="4" s="1"/>
  <c r="C56" i="11"/>
  <c r="B11" i="10"/>
  <c r="S39" i="4"/>
  <c r="T31" i="8" l="1"/>
  <c r="T29" i="8"/>
  <c r="T27" i="8"/>
  <c r="T37" i="8"/>
  <c r="T28" i="8"/>
  <c r="T36" i="8"/>
  <c r="T35" i="8"/>
  <c r="T39" i="8"/>
  <c r="T40" i="8" s="1"/>
  <c r="T30" i="8"/>
  <c r="T26" i="8"/>
  <c r="S13" i="8"/>
  <c r="T23" i="8"/>
  <c r="T21" i="8"/>
  <c r="T25" i="8"/>
  <c r="T24" i="8"/>
  <c r="T38" i="8"/>
  <c r="T22" i="8"/>
  <c r="T34" i="8"/>
  <c r="B13" i="2"/>
  <c r="U12" i="2"/>
  <c r="AA12" i="8"/>
  <c r="S39" i="8"/>
  <c r="S40" i="8" s="1"/>
  <c r="S37" i="8"/>
  <c r="S38" i="8"/>
  <c r="X38" i="8"/>
  <c r="Q26" i="8"/>
  <c r="R11" i="8"/>
  <c r="R13" i="8"/>
  <c r="R14" i="8"/>
  <c r="R10" i="8"/>
  <c r="R39" i="8"/>
  <c r="R40" i="8" s="1"/>
  <c r="R38" i="8"/>
  <c r="R37" i="8"/>
  <c r="R12" i="8"/>
  <c r="AC9" i="8"/>
  <c r="U39" i="8"/>
  <c r="U40" i="8" s="1"/>
  <c r="U37" i="8"/>
  <c r="U38" i="8"/>
  <c r="Q13" i="8"/>
  <c r="Q21" i="8"/>
  <c r="AF13" i="8"/>
  <c r="X37" i="8"/>
  <c r="X39" i="8"/>
  <c r="X40" i="8" s="1"/>
  <c r="AD23" i="8"/>
  <c r="V37" i="8"/>
  <c r="V38" i="8"/>
  <c r="V39" i="8"/>
  <c r="V40" i="8" s="1"/>
  <c r="W12" i="8"/>
  <c r="W38" i="8"/>
  <c r="W37" i="8"/>
  <c r="W39" i="8"/>
  <c r="W40" i="8" s="1"/>
  <c r="Q17" i="8"/>
  <c r="Q16" i="8"/>
  <c r="W13" i="8"/>
  <c r="AE11" i="8"/>
  <c r="W11" i="8"/>
  <c r="Q36" i="8"/>
  <c r="U8" i="2"/>
  <c r="AD36" i="8"/>
  <c r="U9" i="2"/>
  <c r="Y41" i="1"/>
  <c r="EF40" i="5"/>
  <c r="EQ40" i="5" s="1"/>
  <c r="EQ41" i="5" s="1"/>
  <c r="F7" i="12"/>
  <c r="F13" i="12" s="1"/>
  <c r="X21" i="8"/>
  <c r="V15" i="8"/>
  <c r="AL40" i="2"/>
  <c r="AL41" i="2" s="1"/>
  <c r="AI40" i="4"/>
  <c r="AI41" i="4" s="1"/>
  <c r="Y41" i="2"/>
  <c r="AL40" i="1"/>
  <c r="AL41" i="1" s="1"/>
  <c r="DP41" i="5"/>
  <c r="S40" i="4"/>
  <c r="S41" i="4" s="1"/>
  <c r="H41" i="4"/>
  <c r="J32" i="6"/>
  <c r="L32" i="6" s="1"/>
  <c r="AM8" i="5"/>
  <c r="H6" i="12"/>
  <c r="Q41" i="2"/>
  <c r="P23" i="11"/>
  <c r="C26" i="11" s="1"/>
  <c r="G12" i="10"/>
  <c r="G23" i="10"/>
  <c r="Q41" i="3"/>
  <c r="C25" i="11"/>
  <c r="BC8" i="5"/>
  <c r="B9" i="5"/>
  <c r="R9" i="5" s="1"/>
  <c r="CG41" i="5"/>
  <c r="CT40" i="5"/>
  <c r="CT41" i="5" s="1"/>
  <c r="H18" i="12"/>
  <c r="BM3" i="5"/>
  <c r="DV3" i="5" s="1"/>
  <c r="DL8" i="5" s="1"/>
  <c r="EB8" i="5" s="1"/>
  <c r="J19" i="12"/>
  <c r="K19" i="12" s="1"/>
  <c r="H19" i="12"/>
  <c r="H17" i="12"/>
  <c r="H11" i="12"/>
  <c r="J11" i="12"/>
  <c r="K11" i="12" s="1"/>
  <c r="G24" i="12"/>
  <c r="J21" i="12"/>
  <c r="H21" i="12"/>
  <c r="G13" i="12"/>
  <c r="J10" i="12"/>
  <c r="H10" i="12"/>
  <c r="R16" i="8"/>
  <c r="R17" i="8"/>
  <c r="Q41" i="1"/>
  <c r="EA41" i="5"/>
  <c r="C5" i="13"/>
  <c r="AK40" i="5"/>
  <c r="AK41" i="5" s="1"/>
  <c r="AN41" i="3"/>
  <c r="U15" i="8"/>
  <c r="U10" i="8"/>
  <c r="C11" i="13"/>
  <c r="C9" i="13"/>
  <c r="C10" i="13"/>
  <c r="BF40" i="2"/>
  <c r="BF41" i="2" s="1"/>
  <c r="C6" i="13"/>
  <c r="R15" i="8"/>
  <c r="U16" i="8"/>
  <c r="Q9" i="8"/>
  <c r="BR40" i="5"/>
  <c r="BR41" i="5" s="1"/>
  <c r="Q41" i="5"/>
  <c r="F41" i="5"/>
  <c r="Q27" i="8"/>
  <c r="Q35" i="8"/>
  <c r="U12" i="8"/>
  <c r="U13" i="8"/>
  <c r="U17" i="8"/>
  <c r="U11" i="8"/>
  <c r="U9" i="8"/>
  <c r="U14" i="8"/>
  <c r="U8" i="1"/>
  <c r="AN8" i="1" s="1"/>
  <c r="C9" i="11"/>
  <c r="G9" i="11"/>
  <c r="Q12" i="8"/>
  <c r="Q29" i="8"/>
  <c r="Q28" i="8"/>
  <c r="U22" i="8"/>
  <c r="Q18" i="8"/>
  <c r="BG41" i="5"/>
  <c r="H23" i="10"/>
  <c r="H12" i="10"/>
  <c r="H38" i="7"/>
  <c r="G38" i="7"/>
  <c r="S14" i="8"/>
  <c r="S16" i="8"/>
  <c r="E38" i="7"/>
  <c r="W21" i="8"/>
  <c r="Q15" i="8"/>
  <c r="Q32" i="8"/>
  <c r="X20" i="8"/>
  <c r="X25" i="8"/>
  <c r="X10" i="8"/>
  <c r="X26" i="8"/>
  <c r="X32" i="8"/>
  <c r="X27" i="8"/>
  <c r="Q10" i="8"/>
  <c r="X30" i="8"/>
  <c r="X14" i="8"/>
  <c r="W18" i="8"/>
  <c r="W19" i="8"/>
  <c r="Q14" i="8"/>
  <c r="W20" i="8"/>
  <c r="V18" i="8"/>
  <c r="V19" i="8"/>
  <c r="S15" i="8"/>
  <c r="S22" i="8"/>
  <c r="O8" i="11"/>
  <c r="R18" i="8"/>
  <c r="R34" i="8"/>
  <c r="R22" i="8"/>
  <c r="X34" i="8"/>
  <c r="X31" i="8"/>
  <c r="X36" i="8"/>
  <c r="X19" i="8"/>
  <c r="X35" i="8"/>
  <c r="X24" i="8"/>
  <c r="X17" i="8"/>
  <c r="X29" i="8"/>
  <c r="X16" i="8"/>
  <c r="X12" i="8"/>
  <c r="X15" i="8"/>
  <c r="X18" i="8"/>
  <c r="X23" i="8"/>
  <c r="P40" i="8"/>
  <c r="AO12" i="8" s="1"/>
  <c r="AO11" i="8" s="1"/>
  <c r="AO13" i="8" s="1"/>
  <c r="X28" i="8"/>
  <c r="X33" i="8"/>
  <c r="Q31" i="8"/>
  <c r="Q11" i="8"/>
  <c r="X11" i="8"/>
  <c r="X13" i="8"/>
  <c r="X22" i="8"/>
  <c r="W17" i="8"/>
  <c r="W16" i="8"/>
  <c r="W15" i="8"/>
  <c r="W14" i="8"/>
  <c r="W22" i="8"/>
  <c r="V22" i="8"/>
  <c r="V12" i="8"/>
  <c r="V11" i="8"/>
  <c r="V10" i="8"/>
  <c r="V9" i="8"/>
  <c r="V16" i="8"/>
  <c r="V17" i="8"/>
  <c r="V14" i="8"/>
  <c r="AD9" i="8"/>
  <c r="V13" i="8"/>
  <c r="AP8" i="3"/>
  <c r="B9" i="3"/>
  <c r="U9" i="3" s="1"/>
  <c r="D9" i="4"/>
  <c r="T9" i="4" s="1"/>
  <c r="AK8" i="4"/>
  <c r="Q33" i="8"/>
  <c r="Q34" i="8"/>
  <c r="P31" i="11"/>
  <c r="E34" i="11" s="1"/>
  <c r="G33" i="11"/>
  <c r="W32" i="8"/>
  <c r="W36" i="8"/>
  <c r="W28" i="8"/>
  <c r="O40" i="8"/>
  <c r="AN12" i="8" s="1"/>
  <c r="AN11" i="8" s="1"/>
  <c r="AN13" i="8" s="1"/>
  <c r="W29" i="8"/>
  <c r="W33" i="8"/>
  <c r="W26" i="8"/>
  <c r="W30" i="8"/>
  <c r="W34" i="8"/>
  <c r="W25" i="8"/>
  <c r="Q22" i="8"/>
  <c r="W27" i="8"/>
  <c r="W31" i="8"/>
  <c r="W35" i="8"/>
  <c r="W24" i="8"/>
  <c r="W23" i="8"/>
  <c r="R36" i="8"/>
  <c r="I57" i="11"/>
  <c r="I58" i="11"/>
  <c r="F12" i="10"/>
  <c r="L40" i="8"/>
  <c r="AK12" i="8" s="1"/>
  <c r="AK11" i="8" s="1"/>
  <c r="AK13" i="8" s="1"/>
  <c r="D16" i="10"/>
  <c r="D23" i="10" s="1"/>
  <c r="D12" i="10"/>
  <c r="R27" i="8"/>
  <c r="Q24" i="8"/>
  <c r="E57" i="11"/>
  <c r="C16" i="11"/>
  <c r="P15" i="11"/>
  <c r="D34" i="11" s="1"/>
  <c r="R28" i="8"/>
  <c r="R21" i="8"/>
  <c r="AD30" i="8"/>
  <c r="Q30" i="8"/>
  <c r="I21" i="10"/>
  <c r="I9" i="10"/>
  <c r="K8" i="11"/>
  <c r="K9" i="11"/>
  <c r="I6" i="10"/>
  <c r="C12" i="10"/>
  <c r="I17" i="10"/>
  <c r="Q23" i="8"/>
  <c r="AA23" i="8"/>
  <c r="R31" i="8"/>
  <c r="R24" i="8"/>
  <c r="R25" i="8"/>
  <c r="R19" i="8"/>
  <c r="R35" i="8"/>
  <c r="R26" i="8"/>
  <c r="R29" i="8"/>
  <c r="Q19" i="8"/>
  <c r="R20" i="8"/>
  <c r="R32" i="8"/>
  <c r="R23" i="8"/>
  <c r="J40" i="8"/>
  <c r="AI12" i="8" s="1"/>
  <c r="AI11" i="8" s="1"/>
  <c r="AI13" i="8" s="1"/>
  <c r="R30" i="8"/>
  <c r="R33" i="8"/>
  <c r="Z25" i="8"/>
  <c r="Q25" i="8"/>
  <c r="P7" i="11"/>
  <c r="I10" i="11" s="1"/>
  <c r="E8" i="11"/>
  <c r="C33" i="11"/>
  <c r="C32" i="11"/>
  <c r="P32" i="11" s="1"/>
  <c r="U35" i="8"/>
  <c r="U31" i="8"/>
  <c r="U30" i="8"/>
  <c r="U28" i="8"/>
  <c r="U20" i="8"/>
  <c r="U33" i="8"/>
  <c r="U25" i="8"/>
  <c r="U21" i="8"/>
  <c r="U24" i="8"/>
  <c r="U18" i="8"/>
  <c r="U32" i="8"/>
  <c r="M40" i="8"/>
  <c r="AL12" i="8" s="1"/>
  <c r="AL11" i="8" s="1"/>
  <c r="AL13" i="8" s="1"/>
  <c r="U36" i="8"/>
  <c r="U34" i="8"/>
  <c r="U29" i="8"/>
  <c r="U27" i="8"/>
  <c r="U19" i="8"/>
  <c r="AC18" i="8"/>
  <c r="U26" i="8"/>
  <c r="U23" i="8"/>
  <c r="C40" i="11"/>
  <c r="E41" i="11"/>
  <c r="E40" i="11"/>
  <c r="I10" i="10"/>
  <c r="I39" i="9"/>
  <c r="N40" i="8"/>
  <c r="AM12" i="8" s="1"/>
  <c r="AM11" i="8" s="1"/>
  <c r="AM13" i="8" s="1"/>
  <c r="V35" i="8"/>
  <c r="V29" i="8"/>
  <c r="V26" i="8"/>
  <c r="AD20" i="8"/>
  <c r="Q20" i="8"/>
  <c r="V36" i="8"/>
  <c r="V33" i="8"/>
  <c r="V30" i="8"/>
  <c r="V31" i="8"/>
  <c r="V27" i="8"/>
  <c r="V25" i="8"/>
  <c r="V24" i="8"/>
  <c r="V23" i="8"/>
  <c r="V21" i="8"/>
  <c r="V20" i="8"/>
  <c r="V34" i="8"/>
  <c r="V32" i="8"/>
  <c r="V28" i="8"/>
  <c r="I41" i="11"/>
  <c r="I40" i="11"/>
  <c r="P39" i="11"/>
  <c r="F23" i="10"/>
  <c r="I20" i="10"/>
  <c r="E49" i="11"/>
  <c r="P47" i="11"/>
  <c r="C50" i="11" s="1"/>
  <c r="E48" i="11"/>
  <c r="I7" i="10"/>
  <c r="C18" i="10"/>
  <c r="I18" i="10" s="1"/>
  <c r="E16" i="11"/>
  <c r="E17" i="11"/>
  <c r="S35" i="8"/>
  <c r="S33" i="8"/>
  <c r="S31" i="8"/>
  <c r="S29" i="8"/>
  <c r="S27" i="8"/>
  <c r="S25" i="8"/>
  <c r="S23" i="8"/>
  <c r="S21" i="8"/>
  <c r="S19" i="8"/>
  <c r="S18" i="8"/>
  <c r="AA17" i="8"/>
  <c r="S17" i="8"/>
  <c r="K40" i="8"/>
  <c r="AJ12" i="8" s="1"/>
  <c r="AJ11" i="8" s="1"/>
  <c r="AJ13" i="8" s="1"/>
  <c r="S36" i="8"/>
  <c r="S34" i="8"/>
  <c r="S32" i="8"/>
  <c r="S30" i="8"/>
  <c r="S28" i="8"/>
  <c r="S26" i="8"/>
  <c r="S24" i="8"/>
  <c r="S20" i="8"/>
  <c r="B16" i="10"/>
  <c r="I5" i="10"/>
  <c r="C58" i="11"/>
  <c r="C57" i="11"/>
  <c r="P56" i="11"/>
  <c r="C59" i="11" s="1"/>
  <c r="B12" i="10"/>
  <c r="B22" i="10"/>
  <c r="I11" i="10"/>
  <c r="B14" i="2" l="1"/>
  <c r="U13" i="2"/>
  <c r="Y9" i="8"/>
  <c r="Y39" i="8"/>
  <c r="Y40" i="8" s="1"/>
  <c r="Y37" i="8"/>
  <c r="Y38" i="8"/>
  <c r="U11" i="2"/>
  <c r="U10" i="2"/>
  <c r="EF41" i="5"/>
  <c r="BS8" i="5"/>
  <c r="CV8" i="5" s="1"/>
  <c r="AN8" i="2"/>
  <c r="ES8" i="5"/>
  <c r="BC9" i="5"/>
  <c r="J37" i="6"/>
  <c r="L37" i="6" s="1"/>
  <c r="AM9" i="5"/>
  <c r="U12" i="1"/>
  <c r="AN9" i="2"/>
  <c r="E26" i="11"/>
  <c r="P25" i="11"/>
  <c r="G26" i="11"/>
  <c r="F26" i="11"/>
  <c r="D26" i="11"/>
  <c r="DL9" i="5"/>
  <c r="EB9" i="5" s="1"/>
  <c r="B10" i="5"/>
  <c r="R10" i="5" s="1"/>
  <c r="P48" i="11"/>
  <c r="H24" i="12"/>
  <c r="H13" i="12"/>
  <c r="K21" i="12"/>
  <c r="K24" i="12" s="1"/>
  <c r="J24" i="12"/>
  <c r="K10" i="12"/>
  <c r="K13" i="12" s="1"/>
  <c r="J13" i="12"/>
  <c r="Y10" i="8"/>
  <c r="U9" i="1"/>
  <c r="AN9" i="1" s="1"/>
  <c r="I16" i="10"/>
  <c r="Y11" i="8"/>
  <c r="Y14" i="8"/>
  <c r="Y18" i="8"/>
  <c r="Y17" i="8"/>
  <c r="Y16" i="8"/>
  <c r="Y19" i="8"/>
  <c r="C34" i="11"/>
  <c r="Y13" i="8"/>
  <c r="Y12" i="8"/>
  <c r="Y15" i="8"/>
  <c r="U10" i="1"/>
  <c r="B10" i="3"/>
  <c r="U10" i="3" s="1"/>
  <c r="AP9" i="3"/>
  <c r="D10" i="4"/>
  <c r="T10" i="4" s="1"/>
  <c r="AK9" i="4"/>
  <c r="Y22" i="8"/>
  <c r="G34" i="11"/>
  <c r="P8" i="11"/>
  <c r="P33" i="11"/>
  <c r="D42" i="11"/>
  <c r="P57" i="11"/>
  <c r="M10" i="11"/>
  <c r="H18" i="11"/>
  <c r="H26" i="11"/>
  <c r="D50" i="11"/>
  <c r="H34" i="11"/>
  <c r="I18" i="11"/>
  <c r="P17" i="11"/>
  <c r="P16" i="11"/>
  <c r="E18" i="11"/>
  <c r="F42" i="11"/>
  <c r="D18" i="11"/>
  <c r="Y21" i="8"/>
  <c r="F34" i="11"/>
  <c r="C18" i="11"/>
  <c r="F18" i="11"/>
  <c r="F50" i="11"/>
  <c r="P40" i="11"/>
  <c r="Y20" i="8"/>
  <c r="Y32" i="8"/>
  <c r="F10" i="11"/>
  <c r="O10" i="11"/>
  <c r="Y24" i="8"/>
  <c r="Y30" i="8"/>
  <c r="Y23" i="8"/>
  <c r="Y33" i="8"/>
  <c r="Y36" i="8"/>
  <c r="Y34" i="8"/>
  <c r="Y28" i="8"/>
  <c r="Y27" i="8"/>
  <c r="Q40" i="8"/>
  <c r="AP12" i="8" s="1"/>
  <c r="AP11" i="8" s="1"/>
  <c r="AP13" i="8" s="1"/>
  <c r="P9" i="11"/>
  <c r="C10" i="11"/>
  <c r="J10" i="11"/>
  <c r="D10" i="11"/>
  <c r="N10" i="11"/>
  <c r="Y31" i="8"/>
  <c r="Y25" i="8"/>
  <c r="G10" i="11"/>
  <c r="H10" i="11"/>
  <c r="E10" i="11"/>
  <c r="Y26" i="8"/>
  <c r="Y35" i="8"/>
  <c r="Y29" i="8"/>
  <c r="K10" i="11"/>
  <c r="L10" i="11"/>
  <c r="P41" i="11"/>
  <c r="E42" i="11"/>
  <c r="C42" i="11"/>
  <c r="I42" i="11"/>
  <c r="P49" i="11"/>
  <c r="E50" i="11"/>
  <c r="C23" i="10"/>
  <c r="I12" i="10"/>
  <c r="I22" i="10"/>
  <c r="B23" i="10"/>
  <c r="I59" i="11"/>
  <c r="D59" i="11"/>
  <c r="P50" i="11"/>
  <c r="P42" i="11"/>
  <c r="P18" i="11"/>
  <c r="H59" i="11"/>
  <c r="P34" i="11"/>
  <c r="F59" i="11"/>
  <c r="P58" i="11"/>
  <c r="P26" i="11"/>
  <c r="P10" i="11"/>
  <c r="P59" i="11"/>
  <c r="E59" i="11"/>
  <c r="B15" i="2" l="1"/>
  <c r="U14" i="2"/>
  <c r="BS9" i="5"/>
  <c r="CV9" i="5" s="1"/>
  <c r="BC10" i="5"/>
  <c r="AM10" i="5"/>
  <c r="AN10" i="2"/>
  <c r="U15" i="1"/>
  <c r="B11" i="5"/>
  <c r="R11" i="5" s="1"/>
  <c r="DL10" i="5"/>
  <c r="EB10" i="5" s="1"/>
  <c r="ES9" i="5"/>
  <c r="I23" i="10"/>
  <c r="D11" i="4"/>
  <c r="T11" i="4" s="1"/>
  <c r="AK10" i="4"/>
  <c r="AN10" i="1"/>
  <c r="U11" i="1"/>
  <c r="B11" i="3"/>
  <c r="U11" i="3" s="1"/>
  <c r="AP10" i="3"/>
  <c r="B16" i="2" l="1"/>
  <c r="U15" i="2"/>
  <c r="BC11" i="5"/>
  <c r="BS11" i="5" s="1"/>
  <c r="CV11" i="5" s="1"/>
  <c r="BS10" i="5"/>
  <c r="CV10" i="5"/>
  <c r="B12" i="5"/>
  <c r="R12" i="5" s="1"/>
  <c r="AM11" i="5"/>
  <c r="U16" i="1"/>
  <c r="AN11" i="2"/>
  <c r="DL11" i="5"/>
  <c r="EB11" i="5" s="1"/>
  <c r="ES10" i="5"/>
  <c r="AN11" i="1"/>
  <c r="B12" i="3"/>
  <c r="U12" i="3" s="1"/>
  <c r="AP11" i="3"/>
  <c r="AK11" i="4"/>
  <c r="D12" i="4"/>
  <c r="T12" i="4" s="1"/>
  <c r="B17" i="2" l="1"/>
  <c r="B18" i="2" s="1"/>
  <c r="U16" i="2"/>
  <c r="U17" i="2"/>
  <c r="BC12" i="5"/>
  <c r="BS12" i="5" s="1"/>
  <c r="CV12" i="5" s="1"/>
  <c r="AM12" i="5"/>
  <c r="B13" i="5"/>
  <c r="R13" i="5" s="1"/>
  <c r="U18" i="1"/>
  <c r="AN12" i="2"/>
  <c r="ES11" i="5"/>
  <c r="DL12" i="5"/>
  <c r="EB12" i="5" s="1"/>
  <c r="AK12" i="4"/>
  <c r="D13" i="4"/>
  <c r="U13" i="1"/>
  <c r="AN12" i="1"/>
  <c r="B13" i="3"/>
  <c r="U13" i="3" s="1"/>
  <c r="AP12" i="3"/>
  <c r="B19" i="2" l="1"/>
  <c r="U18" i="2"/>
  <c r="BC13" i="5"/>
  <c r="BS13" i="5" s="1"/>
  <c r="CV13" i="5" s="1"/>
  <c r="B14" i="5"/>
  <c r="R14" i="5" s="1"/>
  <c r="AM13" i="5"/>
  <c r="AN13" i="2"/>
  <c r="U19" i="1"/>
  <c r="ES12" i="5"/>
  <c r="DL13" i="5"/>
  <c r="EB13" i="5" s="1"/>
  <c r="D14" i="4"/>
  <c r="D15" i="4" s="1"/>
  <c r="T13" i="4"/>
  <c r="AK13" i="4" s="1"/>
  <c r="AP13" i="3"/>
  <c r="B14" i="3"/>
  <c r="U14" i="3" s="1"/>
  <c r="U14" i="1"/>
  <c r="AN13" i="1"/>
  <c r="B20" i="2" l="1"/>
  <c r="U19" i="2"/>
  <c r="BC14" i="5"/>
  <c r="BS14" i="5" s="1"/>
  <c r="CV14" i="5" s="1"/>
  <c r="AM14" i="5"/>
  <c r="B15" i="5"/>
  <c r="U20" i="1"/>
  <c r="AN14" i="2"/>
  <c r="ES13" i="5"/>
  <c r="DL14" i="5"/>
  <c r="EB14" i="5" s="1"/>
  <c r="T14" i="4"/>
  <c r="AK14" i="4" s="1"/>
  <c r="AP14" i="3"/>
  <c r="B15" i="3"/>
  <c r="U15" i="3" s="1"/>
  <c r="AN14" i="1"/>
  <c r="B21" i="2" l="1"/>
  <c r="U20" i="2"/>
  <c r="BC15" i="5"/>
  <c r="BS15" i="5" s="1"/>
  <c r="CV15" i="5" s="1"/>
  <c r="R15" i="5"/>
  <c r="AM15" i="5" s="1"/>
  <c r="B16" i="5"/>
  <c r="U21" i="1"/>
  <c r="AN15" i="2"/>
  <c r="ES14" i="5"/>
  <c r="DL15" i="5"/>
  <c r="EB15" i="5" s="1"/>
  <c r="D16" i="4"/>
  <c r="T15" i="4"/>
  <c r="AK15" i="4" s="1"/>
  <c r="AP15" i="3"/>
  <c r="B16" i="3"/>
  <c r="U16" i="3" s="1"/>
  <c r="AN15" i="1"/>
  <c r="B22" i="2" l="1"/>
  <c r="U21" i="2"/>
  <c r="AN17" i="2"/>
  <c r="BC16" i="5"/>
  <c r="BS16" i="5" s="1"/>
  <c r="CV16" i="5" s="1"/>
  <c r="R16" i="5"/>
  <c r="AM16" i="5" s="1"/>
  <c r="B17" i="5"/>
  <c r="R17" i="5" s="1"/>
  <c r="AM17" i="5" s="1"/>
  <c r="AN16" i="2"/>
  <c r="U22" i="1"/>
  <c r="ES15" i="5"/>
  <c r="DL16" i="5"/>
  <c r="EB16" i="5" s="1"/>
  <c r="D17" i="4"/>
  <c r="T17" i="4" s="1"/>
  <c r="T16" i="4"/>
  <c r="AK16" i="4" s="1"/>
  <c r="B17" i="3"/>
  <c r="U17" i="3" s="1"/>
  <c r="AP16" i="3"/>
  <c r="AN16" i="1"/>
  <c r="U17" i="1"/>
  <c r="B23" i="2" l="1"/>
  <c r="U22" i="2"/>
  <c r="AN18" i="2"/>
  <c r="B18" i="5"/>
  <c r="R18" i="5" s="1"/>
  <c r="BC17" i="5"/>
  <c r="BS17" i="5" s="1"/>
  <c r="CV17" i="5" s="1"/>
  <c r="AM18" i="5"/>
  <c r="U23" i="1"/>
  <c r="ES16" i="5"/>
  <c r="DL17" i="5"/>
  <c r="EB17" i="5" s="1"/>
  <c r="D18" i="4"/>
  <c r="T18" i="4" s="1"/>
  <c r="AK17" i="4"/>
  <c r="AN17" i="1"/>
  <c r="B18" i="3"/>
  <c r="U18" i="3" s="1"/>
  <c r="AP17" i="3"/>
  <c r="B24" i="2" l="1"/>
  <c r="U23" i="2"/>
  <c r="B19" i="5"/>
  <c r="BC18" i="5"/>
  <c r="BS18" i="5" s="1"/>
  <c r="CV18" i="5" s="1"/>
  <c r="U24" i="1"/>
  <c r="ES17" i="5"/>
  <c r="DL18" i="5"/>
  <c r="EB18" i="5" s="1"/>
  <c r="D19" i="4"/>
  <c r="T19" i="4" s="1"/>
  <c r="AK18" i="4"/>
  <c r="B19" i="3"/>
  <c r="U19" i="3" s="1"/>
  <c r="AP18" i="3"/>
  <c r="AN18" i="1"/>
  <c r="R19" i="5" l="1"/>
  <c r="AM19" i="5" s="1"/>
  <c r="B25" i="2"/>
  <c r="U25" i="2" s="1"/>
  <c r="U24" i="2"/>
  <c r="B20" i="5"/>
  <c r="R20" i="5" s="1"/>
  <c r="BC19" i="5"/>
  <c r="BS19" i="5" s="1"/>
  <c r="CV19" i="5" s="1"/>
  <c r="AM20" i="5"/>
  <c r="AN19" i="2"/>
  <c r="U25" i="1"/>
  <c r="ES18" i="5"/>
  <c r="DL19" i="5"/>
  <c r="EB19" i="5" s="1"/>
  <c r="AN19" i="1"/>
  <c r="AP19" i="3"/>
  <c r="B20" i="3"/>
  <c r="U20" i="3" s="1"/>
  <c r="AK19" i="4"/>
  <c r="D20" i="4"/>
  <c r="T20" i="4" s="1"/>
  <c r="B26" i="2" l="1"/>
  <c r="B21" i="5"/>
  <c r="R21" i="5" s="1"/>
  <c r="BC20" i="5"/>
  <c r="BS20" i="5" s="1"/>
  <c r="CV20" i="5" s="1"/>
  <c r="AM21" i="5"/>
  <c r="B21" i="3"/>
  <c r="U21" i="3" s="1"/>
  <c r="U26" i="1"/>
  <c r="AN20" i="2"/>
  <c r="ES19" i="5"/>
  <c r="DL20" i="5"/>
  <c r="EB20" i="5" s="1"/>
  <c r="AK20" i="4"/>
  <c r="D21" i="4"/>
  <c r="T21" i="4" s="1"/>
  <c r="AN20" i="1"/>
  <c r="AP20" i="3"/>
  <c r="B27" i="2" l="1"/>
  <c r="U26" i="2"/>
  <c r="B22" i="5"/>
  <c r="BC21" i="5"/>
  <c r="BS21" i="5" s="1"/>
  <c r="CV21" i="5" s="1"/>
  <c r="U27" i="1"/>
  <c r="AN21" i="2"/>
  <c r="B22" i="3"/>
  <c r="U22" i="3" s="1"/>
  <c r="AP21" i="3"/>
  <c r="ES20" i="5"/>
  <c r="DL21" i="5"/>
  <c r="EB21" i="5" s="1"/>
  <c r="AN21" i="1"/>
  <c r="AK21" i="4"/>
  <c r="D22" i="4"/>
  <c r="T22" i="4" s="1"/>
  <c r="B28" i="2" l="1"/>
  <c r="U27" i="2"/>
  <c r="R22" i="5"/>
  <c r="AM22" i="5" s="1"/>
  <c r="B23" i="5"/>
  <c r="BC22" i="5"/>
  <c r="BS22" i="5" s="1"/>
  <c r="CV22" i="5" s="1"/>
  <c r="AN22" i="2"/>
  <c r="B23" i="3"/>
  <c r="U23" i="3" s="1"/>
  <c r="U28" i="1"/>
  <c r="AN28" i="1" s="1"/>
  <c r="ES21" i="5"/>
  <c r="DL22" i="5"/>
  <c r="EB22" i="5" s="1"/>
  <c r="D23" i="4"/>
  <c r="AK22" i="4"/>
  <c r="AP22" i="3"/>
  <c r="AN22" i="1"/>
  <c r="B29" i="2" l="1"/>
  <c r="U28" i="2"/>
  <c r="R23" i="5"/>
  <c r="AM23" i="5" s="1"/>
  <c r="B24" i="5"/>
  <c r="BC23" i="5"/>
  <c r="BS23" i="5" s="1"/>
  <c r="CV23" i="5" s="1"/>
  <c r="U29" i="1"/>
  <c r="AN29" i="1" s="1"/>
  <c r="AN23" i="2"/>
  <c r="B24" i="3"/>
  <c r="U24" i="3" s="1"/>
  <c r="AP23" i="3"/>
  <c r="ES22" i="5"/>
  <c r="DL23" i="5"/>
  <c r="EB23" i="5" s="1"/>
  <c r="T23" i="4"/>
  <c r="D24" i="4"/>
  <c r="D25" i="4" s="1"/>
  <c r="D26" i="4" s="1"/>
  <c r="H5" i="9"/>
  <c r="D5" i="9"/>
  <c r="AN23" i="1"/>
  <c r="G5" i="9"/>
  <c r="C5" i="9"/>
  <c r="F5" i="9"/>
  <c r="B5" i="9"/>
  <c r="E5" i="9"/>
  <c r="H45" i="9"/>
  <c r="E45" i="9"/>
  <c r="C45" i="9"/>
  <c r="G45" i="9"/>
  <c r="B45" i="9"/>
  <c r="D45" i="9"/>
  <c r="F45" i="9"/>
  <c r="B30" i="2" l="1"/>
  <c r="B31" i="2" s="1"/>
  <c r="B32" i="2" s="1"/>
  <c r="B33" i="2" s="1"/>
  <c r="B34" i="2" s="1"/>
  <c r="B35" i="2" s="1"/>
  <c r="B36" i="2" s="1"/>
  <c r="B37" i="2" s="1"/>
  <c r="B38" i="2" s="1"/>
  <c r="U29" i="2"/>
  <c r="R24" i="5"/>
  <c r="AM24" i="5" s="1"/>
  <c r="D27" i="4"/>
  <c r="D28" i="4" s="1"/>
  <c r="D29" i="4" s="1"/>
  <c r="D30" i="4" s="1"/>
  <c r="D31" i="4" s="1"/>
  <c r="D32" i="4" s="1"/>
  <c r="B25" i="5"/>
  <c r="R25" i="5" s="1"/>
  <c r="BC24" i="5"/>
  <c r="B25" i="3"/>
  <c r="U25" i="3" s="1"/>
  <c r="AP24" i="3"/>
  <c r="AN24" i="2"/>
  <c r="U30" i="1"/>
  <c r="AN30" i="1" s="1"/>
  <c r="DL24" i="5"/>
  <c r="EB24" i="5" s="1"/>
  <c r="T24" i="4"/>
  <c r="AK24" i="4" s="1"/>
  <c r="G52" i="9"/>
  <c r="F52" i="9"/>
  <c r="C52" i="9"/>
  <c r="D52" i="9"/>
  <c r="E52" i="9"/>
  <c r="H52" i="9"/>
  <c r="B6" i="9"/>
  <c r="I5" i="9"/>
  <c r="I6" i="9" s="1"/>
  <c r="T25" i="4"/>
  <c r="AK23" i="4"/>
  <c r="I45" i="9"/>
  <c r="B52" i="9"/>
  <c r="C6" i="9"/>
  <c r="AN24" i="1"/>
  <c r="U30" i="2" l="1"/>
  <c r="BS24" i="5"/>
  <c r="CV24" i="5" s="1"/>
  <c r="BC25" i="5"/>
  <c r="BC26" i="5" s="1"/>
  <c r="BC27" i="5" s="1"/>
  <c r="AM25" i="5"/>
  <c r="T27" i="4"/>
  <c r="B26" i="5"/>
  <c r="R26" i="5" s="1"/>
  <c r="I52" i="9"/>
  <c r="BS25" i="5"/>
  <c r="U31" i="1"/>
  <c r="AN31" i="1" s="1"/>
  <c r="AN25" i="2"/>
  <c r="B26" i="3"/>
  <c r="U26" i="3" s="1"/>
  <c r="ES24" i="5"/>
  <c r="DL25" i="5"/>
  <c r="EB25" i="5" s="1"/>
  <c r="ES23" i="5"/>
  <c r="T26" i="4"/>
  <c r="AK25" i="4"/>
  <c r="AN25" i="1"/>
  <c r="AP25" i="3"/>
  <c r="U31" i="2" l="1"/>
  <c r="AP26" i="3"/>
  <c r="CV25" i="5"/>
  <c r="AM26" i="5"/>
  <c r="B27" i="5"/>
  <c r="R27" i="5" s="1"/>
  <c r="BS26" i="5"/>
  <c r="U32" i="1"/>
  <c r="AN32" i="1" s="1"/>
  <c r="B27" i="3"/>
  <c r="U27" i="3" s="1"/>
  <c r="AN26" i="2"/>
  <c r="ES25" i="5"/>
  <c r="DL26" i="5"/>
  <c r="EB26" i="5" s="1"/>
  <c r="AN26" i="1"/>
  <c r="AK26" i="4"/>
  <c r="U32" i="2" l="1"/>
  <c r="AM27" i="5"/>
  <c r="B28" i="5"/>
  <c r="R28" i="5" s="1"/>
  <c r="CV26" i="5"/>
  <c r="BS27" i="5"/>
  <c r="AP27" i="3"/>
  <c r="BC28" i="5"/>
  <c r="AM28" i="5"/>
  <c r="B28" i="3"/>
  <c r="U28" i="3" s="1"/>
  <c r="AN27" i="2"/>
  <c r="U33" i="1"/>
  <c r="ES26" i="5"/>
  <c r="DL27" i="5"/>
  <c r="EB27" i="5" s="1"/>
  <c r="AK27" i="4"/>
  <c r="T28" i="4"/>
  <c r="B29" i="5"/>
  <c r="R29" i="5" s="1"/>
  <c r="AN27" i="1"/>
  <c r="U33" i="2" l="1"/>
  <c r="CV27" i="5"/>
  <c r="AP28" i="3"/>
  <c r="BC29" i="5"/>
  <c r="BS28" i="5"/>
  <c r="AM29" i="5"/>
  <c r="U36" i="1"/>
  <c r="AN36" i="1" s="1"/>
  <c r="CV28" i="5"/>
  <c r="AN28" i="2"/>
  <c r="B29" i="3"/>
  <c r="U29" i="3" s="1"/>
  <c r="ES27" i="5"/>
  <c r="DL28" i="5"/>
  <c r="EB28" i="5" s="1"/>
  <c r="B30" i="5"/>
  <c r="T29" i="4"/>
  <c r="AK29" i="4" s="1"/>
  <c r="AK28" i="4"/>
  <c r="U34" i="2" l="1"/>
  <c r="R30" i="5"/>
  <c r="AM30" i="5" s="1"/>
  <c r="AP29" i="3"/>
  <c r="BC30" i="5"/>
  <c r="BS29" i="5"/>
  <c r="CV29" i="5"/>
  <c r="B30" i="3"/>
  <c r="U30" i="3" s="1"/>
  <c r="AN29" i="2"/>
  <c r="U38" i="1"/>
  <c r="AN38" i="1" s="1"/>
  <c r="U37" i="1"/>
  <c r="AN37" i="1" s="1"/>
  <c r="ES28" i="5"/>
  <c r="DL29" i="5"/>
  <c r="EB29" i="5" s="1"/>
  <c r="T30" i="4"/>
  <c r="AK30" i="4" s="1"/>
  <c r="B31" i="5"/>
  <c r="U35" i="2" l="1"/>
  <c r="R31" i="5"/>
  <c r="AM31" i="5" s="1"/>
  <c r="BC31" i="5"/>
  <c r="BS30" i="5"/>
  <c r="B31" i="3"/>
  <c r="U31" i="3" s="1"/>
  <c r="AP30" i="3"/>
  <c r="AN30" i="2"/>
  <c r="ES29" i="5"/>
  <c r="DL30" i="5"/>
  <c r="EB30" i="5" s="1"/>
  <c r="B32" i="5"/>
  <c r="R32" i="5" s="1"/>
  <c r="T31" i="4"/>
  <c r="U36" i="2" l="1"/>
  <c r="AP31" i="3"/>
  <c r="CV30" i="5"/>
  <c r="BC32" i="5"/>
  <c r="BS32" i="5" s="1"/>
  <c r="BS31" i="5"/>
  <c r="AM32" i="5"/>
  <c r="AN31" i="2"/>
  <c r="ES30" i="5"/>
  <c r="DL31" i="5"/>
  <c r="EB31" i="5" s="1"/>
  <c r="B32" i="3"/>
  <c r="U32" i="3" s="1"/>
  <c r="AK31" i="4"/>
  <c r="B33" i="5"/>
  <c r="R33" i="5" s="1"/>
  <c r="U38" i="2" l="1"/>
  <c r="U37" i="2"/>
  <c r="AM33" i="5"/>
  <c r="AP32" i="3"/>
  <c r="CV31" i="5"/>
  <c r="BC33" i="5"/>
  <c r="BS33" i="5" s="1"/>
  <c r="CV32" i="5"/>
  <c r="D33" i="4"/>
  <c r="T32" i="4"/>
  <c r="AK32" i="4" s="1"/>
  <c r="AN32" i="2"/>
  <c r="ES31" i="5"/>
  <c r="DL32" i="5"/>
  <c r="EB32" i="5" s="1"/>
  <c r="B34" i="5"/>
  <c r="R34" i="5" s="1"/>
  <c r="B33" i="3"/>
  <c r="U33" i="3" l="1"/>
  <c r="AP33" i="3" s="1"/>
  <c r="BC34" i="5"/>
  <c r="CV33" i="5"/>
  <c r="D34" i="4"/>
  <c r="D35" i="4" s="1"/>
  <c r="D36" i="4" s="1"/>
  <c r="D37" i="4" s="1"/>
  <c r="T33" i="4"/>
  <c r="AK33" i="4" s="1"/>
  <c r="AM34" i="5"/>
  <c r="AN33" i="2"/>
  <c r="ES32" i="5"/>
  <c r="DL33" i="5"/>
  <c r="EB33" i="5" s="1"/>
  <c r="B35" i="5"/>
  <c r="R35" i="5" s="1"/>
  <c r="B34" i="3"/>
  <c r="U34" i="1"/>
  <c r="AN33" i="1"/>
  <c r="U34" i="3" l="1"/>
  <c r="AP34" i="3" s="1"/>
  <c r="BS34" i="5"/>
  <c r="CV34" i="5" s="1"/>
  <c r="AM35" i="5"/>
  <c r="B36" i="5"/>
  <c r="B37" i="5" s="1"/>
  <c r="B38" i="5" s="1"/>
  <c r="T34" i="4"/>
  <c r="AK34" i="4" s="1"/>
  <c r="AN34" i="2"/>
  <c r="ES33" i="5"/>
  <c r="DL34" i="5"/>
  <c r="EB34" i="5" s="1"/>
  <c r="B35" i="3"/>
  <c r="AN34" i="1"/>
  <c r="T35" i="4"/>
  <c r="BC35" i="5"/>
  <c r="BS35" i="5" s="1"/>
  <c r="U35" i="3" l="1"/>
  <c r="AP35" i="3" s="1"/>
  <c r="R36" i="5"/>
  <c r="AM36" i="5" s="1"/>
  <c r="DL35" i="5"/>
  <c r="EB35" i="5" s="1"/>
  <c r="AN35" i="2"/>
  <c r="ES34" i="5"/>
  <c r="B36" i="3"/>
  <c r="BC36" i="5"/>
  <c r="BS36" i="5" s="1"/>
  <c r="CV35" i="5"/>
  <c r="U35" i="1"/>
  <c r="AN35" i="1" s="1"/>
  <c r="T36" i="4"/>
  <c r="AK35" i="4"/>
  <c r="R37" i="5"/>
  <c r="U36" i="3" l="1"/>
  <c r="AP36" i="3" s="1"/>
  <c r="DL36" i="5"/>
  <c r="DL37" i="5" s="1"/>
  <c r="EB37" i="5" s="1"/>
  <c r="ES35" i="5"/>
  <c r="AN36" i="2"/>
  <c r="B37" i="3"/>
  <c r="U37" i="3" s="1"/>
  <c r="CV36" i="5"/>
  <c r="BC37" i="5"/>
  <c r="BS37" i="5" s="1"/>
  <c r="AM37" i="5"/>
  <c r="R38" i="5"/>
  <c r="T37" i="4"/>
  <c r="AK37" i="4" s="1"/>
  <c r="AK36" i="4"/>
  <c r="F10" i="9" l="1"/>
  <c r="E10" i="9"/>
  <c r="D10" i="9"/>
  <c r="G10" i="9"/>
  <c r="C10" i="9"/>
  <c r="C11" i="9" s="1"/>
  <c r="H46" i="9"/>
  <c r="C46" i="9"/>
  <c r="D46" i="9"/>
  <c r="E46" i="9"/>
  <c r="B46" i="9"/>
  <c r="I46" i="9" s="1"/>
  <c r="G46" i="9"/>
  <c r="F46" i="9"/>
  <c r="B10" i="9"/>
  <c r="H10" i="9"/>
  <c r="AM38" i="5"/>
  <c r="B20" i="9"/>
  <c r="I20" i="9" s="1"/>
  <c r="I21" i="9" s="1"/>
  <c r="G48" i="9"/>
  <c r="H48" i="9"/>
  <c r="D20" i="9"/>
  <c r="D21" i="9" s="1"/>
  <c r="C20" i="9"/>
  <c r="C48" i="9"/>
  <c r="H20" i="9"/>
  <c r="G20" i="9"/>
  <c r="D48" i="9"/>
  <c r="B48" i="9"/>
  <c r="I48" i="9" s="1"/>
  <c r="EB36" i="5"/>
  <c r="ES36" i="5" s="1"/>
  <c r="AN37" i="2"/>
  <c r="B38" i="3"/>
  <c r="U38" i="3" s="1"/>
  <c r="AP37" i="3"/>
  <c r="BC38" i="5"/>
  <c r="BS38" i="5" s="1"/>
  <c r="CV37" i="5"/>
  <c r="D38" i="4"/>
  <c r="E48" i="9" l="1"/>
  <c r="E20" i="9"/>
  <c r="F48" i="9"/>
  <c r="F20" i="9"/>
  <c r="F21" i="9" s="1"/>
  <c r="B11" i="9"/>
  <c r="I10" i="9"/>
  <c r="I11" i="9" s="1"/>
  <c r="D25" i="9"/>
  <c r="D26" i="9" s="1"/>
  <c r="C25" i="9"/>
  <c r="C26" i="9" s="1"/>
  <c r="F25" i="9"/>
  <c r="D49" i="9"/>
  <c r="B25" i="9"/>
  <c r="B49" i="9"/>
  <c r="I49" i="9" s="1"/>
  <c r="F49" i="9"/>
  <c r="H25" i="9"/>
  <c r="G49" i="9"/>
  <c r="E49" i="9"/>
  <c r="G25" i="9"/>
  <c r="C49" i="9"/>
  <c r="H49" i="9"/>
  <c r="E25" i="9"/>
  <c r="H15" i="9"/>
  <c r="G15" i="9"/>
  <c r="E47" i="9"/>
  <c r="B47" i="9"/>
  <c r="I47" i="9" s="1"/>
  <c r="F47" i="9"/>
  <c r="C47" i="9"/>
  <c r="F15" i="9"/>
  <c r="C15" i="9"/>
  <c r="C16" i="9" s="1"/>
  <c r="G47" i="9"/>
  <c r="E15" i="9"/>
  <c r="B15" i="9"/>
  <c r="I15" i="9" s="1"/>
  <c r="I16" i="9" s="1"/>
  <c r="D15" i="9"/>
  <c r="D47" i="9"/>
  <c r="H47" i="9"/>
  <c r="CV38" i="5"/>
  <c r="ES37" i="5"/>
  <c r="DL38" i="5"/>
  <c r="AP38" i="3"/>
  <c r="AN38" i="2"/>
  <c r="T38" i="4"/>
  <c r="B26" i="9" l="1"/>
  <c r="I25" i="9"/>
  <c r="I26" i="9" s="1"/>
  <c r="AK38" i="4"/>
  <c r="F51" i="9"/>
  <c r="B35" i="9"/>
  <c r="B51" i="9"/>
  <c r="I51" i="9" s="1"/>
  <c r="H51" i="9"/>
  <c r="E51" i="9"/>
  <c r="C35" i="9"/>
  <c r="C51" i="9"/>
  <c r="E35" i="9"/>
  <c r="G51" i="9"/>
  <c r="G35" i="9"/>
  <c r="F35" i="9"/>
  <c r="D35" i="9"/>
  <c r="H35" i="9"/>
  <c r="D51" i="9"/>
  <c r="EB38" i="5"/>
  <c r="AS9" i="2"/>
  <c r="AS10" i="2" s="1"/>
  <c r="AS11" i="2" s="1"/>
  <c r="AS12" i="2" s="1"/>
  <c r="AS13" i="2" s="1"/>
  <c r="AS14" i="2" s="1"/>
  <c r="AS15" i="2" s="1"/>
  <c r="AS16" i="2" s="1"/>
  <c r="ES38" i="5" l="1"/>
  <c r="E50" i="9"/>
  <c r="H50" i="9"/>
  <c r="H30" i="9"/>
  <c r="H40" i="9" s="1"/>
  <c r="F50" i="9"/>
  <c r="F30" i="9"/>
  <c r="F40" i="9" s="1"/>
  <c r="F41" i="9" s="1"/>
  <c r="B30" i="9"/>
  <c r="B40" i="9" s="1"/>
  <c r="D30" i="9"/>
  <c r="D40" i="9" s="1"/>
  <c r="D41" i="9" s="1"/>
  <c r="D50" i="9"/>
  <c r="E30" i="9"/>
  <c r="E40" i="9" s="1"/>
  <c r="C30" i="9"/>
  <c r="C31" i="9" s="1"/>
  <c r="G50" i="9"/>
  <c r="B50" i="9"/>
  <c r="I50" i="9" s="1"/>
  <c r="G30" i="9"/>
  <c r="G40" i="9" s="1"/>
  <c r="C50" i="9"/>
  <c r="C36" i="9"/>
  <c r="I35" i="9"/>
  <c r="I36" i="9" s="1"/>
  <c r="B36" i="9"/>
  <c r="AS17" i="2"/>
  <c r="AS18" i="2" s="1"/>
  <c r="AR9" i="3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R33" i="3" s="1"/>
  <c r="AR34" i="3" s="1"/>
  <c r="AR35" i="3" s="1"/>
  <c r="AR36" i="3" s="1"/>
  <c r="AR37" i="3" s="1"/>
  <c r="AR38" i="3" s="1"/>
  <c r="AR39" i="3" s="1"/>
  <c r="C40" i="9" l="1"/>
  <c r="C41" i="9" s="1"/>
  <c r="B31" i="9"/>
  <c r="I30" i="9"/>
  <c r="I31" i="9" s="1"/>
  <c r="AS19" i="2"/>
  <c r="AS20" i="2" s="1"/>
  <c r="AS21" i="2" s="1"/>
  <c r="AS22" i="2" s="1"/>
  <c r="AS23" i="2" s="1"/>
  <c r="AS24" i="2" s="1"/>
  <c r="AS25" i="2" s="1"/>
  <c r="AS26" i="2" s="1"/>
  <c r="AS27" i="2" s="1"/>
  <c r="AS28" i="2" s="1"/>
  <c r="AS29" i="2" s="1"/>
  <c r="AS30" i="2" s="1"/>
  <c r="AS31" i="2" s="1"/>
  <c r="AS32" i="2" s="1"/>
  <c r="AS33" i="2" s="1"/>
  <c r="AS34" i="2" s="1"/>
  <c r="AS35" i="2" s="1"/>
  <c r="AS36" i="2" s="1"/>
  <c r="AS37" i="2" s="1"/>
  <c r="AS38" i="2" s="1"/>
  <c r="AS39" i="2" s="1"/>
  <c r="B41" i="9"/>
  <c r="I40" i="9"/>
  <c r="I41" i="9" s="1"/>
  <c r="EX9" i="5"/>
  <c r="EX10" i="5" s="1"/>
  <c r="EX11" i="5" s="1"/>
  <c r="EX12" i="5" s="1"/>
  <c r="EX13" i="5" s="1"/>
  <c r="EX14" i="5" s="1"/>
  <c r="EX15" i="5" s="1"/>
  <c r="EX16" i="5" s="1"/>
  <c r="EX17" i="5" s="1"/>
  <c r="EX18" i="5" s="1"/>
  <c r="EX19" i="5" s="1"/>
  <c r="EX20" i="5" s="1"/>
  <c r="EX21" i="5" s="1"/>
  <c r="EX22" i="5" s="1"/>
  <c r="EX23" i="5" s="1"/>
  <c r="EX24" i="5" s="1"/>
  <c r="EX25" i="5" s="1"/>
  <c r="EX26" i="5" s="1"/>
  <c r="EX27" i="5" s="1"/>
  <c r="EX28" i="5" s="1"/>
  <c r="EX29" i="5" s="1"/>
  <c r="EX30" i="5" s="1"/>
  <c r="EX31" i="5" s="1"/>
  <c r="EX32" i="5" s="1"/>
  <c r="EX33" i="5" s="1"/>
  <c r="EX34" i="5" s="1"/>
  <c r="EX35" i="5" s="1"/>
  <c r="EX36" i="5" s="1"/>
  <c r="EX37" i="5" s="1"/>
  <c r="EX38" i="5" s="1"/>
  <c r="EX39" i="5" s="1"/>
  <c r="EW9" i="5" l="1"/>
  <c r="EW10" i="5" s="1"/>
  <c r="EW11" i="5" s="1"/>
  <c r="EW12" i="5" s="1"/>
  <c r="EW13" i="5" s="1"/>
  <c r="EW14" i="5" s="1"/>
  <c r="EW15" i="5" s="1"/>
  <c r="EW16" i="5" s="1"/>
  <c r="EW17" i="5" s="1"/>
  <c r="EW18" i="5" s="1"/>
  <c r="EW19" i="5" s="1"/>
  <c r="EW20" i="5" s="1"/>
  <c r="EW21" i="5" s="1"/>
  <c r="EW22" i="5" s="1"/>
  <c r="EW23" i="5" s="1"/>
  <c r="EW24" i="5" s="1"/>
  <c r="EW25" i="5" s="1"/>
  <c r="EW26" i="5" s="1"/>
  <c r="EW27" i="5" s="1"/>
  <c r="EW28" i="5" s="1"/>
  <c r="EW29" i="5" s="1"/>
  <c r="EW30" i="5" s="1"/>
  <c r="EW31" i="5" s="1"/>
  <c r="EW32" i="5" s="1"/>
  <c r="EW33" i="5" s="1"/>
  <c r="EW34" i="5" s="1"/>
  <c r="EW35" i="5" s="1"/>
  <c r="EW36" i="5" s="1"/>
  <c r="EW37" i="5" s="1"/>
  <c r="EW38" i="5" s="1"/>
  <c r="EW39" i="5" s="1"/>
  <c r="EV9" i="5"/>
  <c r="EV10" i="5" s="1"/>
  <c r="EV11" i="5" s="1"/>
  <c r="EV12" i="5" s="1"/>
  <c r="EV13" i="5" s="1"/>
  <c r="EV14" i="5" s="1"/>
  <c r="EV15" i="5" s="1"/>
  <c r="EV16" i="5" s="1"/>
  <c r="EV17" i="5" s="1"/>
  <c r="EV18" i="5" s="1"/>
  <c r="EV19" i="5" s="1"/>
  <c r="EV20" i="5" s="1"/>
  <c r="EV21" i="5" s="1"/>
  <c r="EV22" i="5" s="1"/>
  <c r="EV23" i="5" s="1"/>
  <c r="EV24" i="5" s="1"/>
  <c r="EV25" i="5" s="1"/>
  <c r="EV26" i="5" s="1"/>
  <c r="EV27" i="5" s="1"/>
  <c r="EV28" i="5" s="1"/>
  <c r="EV29" i="5" s="1"/>
  <c r="EV30" i="5" s="1"/>
  <c r="EV31" i="5" s="1"/>
  <c r="EV32" i="5" s="1"/>
  <c r="EV33" i="5" s="1"/>
  <c r="EV34" i="5" s="1"/>
  <c r="EV35" i="5" s="1"/>
  <c r="EV36" i="5" s="1"/>
  <c r="EV37" i="5" s="1"/>
  <c r="EV38" i="5" s="1"/>
  <c r="EV39" i="5" s="1"/>
  <c r="AV39" i="3" l="1"/>
  <c r="AU9" i="3" l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U25" i="3" s="1"/>
  <c r="AU26" i="3" s="1"/>
  <c r="AU27" i="3" s="1"/>
  <c r="AU28" i="3" s="1"/>
  <c r="AU29" i="3" s="1"/>
  <c r="AU30" i="3" s="1"/>
  <c r="AU31" i="3" s="1"/>
  <c r="AU32" i="3" s="1"/>
  <c r="AU33" i="3" s="1"/>
  <c r="AU34" i="3" s="1"/>
  <c r="AU35" i="3" s="1"/>
  <c r="AU36" i="3" s="1"/>
  <c r="AU37" i="3" s="1"/>
  <c r="AU38" i="3" s="1"/>
  <c r="AU39" i="3" s="1"/>
  <c r="AT9" i="1" l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P9" i="1" l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DA9" i="5" l="1"/>
  <c r="DA10" i="5" s="1"/>
  <c r="DA12" i="5" s="1"/>
  <c r="DA13" i="5" s="1"/>
  <c r="DA14" i="5" s="1"/>
  <c r="DA15" i="5" s="1"/>
  <c r="DA16" i="5" s="1"/>
  <c r="DA17" i="5" s="1"/>
  <c r="DA20" i="5" s="1"/>
  <c r="DA21" i="5" s="1"/>
  <c r="DA22" i="5" s="1"/>
  <c r="DA23" i="5" s="1"/>
  <c r="DA24" i="5" s="1"/>
  <c r="DA25" i="5" s="1"/>
  <c r="DA26" i="5" s="1"/>
  <c r="DA27" i="5" s="1"/>
  <c r="DA28" i="5" s="1"/>
  <c r="DA30" i="5" s="1"/>
  <c r="DA31" i="5" s="1"/>
  <c r="DA35" i="5" s="1"/>
  <c r="DA36" i="5" s="1"/>
  <c r="DA37" i="5" s="1"/>
  <c r="DA38" i="5" s="1"/>
  <c r="DA39" i="5" s="1"/>
  <c r="EU9" i="5" l="1"/>
  <c r="EU10" i="5" s="1"/>
  <c r="EU13" i="5" s="1"/>
  <c r="EU14" i="5" s="1"/>
  <c r="EU16" i="5" s="1"/>
  <c r="EU17" i="5" s="1"/>
  <c r="EU20" i="5" s="1"/>
  <c r="EU22" i="5" s="1"/>
  <c r="EU23" i="5" s="1"/>
  <c r="EU24" i="5" s="1"/>
  <c r="EU27" i="5" s="1"/>
  <c r="EU28" i="5" s="1"/>
  <c r="EU29" i="5" s="1"/>
  <c r="EU30" i="5" s="1"/>
  <c r="EU33" i="5" s="1"/>
  <c r="EU36" i="5" s="1"/>
  <c r="EU37" i="5" s="1"/>
  <c r="EU38" i="5" s="1"/>
  <c r="EU39" i="5" s="1"/>
  <c r="AM9" i="4" l="1"/>
  <c r="AM10" i="4" s="1"/>
  <c r="AM13" i="4" s="1"/>
  <c r="AM14" i="4" s="1"/>
  <c r="AM16" i="4" s="1"/>
  <c r="AM17" i="4" s="1"/>
  <c r="AM18" i="4" s="1"/>
  <c r="AM19" i="4" s="1"/>
  <c r="AM23" i="4" s="1"/>
  <c r="AM24" i="4" s="1"/>
  <c r="AM26" i="4" s="1"/>
  <c r="AM27" i="4" s="1"/>
  <c r="AM30" i="4" s="1"/>
  <c r="AM34" i="4" s="1"/>
  <c r="AM35" i="4" s="1"/>
  <c r="AM36" i="4" s="1"/>
  <c r="AM37" i="4" s="1"/>
  <c r="AM38" i="4" s="1"/>
  <c r="AM39" i="4" s="1"/>
  <c r="AP9" i="4" l="1"/>
  <c r="AP10" i="4" s="1"/>
  <c r="AP12" i="4" s="1"/>
  <c r="AP13" i="4" s="1"/>
  <c r="AP14" i="4" s="1"/>
  <c r="AP16" i="4" s="1"/>
  <c r="AP17" i="4" s="1"/>
  <c r="AP18" i="4" s="1"/>
  <c r="AP19" i="4" s="1"/>
  <c r="AP20" i="4" s="1"/>
  <c r="AP22" i="4" s="1"/>
  <c r="AP23" i="4" s="1"/>
  <c r="AP24" i="4" s="1"/>
  <c r="AP26" i="4" s="1"/>
  <c r="AP27" i="4" s="1"/>
  <c r="AP30" i="4" s="1"/>
  <c r="AP31" i="4" s="1"/>
  <c r="AP35" i="4" s="1"/>
  <c r="AP36" i="4" s="1"/>
  <c r="AP37" i="4" s="1"/>
  <c r="AP38" i="4" s="1"/>
  <c r="AP39" i="4" s="1"/>
  <c r="AP9" i="5" l="1"/>
  <c r="AP10" i="5" s="1"/>
  <c r="AP11" i="5" s="1"/>
  <c r="AP12" i="5" s="1"/>
  <c r="AP13" i="5" s="1"/>
  <c r="AP14" i="5" s="1"/>
  <c r="AP15" i="5" s="1"/>
  <c r="AP16" i="5" s="1"/>
  <c r="AP17" i="5" s="1"/>
  <c r="AP18" i="5" s="1"/>
  <c r="AP19" i="5" s="1"/>
  <c r="AP20" i="5" s="1"/>
  <c r="AP21" i="5" s="1"/>
  <c r="AP22" i="5" s="1"/>
  <c r="AP23" i="5" s="1"/>
  <c r="AP24" i="5" s="1"/>
  <c r="AP25" i="5" s="1"/>
  <c r="AP26" i="5" s="1"/>
  <c r="AP27" i="5" s="1"/>
  <c r="AP28" i="5" s="1"/>
  <c r="AP29" i="5" s="1"/>
  <c r="AP30" i="5" s="1"/>
  <c r="AP31" i="5" s="1"/>
  <c r="AP32" i="5" s="1"/>
  <c r="AP33" i="5" s="1"/>
  <c r="AP34" i="5" s="1"/>
  <c r="AP35" i="5" s="1"/>
  <c r="AP36" i="5" s="1"/>
  <c r="AP37" i="5" s="1"/>
  <c r="AP38" i="5" s="1"/>
  <c r="AP39" i="5" s="1"/>
  <c r="AR9" i="5" l="1"/>
  <c r="AR10" i="5" s="1"/>
  <c r="AR11" i="5" s="1"/>
  <c r="AR12" i="5" s="1"/>
  <c r="AR13" i="5" s="1"/>
  <c r="AR14" i="5" s="1"/>
  <c r="AR15" i="5" s="1"/>
  <c r="AR16" i="5" s="1"/>
  <c r="AR17" i="5" s="1"/>
  <c r="AR18" i="5" s="1"/>
  <c r="AR19" i="5" s="1"/>
  <c r="AR20" i="5" s="1"/>
  <c r="AR21" i="5" s="1"/>
  <c r="AR22" i="5" s="1"/>
  <c r="AR23" i="5" s="1"/>
  <c r="AR24" i="5" s="1"/>
  <c r="AR25" i="5" s="1"/>
  <c r="AR26" i="5" s="1"/>
  <c r="AR27" i="5" s="1"/>
  <c r="AR28" i="5" s="1"/>
  <c r="AR29" i="5" s="1"/>
  <c r="AR30" i="5" s="1"/>
  <c r="AR31" i="5" s="1"/>
  <c r="AR32" i="5" s="1"/>
  <c r="AR33" i="5" s="1"/>
  <c r="AR34" i="5" s="1"/>
  <c r="AR35" i="5" s="1"/>
  <c r="AR36" i="5" s="1"/>
  <c r="AR37" i="5" s="1"/>
  <c r="AR38" i="5" s="1"/>
  <c r="AR39" i="5" s="1"/>
  <c r="AO9" i="2" l="1"/>
  <c r="AO10" i="2" s="1"/>
  <c r="AO13" i="2" s="1"/>
  <c r="AO14" i="2" s="1"/>
  <c r="AO17" i="2" s="1"/>
  <c r="AO22" i="2" s="1"/>
  <c r="AO23" i="2" s="1"/>
  <c r="AO24" i="2" s="1"/>
  <c r="AO30" i="2" s="1"/>
  <c r="AO32" i="2" s="1"/>
  <c r="AO36" i="2" s="1"/>
  <c r="AO37" i="2" s="1"/>
  <c r="AO38" i="2" s="1"/>
  <c r="AO39" i="2" s="1"/>
  <c r="T8" i="1" l="1"/>
  <c r="I7" i="7"/>
  <c r="T9" i="1" l="1"/>
  <c r="I9" i="7" l="1"/>
  <c r="T10" i="1"/>
  <c r="I10" i="7" l="1"/>
  <c r="T11" i="1"/>
  <c r="T12" i="1" l="1"/>
  <c r="I11" i="7"/>
  <c r="I12" i="7" l="1"/>
  <c r="T13" i="1"/>
  <c r="T14" i="1" l="1"/>
  <c r="T15" i="1" l="1"/>
  <c r="I15" i="7" l="1"/>
  <c r="T16" i="1"/>
  <c r="T17" i="1" l="1"/>
  <c r="T18" i="1" l="1"/>
  <c r="T19" i="1" l="1"/>
  <c r="T20" i="1" l="1"/>
  <c r="T21" i="1" l="1"/>
  <c r="I21" i="7" l="1"/>
  <c r="T22" i="1"/>
  <c r="I22" i="7" l="1"/>
  <c r="T23" i="1"/>
  <c r="T24" i="1" l="1"/>
  <c r="T25" i="1" l="1"/>
  <c r="T27" i="1" l="1"/>
  <c r="T26" i="1"/>
  <c r="T28" i="1" l="1"/>
  <c r="T29" i="1" l="1"/>
  <c r="T30" i="1" l="1"/>
  <c r="I29" i="7"/>
  <c r="T31" i="1" l="1"/>
  <c r="T32" i="1" l="1"/>
  <c r="T33" i="1"/>
  <c r="T34" i="1" l="1"/>
  <c r="T35" i="1" l="1"/>
  <c r="T36" i="1" l="1"/>
  <c r="T37" i="1" l="1"/>
  <c r="T38" i="1" l="1"/>
  <c r="I37" i="7"/>
  <c r="T39" i="1" l="1"/>
  <c r="AL9" i="4"/>
  <c r="AL10" i="4" s="1"/>
  <c r="AL13" i="4" s="1"/>
  <c r="AL14" i="4" s="1"/>
  <c r="AL17" i="4" s="1"/>
  <c r="AL23" i="4" s="1"/>
  <c r="AL24" i="4" s="1"/>
  <c r="AL26" i="4" s="1"/>
  <c r="AL30" i="4" s="1"/>
  <c r="AL34" i="4" s="1"/>
  <c r="AL35" i="4" s="1"/>
  <c r="AL36" i="4" s="1"/>
  <c r="AL37" i="4" s="1"/>
  <c r="AL38" i="4" s="1"/>
  <c r="AL39" i="4" s="1"/>
  <c r="CW9" i="5" l="1"/>
  <c r="CW10" i="5" s="1"/>
  <c r="CW13" i="5" s="1"/>
  <c r="CW14" i="5" s="1"/>
  <c r="CW15" i="5" s="1"/>
  <c r="CW16" i="5" s="1"/>
  <c r="CW17" i="5" s="1"/>
  <c r="CW18" i="5" s="1"/>
  <c r="CW19" i="5" s="1"/>
  <c r="CW20" i="5" s="1"/>
  <c r="CW22" i="5" s="1"/>
  <c r="CW23" i="5" s="1"/>
  <c r="CW24" i="5" s="1"/>
  <c r="CW26" i="5" s="1"/>
  <c r="CW30" i="5" s="1"/>
  <c r="CW32" i="5" s="1"/>
  <c r="CW33" i="5" s="1"/>
  <c r="CW34" i="5" s="1"/>
  <c r="CW36" i="5" s="1"/>
  <c r="CW37" i="5" s="1"/>
  <c r="CW38" i="5" s="1"/>
  <c r="CW39" i="5" s="1"/>
  <c r="AP9" i="2" l="1"/>
  <c r="AP10" i="2" s="1"/>
  <c r="AP13" i="2" s="1"/>
  <c r="AP14" i="2" s="1"/>
  <c r="AP17" i="2" s="1"/>
  <c r="AP23" i="2" s="1"/>
  <c r="AP24" i="2" s="1"/>
  <c r="AP27" i="2" s="1"/>
  <c r="AP29" i="2" s="1"/>
  <c r="AP30" i="2" s="1"/>
  <c r="AP32" i="2" s="1"/>
  <c r="AP36" i="2" s="1"/>
  <c r="AP37" i="2" s="1"/>
  <c r="AP38" i="2" s="1"/>
  <c r="AP39" i="2" s="1"/>
  <c r="BH40" i="2" l="1"/>
  <c r="BH41" i="2" s="1"/>
  <c r="ET8" i="5"/>
  <c r="ET9" i="5" s="1"/>
  <c r="ET10" i="5" s="1"/>
  <c r="ET13" i="5" s="1"/>
  <c r="ET15" i="5" s="1"/>
  <c r="ET17" i="5" s="1"/>
  <c r="ET18" i="5" s="1"/>
  <c r="ET20" i="5" s="1"/>
  <c r="ET22" i="5" s="1"/>
  <c r="ET23" i="5" s="1"/>
  <c r="ET24" i="5" s="1"/>
  <c r="ET27" i="5" s="1"/>
  <c r="ET28" i="5" s="1"/>
  <c r="ET29" i="5" s="1"/>
  <c r="ET30" i="5" s="1"/>
  <c r="ET31" i="5" s="1"/>
  <c r="ET32" i="5" s="1"/>
  <c r="ET36" i="5" s="1"/>
  <c r="ET37" i="5" s="1"/>
  <c r="ET38" i="5" s="1"/>
  <c r="ET39" i="5" s="1"/>
  <c r="AO9" i="1" l="1"/>
  <c r="AO10" i="1" s="1"/>
  <c r="AO12" i="1" s="1"/>
  <c r="AO13" i="1" s="1"/>
  <c r="AO14" i="1" s="1"/>
  <c r="AO17" i="1" s="1"/>
  <c r="AO18" i="1" s="1"/>
  <c r="AO19" i="1" s="1"/>
  <c r="AO21" i="1" s="1"/>
  <c r="AO23" i="1" s="1"/>
  <c r="AO24" i="1" s="1"/>
  <c r="AO26" i="1" s="1"/>
  <c r="AO27" i="1" s="1"/>
  <c r="AO28" i="1" s="1"/>
  <c r="AO30" i="1" s="1"/>
  <c r="AO33" i="1" s="1"/>
  <c r="AO36" i="1" s="1"/>
  <c r="AO37" i="1" s="1"/>
  <c r="AO38" i="1" s="1"/>
  <c r="AO39" i="1" s="1"/>
  <c r="CX9" i="5" l="1"/>
  <c r="CX10" i="5" s="1"/>
  <c r="CX13" i="5" s="1"/>
  <c r="CX15" i="5" s="1"/>
  <c r="CX17" i="5" s="1"/>
  <c r="CX19" i="5" s="1"/>
  <c r="CX20" i="5" s="1"/>
  <c r="CX23" i="5" s="1"/>
  <c r="CX24" i="5" s="1"/>
  <c r="CX26" i="5" s="1"/>
  <c r="CX29" i="5" s="1"/>
  <c r="CX30" i="5" s="1"/>
  <c r="CX32" i="5" s="1"/>
  <c r="CX33" i="5" s="1"/>
  <c r="CX36" i="5" s="1"/>
  <c r="CX37" i="5" s="1"/>
  <c r="CX38" i="5" s="1"/>
  <c r="CX39" i="5" s="1"/>
  <c r="AQ9" i="5" l="1"/>
  <c r="AQ10" i="5" s="1"/>
  <c r="AQ13" i="5" s="1"/>
  <c r="AQ14" i="5" s="1"/>
  <c r="AQ16" i="5" s="1"/>
  <c r="AQ17" i="5" s="1"/>
  <c r="AQ22" i="5" s="1"/>
  <c r="AQ23" i="5" s="1"/>
  <c r="AQ24" i="5" s="1"/>
  <c r="AQ26" i="5" s="1"/>
  <c r="AQ27" i="5" s="1"/>
  <c r="AQ30" i="5" s="1"/>
  <c r="AQ31" i="5" s="1"/>
  <c r="AQ33" i="5" s="1"/>
  <c r="AQ35" i="5" s="1"/>
  <c r="AQ36" i="5" s="1"/>
  <c r="AQ37" i="5" s="1"/>
  <c r="AQ38" i="5" s="1"/>
  <c r="AQ39" i="5" s="1"/>
  <c r="AO9" i="5"/>
  <c r="AO10" i="5" s="1"/>
  <c r="AO13" i="5" s="1"/>
  <c r="AO14" i="5" s="1"/>
  <c r="AO16" i="5" s="1"/>
  <c r="AO17" i="5" s="1"/>
  <c r="AO20" i="5" s="1"/>
  <c r="AO22" i="5" s="1"/>
  <c r="AO23" i="5" s="1"/>
  <c r="AO24" i="5" s="1"/>
  <c r="AO26" i="5" s="1"/>
  <c r="AO27" i="5" s="1"/>
  <c r="AO29" i="5" s="1"/>
  <c r="AO30" i="5" s="1"/>
  <c r="AO31" i="5" s="1"/>
  <c r="AO35" i="5" s="1"/>
  <c r="AO36" i="5" s="1"/>
  <c r="AO37" i="5" s="1"/>
  <c r="AO38" i="5" s="1"/>
  <c r="AO39" i="5" s="1"/>
</calcChain>
</file>

<file path=xl/comments1.xml><?xml version="1.0" encoding="utf-8"?>
<comments xmlns="http://schemas.openxmlformats.org/spreadsheetml/2006/main">
  <authors>
    <author>Walter Guzman</author>
  </authors>
  <commentList>
    <comment ref="EX7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2900 m3</t>
        </r>
      </text>
    </comment>
  </commentList>
</comments>
</file>

<file path=xl/comments2.xml><?xml version="1.0" encoding="utf-8"?>
<comments xmlns="http://schemas.openxmlformats.org/spreadsheetml/2006/main">
  <authors>
    <author>Walter Guzman</author>
  </authors>
  <commentList>
    <comment ref="AT7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2800 m3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05:00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12:00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14:00
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12:00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09:00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03:00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24:00
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21:00
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19:00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20:00
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17:00
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06:00
</t>
        </r>
      </text>
    </comment>
  </commentList>
</comments>
</file>

<file path=xl/comments3.xml><?xml version="1.0" encoding="utf-8"?>
<comments xmlns="http://schemas.openxmlformats.org/spreadsheetml/2006/main">
  <authors>
    <author>Walter Guzman</author>
  </authors>
  <commentList>
    <comment ref="BA7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1,600 m3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05:00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12:00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14:00
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12:00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09:00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03:00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24:00
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21:00
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19:00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20:00
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17:00
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06:00
</t>
        </r>
      </text>
    </comment>
  </commentList>
</comments>
</file>

<file path=xl/comments4.xml><?xml version="1.0" encoding="utf-8"?>
<comments xmlns="http://schemas.openxmlformats.org/spreadsheetml/2006/main">
  <authors>
    <author>Walter Guzman</author>
  </authors>
  <commentList>
    <comment ref="AR7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1938</t>
        </r>
      </text>
    </comment>
  </commentList>
</comments>
</file>

<file path=xl/comments5.xml><?xml version="1.0" encoding="utf-8"?>
<comments xmlns="http://schemas.openxmlformats.org/spreadsheetml/2006/main">
  <authors>
    <author>Walter Guzman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05:00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12:00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14:00
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12:00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09:00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03:00
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24:00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21:00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19:00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20:00
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17:00
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Walter Guzman:</t>
        </r>
        <r>
          <rPr>
            <sz val="9"/>
            <color indexed="81"/>
            <rFont val="Tahoma"/>
            <family val="2"/>
          </rPr>
          <t xml:space="preserve">
06:00
</t>
        </r>
      </text>
    </comment>
  </commentList>
</comments>
</file>

<file path=xl/sharedStrings.xml><?xml version="1.0" encoding="utf-8"?>
<sst xmlns="http://schemas.openxmlformats.org/spreadsheetml/2006/main" count="1462" uniqueCount="259">
  <si>
    <t>NOMINACIÓN DE CARBURANTES</t>
  </si>
  <si>
    <t>POI</t>
  </si>
  <si>
    <t>G.L.P.</t>
  </si>
  <si>
    <t>GE</t>
  </si>
  <si>
    <t>KE</t>
  </si>
  <si>
    <t>JF</t>
  </si>
  <si>
    <t>DO</t>
  </si>
  <si>
    <t>GB80</t>
  </si>
  <si>
    <t>GLSR</t>
  </si>
  <si>
    <t>SAYARI (PCOLP I)</t>
  </si>
  <si>
    <t>SENKATA</t>
  </si>
  <si>
    <t>SAYARI (PCOLP II)</t>
  </si>
  <si>
    <t>ORURO</t>
  </si>
  <si>
    <t xml:space="preserve">PAMPA TAMBO </t>
  </si>
  <si>
    <t>LIMA TAMBO</t>
  </si>
  <si>
    <t>PUERTO VILLARROEL</t>
  </si>
  <si>
    <t>CABEZAS</t>
  </si>
  <si>
    <t>TATARENDA</t>
  </si>
  <si>
    <t>CAMIRI</t>
  </si>
  <si>
    <t>MONTEAGUDO</t>
  </si>
  <si>
    <t>ROSAL</t>
  </si>
  <si>
    <t>TARABUQUILLO</t>
  </si>
  <si>
    <t>SUCRE</t>
  </si>
  <si>
    <t>POTOSÍ</t>
  </si>
  <si>
    <t>TARIJA</t>
  </si>
  <si>
    <t>ASIGNACIÓN DE VOLUMEN POR POLIDUCTO</t>
  </si>
  <si>
    <t>POLIDUCTO</t>
  </si>
  <si>
    <t>GB81</t>
  </si>
  <si>
    <t>NOM</t>
  </si>
  <si>
    <t>PROG</t>
  </si>
  <si>
    <t>PROG/NOM</t>
  </si>
  <si>
    <t>CBBA - PCOLP I</t>
  </si>
  <si>
    <t>SENKATA - PCOLP I</t>
  </si>
  <si>
    <t>CBBA - PCOLP II</t>
  </si>
  <si>
    <t>ORURO - PCOLP II</t>
  </si>
  <si>
    <t>CBBA - PCPV</t>
  </si>
  <si>
    <t>P. VILLARROEL - PCPV</t>
  </si>
  <si>
    <t>SANTA CRUZ PCSZ-1</t>
  </si>
  <si>
    <t>CAMIRI PCSZ-1</t>
  </si>
  <si>
    <t>CAMIRI PCS</t>
  </si>
  <si>
    <t>SUCRE PCS</t>
  </si>
  <si>
    <t>POTOSÍ PSP</t>
  </si>
  <si>
    <t>TARIJA PVT</t>
  </si>
  <si>
    <t>PROGRAMA MENSUAL DE TRANSPORTE DE CARBURANTES</t>
  </si>
  <si>
    <t>POLIDUCTO: SANTA CRUZ - CAMIRI (PCSZ-1)</t>
  </si>
  <si>
    <t>POLIDUCTO: CAMIRI - SUCRE (PCS)</t>
  </si>
  <si>
    <t>POLIDUCTO: SUCRE - POTOSÍ (PSP)</t>
  </si>
  <si>
    <t>MES:</t>
  </si>
  <si>
    <t>FO.307 R1</t>
  </si>
  <si>
    <t xml:space="preserve">FECHA </t>
  </si>
  <si>
    <t>RECEPCIÓN SANTA CRUZ</t>
  </si>
  <si>
    <t>ENTREGA CABEZAS</t>
  </si>
  <si>
    <t>ENTREGA TATARENDA</t>
  </si>
  <si>
    <t>ENTREGA PALMASOLA</t>
  </si>
  <si>
    <t>ENTREGA CAMIRI</t>
  </si>
  <si>
    <t>SALDOS EN CAMIRI</t>
  </si>
  <si>
    <t>DESPACHOS PROYECTADOS EN CAMIRI</t>
  </si>
  <si>
    <t>RECEPCIÓN CAMIRI</t>
  </si>
  <si>
    <t>ENTREGA MONTEAGUDO (1421)</t>
  </si>
  <si>
    <t>ENTREGA ROSAL (2445)</t>
  </si>
  <si>
    <t>ENTREGA TARABUQUILLO (3397)</t>
  </si>
  <si>
    <t>ENTREGA SUCRE</t>
  </si>
  <si>
    <t>SALDOS EN SUCRE</t>
  </si>
  <si>
    <t>DESPACHOS PROYECTADOS EN SUCRE</t>
  </si>
  <si>
    <t>RECEPCIÓN SUCRE</t>
  </si>
  <si>
    <t>ENTREGA EN POTOSÍ</t>
  </si>
  <si>
    <t>SALDOS EN POTOSÍ</t>
  </si>
  <si>
    <t>DESPACHOS PROYECTADOS EN POTOSÍ</t>
  </si>
  <si>
    <t>GASOLINA ESPECIAL</t>
  </si>
  <si>
    <t>KEROSENE</t>
  </si>
  <si>
    <t>JET FUEL</t>
  </si>
  <si>
    <t>DIÉSEL OÍL</t>
  </si>
  <si>
    <t>TOTAL</t>
  </si>
  <si>
    <t>GLP</t>
  </si>
  <si>
    <t>Lote</t>
  </si>
  <si>
    <t>Vol.</t>
  </si>
  <si>
    <t>GE DUC</t>
  </si>
  <si>
    <t>GE CIST</t>
  </si>
  <si>
    <t>Programado</t>
  </si>
  <si>
    <t>Nominado</t>
  </si>
  <si>
    <t>Diferencia</t>
  </si>
  <si>
    <t>Walter Guzmán M</t>
  </si>
  <si>
    <t>Oscar Cuellar</t>
  </si>
  <si>
    <t>Edwin Cruz</t>
  </si>
  <si>
    <t>YPFB Transporte S.A.</t>
  </si>
  <si>
    <t>YPFB Refinación S.A.</t>
  </si>
  <si>
    <t>YPFB</t>
  </si>
  <si>
    <t>ANH</t>
  </si>
  <si>
    <t>POLIDUCTO: VILLA MONTES - TARIJA (PVT)</t>
  </si>
  <si>
    <t>ENTREGA VMOTES</t>
  </si>
  <si>
    <t>RECEPCIÓN VILLA MONTES</t>
  </si>
  <si>
    <t>ENTREGA TARIJA</t>
  </si>
  <si>
    <t>SALDOS EN TARIJA</t>
  </si>
  <si>
    <t>DESPACHOS PROYECTADOS EN TARIJA</t>
  </si>
  <si>
    <t>POLIDUCTO: COCHABAMBA - LA PAZ (PCOLP I)</t>
  </si>
  <si>
    <t>RECEPCIÓN COCHABAMBA</t>
  </si>
  <si>
    <t>MOVIEMENTOS GLP CBBA</t>
  </si>
  <si>
    <t>ENTREGA SAYARI</t>
  </si>
  <si>
    <t>ENTREGA SENKATA</t>
  </si>
  <si>
    <t>SALDOS EN SENKATA</t>
  </si>
  <si>
    <t>DESPACHOS PROYECTADOS EN SENKATA</t>
  </si>
  <si>
    <t>BOMBEO</t>
  </si>
  <si>
    <t>ENTREGA</t>
  </si>
  <si>
    <t>DIESEL OIL</t>
  </si>
  <si>
    <t>PCOLP II</t>
  </si>
  <si>
    <t>OSSA 1</t>
  </si>
  <si>
    <t>SALDO</t>
  </si>
  <si>
    <t>POLIDUCTO: COCHABAMBA - ORURO (PCOLP II)</t>
  </si>
  <si>
    <t>ENTREGA ORURO</t>
  </si>
  <si>
    <t>SALDOS EN ORURO</t>
  </si>
  <si>
    <t>DESPACHOS PROYECTADOS EN ORURO</t>
  </si>
  <si>
    <t>DESPACHOS REFINACIÓN</t>
  </si>
  <si>
    <t>DIÉSEL ÓIL</t>
  </si>
  <si>
    <t>POLIDUCTO: COCHABAMBA - PUERTO VILLARROEL (PCPV)</t>
  </si>
  <si>
    <t>ENTREGA PAMPA TAMBO</t>
  </si>
  <si>
    <t>ENTREGA LIMA TAMBO</t>
  </si>
  <si>
    <t>ENTREGA PUERTO VILLARROEL</t>
  </si>
  <si>
    <t>SALDOS EN PUERTO VILLARROEL</t>
  </si>
  <si>
    <t>DESPACHOS PROYECTADOS EN PUERTO VILLARROEL</t>
  </si>
  <si>
    <t>MH</t>
  </si>
  <si>
    <t>MOVIEMIENTO GLP CBBA</t>
  </si>
  <si>
    <t>ENTREGAS OSSA1 BBLS GLP</t>
  </si>
  <si>
    <t>DÍA</t>
  </si>
  <si>
    <t>RECEPCIONES  CBBA</t>
  </si>
  <si>
    <t>ENTREGAS</t>
  </si>
  <si>
    <t>OSSA I</t>
  </si>
  <si>
    <t>REFINACIÓN</t>
  </si>
  <si>
    <t>CISTERNAS</t>
  </si>
  <si>
    <t>PCOLP I</t>
  </si>
  <si>
    <t>PCOLPII</t>
  </si>
  <si>
    <t>Total</t>
  </si>
  <si>
    <t>PCPV</t>
  </si>
  <si>
    <t>PCSZ.1</t>
  </si>
  <si>
    <t>PCS</t>
  </si>
  <si>
    <t>PSP</t>
  </si>
  <si>
    <t>PVT</t>
  </si>
  <si>
    <t>CUMPLIMIENTO ACUMULADO AL PROGRAMA DE TRANSPORTE POR POLIDUCTOS</t>
  </si>
  <si>
    <t>En metros cúbicos</t>
  </si>
  <si>
    <t>PROGRAMA DE ENTREGAS REV. 000</t>
  </si>
  <si>
    <t>ENTREGAS EJECUTADAS</t>
  </si>
  <si>
    <t>EJECUTADO / PROGRAMADO</t>
  </si>
  <si>
    <t>ENTREGAS EJECUTADAS BBL</t>
  </si>
  <si>
    <t>FECHA</t>
  </si>
  <si>
    <t>PSCZ-1</t>
  </si>
  <si>
    <t>PCSZ-1</t>
  </si>
  <si>
    <t>DIAS</t>
  </si>
  <si>
    <t xml:space="preserve">CAPACIDAD </t>
  </si>
  <si>
    <t>PROGRAMADO</t>
  </si>
  <si>
    <t>CAPACIDAD PROGRAMADA POLIDUCTOS</t>
  </si>
  <si>
    <t>Nota:</t>
  </si>
  <si>
    <t>CUMPLIMIENTO A LAS ENTREGAS PROGRAMADAS</t>
  </si>
  <si>
    <t>DEL:</t>
  </si>
  <si>
    <t>EJECUTADO</t>
  </si>
  <si>
    <t>CUM EJE/PRO</t>
  </si>
  <si>
    <t>PROGRAMADO MAÑANA</t>
  </si>
  <si>
    <t>DUCTO</t>
  </si>
  <si>
    <t xml:space="preserve">PCOLP I </t>
  </si>
  <si>
    <t xml:space="preserve"> </t>
  </si>
  <si>
    <t xml:space="preserve">CONTROL AL CUMPLIMIENTO DE LOS CONTRATOS CON LOS CARGADORES </t>
  </si>
  <si>
    <t>FIRME BPD</t>
  </si>
  <si>
    <t>FIRME M3 MES</t>
  </si>
  <si>
    <t>DIAS DEL MES</t>
  </si>
  <si>
    <t>CAPACIDAD CONTRATADA FIRME M3</t>
  </si>
  <si>
    <t>CAPACIDAD NOMINADA M3</t>
  </si>
  <si>
    <t>ENTREGAS PROGRAMADAS M3</t>
  </si>
  <si>
    <t>RECUPERO MES EN CURSO M3</t>
  </si>
  <si>
    <t>RECUPERO AL MES ANTERIOR M3</t>
  </si>
  <si>
    <t>RECUPERO ACUMUALDO AL MES EN CURSO M3</t>
  </si>
  <si>
    <t>ENTREGAS PROGRAMADAS INTERRUMPIBLE M3</t>
  </si>
  <si>
    <t xml:space="preserve"> YPFB REFINACIÓN S.A.</t>
  </si>
  <si>
    <t>CUMPLIMIENTO POR POLIDUCTO Y POR PRODUCTO</t>
  </si>
  <si>
    <t>FACTURA</t>
  </si>
  <si>
    <t>Nº lote</t>
  </si>
  <si>
    <t>Vol</t>
  </si>
  <si>
    <t>REVISIÓN 000</t>
  </si>
  <si>
    <t>REVISIÓN 001</t>
  </si>
  <si>
    <t>DIFERENCIA</t>
  </si>
  <si>
    <t>DIFERENCIA %</t>
  </si>
  <si>
    <t>PARTICIPACION</t>
  </si>
  <si>
    <t>En coordinación con Refinación se incrementa el transporte de GE</t>
  </si>
  <si>
    <t>VOLÚMENES PROGRAMADOS PARA ENTREGA</t>
  </si>
  <si>
    <t>EN MÉTROS CÚBICOS</t>
  </si>
  <si>
    <t>EN BARRILES</t>
  </si>
  <si>
    <t>GBC</t>
  </si>
  <si>
    <t>7-A1</t>
  </si>
  <si>
    <t>28-A</t>
  </si>
  <si>
    <t>14-A3</t>
  </si>
  <si>
    <t>14-A4</t>
  </si>
  <si>
    <t>26-A-1</t>
  </si>
  <si>
    <t>G28B</t>
  </si>
  <si>
    <t>KE-28-1</t>
  </si>
  <si>
    <t>55BC</t>
  </si>
  <si>
    <t>KE-28-2</t>
  </si>
  <si>
    <t>14-A3-1</t>
  </si>
  <si>
    <t>G29B</t>
  </si>
  <si>
    <t>29-A</t>
  </si>
  <si>
    <t>KE-15</t>
  </si>
  <si>
    <t>KE-16</t>
  </si>
  <si>
    <t>14-A5</t>
  </si>
  <si>
    <t>30-A</t>
  </si>
  <si>
    <t>31-A</t>
  </si>
  <si>
    <t>32-A</t>
  </si>
  <si>
    <t>33-A</t>
  </si>
  <si>
    <t>34-A</t>
  </si>
  <si>
    <t>16-A1</t>
  </si>
  <si>
    <t>16-A2</t>
  </si>
  <si>
    <t>16-A3</t>
  </si>
  <si>
    <t>16-A4</t>
  </si>
  <si>
    <t>KE-15-1</t>
  </si>
  <si>
    <t>KE-16-1</t>
  </si>
  <si>
    <t>15-A1</t>
  </si>
  <si>
    <t>14-A6</t>
  </si>
  <si>
    <t>28-A-1</t>
  </si>
  <si>
    <t>28-A-2</t>
  </si>
  <si>
    <t>29-A-1</t>
  </si>
  <si>
    <t>30-A-1</t>
  </si>
  <si>
    <t>31-A-1</t>
  </si>
  <si>
    <t>32-A-1</t>
  </si>
  <si>
    <t>112B</t>
  </si>
  <si>
    <t>114B</t>
  </si>
  <si>
    <t>57BC</t>
  </si>
  <si>
    <t>59BC</t>
  </si>
  <si>
    <t>61BC</t>
  </si>
  <si>
    <t>KE-29-1</t>
  </si>
  <si>
    <t>KE-29-2</t>
  </si>
  <si>
    <t>KE-30-1</t>
  </si>
  <si>
    <t>KE-31-1</t>
  </si>
  <si>
    <t>KE-30-2</t>
  </si>
  <si>
    <t>116B</t>
  </si>
  <si>
    <t>118B</t>
  </si>
  <si>
    <t>120B</t>
  </si>
  <si>
    <t>124B</t>
  </si>
  <si>
    <t>126B</t>
  </si>
  <si>
    <t>128B</t>
  </si>
  <si>
    <t>G30B</t>
  </si>
  <si>
    <t>G32B</t>
  </si>
  <si>
    <t>G34B</t>
  </si>
  <si>
    <t>G35B</t>
  </si>
  <si>
    <t>122B</t>
  </si>
  <si>
    <t>130B</t>
  </si>
  <si>
    <t>KE-32-1</t>
  </si>
  <si>
    <t>KE-32-2</t>
  </si>
  <si>
    <t>63BC</t>
  </si>
  <si>
    <t>Instalación Válvulas de bloqueo Estación Santa Cruz</t>
  </si>
  <si>
    <t>Interconexión sector Tarabuquillo - Achatalas</t>
  </si>
  <si>
    <t>14-1,</t>
  </si>
  <si>
    <t>1-2,</t>
  </si>
  <si>
    <t>VG/GCH</t>
  </si>
  <si>
    <t>16-A1-1</t>
  </si>
  <si>
    <t>Variante sector Serere</t>
  </si>
  <si>
    <t>REVISIÓN : 001</t>
  </si>
  <si>
    <t>49-50</t>
  </si>
  <si>
    <t>En coordinación con Refinación se reduce el transporte de GE, se reduce el transporte de DO en incrementa el transporte de GBC</t>
  </si>
  <si>
    <t>A solicitud de YPFB se incrementa el transporte de GLP y Refianción renomina la GBC</t>
  </si>
  <si>
    <t>En coordinación con Refinación se reduce el transporte de GBC</t>
  </si>
  <si>
    <t>En coordinación con YPFB se reduce el transporte de GLP</t>
  </si>
  <si>
    <t>En coordinación con YPFB se incrementa el transporte de GLP</t>
  </si>
  <si>
    <t>48-49</t>
  </si>
  <si>
    <t>53-54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</si>
</sst>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0.0"/>
    <numFmt numFmtId="165" formatCode="_-* #,##0.0_-;\-* #,##0.0_-;_-* &quot;&quot;_-;_-@_-"/>
    <numFmt numFmtId="166" formatCode="_-* #,##0_-;\-* #,##0_-;_-* &quot;&quot;_-;_-@_-"/>
    <numFmt numFmtId="167" formatCode="#,##0.0"/>
    <numFmt numFmtId="168" formatCode="#,##0.000"/>
    <numFmt numFmtId="169" formatCode="[$-400A]ddd\ \ "/>
    <numFmt numFmtId="170" formatCode="d/m/yy;@"/>
    <numFmt numFmtId="171" formatCode="0.0%"/>
    <numFmt numFmtId="172" formatCode="_-* #,##0.00\ _€_-;\-* #,##0.00\ _€_-;_-* &quot;-&quot;??\ _€_-;_-@_-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sz val="7"/>
      <name val="Arial"/>
      <family val="2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indexed="18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name val="Geneva"/>
    </font>
    <font>
      <sz val="14"/>
      <name val="Geneva"/>
    </font>
    <font>
      <b/>
      <sz val="11"/>
      <name val="Geneva"/>
    </font>
    <font>
      <sz val="10"/>
      <color theme="0"/>
      <name val="Geneva"/>
    </font>
    <font>
      <sz val="8"/>
      <color theme="0"/>
      <name val="Geneva"/>
    </font>
    <font>
      <b/>
      <sz val="10"/>
      <name val="Geneva"/>
    </font>
    <font>
      <b/>
      <sz val="8"/>
      <color rgb="FF000000"/>
      <name val="Arial"/>
      <family val="2"/>
    </font>
    <font>
      <b/>
      <sz val="8"/>
      <name val="Arial"/>
      <family val="2"/>
    </font>
    <font>
      <b/>
      <sz val="11"/>
      <color rgb="FF000000"/>
      <name val="Arial"/>
      <family val="2"/>
    </font>
    <font>
      <sz val="6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9" fontId="5" fillId="0" borderId="0"/>
    <xf numFmtId="169" fontId="1" fillId="0" borderId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6">
    <xf numFmtId="0" fontId="0" fillId="0" borderId="0" xfId="0"/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38" fontId="2" fillId="0" borderId="0" xfId="1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/>
    <xf numFmtId="165" fontId="2" fillId="0" borderId="0" xfId="0" applyNumberFormat="1" applyFont="1" applyFill="1"/>
    <xf numFmtId="166" fontId="2" fillId="0" borderId="0" xfId="0" applyNumberFormat="1" applyFont="1" applyFill="1" applyAlignment="1">
      <alignment horizontal="center"/>
    </xf>
    <xf numFmtId="166" fontId="2" fillId="0" borderId="0" xfId="0" applyNumberFormat="1" applyFont="1" applyFill="1" applyAlignment="1">
      <alignment horizontal="right"/>
    </xf>
    <xf numFmtId="165" fontId="2" fillId="0" borderId="0" xfId="0" applyNumberFormat="1" applyFont="1" applyFill="1" applyAlignment="1"/>
    <xf numFmtId="164" fontId="2" fillId="0" borderId="0" xfId="0" applyNumberFormat="1" applyFont="1" applyFill="1"/>
    <xf numFmtId="0" fontId="3" fillId="0" borderId="0" xfId="0" applyFont="1" applyFill="1" applyAlignment="1">
      <alignment horizontal="left"/>
    </xf>
    <xf numFmtId="1" fontId="2" fillId="0" borderId="0" xfId="0" applyNumberFormat="1" applyFont="1" applyFill="1"/>
    <xf numFmtId="3" fontId="2" fillId="0" borderId="0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166" fontId="2" fillId="0" borderId="0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1" fontId="2" fillId="2" borderId="0" xfId="0" applyNumberFormat="1" applyFont="1" applyFill="1" applyBorder="1" applyAlignment="1">
      <alignment horizontal="center"/>
    </xf>
    <xf numFmtId="0" fontId="3" fillId="0" borderId="0" xfId="0" applyFont="1" applyFill="1"/>
    <xf numFmtId="166" fontId="2" fillId="2" borderId="0" xfId="0" applyNumberFormat="1" applyFont="1" applyFill="1" applyBorder="1" applyAlignment="1">
      <alignment horizontal="right"/>
    </xf>
    <xf numFmtId="166" fontId="2" fillId="2" borderId="0" xfId="0" applyNumberFormat="1" applyFont="1" applyFill="1" applyAlignment="1">
      <alignment horizontal="center"/>
    </xf>
    <xf numFmtId="17" fontId="3" fillId="0" borderId="0" xfId="0" applyNumberFormat="1" applyFont="1" applyFill="1"/>
    <xf numFmtId="1" fontId="3" fillId="0" borderId="0" xfId="0" applyNumberFormat="1" applyFont="1" applyFill="1"/>
    <xf numFmtId="0" fontId="2" fillId="2" borderId="0" xfId="0" applyFont="1" applyFill="1" applyAlignment="1">
      <alignment horizontal="center"/>
    </xf>
    <xf numFmtId="166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/>
    <xf numFmtId="0" fontId="2" fillId="2" borderId="0" xfId="0" applyFont="1" applyFill="1"/>
    <xf numFmtId="164" fontId="2" fillId="2" borderId="0" xfId="0" applyNumberFormat="1" applyFont="1" applyFill="1"/>
    <xf numFmtId="3" fontId="2" fillId="2" borderId="5" xfId="1" applyNumberFormat="1" applyFont="1" applyFill="1" applyBorder="1" applyAlignment="1">
      <alignment horizontal="right" vertical="center"/>
    </xf>
    <xf numFmtId="167" fontId="2" fillId="2" borderId="5" xfId="2" applyNumberFormat="1" applyFont="1" applyFill="1" applyBorder="1" applyAlignment="1">
      <alignment horizontal="center" vertical="center"/>
    </xf>
    <xf numFmtId="3" fontId="2" fillId="2" borderId="5" xfId="1" applyNumberFormat="1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left"/>
    </xf>
    <xf numFmtId="1" fontId="2" fillId="0" borderId="0" xfId="1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2" fillId="0" borderId="0" xfId="0" applyNumberFormat="1" applyFont="1" applyFill="1"/>
    <xf numFmtId="3" fontId="2" fillId="0" borderId="0" xfId="0" applyNumberFormat="1" applyFont="1" applyFill="1" applyAlignment="1">
      <alignment horizontal="right"/>
    </xf>
    <xf numFmtId="2" fontId="2" fillId="0" borderId="0" xfId="0" applyNumberFormat="1" applyFont="1" applyFill="1" applyBorder="1"/>
    <xf numFmtId="2" fontId="2" fillId="0" borderId="0" xfId="0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2" fontId="2" fillId="2" borderId="0" xfId="0" applyNumberFormat="1" applyFont="1" applyFill="1" applyBorder="1" applyAlignment="1">
      <alignment horizontal="center"/>
    </xf>
    <xf numFmtId="3" fontId="8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7" fontId="2" fillId="2" borderId="0" xfId="0" applyNumberFormat="1" applyFont="1" applyFill="1"/>
    <xf numFmtId="0" fontId="2" fillId="2" borderId="0" xfId="0" applyFont="1" applyFill="1" applyAlignment="1">
      <alignment horizontal="left"/>
    </xf>
    <xf numFmtId="3" fontId="2" fillId="0" borderId="0" xfId="0" applyNumberFormat="1" applyFont="1" applyFill="1" applyBorder="1" applyAlignment="1"/>
    <xf numFmtId="0" fontId="2" fillId="0" borderId="0" xfId="0" applyFont="1" applyFill="1" applyAlignment="1">
      <alignment horizontal="left"/>
    </xf>
    <xf numFmtId="17" fontId="2" fillId="0" borderId="0" xfId="0" applyNumberFormat="1" applyFont="1" applyFill="1"/>
    <xf numFmtId="17" fontId="2" fillId="0" borderId="0" xfId="0" applyNumberFormat="1" applyFont="1" applyFill="1" applyAlignment="1">
      <alignment horizontal="center"/>
    </xf>
    <xf numFmtId="3" fontId="2" fillId="2" borderId="6" xfId="1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1" fontId="0" fillId="0" borderId="0" xfId="0" applyNumberFormat="1"/>
    <xf numFmtId="17" fontId="3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3" fontId="2" fillId="2" borderId="18" xfId="1" applyNumberFormat="1" applyFont="1" applyFill="1" applyBorder="1" applyAlignment="1">
      <alignment horizontal="center" vertical="center"/>
    </xf>
    <xf numFmtId="3" fontId="2" fillId="2" borderId="18" xfId="1" applyNumberFormat="1" applyFont="1" applyFill="1" applyBorder="1" applyAlignment="1">
      <alignment horizontal="left" vertical="center"/>
    </xf>
    <xf numFmtId="3" fontId="2" fillId="2" borderId="16" xfId="1" applyNumberFormat="1" applyFont="1" applyFill="1" applyBorder="1" applyAlignment="1">
      <alignment horizontal="right" vertical="center"/>
    </xf>
    <xf numFmtId="3" fontId="2" fillId="2" borderId="16" xfId="2" applyNumberFormat="1" applyFont="1" applyFill="1" applyBorder="1" applyAlignment="1">
      <alignment horizontal="center" vertical="center"/>
    </xf>
    <xf numFmtId="3" fontId="2" fillId="2" borderId="16" xfId="2" applyNumberFormat="1" applyFont="1" applyFill="1" applyBorder="1" applyAlignment="1">
      <alignment horizontal="right" vertical="center"/>
    </xf>
    <xf numFmtId="3" fontId="2" fillId="2" borderId="16" xfId="0" applyNumberFormat="1" applyFont="1" applyFill="1" applyBorder="1" applyAlignment="1">
      <alignment horizontal="center"/>
    </xf>
    <xf numFmtId="3" fontId="2" fillId="2" borderId="16" xfId="0" applyNumberFormat="1" applyFont="1" applyFill="1" applyBorder="1" applyAlignment="1">
      <alignment horizontal="right"/>
    </xf>
    <xf numFmtId="3" fontId="2" fillId="2" borderId="16" xfId="2" applyNumberFormat="1" applyFont="1" applyFill="1" applyBorder="1" applyAlignment="1">
      <alignment horizontal="center"/>
    </xf>
    <xf numFmtId="3" fontId="2" fillId="2" borderId="16" xfId="2" applyNumberFormat="1" applyFont="1" applyFill="1" applyBorder="1" applyAlignment="1">
      <alignment horizontal="right"/>
    </xf>
    <xf numFmtId="16" fontId="5" fillId="2" borderId="29" xfId="0" applyNumberFormat="1" applyFont="1" applyFill="1" applyBorder="1" applyAlignment="1">
      <alignment horizontal="center"/>
    </xf>
    <xf numFmtId="16" fontId="5" fillId="0" borderId="30" xfId="0" applyNumberFormat="1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16" fontId="5" fillId="0" borderId="31" xfId="0" applyNumberFormat="1" applyFont="1" applyFill="1" applyBorder="1" applyAlignment="1">
      <alignment horizontal="center"/>
    </xf>
    <xf numFmtId="1" fontId="2" fillId="4" borderId="32" xfId="0" applyNumberFormat="1" applyFont="1" applyFill="1" applyBorder="1" applyAlignment="1">
      <alignment horizontal="right"/>
    </xf>
    <xf numFmtId="3" fontId="2" fillId="4" borderId="37" xfId="0" applyNumberFormat="1" applyFont="1" applyFill="1" applyBorder="1" applyAlignment="1">
      <alignment horizontal="right"/>
    </xf>
    <xf numFmtId="3" fontId="2" fillId="4" borderId="38" xfId="0" applyNumberFormat="1" applyFont="1" applyFill="1" applyBorder="1" applyAlignment="1">
      <alignment horizontal="right"/>
    </xf>
    <xf numFmtId="1" fontId="2" fillId="4" borderId="33" xfId="0" applyNumberFormat="1" applyFont="1" applyFill="1" applyBorder="1" applyAlignment="1">
      <alignment horizontal="right"/>
    </xf>
    <xf numFmtId="3" fontId="2" fillId="4" borderId="8" xfId="0" applyNumberFormat="1" applyFont="1" applyFill="1" applyBorder="1" applyAlignment="1">
      <alignment horizontal="right"/>
    </xf>
    <xf numFmtId="1" fontId="2" fillId="4" borderId="40" xfId="0" applyNumberFormat="1" applyFont="1" applyFill="1" applyBorder="1" applyAlignment="1">
      <alignment horizontal="right"/>
    </xf>
    <xf numFmtId="3" fontId="2" fillId="4" borderId="39" xfId="0" applyNumberFormat="1" applyFont="1" applyFill="1" applyBorder="1" applyAlignment="1">
      <alignment horizontal="right" vertical="center"/>
    </xf>
    <xf numFmtId="3" fontId="2" fillId="4" borderId="41" xfId="0" applyNumberFormat="1" applyFont="1" applyFill="1" applyBorder="1" applyAlignment="1">
      <alignment horizontal="right"/>
    </xf>
    <xf numFmtId="3" fontId="2" fillId="4" borderId="42" xfId="0" applyNumberFormat="1" applyFont="1" applyFill="1" applyBorder="1" applyAlignment="1">
      <alignment horizontal="right"/>
    </xf>
    <xf numFmtId="3" fontId="2" fillId="4" borderId="40" xfId="0" applyNumberFormat="1" applyFont="1" applyFill="1" applyBorder="1" applyAlignment="1">
      <alignment horizontal="right"/>
    </xf>
    <xf numFmtId="3" fontId="2" fillId="2" borderId="8" xfId="0" applyNumberFormat="1" applyFont="1" applyFill="1" applyBorder="1" applyAlignment="1">
      <alignment horizontal="right"/>
    </xf>
    <xf numFmtId="3" fontId="2" fillId="2" borderId="40" xfId="0" applyNumberFormat="1" applyFont="1" applyFill="1" applyBorder="1" applyAlignment="1">
      <alignment horizontal="right"/>
    </xf>
    <xf numFmtId="3" fontId="2" fillId="2" borderId="41" xfId="0" applyNumberFormat="1" applyFont="1" applyFill="1" applyBorder="1" applyAlignment="1">
      <alignment horizontal="right"/>
    </xf>
    <xf numFmtId="3" fontId="2" fillId="2" borderId="42" xfId="0" applyNumberFormat="1" applyFont="1" applyFill="1" applyBorder="1" applyAlignment="1">
      <alignment horizontal="right"/>
    </xf>
    <xf numFmtId="3" fontId="2" fillId="2" borderId="32" xfId="0" applyNumberFormat="1" applyFont="1" applyFill="1" applyBorder="1" applyAlignment="1">
      <alignment horizontal="right"/>
    </xf>
    <xf numFmtId="3" fontId="2" fillId="2" borderId="37" xfId="0" applyNumberFormat="1" applyFont="1" applyFill="1" applyBorder="1" applyAlignment="1">
      <alignment horizontal="right"/>
    </xf>
    <xf numFmtId="3" fontId="2" fillId="2" borderId="38" xfId="0" applyNumberFormat="1" applyFont="1" applyFill="1" applyBorder="1" applyAlignment="1">
      <alignment horizontal="right"/>
    </xf>
    <xf numFmtId="3" fontId="2" fillId="2" borderId="39" xfId="0" applyNumberFormat="1" applyFont="1" applyFill="1" applyBorder="1" applyAlignment="1">
      <alignment horizontal="right"/>
    </xf>
    <xf numFmtId="16" fontId="5" fillId="0" borderId="8" xfId="0" applyNumberFormat="1" applyFont="1" applyFill="1" applyBorder="1" applyAlignment="1">
      <alignment horizontal="center" vertical="center"/>
    </xf>
    <xf numFmtId="3" fontId="2" fillId="4" borderId="47" xfId="0" applyNumberFormat="1" applyFont="1" applyFill="1" applyBorder="1" applyAlignment="1">
      <alignment horizontal="right" vertical="center"/>
    </xf>
    <xf numFmtId="3" fontId="2" fillId="4" borderId="48" xfId="0" applyNumberFormat="1" applyFont="1" applyFill="1" applyBorder="1" applyAlignment="1">
      <alignment horizontal="right" vertical="center"/>
    </xf>
    <xf numFmtId="3" fontId="2" fillId="4" borderId="49" xfId="0" applyNumberFormat="1" applyFont="1" applyFill="1" applyBorder="1" applyAlignment="1">
      <alignment horizontal="right" vertical="center"/>
    </xf>
    <xf numFmtId="1" fontId="2" fillId="4" borderId="43" xfId="0" applyNumberFormat="1" applyFont="1" applyFill="1" applyBorder="1" applyAlignment="1">
      <alignment horizontal="right" vertical="center"/>
    </xf>
    <xf numFmtId="1" fontId="2" fillId="4" borderId="0" xfId="0" applyNumberFormat="1" applyFont="1" applyFill="1" applyBorder="1" applyAlignment="1">
      <alignment horizontal="right" vertical="center"/>
    </xf>
    <xf numFmtId="1" fontId="2" fillId="4" borderId="53" xfId="0" applyNumberFormat="1" applyFont="1" applyFill="1" applyBorder="1" applyAlignment="1">
      <alignment horizontal="right" vertical="center"/>
    </xf>
    <xf numFmtId="3" fontId="2" fillId="4" borderId="50" xfId="0" applyNumberFormat="1" applyFont="1" applyFill="1" applyBorder="1" applyAlignment="1">
      <alignment horizontal="right" vertical="center"/>
    </xf>
    <xf numFmtId="3" fontId="2" fillId="4" borderId="51" xfId="0" applyNumberFormat="1" applyFont="1" applyFill="1" applyBorder="1" applyAlignment="1">
      <alignment horizontal="right" vertical="center"/>
    </xf>
    <xf numFmtId="3" fontId="2" fillId="4" borderId="52" xfId="0" applyNumberFormat="1" applyFont="1" applyFill="1" applyBorder="1" applyAlignment="1">
      <alignment horizontal="right" vertical="center"/>
    </xf>
    <xf numFmtId="0" fontId="2" fillId="4" borderId="29" xfId="0" applyFont="1" applyFill="1" applyBorder="1" applyAlignment="1">
      <alignment horizontal="center"/>
    </xf>
    <xf numFmtId="3" fontId="2" fillId="4" borderId="32" xfId="0" applyNumberFormat="1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3" fontId="2" fillId="4" borderId="39" xfId="0" applyNumberFormat="1" applyFont="1" applyFill="1" applyBorder="1" applyAlignment="1">
      <alignment horizontal="right"/>
    </xf>
    <xf numFmtId="3" fontId="2" fillId="4" borderId="40" xfId="0" applyNumberFormat="1" applyFont="1" applyFill="1" applyBorder="1" applyAlignment="1">
      <alignment horizontal="center"/>
    </xf>
    <xf numFmtId="3" fontId="2" fillId="4" borderId="49" xfId="0" applyNumberFormat="1" applyFont="1" applyFill="1" applyBorder="1" applyAlignment="1">
      <alignment horizontal="right"/>
    </xf>
    <xf numFmtId="3" fontId="2" fillId="4" borderId="53" xfId="0" applyNumberFormat="1" applyFont="1" applyFill="1" applyBorder="1" applyAlignment="1">
      <alignment horizontal="right" vertical="center"/>
    </xf>
    <xf numFmtId="3" fontId="2" fillId="4" borderId="52" xfId="0" applyNumberFormat="1" applyFont="1" applyFill="1" applyBorder="1" applyAlignment="1">
      <alignment horizontal="right"/>
    </xf>
    <xf numFmtId="1" fontId="2" fillId="2" borderId="14" xfId="2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Fill="1" applyBorder="1" applyAlignment="1">
      <alignment horizontal="left"/>
    </xf>
    <xf numFmtId="1" fontId="10" fillId="0" borderId="0" xfId="0" applyNumberFormat="1" applyFont="1" applyFill="1"/>
    <xf numFmtId="3" fontId="2" fillId="2" borderId="34" xfId="1" applyNumberFormat="1" applyFont="1" applyFill="1" applyBorder="1" applyAlignment="1">
      <alignment horizontal="center" vertical="center"/>
    </xf>
    <xf numFmtId="3" fontId="2" fillId="2" borderId="13" xfId="1" applyNumberFormat="1" applyFont="1" applyFill="1" applyBorder="1" applyAlignment="1">
      <alignment horizontal="right" vertical="center"/>
    </xf>
    <xf numFmtId="3" fontId="2" fillId="2" borderId="13" xfId="1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/>
    </xf>
    <xf numFmtId="3" fontId="2" fillId="2" borderId="13" xfId="2" applyNumberFormat="1" applyFont="1" applyFill="1" applyBorder="1" applyAlignment="1">
      <alignment horizontal="center"/>
    </xf>
    <xf numFmtId="3" fontId="2" fillId="2" borderId="13" xfId="2" applyNumberFormat="1" applyFont="1" applyFill="1" applyBorder="1" applyAlignment="1">
      <alignment horizontal="right"/>
    </xf>
    <xf numFmtId="16" fontId="5" fillId="2" borderId="1" xfId="0" applyNumberFormat="1" applyFont="1" applyFill="1" applyBorder="1" applyAlignment="1">
      <alignment horizontal="center" vertical="center"/>
    </xf>
    <xf numFmtId="1" fontId="2" fillId="2" borderId="49" xfId="2" applyNumberFormat="1" applyFont="1" applyFill="1" applyBorder="1" applyAlignment="1">
      <alignment horizontal="right" vertical="center"/>
    </xf>
    <xf numFmtId="1" fontId="2" fillId="2" borderId="53" xfId="2" applyNumberFormat="1" applyFont="1" applyFill="1" applyBorder="1" applyAlignment="1">
      <alignment horizontal="right" vertical="center"/>
    </xf>
    <xf numFmtId="3" fontId="2" fillId="2" borderId="35" xfId="1" applyNumberFormat="1" applyFont="1" applyFill="1" applyBorder="1" applyAlignment="1">
      <alignment horizontal="center" vertical="center"/>
    </xf>
    <xf numFmtId="3" fontId="2" fillId="2" borderId="16" xfId="1" applyNumberFormat="1" applyFont="1" applyFill="1" applyBorder="1" applyAlignment="1">
      <alignment horizontal="center" vertical="center"/>
    </xf>
    <xf numFmtId="1" fontId="2" fillId="2" borderId="17" xfId="2" applyNumberFormat="1" applyFont="1" applyFill="1" applyBorder="1" applyAlignment="1">
      <alignment horizontal="center" vertical="center"/>
    </xf>
    <xf numFmtId="16" fontId="5" fillId="2" borderId="3" xfId="0" applyNumberFormat="1" applyFont="1" applyFill="1" applyBorder="1" applyAlignment="1">
      <alignment horizontal="center" vertical="center"/>
    </xf>
    <xf numFmtId="3" fontId="2" fillId="2" borderId="15" xfId="1" applyNumberFormat="1" applyFont="1" applyFill="1" applyBorder="1" applyAlignment="1">
      <alignment horizontal="center" vertical="center"/>
    </xf>
    <xf numFmtId="3" fontId="2" fillId="2" borderId="16" xfId="0" applyNumberFormat="1" applyFont="1" applyFill="1" applyBorder="1" applyAlignment="1"/>
    <xf numFmtId="1" fontId="2" fillId="2" borderId="14" xfId="2" applyNumberFormat="1" applyFont="1" applyFill="1" applyBorder="1" applyAlignment="1">
      <alignment horizontal="right" vertical="center"/>
    </xf>
    <xf numFmtId="1" fontId="2" fillId="2" borderId="17" xfId="2" applyNumberFormat="1" applyFont="1" applyFill="1" applyBorder="1" applyAlignment="1">
      <alignment horizontal="right" vertical="center"/>
    </xf>
    <xf numFmtId="3" fontId="2" fillId="4" borderId="47" xfId="0" applyNumberFormat="1" applyFont="1" applyFill="1" applyBorder="1"/>
    <xf numFmtId="3" fontId="2" fillId="4" borderId="48" xfId="0" applyNumberFormat="1" applyFont="1" applyFill="1" applyBorder="1"/>
    <xf numFmtId="3" fontId="2" fillId="4" borderId="49" xfId="0" applyNumberFormat="1" applyFont="1" applyFill="1" applyBorder="1"/>
    <xf numFmtId="3" fontId="6" fillId="4" borderId="50" xfId="0" applyNumberFormat="1" applyFont="1" applyFill="1" applyBorder="1" applyAlignment="1">
      <alignment horizontal="center"/>
    </xf>
    <xf numFmtId="3" fontId="6" fillId="4" borderId="51" xfId="0" applyNumberFormat="1" applyFont="1" applyFill="1" applyBorder="1" applyAlignment="1">
      <alignment horizontal="center"/>
    </xf>
    <xf numFmtId="3" fontId="6" fillId="4" borderId="52" xfId="0" applyNumberFormat="1" applyFont="1" applyFill="1" applyBorder="1" applyAlignment="1">
      <alignment horizontal="center"/>
    </xf>
    <xf numFmtId="3" fontId="2" fillId="4" borderId="32" xfId="0" applyNumberFormat="1" applyFont="1" applyFill="1" applyBorder="1" applyAlignment="1">
      <alignment horizontal="right"/>
    </xf>
    <xf numFmtId="3" fontId="2" fillId="4" borderId="33" xfId="0" applyNumberFormat="1" applyFont="1" applyFill="1" applyBorder="1" applyAlignment="1">
      <alignment horizontal="right"/>
    </xf>
    <xf numFmtId="3" fontId="2" fillId="4" borderId="8" xfId="1" applyNumberFormat="1" applyFont="1" applyFill="1" applyBorder="1" applyAlignment="1">
      <alignment horizontal="right"/>
    </xf>
    <xf numFmtId="3" fontId="2" fillId="4" borderId="39" xfId="1" applyNumberFormat="1" applyFont="1" applyFill="1" applyBorder="1" applyAlignment="1">
      <alignment horizontal="right"/>
    </xf>
    <xf numFmtId="0" fontId="2" fillId="4" borderId="12" xfId="0" applyFont="1" applyFill="1" applyBorder="1" applyAlignment="1"/>
    <xf numFmtId="0" fontId="2" fillId="4" borderId="13" xfId="0" applyFont="1" applyFill="1" applyBorder="1" applyAlignment="1"/>
    <xf numFmtId="0" fontId="2" fillId="4" borderId="14" xfId="0" applyFont="1" applyFill="1" applyBorder="1" applyAlignment="1"/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1" fontId="2" fillId="4" borderId="15" xfId="0" applyNumberFormat="1" applyFont="1" applyFill="1" applyBorder="1" applyAlignment="1">
      <alignment horizontal="center"/>
    </xf>
    <xf numFmtId="1" fontId="2" fillId="4" borderId="16" xfId="0" applyNumberFormat="1" applyFont="1" applyFill="1" applyBorder="1" applyAlignment="1">
      <alignment horizontal="center"/>
    </xf>
    <xf numFmtId="1" fontId="2" fillId="4" borderId="17" xfId="0" applyNumberFormat="1" applyFont="1" applyFill="1" applyBorder="1" applyAlignment="1">
      <alignment horizontal="center"/>
    </xf>
    <xf numFmtId="1" fontId="2" fillId="4" borderId="9" xfId="0" applyNumberFormat="1" applyFont="1" applyFill="1" applyBorder="1" applyAlignment="1">
      <alignment horizontal="center"/>
    </xf>
    <xf numFmtId="1" fontId="2" fillId="4" borderId="10" xfId="0" applyNumberFormat="1" applyFont="1" applyFill="1" applyBorder="1" applyAlignment="1">
      <alignment horizontal="center"/>
    </xf>
    <xf numFmtId="1" fontId="2" fillId="4" borderId="11" xfId="0" applyNumberFormat="1" applyFont="1" applyFill="1" applyBorder="1" applyAlignment="1">
      <alignment horizontal="center"/>
    </xf>
    <xf numFmtId="1" fontId="2" fillId="4" borderId="54" xfId="0" applyNumberFormat="1" applyFont="1" applyFill="1" applyBorder="1" applyAlignment="1">
      <alignment horizontal="center"/>
    </xf>
    <xf numFmtId="3" fontId="5" fillId="2" borderId="12" xfId="0" applyNumberFormat="1" applyFont="1" applyFill="1" applyBorder="1" applyAlignment="1">
      <alignment horizontal="center" vertical="center"/>
    </xf>
    <xf numFmtId="3" fontId="5" fillId="2" borderId="15" xfId="0" applyNumberFormat="1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/>
    </xf>
    <xf numFmtId="3" fontId="5" fillId="2" borderId="14" xfId="0" applyNumberFormat="1" applyFont="1" applyFill="1" applyBorder="1" applyAlignment="1">
      <alignment horizontal="center" vertical="center"/>
    </xf>
    <xf numFmtId="3" fontId="2" fillId="2" borderId="18" xfId="2" applyNumberFormat="1" applyFont="1" applyFill="1" applyBorder="1" applyAlignment="1">
      <alignment horizontal="right" vertical="center"/>
    </xf>
    <xf numFmtId="3" fontId="2" fillId="2" borderId="19" xfId="2" applyNumberFormat="1" applyFont="1" applyFill="1" applyBorder="1" applyAlignment="1">
      <alignment horizontal="right" vertical="center"/>
    </xf>
    <xf numFmtId="3" fontId="5" fillId="2" borderId="17" xfId="0" applyNumberFormat="1" applyFont="1" applyFill="1" applyBorder="1" applyAlignment="1">
      <alignment horizontal="center" vertical="center"/>
    </xf>
    <xf numFmtId="3" fontId="2" fillId="4" borderId="55" xfId="0" applyNumberFormat="1" applyFont="1" applyFill="1" applyBorder="1" applyAlignment="1">
      <alignment horizontal="right"/>
    </xf>
    <xf numFmtId="3" fontId="2" fillId="4" borderId="1" xfId="0" applyNumberFormat="1" applyFont="1" applyFill="1" applyBorder="1" applyAlignment="1">
      <alignment horizontal="right"/>
    </xf>
    <xf numFmtId="3" fontId="2" fillId="4" borderId="56" xfId="0" applyNumberFormat="1" applyFont="1" applyFill="1" applyBorder="1" applyAlignment="1">
      <alignment horizontal="right"/>
    </xf>
    <xf numFmtId="0" fontId="0" fillId="0" borderId="49" xfId="0" applyBorder="1"/>
    <xf numFmtId="0" fontId="0" fillId="0" borderId="53" xfId="0" applyBorder="1"/>
    <xf numFmtId="0" fontId="0" fillId="0" borderId="52" xfId="0" applyBorder="1"/>
    <xf numFmtId="0" fontId="2" fillId="4" borderId="8" xfId="0" applyFont="1" applyFill="1" applyBorder="1" applyAlignment="1">
      <alignment horizontal="center"/>
    </xf>
    <xf numFmtId="3" fontId="2" fillId="4" borderId="41" xfId="0" applyNumberFormat="1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9" fontId="5" fillId="0" borderId="0" xfId="3" applyNumberFormat="1" applyFont="1"/>
    <xf numFmtId="3" fontId="5" fillId="5" borderId="0" xfId="3" applyNumberFormat="1" applyFont="1" applyFill="1"/>
    <xf numFmtId="3" fontId="5" fillId="0" borderId="0" xfId="3" applyNumberFormat="1" applyFont="1"/>
    <xf numFmtId="3" fontId="5" fillId="2" borderId="5" xfId="3" applyNumberFormat="1" applyFont="1" applyFill="1" applyBorder="1" applyAlignment="1">
      <alignment horizontal="right" vertical="center" wrapText="1"/>
    </xf>
    <xf numFmtId="3" fontId="5" fillId="3" borderId="5" xfId="0" applyNumberFormat="1" applyFont="1" applyFill="1" applyBorder="1" applyAlignment="1">
      <alignment horizontal="right"/>
    </xf>
    <xf numFmtId="3" fontId="5" fillId="2" borderId="5" xfId="0" applyNumberFormat="1" applyFont="1" applyFill="1" applyBorder="1" applyAlignment="1">
      <alignment horizontal="right"/>
    </xf>
    <xf numFmtId="3" fontId="5" fillId="2" borderId="5" xfId="3" applyNumberFormat="1" applyFont="1" applyFill="1" applyBorder="1" applyAlignment="1">
      <alignment horizontal="right"/>
    </xf>
    <xf numFmtId="3" fontId="5" fillId="0" borderId="5" xfId="3" applyNumberFormat="1" applyFont="1" applyFill="1" applyBorder="1" applyAlignment="1">
      <alignment horizontal="right"/>
    </xf>
    <xf numFmtId="3" fontId="2" fillId="4" borderId="8" xfId="0" applyNumberFormat="1" applyFont="1" applyFill="1" applyBorder="1" applyAlignment="1">
      <alignment horizontal="center"/>
    </xf>
    <xf numFmtId="3" fontId="2" fillId="3" borderId="32" xfId="0" applyNumberFormat="1" applyFont="1" applyFill="1" applyBorder="1" applyAlignment="1">
      <alignment horizontal="right"/>
    </xf>
    <xf numFmtId="3" fontId="2" fillId="3" borderId="37" xfId="0" applyNumberFormat="1" applyFont="1" applyFill="1" applyBorder="1" applyAlignment="1">
      <alignment horizontal="right"/>
    </xf>
    <xf numFmtId="3" fontId="2" fillId="3" borderId="33" xfId="0" applyNumberFormat="1" applyFont="1" applyFill="1" applyBorder="1" applyAlignment="1">
      <alignment horizontal="right"/>
    </xf>
    <xf numFmtId="3" fontId="2" fillId="3" borderId="8" xfId="0" applyNumberFormat="1" applyFont="1" applyFill="1" applyBorder="1" applyAlignment="1">
      <alignment horizontal="right"/>
    </xf>
    <xf numFmtId="169" fontId="17" fillId="4" borderId="12" xfId="3" applyNumberFormat="1" applyFont="1" applyFill="1" applyBorder="1"/>
    <xf numFmtId="3" fontId="17" fillId="3" borderId="18" xfId="3" applyNumberFormat="1" applyFont="1" applyFill="1" applyBorder="1"/>
    <xf numFmtId="3" fontId="5" fillId="3" borderId="19" xfId="3" applyNumberFormat="1" applyFont="1" applyFill="1" applyBorder="1" applyAlignment="1">
      <alignment horizontal="right"/>
    </xf>
    <xf numFmtId="3" fontId="17" fillId="2" borderId="18" xfId="3" applyNumberFormat="1" applyFont="1" applyFill="1" applyBorder="1"/>
    <xf numFmtId="3" fontId="5" fillId="0" borderId="19" xfId="3" applyNumberFormat="1" applyFont="1" applyBorder="1" applyAlignment="1">
      <alignment horizontal="right"/>
    </xf>
    <xf numFmtId="3" fontId="10" fillId="3" borderId="18" xfId="3" applyNumberFormat="1" applyFont="1" applyFill="1" applyBorder="1"/>
    <xf numFmtId="3" fontId="10" fillId="2" borderId="18" xfId="3" applyNumberFormat="1" applyFont="1" applyFill="1" applyBorder="1"/>
    <xf numFmtId="3" fontId="5" fillId="2" borderId="19" xfId="3" applyNumberFormat="1" applyFont="1" applyFill="1" applyBorder="1" applyAlignment="1">
      <alignment horizontal="right"/>
    </xf>
    <xf numFmtId="3" fontId="10" fillId="2" borderId="15" xfId="3" applyNumberFormat="1" applyFont="1" applyFill="1" applyBorder="1"/>
    <xf numFmtId="3" fontId="5" fillId="2" borderId="16" xfId="0" applyNumberFormat="1" applyFont="1" applyFill="1" applyBorder="1" applyAlignment="1">
      <alignment horizontal="right"/>
    </xf>
    <xf numFmtId="3" fontId="5" fillId="2" borderId="16" xfId="3" applyNumberFormat="1" applyFont="1" applyFill="1" applyBorder="1" applyAlignment="1">
      <alignment horizontal="right" vertical="center" wrapText="1"/>
    </xf>
    <xf numFmtId="3" fontId="5" fillId="2" borderId="16" xfId="3" applyNumberFormat="1" applyFont="1" applyFill="1" applyBorder="1" applyAlignment="1">
      <alignment horizontal="right"/>
    </xf>
    <xf numFmtId="3" fontId="5" fillId="0" borderId="17" xfId="3" applyNumberFormat="1" applyFont="1" applyBorder="1" applyAlignment="1">
      <alignment horizontal="right"/>
    </xf>
    <xf numFmtId="3" fontId="17" fillId="4" borderId="12" xfId="3" applyNumberFormat="1" applyFont="1" applyFill="1" applyBorder="1"/>
    <xf numFmtId="3" fontId="17" fillId="5" borderId="18" xfId="3" applyNumberFormat="1" applyFont="1" applyFill="1" applyBorder="1"/>
    <xf numFmtId="3" fontId="5" fillId="5" borderId="19" xfId="3" applyNumberFormat="1" applyFont="1" applyFill="1" applyBorder="1" applyAlignment="1">
      <alignment horizontal="right" vertical="center" wrapText="1"/>
    </xf>
    <xf numFmtId="3" fontId="5" fillId="3" borderId="19" xfId="3" applyNumberFormat="1" applyFont="1" applyFill="1" applyBorder="1" applyAlignment="1">
      <alignment horizontal="right" vertical="center" wrapText="1"/>
    </xf>
    <xf numFmtId="3" fontId="5" fillId="5" borderId="19" xfId="3" applyNumberFormat="1" applyFont="1" applyFill="1" applyBorder="1" applyAlignment="1">
      <alignment horizontal="right"/>
    </xf>
    <xf numFmtId="169" fontId="17" fillId="0" borderId="18" xfId="3" applyNumberFormat="1" applyFont="1" applyBorder="1"/>
    <xf numFmtId="169" fontId="17" fillId="0" borderId="18" xfId="3" applyNumberFormat="1" applyFont="1" applyFill="1" applyBorder="1"/>
    <xf numFmtId="3" fontId="5" fillId="0" borderId="19" xfId="3" applyNumberFormat="1" applyFont="1" applyFill="1" applyBorder="1" applyAlignment="1">
      <alignment horizontal="right"/>
    </xf>
    <xf numFmtId="169" fontId="17" fillId="3" borderId="18" xfId="3" applyNumberFormat="1" applyFont="1" applyFill="1" applyBorder="1"/>
    <xf numFmtId="169" fontId="17" fillId="0" borderId="15" xfId="3" applyNumberFormat="1" applyFont="1" applyFill="1" applyBorder="1"/>
    <xf numFmtId="3" fontId="5" fillId="0" borderId="16" xfId="3" applyNumberFormat="1" applyFont="1" applyFill="1" applyBorder="1" applyAlignment="1">
      <alignment horizontal="right"/>
    </xf>
    <xf numFmtId="3" fontId="5" fillId="0" borderId="17" xfId="3" applyNumberFormat="1" applyFont="1" applyFill="1" applyBorder="1" applyAlignment="1">
      <alignment horizontal="right"/>
    </xf>
    <xf numFmtId="3" fontId="3" fillId="4" borderId="14" xfId="0" applyNumberFormat="1" applyFont="1" applyFill="1" applyBorder="1" applyAlignment="1">
      <alignment horizontal="center"/>
    </xf>
    <xf numFmtId="17" fontId="3" fillId="4" borderId="13" xfId="0" applyNumberFormat="1" applyFont="1" applyFill="1" applyBorder="1" applyAlignment="1">
      <alignment horizontal="center"/>
    </xf>
    <xf numFmtId="17" fontId="3" fillId="4" borderId="14" xfId="0" applyNumberFormat="1" applyFont="1" applyFill="1" applyBorder="1" applyAlignment="1">
      <alignment horizontal="center"/>
    </xf>
    <xf numFmtId="3" fontId="0" fillId="0" borderId="0" xfId="0" applyNumberFormat="1"/>
    <xf numFmtId="3" fontId="2" fillId="2" borderId="5" xfId="0" applyNumberFormat="1" applyFont="1" applyFill="1" applyBorder="1" applyAlignment="1">
      <alignment horizontal="right" vertical="center"/>
    </xf>
    <xf numFmtId="0" fontId="0" fillId="0" borderId="5" xfId="0" applyBorder="1"/>
    <xf numFmtId="3" fontId="0" fillId="0" borderId="5" xfId="0" applyNumberFormat="1" applyBorder="1"/>
    <xf numFmtId="3" fontId="0" fillId="2" borderId="5" xfId="0" applyNumberFormat="1" applyFill="1" applyBorder="1"/>
    <xf numFmtId="3" fontId="17" fillId="4" borderId="21" xfId="4" applyNumberFormat="1" applyFont="1" applyFill="1" applyBorder="1" applyAlignment="1">
      <alignment vertical="center" wrapText="1"/>
    </xf>
    <xf numFmtId="3" fontId="17" fillId="4" borderId="58" xfId="4" applyNumberFormat="1" applyFont="1" applyFill="1" applyBorder="1" applyAlignment="1">
      <alignment horizontal="center" vertical="center"/>
    </xf>
    <xf numFmtId="3" fontId="17" fillId="4" borderId="59" xfId="4" applyNumberFormat="1" applyFont="1" applyFill="1" applyBorder="1" applyAlignment="1">
      <alignment horizontal="center" vertical="center"/>
    </xf>
    <xf numFmtId="0" fontId="17" fillId="4" borderId="58" xfId="4" applyNumberFormat="1" applyFont="1" applyFill="1" applyBorder="1" applyAlignment="1">
      <alignment horizontal="center" vertical="center"/>
    </xf>
    <xf numFmtId="3" fontId="17" fillId="4" borderId="60" xfId="4" applyNumberFormat="1" applyFont="1" applyFill="1" applyBorder="1" applyAlignment="1">
      <alignment vertical="center" wrapText="1"/>
    </xf>
    <xf numFmtId="0" fontId="0" fillId="2" borderId="5" xfId="0" applyFill="1" applyBorder="1"/>
    <xf numFmtId="3" fontId="0" fillId="2" borderId="64" xfId="0" applyNumberFormat="1" applyFill="1" applyBorder="1"/>
    <xf numFmtId="2" fontId="0" fillId="0" borderId="0" xfId="0" applyNumberFormat="1"/>
    <xf numFmtId="9" fontId="0" fillId="2" borderId="5" xfId="0" applyNumberFormat="1" applyFont="1" applyFill="1" applyBorder="1"/>
    <xf numFmtId="3" fontId="0" fillId="0" borderId="64" xfId="0" applyNumberFormat="1" applyFill="1" applyBorder="1"/>
    <xf numFmtId="3" fontId="0" fillId="0" borderId="64" xfId="0" applyNumberFormat="1" applyFont="1" applyFill="1" applyBorder="1"/>
    <xf numFmtId="4" fontId="0" fillId="0" borderId="0" xfId="0" applyNumberFormat="1"/>
    <xf numFmtId="16" fontId="5" fillId="2" borderId="30" xfId="0" applyNumberFormat="1" applyFont="1" applyFill="1" applyBorder="1" applyAlignment="1">
      <alignment horizontal="center"/>
    </xf>
    <xf numFmtId="3" fontId="0" fillId="2" borderId="12" xfId="0" applyNumberFormat="1" applyFill="1" applyBorder="1"/>
    <xf numFmtId="3" fontId="0" fillId="2" borderId="13" xfId="0" applyNumberFormat="1" applyFill="1" applyBorder="1"/>
    <xf numFmtId="3" fontId="0" fillId="2" borderId="14" xfId="0" applyNumberFormat="1" applyFill="1" applyBorder="1"/>
    <xf numFmtId="3" fontId="0" fillId="2" borderId="24" xfId="0" applyNumberFormat="1" applyFill="1" applyBorder="1"/>
    <xf numFmtId="3" fontId="0" fillId="2" borderId="25" xfId="0" applyNumberFormat="1" applyFill="1" applyBorder="1"/>
    <xf numFmtId="3" fontId="0" fillId="2" borderId="29" xfId="0" applyNumberFormat="1" applyFill="1" applyBorder="1"/>
    <xf numFmtId="3" fontId="0" fillId="2" borderId="30" xfId="0" applyNumberFormat="1" applyFill="1" applyBorder="1"/>
    <xf numFmtId="9" fontId="0" fillId="2" borderId="30" xfId="0" applyNumberFormat="1" applyFill="1" applyBorder="1"/>
    <xf numFmtId="3" fontId="0" fillId="0" borderId="24" xfId="0" applyNumberFormat="1" applyFill="1" applyBorder="1"/>
    <xf numFmtId="3" fontId="0" fillId="0" borderId="25" xfId="0" applyNumberFormat="1" applyFill="1" applyBorder="1"/>
    <xf numFmtId="3" fontId="0" fillId="0" borderId="24" xfId="0" applyNumberFormat="1" applyFont="1" applyFill="1" applyBorder="1"/>
    <xf numFmtId="3" fontId="0" fillId="0" borderId="25" xfId="0" applyNumberFormat="1" applyFont="1" applyFill="1" applyBorder="1"/>
    <xf numFmtId="3" fontId="0" fillId="0" borderId="57" xfId="0" applyNumberFormat="1" applyFill="1" applyBorder="1"/>
    <xf numFmtId="3" fontId="0" fillId="0" borderId="58" xfId="0" applyNumberFormat="1" applyFill="1" applyBorder="1"/>
    <xf numFmtId="3" fontId="0" fillId="0" borderId="60" xfId="0" applyNumberFormat="1" applyFill="1" applyBorder="1"/>
    <xf numFmtId="0" fontId="25" fillId="7" borderId="15" xfId="0" applyFont="1" applyFill="1" applyBorder="1" applyAlignment="1">
      <alignment horizontal="center"/>
    </xf>
    <xf numFmtId="0" fontId="25" fillId="7" borderId="16" xfId="0" applyFont="1" applyFill="1" applyBorder="1" applyAlignment="1">
      <alignment horizontal="center"/>
    </xf>
    <xf numFmtId="0" fontId="25" fillId="7" borderId="23" xfId="0" applyFont="1" applyFill="1" applyBorder="1" applyAlignment="1">
      <alignment horizontal="center"/>
    </xf>
    <xf numFmtId="0" fontId="25" fillId="7" borderId="17" xfId="0" applyFont="1" applyFill="1" applyBorder="1" applyAlignment="1">
      <alignment horizontal="center"/>
    </xf>
    <xf numFmtId="0" fontId="25" fillId="7" borderId="35" xfId="0" applyFont="1" applyFill="1" applyBorder="1" applyAlignment="1">
      <alignment horizontal="center"/>
    </xf>
    <xf numFmtId="0" fontId="24" fillId="7" borderId="9" xfId="0" applyFont="1" applyFill="1" applyBorder="1"/>
    <xf numFmtId="3" fontId="24" fillId="7" borderId="10" xfId="0" applyNumberFormat="1" applyFont="1" applyFill="1" applyBorder="1"/>
    <xf numFmtId="3" fontId="24" fillId="7" borderId="65" xfId="0" applyNumberFormat="1" applyFont="1" applyFill="1" applyBorder="1"/>
    <xf numFmtId="3" fontId="24" fillId="7" borderId="66" xfId="0" applyNumberFormat="1" applyFont="1" applyFill="1" applyBorder="1"/>
    <xf numFmtId="9" fontId="24" fillId="7" borderId="54" xfId="0" applyNumberFormat="1" applyFont="1" applyFill="1" applyBorder="1"/>
    <xf numFmtId="3" fontId="24" fillId="7" borderId="11" xfId="0" applyNumberFormat="1" applyFont="1" applyFill="1" applyBorder="1"/>
    <xf numFmtId="0" fontId="26" fillId="0" borderId="0" xfId="0" applyFont="1"/>
    <xf numFmtId="170" fontId="26" fillId="0" borderId="0" xfId="0" applyNumberFormat="1" applyFont="1" applyAlignment="1">
      <alignment horizontal="right"/>
    </xf>
    <xf numFmtId="170" fontId="26" fillId="0" borderId="0" xfId="0" applyNumberFormat="1" applyFont="1"/>
    <xf numFmtId="0" fontId="0" fillId="6" borderId="5" xfId="0" applyFill="1" applyBorder="1"/>
    <xf numFmtId="17" fontId="2" fillId="6" borderId="5" xfId="0" applyNumberFormat="1" applyFont="1" applyFill="1" applyBorder="1" applyAlignment="1">
      <alignment horizontal="center"/>
    </xf>
    <xf numFmtId="0" fontId="0" fillId="0" borderId="5" xfId="0" applyFill="1" applyBorder="1"/>
    <xf numFmtId="171" fontId="0" fillId="0" borderId="5" xfId="0" applyNumberFormat="1" applyBorder="1"/>
    <xf numFmtId="0" fontId="0" fillId="0" borderId="0" xfId="0" applyFill="1" applyBorder="1"/>
    <xf numFmtId="171" fontId="0" fillId="0" borderId="0" xfId="0" applyNumberFormat="1" applyBorder="1"/>
    <xf numFmtId="0" fontId="0" fillId="0" borderId="0" xfId="0" applyBorder="1"/>
    <xf numFmtId="0" fontId="26" fillId="0" borderId="0" xfId="0" applyFont="1" applyFill="1" applyBorder="1"/>
    <xf numFmtId="3" fontId="5" fillId="2" borderId="13" xfId="0" applyNumberFormat="1" applyFont="1" applyFill="1" applyBorder="1" applyAlignment="1">
      <alignment horizontal="center" vertical="center"/>
    </xf>
    <xf numFmtId="3" fontId="5" fillId="2" borderId="5" xfId="0" applyNumberFormat="1" applyFont="1" applyFill="1" applyBorder="1" applyAlignment="1">
      <alignment horizontal="center" vertical="center"/>
    </xf>
    <xf numFmtId="0" fontId="18" fillId="0" borderId="0" xfId="0" applyFont="1"/>
    <xf numFmtId="0" fontId="18" fillId="8" borderId="5" xfId="0" applyFont="1" applyFill="1" applyBorder="1"/>
    <xf numFmtId="17" fontId="3" fillId="8" borderId="5" xfId="0" applyNumberFormat="1" applyFont="1" applyFill="1" applyBorder="1" applyAlignment="1">
      <alignment horizontal="center"/>
    </xf>
    <xf numFmtId="1" fontId="2" fillId="4" borderId="27" xfId="0" applyNumberFormat="1" applyFont="1" applyFill="1" applyBorder="1" applyAlignment="1">
      <alignment horizontal="center"/>
    </xf>
    <xf numFmtId="1" fontId="2" fillId="0" borderId="19" xfId="2" applyNumberFormat="1" applyFont="1" applyFill="1" applyBorder="1" applyAlignment="1">
      <alignment horizontal="right" vertical="center"/>
    </xf>
    <xf numFmtId="1" fontId="2" fillId="0" borderId="19" xfId="2" applyNumberFormat="1" applyFont="1" applyFill="1" applyBorder="1" applyAlignment="1">
      <alignment horizontal="center" vertical="center"/>
    </xf>
    <xf numFmtId="3" fontId="2" fillId="0" borderId="5" xfId="2" applyNumberFormat="1" applyFont="1" applyFill="1" applyBorder="1" applyAlignment="1">
      <alignment horizontal="center"/>
    </xf>
    <xf numFmtId="3" fontId="2" fillId="0" borderId="5" xfId="2" applyNumberFormat="1" applyFont="1" applyFill="1" applyBorder="1" applyAlignment="1">
      <alignment horizontal="right"/>
    </xf>
    <xf numFmtId="0" fontId="26" fillId="2" borderId="5" xfId="0" applyFont="1" applyFill="1" applyBorder="1"/>
    <xf numFmtId="0" fontId="26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9" fontId="0" fillId="2" borderId="5" xfId="0" applyNumberFormat="1" applyFill="1" applyBorder="1"/>
    <xf numFmtId="0" fontId="0" fillId="3" borderId="8" xfId="0" applyFill="1" applyBorder="1"/>
    <xf numFmtId="3" fontId="0" fillId="2" borderId="0" xfId="0" applyNumberFormat="1" applyFill="1" applyBorder="1"/>
    <xf numFmtId="9" fontId="0" fillId="3" borderId="5" xfId="0" applyNumberFormat="1" applyFill="1" applyBorder="1"/>
    <xf numFmtId="9" fontId="0" fillId="9" borderId="5" xfId="0" applyNumberFormat="1" applyFill="1" applyBorder="1"/>
    <xf numFmtId="9" fontId="0" fillId="10" borderId="5" xfId="0" applyNumberFormat="1" applyFill="1" applyBorder="1"/>
    <xf numFmtId="0" fontId="0" fillId="2" borderId="0" xfId="0" applyFill="1"/>
    <xf numFmtId="3" fontId="0" fillId="2" borderId="0" xfId="0" applyNumberFormat="1" applyFill="1"/>
    <xf numFmtId="9" fontId="0" fillId="2" borderId="0" xfId="0" applyNumberFormat="1" applyFill="1"/>
    <xf numFmtId="1" fontId="26" fillId="2" borderId="5" xfId="0" applyNumberFormat="1" applyFont="1" applyFill="1" applyBorder="1"/>
    <xf numFmtId="9" fontId="0" fillId="9" borderId="0" xfId="0" applyNumberFormat="1" applyFill="1" applyBorder="1"/>
    <xf numFmtId="3" fontId="26" fillId="2" borderId="5" xfId="0" applyNumberFormat="1" applyFont="1" applyFill="1" applyBorder="1"/>
    <xf numFmtId="3" fontId="0" fillId="3" borderId="0" xfId="0" applyNumberFormat="1" applyFill="1" applyBorder="1"/>
    <xf numFmtId="0" fontId="0" fillId="2" borderId="0" xfId="0" applyFill="1" applyBorder="1"/>
    <xf numFmtId="9" fontId="0" fillId="2" borderId="0" xfId="0" applyNumberFormat="1" applyFill="1" applyBorder="1"/>
    <xf numFmtId="169" fontId="29" fillId="11" borderId="5" xfId="4" applyFont="1" applyFill="1" applyBorder="1" applyAlignment="1">
      <alignment horizontal="left" vertical="center"/>
    </xf>
    <xf numFmtId="4" fontId="5" fillId="11" borderId="5" xfId="4" applyNumberFormat="1" applyFont="1" applyFill="1" applyBorder="1" applyAlignment="1">
      <alignment horizontal="right" vertical="center"/>
    </xf>
    <xf numFmtId="3" fontId="5" fillId="11" borderId="5" xfId="4" applyNumberFormat="1" applyFont="1" applyFill="1" applyBorder="1" applyAlignment="1">
      <alignment horizontal="right" vertical="center"/>
    </xf>
    <xf numFmtId="3" fontId="5" fillId="0" borderId="5" xfId="4" applyNumberFormat="1" applyFont="1" applyBorder="1" applyAlignment="1">
      <alignment horizontal="center"/>
    </xf>
    <xf numFmtId="3" fontId="2" fillId="2" borderId="1" xfId="0" applyNumberFormat="1" applyFont="1" applyFill="1" applyBorder="1" applyAlignment="1">
      <alignment horizontal="right"/>
    </xf>
    <xf numFmtId="3" fontId="2" fillId="2" borderId="56" xfId="0" applyNumberFormat="1" applyFont="1" applyFill="1" applyBorder="1" applyAlignment="1">
      <alignment horizontal="right"/>
    </xf>
    <xf numFmtId="0" fontId="0" fillId="2" borderId="53" xfId="0" applyFill="1" applyBorder="1"/>
    <xf numFmtId="3" fontId="2" fillId="2" borderId="64" xfId="0" applyNumberFormat="1" applyFont="1" applyFill="1" applyBorder="1" applyAlignment="1">
      <alignment horizontal="right" vertical="center"/>
    </xf>
    <xf numFmtId="3" fontId="2" fillId="0" borderId="64" xfId="0" applyNumberFormat="1" applyFont="1" applyFill="1" applyBorder="1" applyAlignment="1">
      <alignment horizontal="right" vertical="center"/>
    </xf>
    <xf numFmtId="9" fontId="0" fillId="0" borderId="5" xfId="0" applyNumberFormat="1" applyFont="1" applyFill="1" applyBorder="1"/>
    <xf numFmtId="9" fontId="0" fillId="0" borderId="30" xfId="0" applyNumberFormat="1" applyFill="1" applyBorder="1"/>
    <xf numFmtId="3" fontId="0" fillId="3" borderId="12" xfId="0" applyNumberFormat="1" applyFill="1" applyBorder="1"/>
    <xf numFmtId="3" fontId="0" fillId="3" borderId="13" xfId="0" applyNumberFormat="1" applyFill="1" applyBorder="1"/>
    <xf numFmtId="3" fontId="0" fillId="3" borderId="14" xfId="0" applyNumberFormat="1" applyFill="1" applyBorder="1"/>
    <xf numFmtId="3" fontId="0" fillId="3" borderId="24" xfId="0" applyNumberFormat="1" applyFill="1" applyBorder="1"/>
    <xf numFmtId="3" fontId="0" fillId="3" borderId="64" xfId="0" applyNumberFormat="1" applyFill="1" applyBorder="1"/>
    <xf numFmtId="3" fontId="0" fillId="3" borderId="25" xfId="0" applyNumberFormat="1" applyFill="1" applyBorder="1"/>
    <xf numFmtId="16" fontId="5" fillId="2" borderId="32" xfId="0" applyNumberFormat="1" applyFont="1" applyFill="1" applyBorder="1" applyAlignment="1">
      <alignment horizontal="center"/>
    </xf>
    <xf numFmtId="3" fontId="2" fillId="0" borderId="33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1" fontId="2" fillId="4" borderId="26" xfId="0" applyNumberFormat="1" applyFont="1" applyFill="1" applyBorder="1" applyAlignment="1">
      <alignment horizontal="center"/>
    </xf>
    <xf numFmtId="3" fontId="2" fillId="4" borderId="48" xfId="0" applyNumberFormat="1" applyFont="1" applyFill="1" applyBorder="1" applyAlignment="1">
      <alignment horizontal="right"/>
    </xf>
    <xf numFmtId="16" fontId="5" fillId="2" borderId="30" xfId="0" applyNumberFormat="1" applyFont="1" applyFill="1" applyBorder="1" applyAlignment="1">
      <alignment horizontal="center" vertical="center"/>
    </xf>
    <xf numFmtId="1" fontId="2" fillId="4" borderId="55" xfId="0" applyNumberFormat="1" applyFont="1" applyFill="1" applyBorder="1" applyAlignment="1">
      <alignment horizontal="right"/>
    </xf>
    <xf numFmtId="3" fontId="2" fillId="4" borderId="55" xfId="0" applyNumberFormat="1" applyFont="1" applyFill="1" applyBorder="1" applyAlignment="1">
      <alignment horizontal="center"/>
    </xf>
    <xf numFmtId="16" fontId="5" fillId="2" borderId="37" xfId="0" applyNumberFormat="1" applyFont="1" applyFill="1" applyBorder="1" applyAlignment="1">
      <alignment horizontal="center" vertical="center"/>
    </xf>
    <xf numFmtId="16" fontId="5" fillId="2" borderId="4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/>
    </xf>
    <xf numFmtId="3" fontId="2" fillId="4" borderId="53" xfId="0" applyNumberFormat="1" applyFont="1" applyFill="1" applyBorder="1" applyAlignment="1">
      <alignment horizontal="right"/>
    </xf>
    <xf numFmtId="1" fontId="2" fillId="2" borderId="52" xfId="2" applyNumberFormat="1" applyFont="1" applyFill="1" applyBorder="1" applyAlignment="1">
      <alignment horizontal="right" vertical="center"/>
    </xf>
    <xf numFmtId="3" fontId="2" fillId="2" borderId="7" xfId="1" applyNumberFormat="1" applyFont="1" applyFill="1" applyBorder="1" applyAlignment="1">
      <alignment horizontal="right" vertical="center"/>
    </xf>
    <xf numFmtId="3" fontId="2" fillId="2" borderId="18" xfId="2" applyNumberFormat="1" applyFont="1" applyFill="1" applyBorder="1" applyAlignment="1">
      <alignment horizontal="center" vertical="center"/>
    </xf>
    <xf numFmtId="3" fontId="2" fillId="0" borderId="16" xfId="2" applyNumberFormat="1" applyFont="1" applyFill="1" applyBorder="1" applyAlignment="1">
      <alignment horizontal="center"/>
    </xf>
    <xf numFmtId="3" fontId="2" fillId="0" borderId="16" xfId="2" applyNumberFormat="1" applyFont="1" applyFill="1" applyBorder="1" applyAlignment="1">
      <alignment horizontal="right"/>
    </xf>
    <xf numFmtId="1" fontId="2" fillId="0" borderId="17" xfId="2" applyNumberFormat="1" applyFont="1" applyFill="1" applyBorder="1" applyAlignment="1">
      <alignment horizontal="right" vertical="center"/>
    </xf>
    <xf numFmtId="3" fontId="2" fillId="2" borderId="18" xfId="2" applyNumberFormat="1" applyFont="1" applyFill="1" applyBorder="1" applyAlignment="1">
      <alignment horizontal="center"/>
    </xf>
    <xf numFmtId="3" fontId="2" fillId="3" borderId="5" xfId="1" applyNumberFormat="1" applyFont="1" applyFill="1" applyBorder="1" applyAlignment="1">
      <alignment horizontal="right" vertical="center"/>
    </xf>
    <xf numFmtId="3" fontId="2" fillId="3" borderId="5" xfId="1" applyNumberFormat="1" applyFont="1" applyFill="1" applyBorder="1" applyAlignment="1">
      <alignment horizontal="center" vertical="center"/>
    </xf>
    <xf numFmtId="16" fontId="5" fillId="2" borderId="31" xfId="0" applyNumberFormat="1" applyFont="1" applyFill="1" applyBorder="1" applyAlignment="1">
      <alignment horizontal="center" vertical="center"/>
    </xf>
    <xf numFmtId="169" fontId="27" fillId="12" borderId="5" xfId="4" applyFont="1" applyFill="1" applyBorder="1" applyAlignment="1">
      <alignment vertical="center"/>
    </xf>
    <xf numFmtId="169" fontId="28" fillId="12" borderId="5" xfId="4" applyFont="1" applyFill="1" applyBorder="1" applyAlignment="1">
      <alignment horizontal="center" vertical="center" wrapText="1"/>
    </xf>
    <xf numFmtId="3" fontId="5" fillId="0" borderId="5" xfId="4" applyNumberFormat="1" applyFont="1" applyBorder="1" applyAlignment="1">
      <alignment horizontal="right"/>
    </xf>
    <xf numFmtId="1" fontId="0" fillId="0" borderId="5" xfId="0" applyNumberFormat="1" applyBorder="1"/>
    <xf numFmtId="3" fontId="2" fillId="2" borderId="58" xfId="2" applyNumberFormat="1" applyFont="1" applyFill="1" applyBorder="1" applyAlignment="1">
      <alignment horizontal="right"/>
    </xf>
    <xf numFmtId="3" fontId="2" fillId="3" borderId="39" xfId="0" applyNumberFormat="1" applyFont="1" applyFill="1" applyBorder="1" applyAlignment="1">
      <alignment horizontal="right"/>
    </xf>
    <xf numFmtId="9" fontId="0" fillId="0" borderId="0" xfId="0" applyNumberFormat="1"/>
    <xf numFmtId="3" fontId="2" fillId="2" borderId="58" xfId="1" applyNumberFormat="1" applyFont="1" applyFill="1" applyBorder="1" applyAlignment="1">
      <alignment horizontal="center" vertical="center"/>
    </xf>
    <xf numFmtId="3" fontId="2" fillId="2" borderId="58" xfId="1" applyNumberFormat="1" applyFont="1" applyFill="1" applyBorder="1" applyAlignment="1">
      <alignment horizontal="right" vertical="center"/>
    </xf>
    <xf numFmtId="1" fontId="2" fillId="2" borderId="60" xfId="2" applyNumberFormat="1" applyFont="1" applyFill="1" applyBorder="1" applyAlignment="1">
      <alignment horizontal="right" vertical="center"/>
    </xf>
    <xf numFmtId="3" fontId="2" fillId="2" borderId="64" xfId="1" applyNumberFormat="1" applyFont="1" applyFill="1" applyBorder="1" applyAlignment="1">
      <alignment horizontal="right" vertical="center"/>
    </xf>
    <xf numFmtId="3" fontId="2" fillId="3" borderId="56" xfId="0" applyNumberFormat="1" applyFont="1" applyFill="1" applyBorder="1" applyAlignment="1">
      <alignment horizontal="right"/>
    </xf>
    <xf numFmtId="3" fontId="2" fillId="0" borderId="5" xfId="1" applyNumberFormat="1" applyFont="1" applyFill="1" applyBorder="1" applyAlignment="1">
      <alignment horizontal="right" vertical="center"/>
    </xf>
    <xf numFmtId="3" fontId="2" fillId="0" borderId="5" xfId="1" applyNumberFormat="1" applyFont="1" applyFill="1" applyBorder="1" applyAlignment="1">
      <alignment horizontal="center" vertical="center"/>
    </xf>
    <xf numFmtId="1" fontId="2" fillId="0" borderId="18" xfId="2" applyNumberFormat="1" applyFont="1" applyFill="1" applyBorder="1" applyAlignment="1">
      <alignment horizontal="center" vertical="center"/>
    </xf>
    <xf numFmtId="1" fontId="2" fillId="0" borderId="5" xfId="2" applyNumberFormat="1" applyFont="1" applyFill="1" applyBorder="1" applyAlignment="1">
      <alignment horizontal="center" vertical="center"/>
    </xf>
    <xf numFmtId="3" fontId="5" fillId="0" borderId="18" xfId="0" applyNumberFormat="1" applyFont="1" applyFill="1" applyBorder="1" applyAlignment="1">
      <alignment horizontal="center" vertical="center"/>
    </xf>
    <xf numFmtId="3" fontId="5" fillId="0" borderId="19" xfId="0" applyNumberFormat="1" applyFont="1" applyFill="1" applyBorder="1" applyAlignment="1">
      <alignment horizontal="center" vertical="center"/>
    </xf>
    <xf numFmtId="3" fontId="2" fillId="0" borderId="16" xfId="1" applyNumberFormat="1" applyFont="1" applyFill="1" applyBorder="1" applyAlignment="1">
      <alignment horizontal="center" vertical="center"/>
    </xf>
    <xf numFmtId="3" fontId="2" fillId="0" borderId="16" xfId="1" applyNumberFormat="1" applyFont="1" applyFill="1" applyBorder="1" applyAlignment="1">
      <alignment horizontal="right" vertical="center"/>
    </xf>
    <xf numFmtId="16" fontId="5" fillId="0" borderId="3" xfId="0" applyNumberFormat="1" applyFont="1" applyFill="1" applyBorder="1" applyAlignment="1">
      <alignment horizontal="center" vertical="center"/>
    </xf>
    <xf numFmtId="3" fontId="5" fillId="0" borderId="15" xfId="0" applyNumberFormat="1" applyFont="1" applyFill="1" applyBorder="1" applyAlignment="1">
      <alignment horizontal="center" vertical="center"/>
    </xf>
    <xf numFmtId="3" fontId="5" fillId="0" borderId="17" xfId="0" applyNumberFormat="1" applyFont="1" applyFill="1" applyBorder="1" applyAlignment="1">
      <alignment horizontal="center" vertical="center"/>
    </xf>
    <xf numFmtId="3" fontId="2" fillId="2" borderId="5" xfId="1" applyNumberFormat="1" applyFont="1" applyFill="1" applyBorder="1" applyAlignment="1">
      <alignment horizontal="left" vertical="center"/>
    </xf>
    <xf numFmtId="3" fontId="2" fillId="2" borderId="58" xfId="2" applyNumberFormat="1" applyFont="1" applyFill="1" applyBorder="1" applyAlignment="1">
      <alignment horizontal="center"/>
    </xf>
    <xf numFmtId="3" fontId="2" fillId="3" borderId="5" xfId="1" applyNumberFormat="1" applyFont="1" applyFill="1" applyBorder="1" applyAlignment="1">
      <alignment horizontal="left" vertical="center"/>
    </xf>
    <xf numFmtId="3" fontId="2" fillId="4" borderId="43" xfId="0" applyNumberFormat="1" applyFont="1" applyFill="1" applyBorder="1" applyAlignment="1">
      <alignment horizontal="right" vertical="center"/>
    </xf>
    <xf numFmtId="3" fontId="2" fillId="4" borderId="0" xfId="0" applyNumberFormat="1" applyFont="1" applyFill="1" applyBorder="1" applyAlignment="1">
      <alignment horizontal="right" vertical="center"/>
    </xf>
    <xf numFmtId="3" fontId="2" fillId="4" borderId="1" xfId="1" applyNumberFormat="1" applyFont="1" applyFill="1" applyBorder="1" applyAlignment="1">
      <alignment horizontal="right"/>
    </xf>
    <xf numFmtId="3" fontId="2" fillId="4" borderId="56" xfId="1" applyNumberFormat="1" applyFont="1" applyFill="1" applyBorder="1" applyAlignment="1">
      <alignment horizontal="right"/>
    </xf>
    <xf numFmtId="3" fontId="2" fillId="4" borderId="50" xfId="0" applyNumberFormat="1" applyFont="1" applyFill="1" applyBorder="1" applyAlignment="1">
      <alignment horizontal="right"/>
    </xf>
    <xf numFmtId="3" fontId="2" fillId="4" borderId="51" xfId="0" applyNumberFormat="1" applyFont="1" applyFill="1" applyBorder="1" applyAlignment="1">
      <alignment horizontal="right"/>
    </xf>
    <xf numFmtId="3" fontId="2" fillId="2" borderId="6" xfId="2" applyNumberFormat="1" applyFont="1" applyFill="1" applyBorder="1" applyAlignment="1">
      <alignment horizontal="center"/>
    </xf>
    <xf numFmtId="3" fontId="2" fillId="2" borderId="6" xfId="2" applyNumberFormat="1" applyFont="1" applyFill="1" applyBorder="1" applyAlignment="1">
      <alignment horizontal="center" vertical="center"/>
    </xf>
    <xf numFmtId="1" fontId="2" fillId="2" borderId="5" xfId="2" applyNumberFormat="1" applyFont="1" applyFill="1" applyBorder="1" applyAlignment="1">
      <alignment horizontal="right" vertical="center"/>
    </xf>
    <xf numFmtId="3" fontId="2" fillId="2" borderId="58" xfId="2" applyNumberFormat="1" applyFont="1" applyFill="1" applyBorder="1" applyAlignment="1">
      <alignment horizontal="center" vertical="center"/>
    </xf>
    <xf numFmtId="3" fontId="2" fillId="2" borderId="58" xfId="2" applyNumberFormat="1" applyFont="1" applyFill="1" applyBorder="1" applyAlignment="1">
      <alignment horizontal="right" vertical="center"/>
    </xf>
    <xf numFmtId="3" fontId="2" fillId="2" borderId="58" xfId="0" applyNumberFormat="1" applyFont="1" applyFill="1" applyBorder="1" applyAlignment="1">
      <alignment horizontal="center"/>
    </xf>
    <xf numFmtId="3" fontId="2" fillId="2" borderId="58" xfId="0" applyNumberFormat="1" applyFont="1" applyFill="1" applyBorder="1" applyAlignment="1"/>
    <xf numFmtId="3" fontId="2" fillId="0" borderId="5" xfId="2" applyNumberFormat="1" applyFont="1" applyFill="1" applyBorder="1" applyAlignment="1">
      <alignment horizontal="center" vertical="center"/>
    </xf>
    <xf numFmtId="3" fontId="2" fillId="0" borderId="40" xfId="0" applyNumberFormat="1" applyFont="1" applyFill="1" applyBorder="1" applyAlignment="1">
      <alignment horizontal="right"/>
    </xf>
    <xf numFmtId="3" fontId="5" fillId="2" borderId="64" xfId="0" applyNumberFormat="1" applyFont="1" applyFill="1" applyBorder="1" applyAlignment="1">
      <alignment horizontal="center" vertical="center"/>
    </xf>
    <xf numFmtId="1" fontId="2" fillId="2" borderId="25" xfId="2" applyNumberFormat="1" applyFont="1" applyFill="1" applyBorder="1" applyAlignment="1">
      <alignment horizontal="right" vertical="center"/>
    </xf>
    <xf numFmtId="3" fontId="5" fillId="2" borderId="25" xfId="0" applyNumberFormat="1" applyFont="1" applyFill="1" applyBorder="1" applyAlignment="1">
      <alignment horizontal="center" vertical="center"/>
    </xf>
    <xf numFmtId="3" fontId="5" fillId="2" borderId="24" xfId="0" applyNumberFormat="1" applyFont="1" applyFill="1" applyBorder="1" applyAlignment="1">
      <alignment horizontal="center" vertical="center"/>
    </xf>
    <xf numFmtId="3" fontId="2" fillId="2" borderId="12" xfId="1" applyNumberFormat="1" applyFont="1" applyFill="1" applyBorder="1" applyAlignment="1">
      <alignment horizontal="center" vertical="center"/>
    </xf>
    <xf numFmtId="3" fontId="2" fillId="2" borderId="24" xfId="1" applyNumberFormat="1" applyFont="1" applyFill="1" applyBorder="1" applyAlignment="1">
      <alignment horizontal="center" vertical="center"/>
    </xf>
    <xf numFmtId="3" fontId="2" fillId="2" borderId="64" xfId="1" applyNumberFormat="1" applyFont="1" applyFill="1" applyBorder="1" applyAlignment="1">
      <alignment horizontal="center" vertical="center"/>
    </xf>
    <xf numFmtId="1" fontId="2" fillId="2" borderId="24" xfId="2" applyNumberFormat="1" applyFont="1" applyFill="1" applyBorder="1" applyAlignment="1">
      <alignment horizontal="center" vertical="center"/>
    </xf>
    <xf numFmtId="1" fontId="2" fillId="2" borderId="64" xfId="2" applyNumberFormat="1" applyFont="1" applyFill="1" applyBorder="1" applyAlignment="1">
      <alignment horizontal="center" vertical="center"/>
    </xf>
    <xf numFmtId="1" fontId="2" fillId="2" borderId="25" xfId="2" applyNumberFormat="1" applyFont="1" applyFill="1" applyBorder="1" applyAlignment="1">
      <alignment horizontal="center" vertical="center"/>
    </xf>
    <xf numFmtId="3" fontId="5" fillId="2" borderId="67" xfId="0" applyNumberFormat="1" applyFont="1" applyFill="1" applyBorder="1" applyAlignment="1">
      <alignment horizontal="center" vertical="center"/>
    </xf>
    <xf numFmtId="3" fontId="2" fillId="2" borderId="64" xfId="0" applyNumberFormat="1" applyFont="1" applyFill="1" applyBorder="1" applyAlignment="1"/>
    <xf numFmtId="16" fontId="5" fillId="0" borderId="36" xfId="0" applyNumberFormat="1" applyFont="1" applyFill="1" applyBorder="1" applyAlignment="1">
      <alignment horizontal="center"/>
    </xf>
    <xf numFmtId="1" fontId="2" fillId="2" borderId="5" xfId="2" applyNumberFormat="1" applyFont="1" applyFill="1" applyBorder="1" applyAlignment="1">
      <alignment horizontal="center" vertical="center"/>
    </xf>
    <xf numFmtId="1" fontId="2" fillId="2" borderId="18" xfId="2" applyNumberFormat="1" applyFont="1" applyFill="1" applyBorder="1" applyAlignment="1">
      <alignment horizontal="center" vertical="center"/>
    </xf>
    <xf numFmtId="1" fontId="2" fillId="2" borderId="19" xfId="2" applyNumberFormat="1" applyFont="1" applyFill="1" applyBorder="1" applyAlignment="1">
      <alignment horizontal="center" vertical="center"/>
    </xf>
    <xf numFmtId="16" fontId="5" fillId="2" borderId="8" xfId="0" applyNumberFormat="1" applyFont="1" applyFill="1" applyBorder="1" applyAlignment="1">
      <alignment horizontal="center" vertical="center"/>
    </xf>
    <xf numFmtId="1" fontId="2" fillId="2" borderId="19" xfId="2" applyNumberFormat="1" applyFont="1" applyFill="1" applyBorder="1" applyAlignment="1">
      <alignment horizontal="right" vertical="center"/>
    </xf>
    <xf numFmtId="3" fontId="5" fillId="2" borderId="18" xfId="0" applyNumberFormat="1" applyFont="1" applyFill="1" applyBorder="1" applyAlignment="1">
      <alignment horizontal="center" vertical="center"/>
    </xf>
    <xf numFmtId="3" fontId="5" fillId="2" borderId="19" xfId="0" applyNumberFormat="1" applyFont="1" applyFill="1" applyBorder="1" applyAlignment="1">
      <alignment horizontal="center" vertical="center"/>
    </xf>
    <xf numFmtId="3" fontId="5" fillId="2" borderId="7" xfId="0" applyNumberFormat="1" applyFont="1" applyFill="1" applyBorder="1" applyAlignment="1">
      <alignment horizontal="center" vertical="center"/>
    </xf>
    <xf numFmtId="16" fontId="5" fillId="0" borderId="33" xfId="0" applyNumberFormat="1" applyFont="1" applyFill="1" applyBorder="1" applyAlignment="1">
      <alignment horizontal="center"/>
    </xf>
    <xf numFmtId="16" fontId="5" fillId="3" borderId="33" xfId="0" applyNumberFormat="1" applyFont="1" applyFill="1" applyBorder="1" applyAlignment="1">
      <alignment horizontal="center"/>
    </xf>
    <xf numFmtId="3" fontId="2" fillId="2" borderId="19" xfId="1" applyNumberFormat="1" applyFont="1" applyFill="1" applyBorder="1" applyAlignment="1">
      <alignment horizontal="right" vertical="center"/>
    </xf>
    <xf numFmtId="3" fontId="2" fillId="2" borderId="17" xfId="1" applyNumberFormat="1" applyFont="1" applyFill="1" applyBorder="1" applyAlignment="1">
      <alignment horizontal="right" vertical="center"/>
    </xf>
    <xf numFmtId="3" fontId="2" fillId="2" borderId="24" xfId="2" applyNumberFormat="1" applyFont="1" applyFill="1" applyBorder="1" applyAlignment="1">
      <alignment horizontal="center"/>
    </xf>
    <xf numFmtId="3" fontId="2" fillId="2" borderId="25" xfId="2" applyNumberFormat="1" applyFont="1" applyFill="1" applyBorder="1" applyAlignment="1">
      <alignment horizontal="right" vertical="center"/>
    </xf>
    <xf numFmtId="3" fontId="3" fillId="4" borderId="13" xfId="0" applyNumberFormat="1" applyFont="1" applyFill="1" applyBorder="1" applyAlignment="1">
      <alignment horizontal="center"/>
    </xf>
    <xf numFmtId="3" fontId="2" fillId="2" borderId="33" xfId="0" applyNumberFormat="1" applyFont="1" applyFill="1" applyBorder="1" applyAlignment="1">
      <alignment horizontal="right"/>
    </xf>
    <xf numFmtId="3" fontId="5" fillId="3" borderId="5" xfId="3" applyNumberFormat="1" applyFont="1" applyFill="1" applyBorder="1" applyAlignment="1">
      <alignment horizontal="right" vertical="center" wrapText="1"/>
    </xf>
    <xf numFmtId="3" fontId="5" fillId="3" borderId="5" xfId="3" applyNumberFormat="1" applyFont="1" applyFill="1" applyBorder="1" applyAlignment="1">
      <alignment horizontal="right"/>
    </xf>
    <xf numFmtId="3" fontId="5" fillId="0" borderId="5" xfId="3" applyNumberFormat="1" applyFont="1" applyBorder="1" applyAlignment="1">
      <alignment horizontal="right"/>
    </xf>
    <xf numFmtId="3" fontId="5" fillId="5" borderId="5" xfId="3" applyNumberFormat="1" applyFont="1" applyFill="1" applyBorder="1" applyAlignment="1">
      <alignment horizontal="right" vertical="center" wrapText="1"/>
    </xf>
    <xf numFmtId="3" fontId="5" fillId="5" borderId="5" xfId="3" applyNumberFormat="1" applyFont="1" applyFill="1" applyBorder="1" applyAlignment="1">
      <alignment horizontal="right"/>
    </xf>
    <xf numFmtId="9" fontId="5" fillId="0" borderId="5" xfId="3" applyNumberFormat="1" applyFont="1" applyBorder="1"/>
    <xf numFmtId="3" fontId="5" fillId="0" borderId="5" xfId="3" applyNumberFormat="1" applyFont="1" applyBorder="1"/>
    <xf numFmtId="3" fontId="2" fillId="2" borderId="13" xfId="0" applyNumberFormat="1" applyFont="1" applyFill="1" applyBorder="1" applyAlignment="1">
      <alignment horizontal="right"/>
    </xf>
    <xf numFmtId="3" fontId="2" fillId="2" borderId="13" xfId="0" applyNumberFormat="1" applyFont="1" applyFill="1" applyBorder="1" applyAlignment="1"/>
    <xf numFmtId="3" fontId="2" fillId="2" borderId="5" xfId="2" applyNumberFormat="1" applyFont="1" applyFill="1" applyBorder="1" applyAlignment="1">
      <alignment horizontal="center"/>
    </xf>
    <xf numFmtId="3" fontId="2" fillId="2" borderId="5" xfId="2" applyNumberFormat="1" applyFont="1" applyFill="1" applyBorder="1" applyAlignment="1">
      <alignment horizontal="right"/>
    </xf>
    <xf numFmtId="3" fontId="2" fillId="2" borderId="5" xfId="2" applyNumberFormat="1" applyFont="1" applyFill="1" applyBorder="1" applyAlignment="1">
      <alignment horizontal="center" vertical="center"/>
    </xf>
    <xf numFmtId="3" fontId="2" fillId="2" borderId="5" xfId="2" applyNumberFormat="1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right"/>
    </xf>
    <xf numFmtId="3" fontId="2" fillId="2" borderId="5" xfId="0" applyNumberFormat="1" applyFont="1" applyFill="1" applyBorder="1" applyAlignment="1"/>
    <xf numFmtId="3" fontId="2" fillId="2" borderId="13" xfId="2" applyNumberFormat="1" applyFont="1" applyFill="1" applyBorder="1" applyAlignment="1">
      <alignment horizontal="center" vertical="center"/>
    </xf>
    <xf numFmtId="3" fontId="2" fillId="2" borderId="13" xfId="2" applyNumberFormat="1" applyFont="1" applyFill="1" applyBorder="1" applyAlignment="1">
      <alignment horizontal="right" vertical="center"/>
    </xf>
    <xf numFmtId="3" fontId="2" fillId="2" borderId="64" xfId="2" applyNumberFormat="1" applyFont="1" applyFill="1" applyBorder="1" applyAlignment="1">
      <alignment horizontal="center" vertical="center"/>
    </xf>
    <xf numFmtId="3" fontId="2" fillId="2" borderId="64" xfId="2" applyNumberFormat="1" applyFont="1" applyFill="1" applyBorder="1" applyAlignment="1">
      <alignment horizontal="right" vertical="center"/>
    </xf>
    <xf numFmtId="3" fontId="2" fillId="2" borderId="5" xfId="2" applyNumberFormat="1" applyFont="1" applyFill="1" applyBorder="1" applyAlignment="1"/>
    <xf numFmtId="3" fontId="2" fillId="0" borderId="5" xfId="2" applyNumberFormat="1" applyFont="1" applyFill="1" applyBorder="1" applyAlignment="1">
      <alignment horizontal="right" vertical="center"/>
    </xf>
    <xf numFmtId="3" fontId="2" fillId="2" borderId="64" xfId="0" applyNumberFormat="1" applyFont="1" applyFill="1" applyBorder="1" applyAlignment="1">
      <alignment horizontal="center"/>
    </xf>
    <xf numFmtId="3" fontId="2" fillId="2" borderId="64" xfId="2" applyNumberFormat="1" applyFont="1" applyFill="1" applyBorder="1" applyAlignment="1">
      <alignment horizontal="center"/>
    </xf>
    <xf numFmtId="3" fontId="2" fillId="2" borderId="64" xfId="2" applyNumberFormat="1" applyFont="1" applyFill="1" applyBorder="1" applyAlignment="1">
      <alignment horizontal="right"/>
    </xf>
    <xf numFmtId="3" fontId="2" fillId="2" borderId="64" xfId="0" applyNumberFormat="1" applyFont="1" applyFill="1" applyBorder="1" applyAlignment="1">
      <alignment horizontal="right"/>
    </xf>
    <xf numFmtId="0" fontId="2" fillId="4" borderId="21" xfId="0" applyFont="1" applyFill="1" applyBorder="1" applyAlignment="1">
      <alignment horizontal="center"/>
    </xf>
    <xf numFmtId="0" fontId="2" fillId="4" borderId="69" xfId="0" applyFont="1" applyFill="1" applyBorder="1" applyAlignment="1">
      <alignment horizontal="center"/>
    </xf>
    <xf numFmtId="16" fontId="5" fillId="2" borderId="51" xfId="0" applyNumberFormat="1" applyFont="1" applyFill="1" applyBorder="1" applyAlignment="1">
      <alignment horizontal="center" vertical="center"/>
    </xf>
    <xf numFmtId="3" fontId="5" fillId="2" borderId="16" xfId="0" applyNumberFormat="1" applyFont="1" applyFill="1" applyBorder="1" applyAlignment="1">
      <alignment horizontal="center" vertical="center"/>
    </xf>
    <xf numFmtId="3" fontId="5" fillId="2" borderId="57" xfId="0" applyNumberFormat="1" applyFont="1" applyFill="1" applyBorder="1" applyAlignment="1">
      <alignment horizontal="center" vertical="center"/>
    </xf>
    <xf numFmtId="3" fontId="5" fillId="2" borderId="60" xfId="0" applyNumberFormat="1" applyFont="1" applyFill="1" applyBorder="1" applyAlignment="1">
      <alignment horizontal="center" vertical="center"/>
    </xf>
    <xf numFmtId="2" fontId="30" fillId="0" borderId="0" xfId="0" applyNumberFormat="1" applyFont="1" applyFill="1" applyAlignment="1">
      <alignment horizontal="center"/>
    </xf>
    <xf numFmtId="3" fontId="2" fillId="0" borderId="18" xfId="1" applyNumberFormat="1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/>
    </xf>
    <xf numFmtId="3" fontId="2" fillId="0" borderId="5" xfId="0" applyNumberFormat="1" applyFont="1" applyFill="1" applyBorder="1" applyAlignment="1">
      <alignment horizontal="right"/>
    </xf>
    <xf numFmtId="3" fontId="2" fillId="3" borderId="5" xfId="2" applyNumberFormat="1" applyFont="1" applyFill="1" applyBorder="1" applyAlignment="1">
      <alignment horizontal="center" vertical="center"/>
    </xf>
    <xf numFmtId="3" fontId="2" fillId="3" borderId="5" xfId="2" applyNumberFormat="1" applyFont="1" applyFill="1" applyBorder="1" applyAlignment="1">
      <alignment horizontal="right"/>
    </xf>
    <xf numFmtId="3" fontId="2" fillId="0" borderId="13" xfId="2" applyNumberFormat="1" applyFont="1" applyFill="1" applyBorder="1" applyAlignment="1">
      <alignment horizontal="right" vertical="center"/>
    </xf>
    <xf numFmtId="3" fontId="5" fillId="0" borderId="5" xfId="0" applyNumberFormat="1" applyFont="1" applyFill="1" applyBorder="1" applyAlignment="1">
      <alignment horizontal="center" vertical="center"/>
    </xf>
    <xf numFmtId="167" fontId="2" fillId="0" borderId="5" xfId="2" applyNumberFormat="1" applyFont="1" applyFill="1" applyBorder="1" applyAlignment="1">
      <alignment horizontal="center" vertical="center"/>
    </xf>
    <xf numFmtId="3" fontId="2" fillId="0" borderId="58" xfId="2" applyNumberFormat="1" applyFont="1" applyFill="1" applyBorder="1" applyAlignment="1">
      <alignment horizontal="right"/>
    </xf>
    <xf numFmtId="3" fontId="2" fillId="0" borderId="58" xfId="1" applyNumberFormat="1" applyFont="1" applyFill="1" applyBorder="1" applyAlignment="1">
      <alignment horizontal="center" vertical="center"/>
    </xf>
    <xf numFmtId="3" fontId="2" fillId="0" borderId="58" xfId="1" applyNumberFormat="1" applyFont="1" applyFill="1" applyBorder="1" applyAlignment="1">
      <alignment horizontal="right" vertical="center"/>
    </xf>
    <xf numFmtId="3" fontId="2" fillId="0" borderId="5" xfId="0" applyNumberFormat="1" applyFont="1" applyFill="1" applyBorder="1" applyAlignment="1"/>
    <xf numFmtId="168" fontId="2" fillId="0" borderId="5" xfId="2" applyNumberFormat="1" applyFont="1" applyFill="1" applyBorder="1" applyAlignment="1">
      <alignment horizontal="center" vertical="center"/>
    </xf>
    <xf numFmtId="3" fontId="2" fillId="0" borderId="16" xfId="2" applyNumberFormat="1" applyFont="1" applyFill="1" applyBorder="1" applyAlignment="1">
      <alignment horizontal="right" vertical="center"/>
    </xf>
    <xf numFmtId="168" fontId="2" fillId="2" borderId="58" xfId="2" applyNumberFormat="1" applyFont="1" applyFill="1" applyBorder="1" applyAlignment="1">
      <alignment horizontal="center" vertical="center"/>
    </xf>
    <xf numFmtId="3" fontId="2" fillId="2" borderId="58" xfId="0" applyNumberFormat="1" applyFont="1" applyFill="1" applyBorder="1" applyAlignment="1">
      <alignment horizontal="right"/>
    </xf>
    <xf numFmtId="3" fontId="2" fillId="0" borderId="15" xfId="1" applyNumberFormat="1" applyFont="1" applyFill="1" applyBorder="1" applyAlignment="1">
      <alignment horizontal="center" vertical="center"/>
    </xf>
    <xf numFmtId="0" fontId="0" fillId="0" borderId="0" xfId="0" applyBorder="1" applyAlignment="1"/>
    <xf numFmtId="169" fontId="15" fillId="5" borderId="0" xfId="3" applyNumberFormat="1" applyFont="1" applyFill="1" applyAlignment="1">
      <alignment horizontal="center" vertical="center"/>
    </xf>
    <xf numFmtId="3" fontId="3" fillId="2" borderId="5" xfId="0" applyNumberFormat="1" applyFont="1" applyFill="1" applyBorder="1" applyAlignment="1">
      <alignment horizontal="center"/>
    </xf>
    <xf numFmtId="3" fontId="2" fillId="0" borderId="6" xfId="1" applyNumberFormat="1" applyFont="1" applyFill="1" applyBorder="1" applyAlignment="1">
      <alignment horizontal="center" vertical="center"/>
    </xf>
    <xf numFmtId="3" fontId="2" fillId="0" borderId="18" xfId="1" applyNumberFormat="1" applyFont="1" applyFill="1" applyBorder="1" applyAlignment="1">
      <alignment horizontal="left" vertical="center"/>
    </xf>
    <xf numFmtId="16" fontId="5" fillId="2" borderId="33" xfId="0" applyNumberFormat="1" applyFont="1" applyFill="1" applyBorder="1" applyAlignment="1">
      <alignment horizontal="center"/>
    </xf>
    <xf numFmtId="167" fontId="2" fillId="2" borderId="5" xfId="2" applyNumberFormat="1" applyFont="1" applyFill="1" applyBorder="1" applyAlignment="1">
      <alignment horizontal="right" vertical="center"/>
    </xf>
    <xf numFmtId="167" fontId="2" fillId="2" borderId="64" xfId="2" applyNumberFormat="1" applyFont="1" applyFill="1" applyBorder="1" applyAlignment="1">
      <alignment horizontal="center" vertical="center"/>
    </xf>
    <xf numFmtId="167" fontId="2" fillId="2" borderId="13" xfId="2" applyNumberFormat="1" applyFont="1" applyFill="1" applyBorder="1" applyAlignment="1">
      <alignment horizontal="right" vertical="center"/>
    </xf>
    <xf numFmtId="167" fontId="2" fillId="2" borderId="13" xfId="0" applyNumberFormat="1" applyFont="1" applyFill="1" applyBorder="1" applyAlignment="1">
      <alignment horizontal="center"/>
    </xf>
    <xf numFmtId="167" fontId="2" fillId="2" borderId="13" xfId="0" applyNumberFormat="1" applyFont="1" applyFill="1" applyBorder="1" applyAlignment="1"/>
    <xf numFmtId="167" fontId="2" fillId="2" borderId="13" xfId="2" applyNumberFormat="1" applyFont="1" applyFill="1" applyBorder="1" applyAlignment="1">
      <alignment horizontal="center"/>
    </xf>
    <xf numFmtId="167" fontId="2" fillId="2" borderId="13" xfId="2" applyNumberFormat="1" applyFont="1" applyFill="1" applyBorder="1" applyAlignment="1">
      <alignment horizontal="right"/>
    </xf>
    <xf numFmtId="167" fontId="2" fillId="2" borderId="64" xfId="2" applyNumberFormat="1" applyFont="1" applyFill="1" applyBorder="1" applyAlignment="1">
      <alignment horizontal="right" vertical="center"/>
    </xf>
    <xf numFmtId="167" fontId="2" fillId="2" borderId="64" xfId="0" applyNumberFormat="1" applyFont="1" applyFill="1" applyBorder="1" applyAlignment="1">
      <alignment horizontal="center"/>
    </xf>
    <xf numFmtId="167" fontId="2" fillId="2" borderId="64" xfId="0" applyNumberFormat="1" applyFont="1" applyFill="1" applyBorder="1" applyAlignment="1"/>
    <xf numFmtId="167" fontId="2" fillId="2" borderId="64" xfId="2" applyNumberFormat="1" applyFont="1" applyFill="1" applyBorder="1" applyAlignment="1">
      <alignment horizontal="center"/>
    </xf>
    <xf numFmtId="167" fontId="2" fillId="2" borderId="64" xfId="2" applyNumberFormat="1" applyFont="1" applyFill="1" applyBorder="1" applyAlignment="1">
      <alignment horizontal="right"/>
    </xf>
    <xf numFmtId="167" fontId="2" fillId="2" borderId="5" xfId="2" applyNumberFormat="1" applyFont="1" applyFill="1" applyBorder="1" applyAlignment="1">
      <alignment horizontal="center"/>
    </xf>
    <xf numFmtId="167" fontId="2" fillId="2" borderId="5" xfId="2" applyNumberFormat="1" applyFont="1" applyFill="1" applyBorder="1" applyAlignment="1">
      <alignment horizontal="right"/>
    </xf>
    <xf numFmtId="167" fontId="2" fillId="2" borderId="5" xfId="0" applyNumberFormat="1" applyFont="1" applyFill="1" applyBorder="1" applyAlignment="1">
      <alignment horizontal="center"/>
    </xf>
    <xf numFmtId="167" fontId="2" fillId="2" borderId="5" xfId="0" applyNumberFormat="1" applyFont="1" applyFill="1" applyBorder="1" applyAlignment="1"/>
    <xf numFmtId="167" fontId="2" fillId="2" borderId="5" xfId="1" applyNumberFormat="1" applyFont="1" applyFill="1" applyBorder="1" applyAlignment="1">
      <alignment horizontal="right" vertical="center"/>
    </xf>
    <xf numFmtId="167" fontId="2" fillId="0" borderId="5" xfId="2" applyNumberFormat="1" applyFont="1" applyFill="1" applyBorder="1" applyAlignment="1">
      <alignment horizontal="center"/>
    </xf>
    <xf numFmtId="167" fontId="2" fillId="0" borderId="5" xfId="2" applyNumberFormat="1" applyFont="1" applyFill="1" applyBorder="1" applyAlignment="1">
      <alignment horizontal="right"/>
    </xf>
    <xf numFmtId="167" fontId="2" fillId="2" borderId="16" xfId="2" applyNumberFormat="1" applyFont="1" applyFill="1" applyBorder="1" applyAlignment="1">
      <alignment horizontal="center"/>
    </xf>
    <xf numFmtId="167" fontId="2" fillId="2" borderId="16" xfId="2" applyNumberFormat="1" applyFont="1" applyFill="1" applyBorder="1" applyAlignment="1">
      <alignment horizontal="right"/>
    </xf>
    <xf numFmtId="167" fontId="2" fillId="2" borderId="13" xfId="2" applyNumberFormat="1" applyFont="1" applyFill="1" applyBorder="1" applyAlignment="1">
      <alignment horizontal="center" vertical="center"/>
    </xf>
    <xf numFmtId="3" fontId="2" fillId="3" borderId="7" xfId="2" applyNumberFormat="1" applyFont="1" applyFill="1" applyBorder="1" applyAlignment="1">
      <alignment horizontal="right" vertical="center"/>
    </xf>
    <xf numFmtId="3" fontId="2" fillId="2" borderId="7" xfId="2" applyNumberFormat="1" applyFont="1" applyFill="1" applyBorder="1" applyAlignment="1">
      <alignment horizontal="right" vertical="center"/>
    </xf>
    <xf numFmtId="3" fontId="2" fillId="2" borderId="7" xfId="2" applyNumberFormat="1" applyFont="1" applyFill="1" applyBorder="1" applyAlignment="1">
      <alignment horizontal="right"/>
    </xf>
    <xf numFmtId="3" fontId="2" fillId="2" borderId="12" xfId="2" applyNumberFormat="1" applyFont="1" applyFill="1" applyBorder="1" applyAlignment="1">
      <alignment horizontal="center" vertical="center"/>
    </xf>
    <xf numFmtId="3" fontId="2" fillId="2" borderId="15" xfId="2" applyNumberFormat="1" applyFont="1" applyFill="1" applyBorder="1" applyAlignment="1">
      <alignment horizontal="center" vertical="center"/>
    </xf>
    <xf numFmtId="3" fontId="2" fillId="2" borderId="22" xfId="2" applyNumberFormat="1" applyFont="1" applyFill="1" applyBorder="1" applyAlignment="1">
      <alignment horizontal="right" vertical="center"/>
    </xf>
    <xf numFmtId="3" fontId="2" fillId="2" borderId="23" xfId="2" applyNumberFormat="1" applyFont="1" applyFill="1" applyBorder="1" applyAlignment="1">
      <alignment horizontal="right" vertical="center"/>
    </xf>
    <xf numFmtId="3" fontId="2" fillId="2" borderId="22" xfId="1" applyNumberFormat="1" applyFont="1" applyFill="1" applyBorder="1" applyAlignment="1">
      <alignment horizontal="right" vertical="center"/>
    </xf>
    <xf numFmtId="3" fontId="2" fillId="2" borderId="67" xfId="1" applyNumberFormat="1" applyFont="1" applyFill="1" applyBorder="1" applyAlignment="1">
      <alignment horizontal="right" vertical="center"/>
    </xf>
    <xf numFmtId="3" fontId="2" fillId="2" borderId="23" xfId="1" applyNumberFormat="1" applyFont="1" applyFill="1" applyBorder="1" applyAlignment="1">
      <alignment horizontal="right" vertical="center"/>
    </xf>
    <xf numFmtId="3" fontId="2" fillId="2" borderId="14" xfId="1" applyNumberFormat="1" applyFont="1" applyFill="1" applyBorder="1" applyAlignment="1">
      <alignment horizontal="right" vertical="center"/>
    </xf>
    <xf numFmtId="3" fontId="2" fillId="2" borderId="15" xfId="2" applyNumberFormat="1" applyFont="1" applyFill="1" applyBorder="1" applyAlignment="1">
      <alignment horizontal="center"/>
    </xf>
    <xf numFmtId="3" fontId="2" fillId="2" borderId="14" xfId="2" applyNumberFormat="1" applyFont="1" applyFill="1" applyBorder="1" applyAlignment="1">
      <alignment horizontal="center" vertical="center"/>
    </xf>
    <xf numFmtId="3" fontId="2" fillId="2" borderId="19" xfId="2" applyNumberFormat="1" applyFont="1" applyFill="1" applyBorder="1" applyAlignment="1">
      <alignment horizontal="center" vertical="center"/>
    </xf>
    <xf numFmtId="3" fontId="2" fillId="0" borderId="19" xfId="2" applyNumberFormat="1" applyFont="1" applyFill="1" applyBorder="1" applyAlignment="1">
      <alignment horizontal="center" vertical="center"/>
    </xf>
    <xf numFmtId="3" fontId="2" fillId="2" borderId="34" xfId="2" applyNumberFormat="1" applyFont="1" applyFill="1" applyBorder="1" applyAlignment="1">
      <alignment horizontal="center"/>
    </xf>
    <xf numFmtId="3" fontId="2" fillId="2" borderId="6" xfId="2" applyNumberFormat="1" applyFont="1" applyFill="1" applyBorder="1" applyAlignment="1">
      <alignment horizontal="right"/>
    </xf>
    <xf numFmtId="3" fontId="2" fillId="2" borderId="35" xfId="2" applyNumberFormat="1" applyFont="1" applyFill="1" applyBorder="1" applyAlignment="1">
      <alignment horizontal="center"/>
    </xf>
    <xf numFmtId="3" fontId="2" fillId="2" borderId="14" xfId="2" applyNumberFormat="1" applyFont="1" applyFill="1" applyBorder="1" applyAlignment="1">
      <alignment horizontal="right"/>
    </xf>
    <xf numFmtId="3" fontId="2" fillId="2" borderId="19" xfId="2" applyNumberFormat="1" applyFont="1" applyFill="1" applyBorder="1" applyAlignment="1">
      <alignment horizontal="right"/>
    </xf>
    <xf numFmtId="3" fontId="2" fillId="0" borderId="19" xfId="2" applyNumberFormat="1" applyFont="1" applyFill="1" applyBorder="1" applyAlignment="1">
      <alignment horizontal="right"/>
    </xf>
    <xf numFmtId="3" fontId="2" fillId="2" borderId="17" xfId="2" applyNumberFormat="1" applyFont="1" applyFill="1" applyBorder="1" applyAlignment="1">
      <alignment horizontal="right"/>
    </xf>
    <xf numFmtId="1" fontId="2" fillId="0" borderId="20" xfId="2" applyNumberFormat="1" applyFont="1" applyFill="1" applyBorder="1" applyAlignment="1">
      <alignment horizontal="center" vertical="center"/>
    </xf>
    <xf numFmtId="1" fontId="2" fillId="0" borderId="2" xfId="2" applyNumberFormat="1" applyFont="1" applyFill="1" applyBorder="1" applyAlignment="1">
      <alignment horizontal="center" vertical="center"/>
    </xf>
    <xf numFmtId="1" fontId="2" fillId="0" borderId="21" xfId="2" applyNumberFormat="1" applyFont="1" applyFill="1" applyBorder="1" applyAlignment="1">
      <alignment horizontal="center" vertical="center"/>
    </xf>
    <xf numFmtId="1" fontId="2" fillId="4" borderId="47" xfId="0" applyNumberFormat="1" applyFont="1" applyFill="1" applyBorder="1" applyAlignment="1">
      <alignment horizontal="right" vertical="center"/>
    </xf>
    <xf numFmtId="1" fontId="2" fillId="4" borderId="48" xfId="0" applyNumberFormat="1" applyFont="1" applyFill="1" applyBorder="1" applyAlignment="1">
      <alignment horizontal="right" vertical="center"/>
    </xf>
    <xf numFmtId="1" fontId="2" fillId="4" borderId="49" xfId="0" applyNumberFormat="1" applyFont="1" applyFill="1" applyBorder="1" applyAlignment="1">
      <alignment horizontal="right" vertical="center"/>
    </xf>
    <xf numFmtId="3" fontId="2" fillId="3" borderId="5" xfId="2" applyNumberFormat="1" applyFont="1" applyFill="1" applyBorder="1" applyAlignment="1">
      <alignment horizontal="center"/>
    </xf>
    <xf numFmtId="3" fontId="2" fillId="3" borderId="5" xfId="2" applyNumberFormat="1" applyFont="1" applyFill="1" applyBorder="1" applyAlignment="1">
      <alignment horizontal="right" vertical="center"/>
    </xf>
    <xf numFmtId="3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right"/>
    </xf>
    <xf numFmtId="1" fontId="2" fillId="3" borderId="19" xfId="2" applyNumberFormat="1" applyFont="1" applyFill="1" applyBorder="1" applyAlignment="1">
      <alignment horizontal="right" vertical="center"/>
    </xf>
    <xf numFmtId="3" fontId="5" fillId="3" borderId="18" xfId="0" applyNumberFormat="1" applyFont="1" applyFill="1" applyBorder="1" applyAlignment="1">
      <alignment horizontal="center" vertical="center"/>
    </xf>
    <xf numFmtId="3" fontId="5" fillId="3" borderId="19" xfId="0" applyNumberFormat="1" applyFont="1" applyFill="1" applyBorder="1" applyAlignment="1">
      <alignment horizontal="center" vertical="center"/>
    </xf>
    <xf numFmtId="3" fontId="2" fillId="3" borderId="18" xfId="1" applyNumberFormat="1" applyFont="1" applyFill="1" applyBorder="1" applyAlignment="1">
      <alignment horizontal="center" vertical="center"/>
    </xf>
    <xf numFmtId="3" fontId="2" fillId="3" borderId="19" xfId="1" applyNumberFormat="1" applyFont="1" applyFill="1" applyBorder="1" applyAlignment="1">
      <alignment horizontal="right" vertical="center"/>
    </xf>
    <xf numFmtId="3" fontId="2" fillId="3" borderId="5" xfId="0" applyNumberFormat="1" applyFont="1" applyFill="1" applyBorder="1" applyAlignment="1"/>
    <xf numFmtId="1" fontId="2" fillId="3" borderId="19" xfId="2" applyNumberFormat="1" applyFont="1" applyFill="1" applyBorder="1" applyAlignment="1">
      <alignment horizontal="center" vertical="center"/>
    </xf>
    <xf numFmtId="3" fontId="2" fillId="3" borderId="58" xfId="2" applyNumberFormat="1" applyFont="1" applyFill="1" applyBorder="1" applyAlignment="1">
      <alignment horizontal="right"/>
    </xf>
    <xf numFmtId="3" fontId="2" fillId="3" borderId="58" xfId="1" applyNumberFormat="1" applyFont="1" applyFill="1" applyBorder="1" applyAlignment="1">
      <alignment horizontal="center" vertical="center"/>
    </xf>
    <xf numFmtId="3" fontId="2" fillId="3" borderId="58" xfId="1" applyNumberFormat="1" applyFont="1" applyFill="1" applyBorder="1" applyAlignment="1">
      <alignment horizontal="right" vertical="center"/>
    </xf>
    <xf numFmtId="3" fontId="5" fillId="3" borderId="5" xfId="0" applyNumberFormat="1" applyFont="1" applyFill="1" applyBorder="1" applyAlignment="1">
      <alignment horizontal="center" vertical="center"/>
    </xf>
    <xf numFmtId="3" fontId="5" fillId="3" borderId="24" xfId="0" applyNumberFormat="1" applyFont="1" applyFill="1" applyBorder="1" applyAlignment="1">
      <alignment horizontal="center" vertical="center"/>
    </xf>
    <xf numFmtId="3" fontId="5" fillId="3" borderId="64" xfId="0" applyNumberFormat="1" applyFont="1" applyFill="1" applyBorder="1" applyAlignment="1">
      <alignment horizontal="center" vertical="center"/>
    </xf>
    <xf numFmtId="3" fontId="2" fillId="3" borderId="19" xfId="2" applyNumberFormat="1" applyFont="1" applyFill="1" applyBorder="1" applyAlignment="1">
      <alignment horizontal="right"/>
    </xf>
    <xf numFmtId="1" fontId="2" fillId="0" borderId="53" xfId="2" applyNumberFormat="1" applyFont="1" applyFill="1" applyBorder="1" applyAlignment="1">
      <alignment horizontal="right" vertical="center"/>
    </xf>
    <xf numFmtId="3" fontId="2" fillId="0" borderId="39" xfId="0" applyNumberFormat="1" applyFont="1" applyFill="1" applyBorder="1" applyAlignment="1">
      <alignment horizontal="right"/>
    </xf>
    <xf numFmtId="0" fontId="0" fillId="0" borderId="53" xfId="0" applyFill="1" applyBorder="1"/>
    <xf numFmtId="0" fontId="0" fillId="0" borderId="0" xfId="0" applyFill="1"/>
    <xf numFmtId="3" fontId="2" fillId="0" borderId="19" xfId="1" applyNumberFormat="1" applyFont="1" applyFill="1" applyBorder="1" applyAlignment="1">
      <alignment horizontal="right" vertical="center"/>
    </xf>
    <xf numFmtId="3" fontId="2" fillId="0" borderId="18" xfId="2" applyNumberFormat="1" applyFont="1" applyFill="1" applyBorder="1" applyAlignment="1">
      <alignment horizontal="center"/>
    </xf>
    <xf numFmtId="3" fontId="2" fillId="3" borderId="64" xfId="2" applyNumberFormat="1" applyFont="1" applyFill="1" applyBorder="1" applyAlignment="1">
      <alignment horizontal="center"/>
    </xf>
    <xf numFmtId="3" fontId="2" fillId="3" borderId="64" xfId="2" applyNumberFormat="1" applyFont="1" applyFill="1" applyBorder="1" applyAlignment="1">
      <alignment horizontal="right"/>
    </xf>
    <xf numFmtId="1" fontId="2" fillId="3" borderId="25" xfId="2" applyNumberFormat="1" applyFont="1" applyFill="1" applyBorder="1" applyAlignment="1">
      <alignment horizontal="center" vertical="center"/>
    </xf>
    <xf numFmtId="3" fontId="2" fillId="3" borderId="18" xfId="2" applyNumberFormat="1" applyFont="1" applyFill="1" applyBorder="1" applyAlignment="1">
      <alignment horizontal="left"/>
    </xf>
    <xf numFmtId="3" fontId="2" fillId="3" borderId="18" xfId="1" applyNumberFormat="1" applyFont="1" applyFill="1" applyBorder="1" applyAlignment="1">
      <alignment horizontal="left" vertical="center"/>
    </xf>
    <xf numFmtId="3" fontId="2" fillId="3" borderId="18" xfId="1" applyNumberFormat="1" applyFont="1" applyFill="1" applyBorder="1" applyAlignment="1">
      <alignment vertical="center"/>
    </xf>
    <xf numFmtId="3" fontId="2" fillId="10" borderId="39" xfId="0" applyNumberFormat="1" applyFont="1" applyFill="1" applyBorder="1" applyAlignment="1">
      <alignment horizontal="right"/>
    </xf>
    <xf numFmtId="3" fontId="2" fillId="3" borderId="47" xfId="0" applyNumberFormat="1" applyFont="1" applyFill="1" applyBorder="1" applyAlignment="1">
      <alignment horizontal="right"/>
    </xf>
    <xf numFmtId="3" fontId="2" fillId="3" borderId="55" xfId="0" applyNumberFormat="1" applyFont="1" applyFill="1" applyBorder="1" applyAlignment="1">
      <alignment horizontal="right"/>
    </xf>
    <xf numFmtId="3" fontId="2" fillId="3" borderId="1" xfId="0" applyNumberFormat="1" applyFont="1" applyFill="1" applyBorder="1" applyAlignment="1">
      <alignment horizontal="right"/>
    </xf>
    <xf numFmtId="16" fontId="5" fillId="0" borderId="30" xfId="0" applyNumberFormat="1" applyFont="1" applyFill="1" applyBorder="1" applyAlignment="1">
      <alignment horizontal="center" vertical="center"/>
    </xf>
    <xf numFmtId="3" fontId="2" fillId="0" borderId="7" xfId="2" applyNumberFormat="1" applyFont="1" applyFill="1" applyBorder="1" applyAlignment="1">
      <alignment horizontal="right" vertical="center"/>
    </xf>
    <xf numFmtId="3" fontId="2" fillId="0" borderId="18" xfId="2" applyNumberFormat="1" applyFont="1" applyFill="1" applyBorder="1" applyAlignment="1">
      <alignment horizontal="center" vertical="center"/>
    </xf>
    <xf numFmtId="3" fontId="2" fillId="0" borderId="6" xfId="1" applyNumberFormat="1" applyFont="1" applyFill="1" applyBorder="1" applyAlignment="1">
      <alignment horizontal="left" vertical="center"/>
    </xf>
    <xf numFmtId="3" fontId="2" fillId="0" borderId="5" xfId="1" applyNumberFormat="1" applyFont="1" applyFill="1" applyBorder="1" applyAlignment="1">
      <alignment horizontal="left" vertical="center"/>
    </xf>
    <xf numFmtId="3" fontId="2" fillId="3" borderId="5" xfId="0" applyNumberFormat="1" applyFont="1" applyFill="1" applyBorder="1" applyAlignment="1">
      <alignment horizontal="right" vertical="center"/>
    </xf>
    <xf numFmtId="3" fontId="2" fillId="3" borderId="13" xfId="0" applyNumberFormat="1" applyFont="1" applyFill="1" applyBorder="1" applyAlignment="1">
      <alignment horizontal="right" vertical="center"/>
    </xf>
    <xf numFmtId="1" fontId="2" fillId="3" borderId="12" xfId="2" applyNumberFormat="1" applyFont="1" applyFill="1" applyBorder="1" applyAlignment="1">
      <alignment horizontal="center" vertical="center"/>
    </xf>
    <xf numFmtId="1" fontId="2" fillId="3" borderId="13" xfId="2" applyNumberFormat="1" applyFont="1" applyFill="1" applyBorder="1" applyAlignment="1">
      <alignment horizontal="center" vertical="center"/>
    </xf>
    <xf numFmtId="1" fontId="2" fillId="3" borderId="18" xfId="2" applyNumberFormat="1" applyFont="1" applyFill="1" applyBorder="1" applyAlignment="1">
      <alignment horizontal="center" vertical="center"/>
    </xf>
    <xf numFmtId="1" fontId="2" fillId="3" borderId="5" xfId="2" applyNumberFormat="1" applyFont="1" applyFill="1" applyBorder="1" applyAlignment="1">
      <alignment horizontal="center" vertical="center"/>
    </xf>
    <xf numFmtId="3" fontId="2" fillId="0" borderId="12" xfId="1" applyNumberFormat="1" applyFont="1" applyFill="1" applyBorder="1" applyAlignment="1">
      <alignment horizontal="center" vertical="center"/>
    </xf>
    <xf numFmtId="3" fontId="2" fillId="0" borderId="13" xfId="1" applyNumberFormat="1" applyFont="1" applyFill="1" applyBorder="1" applyAlignment="1">
      <alignment horizontal="right" vertical="center"/>
    </xf>
    <xf numFmtId="3" fontId="2" fillId="0" borderId="13" xfId="1" applyNumberFormat="1" applyFont="1" applyFill="1" applyBorder="1" applyAlignment="1">
      <alignment horizontal="center" vertical="center"/>
    </xf>
    <xf numFmtId="3" fontId="16" fillId="5" borderId="0" xfId="3" applyNumberFormat="1" applyFont="1" applyFill="1" applyBorder="1" applyAlignment="1">
      <alignment horizontal="center" vertical="center"/>
    </xf>
    <xf numFmtId="0" fontId="0" fillId="0" borderId="0" xfId="0" applyBorder="1" applyAlignment="1"/>
    <xf numFmtId="169" fontId="15" fillId="5" borderId="0" xfId="3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" fontId="10" fillId="0" borderId="0" xfId="0" applyNumberFormat="1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" fillId="4" borderId="44" xfId="0" applyFont="1" applyFill="1" applyBorder="1" applyAlignment="1">
      <alignment horizontal="center" wrapText="1"/>
    </xf>
    <xf numFmtId="0" fontId="13" fillId="0" borderId="45" xfId="0" applyFont="1" applyBorder="1" applyAlignment="1">
      <alignment horizontal="center" wrapText="1"/>
    </xf>
    <xf numFmtId="0" fontId="13" fillId="0" borderId="46" xfId="0" applyFont="1" applyBorder="1" applyAlignment="1">
      <alignment horizontal="center" wrapText="1"/>
    </xf>
    <xf numFmtId="0" fontId="14" fillId="4" borderId="44" xfId="0" applyFont="1" applyFill="1" applyBorder="1" applyAlignment="1">
      <alignment horizontal="center" wrapText="1"/>
    </xf>
    <xf numFmtId="0" fontId="14" fillId="0" borderId="46" xfId="0" applyFont="1" applyBorder="1" applyAlignment="1">
      <alignment horizontal="center" wrapText="1"/>
    </xf>
    <xf numFmtId="17" fontId="2" fillId="4" borderId="13" xfId="0" applyNumberFormat="1" applyFont="1" applyFill="1" applyBorder="1" applyAlignment="1">
      <alignment horizontal="center" wrapText="1"/>
    </xf>
    <xf numFmtId="0" fontId="0" fillId="4" borderId="13" xfId="0" applyFill="1" applyBorder="1" applyAlignment="1">
      <alignment horizontal="center" wrapText="1"/>
    </xf>
    <xf numFmtId="17" fontId="2" fillId="4" borderId="34" xfId="0" applyNumberFormat="1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2" fillId="4" borderId="45" xfId="0" applyFont="1" applyFill="1" applyBorder="1" applyAlignment="1">
      <alignment horizontal="center" wrapText="1"/>
    </xf>
    <xf numFmtId="0" fontId="13" fillId="4" borderId="11" xfId="0" applyFont="1" applyFill="1" applyBorder="1" applyAlignment="1">
      <alignment horizontal="center" wrapText="1"/>
    </xf>
    <xf numFmtId="17" fontId="2" fillId="4" borderId="12" xfId="0" applyNumberFormat="1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2" fillId="4" borderId="38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22" xfId="0" applyFill="1" applyBorder="1" applyAlignment="1">
      <alignment horizontal="center" wrapText="1"/>
    </xf>
    <xf numFmtId="1" fontId="2" fillId="4" borderId="29" xfId="0" applyNumberFormat="1" applyFont="1" applyFill="1" applyBorder="1" applyAlignment="1">
      <alignment horizontal="center" vertical="center"/>
    </xf>
    <xf numFmtId="0" fontId="0" fillId="4" borderId="70" xfId="0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 wrapText="1"/>
    </xf>
    <xf numFmtId="1" fontId="2" fillId="4" borderId="13" xfId="0" applyNumberFormat="1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7" fontId="2" fillId="4" borderId="12" xfId="0" applyNumberFormat="1" applyFont="1" applyFill="1" applyBorder="1" applyAlignment="1">
      <alignment horizontal="center" wrapText="1"/>
    </xf>
    <xf numFmtId="0" fontId="2" fillId="4" borderId="26" xfId="0" applyFont="1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1" fontId="2" fillId="4" borderId="14" xfId="0" applyNumberFormat="1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17" fontId="2" fillId="4" borderId="22" xfId="0" applyNumberFormat="1" applyFont="1" applyFill="1" applyBorder="1" applyAlignment="1">
      <alignment horizontal="center" wrapText="1"/>
    </xf>
    <xf numFmtId="17" fontId="2" fillId="4" borderId="38" xfId="0" applyNumberFormat="1" applyFont="1" applyFill="1" applyBorder="1" applyAlignment="1">
      <alignment horizontal="center" wrapText="1"/>
    </xf>
    <xf numFmtId="1" fontId="2" fillId="4" borderId="49" xfId="0" applyNumberFormat="1" applyFont="1" applyFill="1" applyBorder="1" applyAlignment="1">
      <alignment horizontal="center" vertical="center"/>
    </xf>
    <xf numFmtId="1" fontId="2" fillId="4" borderId="52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1" fontId="2" fillId="4" borderId="12" xfId="0" applyNumberFormat="1" applyFont="1" applyFill="1" applyBorder="1" applyAlignment="1">
      <alignment horizontal="center" vertical="center"/>
    </xf>
    <xf numFmtId="1" fontId="2" fillId="4" borderId="13" xfId="0" applyNumberFormat="1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1" fontId="2" fillId="4" borderId="34" xfId="0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17" fontId="2" fillId="4" borderId="24" xfId="0" applyNumberFormat="1" applyFont="1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17" fillId="4" borderId="20" xfId="4" applyNumberFormat="1" applyFont="1" applyFill="1" applyBorder="1" applyAlignment="1">
      <alignment horizontal="center" vertical="center"/>
    </xf>
    <xf numFmtId="0" fontId="17" fillId="4" borderId="57" xfId="4" applyNumberFormat="1" applyFont="1" applyFill="1" applyBorder="1" applyAlignment="1">
      <alignment horizontal="center" vertical="center"/>
    </xf>
    <xf numFmtId="3" fontId="17" fillId="4" borderId="7" xfId="4" applyNumberFormat="1" applyFont="1" applyFill="1" applyBorder="1" applyAlignment="1">
      <alignment horizontal="center" vertical="center" wrapText="1"/>
    </xf>
    <xf numFmtId="3" fontId="17" fillId="4" borderId="8" xfId="4" applyNumberFormat="1" applyFont="1" applyFill="1" applyBorder="1" applyAlignment="1">
      <alignment horizontal="center" vertical="center" wrapText="1"/>
    </xf>
    <xf numFmtId="3" fontId="17" fillId="4" borderId="6" xfId="4" applyNumberFormat="1" applyFont="1" applyFill="1" applyBorder="1" applyAlignment="1">
      <alignment horizontal="center" vertical="center" wrapText="1"/>
    </xf>
    <xf numFmtId="3" fontId="17" fillId="4" borderId="7" xfId="4" applyNumberFormat="1" applyFont="1" applyFill="1" applyBorder="1" applyAlignment="1">
      <alignment horizontal="center" vertical="center"/>
    </xf>
    <xf numFmtId="3" fontId="17" fillId="4" borderId="8" xfId="4" applyNumberFormat="1" applyFont="1" applyFill="1" applyBorder="1" applyAlignment="1">
      <alignment horizontal="center" vertical="center"/>
    </xf>
    <xf numFmtId="3" fontId="17" fillId="4" borderId="6" xfId="4" applyNumberFormat="1" applyFont="1" applyFill="1" applyBorder="1" applyAlignment="1">
      <alignment horizontal="center" vertical="center"/>
    </xf>
    <xf numFmtId="3" fontId="18" fillId="4" borderId="61" xfId="0" applyNumberFormat="1" applyFont="1" applyFill="1" applyBorder="1" applyAlignment="1">
      <alignment vertical="center" wrapText="1"/>
    </xf>
    <xf numFmtId="0" fontId="18" fillId="4" borderId="62" xfId="0" applyFont="1" applyFill="1" applyBorder="1" applyAlignment="1">
      <alignment vertical="center" wrapText="1"/>
    </xf>
    <xf numFmtId="0" fontId="18" fillId="4" borderId="63" xfId="0" applyFont="1" applyFill="1" applyBorder="1" applyAlignment="1">
      <alignment vertical="center" wrapText="1"/>
    </xf>
    <xf numFmtId="0" fontId="18" fillId="4" borderId="32" xfId="0" applyFont="1" applyFill="1" applyBorder="1" applyAlignment="1">
      <alignment horizontal="center"/>
    </xf>
    <xf numFmtId="0" fontId="18" fillId="0" borderId="37" xfId="0" applyFont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24" fillId="7" borderId="12" xfId="0" applyFont="1" applyFill="1" applyBorder="1" applyAlignment="1">
      <alignment horizontal="center"/>
    </xf>
    <xf numFmtId="0" fontId="24" fillId="7" borderId="13" xfId="0" applyFont="1" applyFill="1" applyBorder="1" applyAlignment="1">
      <alignment horizontal="center"/>
    </xf>
    <xf numFmtId="0" fontId="24" fillId="7" borderId="22" xfId="0" applyFont="1" applyFill="1" applyBorder="1" applyAlignment="1">
      <alignment horizontal="center"/>
    </xf>
    <xf numFmtId="0" fontId="24" fillId="7" borderId="14" xfId="0" applyFont="1" applyFill="1" applyBorder="1" applyAlignment="1">
      <alignment horizontal="center"/>
    </xf>
    <xf numFmtId="0" fontId="24" fillId="7" borderId="34" xfId="0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3" fontId="3" fillId="2" borderId="5" xfId="0" applyNumberFormat="1" applyFont="1" applyFill="1" applyBorder="1" applyAlignment="1">
      <alignment horizontal="center"/>
    </xf>
    <xf numFmtId="3" fontId="26" fillId="2" borderId="5" xfId="0" applyNumberFormat="1" applyFont="1" applyFill="1" applyBorder="1" applyAlignment="1">
      <alignment horizontal="center"/>
    </xf>
    <xf numFmtId="17" fontId="3" fillId="2" borderId="5" xfId="0" applyNumberFormat="1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3" fontId="3" fillId="2" borderId="7" xfId="0" applyNumberFormat="1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  <xf numFmtId="17" fontId="3" fillId="2" borderId="0" xfId="0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17" fontId="3" fillId="2" borderId="7" xfId="0" applyNumberFormat="1" applyFont="1" applyFill="1" applyBorder="1" applyAlignment="1">
      <alignment horizontal="center"/>
    </xf>
    <xf numFmtId="17" fontId="3" fillId="2" borderId="6" xfId="0" applyNumberFormat="1" applyFont="1" applyFill="1" applyBorder="1" applyAlignment="1">
      <alignment horizontal="center"/>
    </xf>
  </cellXfs>
  <cellStyles count="9">
    <cellStyle name="Millares" xfId="1" builtinId="3"/>
    <cellStyle name="Millares 2" xfId="5"/>
    <cellStyle name="Millares 3" xfId="6"/>
    <cellStyle name="Millares 4" xfId="7"/>
    <cellStyle name="Millares 5" xfId="8"/>
    <cellStyle name="Normal" xfId="0" builtinId="0"/>
    <cellStyle name="Normal 14 2" xfId="2"/>
    <cellStyle name="Normal 2" xfId="4"/>
    <cellStyle name="Normal_progr_abril_mayo_junio   final(3)" xfId="3"/>
  </cellStyles>
  <dxfs count="1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'CUMP ACUM'!$AH$13</c:f>
              <c:strCache>
                <c:ptCount val="1"/>
                <c:pt idx="0">
                  <c:v>CAPACIDAD PROGRAMADA POLIDUCTOS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'CUMP ACUM'!$AI$8:$AP$8</c:f>
              <c:strCache>
                <c:ptCount val="8"/>
                <c:pt idx="0">
                  <c:v>PCOLP I</c:v>
                </c:pt>
                <c:pt idx="1">
                  <c:v>PCOLP II</c:v>
                </c:pt>
                <c:pt idx="2">
                  <c:v>PCPV</c:v>
                </c:pt>
                <c:pt idx="3">
                  <c:v>PCSZ-1</c:v>
                </c:pt>
                <c:pt idx="4">
                  <c:v>PCS</c:v>
                </c:pt>
                <c:pt idx="5">
                  <c:v>PSP</c:v>
                </c:pt>
                <c:pt idx="6">
                  <c:v>PVT</c:v>
                </c:pt>
                <c:pt idx="7">
                  <c:v>TOTAL</c:v>
                </c:pt>
              </c:strCache>
            </c:strRef>
          </c:cat>
          <c:val>
            <c:numRef>
              <c:f>'CUMP ACUM'!$AI$13:$AP$13</c:f>
              <c:numCache>
                <c:formatCode>0%</c:formatCode>
                <c:ptCount val="8"/>
                <c:pt idx="0">
                  <c:v>0.62877325070025913</c:v>
                </c:pt>
                <c:pt idx="1">
                  <c:v>0.26731963064006531</c:v>
                </c:pt>
                <c:pt idx="2">
                  <c:v>9.4009174078005034E-2</c:v>
                </c:pt>
                <c:pt idx="3">
                  <c:v>0.57500595052501269</c:v>
                </c:pt>
                <c:pt idx="4">
                  <c:v>1.0000592235252526</c:v>
                </c:pt>
                <c:pt idx="5">
                  <c:v>0.40477224787199534</c:v>
                </c:pt>
                <c:pt idx="6">
                  <c:v>0.88138248219353765</c:v>
                </c:pt>
                <c:pt idx="7">
                  <c:v>0.5132942304730157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54-4157-8CEA-5373563E9183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gapWidth val="100"/>
        <c:axId val="2051719263"/>
        <c:axId val="20517263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'CUMP ACUM'!$AH$10</c15:sqref>
                        </c15:formulaRef>
                      </c:ext>
                    </c:extLst>
                    <c:strCache>
                      <c:ptCount val="1"/>
                      <c:pt idx="0">
                        <c:v>CAPACIDAD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BO"/>
                    </a:p>
                  </c:txPr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>
                            <a:noFill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'CUMP ACUM'!$AI$8:$AP$8</c15:sqref>
                        </c15:formulaRef>
                      </c:ext>
                    </c:extLst>
                    <c:strCache>
                      <c:ptCount val="8"/>
                      <c:pt idx="0">
                        <c:v>PCOLP I</c:v>
                      </c:pt>
                      <c:pt idx="1">
                        <c:v>PCOLP II</c:v>
                      </c:pt>
                      <c:pt idx="2">
                        <c:v>PCPV</c:v>
                      </c:pt>
                      <c:pt idx="3">
                        <c:v>PCSZ-1</c:v>
                      </c:pt>
                      <c:pt idx="4">
                        <c:v>PCS</c:v>
                      </c:pt>
                      <c:pt idx="5">
                        <c:v>PSP</c:v>
                      </c:pt>
                      <c:pt idx="6">
                        <c:v>PVT</c:v>
                      </c:pt>
                      <c:pt idx="7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'CUMP ACUM'!$AI$10:$AP$10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361150</c:v>
                      </c:pt>
                      <c:pt idx="1">
                        <c:v>361150</c:v>
                      </c:pt>
                      <c:pt idx="2">
                        <c:v>65100</c:v>
                      </c:pt>
                      <c:pt idx="3">
                        <c:v>113150</c:v>
                      </c:pt>
                      <c:pt idx="4">
                        <c:v>111600</c:v>
                      </c:pt>
                      <c:pt idx="5">
                        <c:v>79949</c:v>
                      </c:pt>
                      <c:pt idx="6">
                        <c:v>59210</c:v>
                      </c:pt>
                      <c:pt idx="7">
                        <c:v>1151309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454-4157-8CEA-5373563E918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'CUMP ACUM'!$AH$11</c15:sqref>
                        </c15:formulaRef>
                      </c:ext>
                    </c:extLst>
                    <c:strCache>
                      <c:ptCount val="1"/>
                      <c:pt idx="0">
                        <c:v>PROGRAMADO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BO"/>
                    </a:p>
                  </c:txPr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>
                            <a:noFill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'CUMP ACUM'!$AI$8:$AP$8</c15:sqref>
                        </c15:formulaRef>
                      </c:ext>
                    </c:extLst>
                    <c:strCache>
                      <c:ptCount val="8"/>
                      <c:pt idx="0">
                        <c:v>PCOLP I</c:v>
                      </c:pt>
                      <c:pt idx="1">
                        <c:v>PCOLP II</c:v>
                      </c:pt>
                      <c:pt idx="2">
                        <c:v>PCPV</c:v>
                      </c:pt>
                      <c:pt idx="3">
                        <c:v>PCSZ-1</c:v>
                      </c:pt>
                      <c:pt idx="4">
                        <c:v>PCS</c:v>
                      </c:pt>
                      <c:pt idx="5">
                        <c:v>PSP</c:v>
                      </c:pt>
                      <c:pt idx="6">
                        <c:v>PVT</c:v>
                      </c:pt>
                      <c:pt idx="7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'CUMP ACUM'!$AI$11:$AP$11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227081.45949039859</c:v>
                      </c:pt>
                      <c:pt idx="1">
                        <c:v>96542.484605659585</c:v>
                      </c:pt>
                      <c:pt idx="2">
                        <c:v>6119.9972324781274</c:v>
                      </c:pt>
                      <c:pt idx="3">
                        <c:v>65061.92330190519</c:v>
                      </c:pt>
                      <c:pt idx="4">
                        <c:v>111606.60934541818</c:v>
                      </c:pt>
                      <c:pt idx="5">
                        <c:v>32361.136445118154</c:v>
                      </c:pt>
                      <c:pt idx="6">
                        <c:v>52186.656770679365</c:v>
                      </c:pt>
                      <c:pt idx="7">
                        <c:v>590960.26719165721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454-4157-8CEA-5373563E9183}"/>
                  </c:ext>
                </c:extLst>
              </c15:ser>
            </c15:filteredBarSeries>
          </c:ext>
        </c:extLst>
      </c:barChart>
      <c:catAx>
        <c:axId val="2051719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51726335"/>
        <c:crosses val="autoZero"/>
        <c:auto val="1"/>
        <c:lblAlgn val="ctr"/>
        <c:lblOffset val="100"/>
        <c:noMultiLvlLbl val="0"/>
      </c:catAx>
      <c:valAx>
        <c:axId val="205172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5171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160020</xdr:colOff>
      <xdr:row>0</xdr:row>
      <xdr:rowOff>144780</xdr:rowOff>
    </xdr:from>
    <xdr:ext cx="1476236" cy="495300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" y="144780"/>
          <a:ext cx="1476236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160020</xdr:colOff>
      <xdr:row>0</xdr:row>
      <xdr:rowOff>144780</xdr:rowOff>
    </xdr:from>
    <xdr:ext cx="1476236" cy="4953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" y="144780"/>
          <a:ext cx="1476236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115</xdr:col>
      <xdr:colOff>244687</xdr:colOff>
      <xdr:row>0</xdr:row>
      <xdr:rowOff>130669</xdr:rowOff>
    </xdr:from>
    <xdr:ext cx="1476236" cy="495300"/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74576" y="130669"/>
          <a:ext cx="1476236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160020</xdr:colOff>
      <xdr:row>0</xdr:row>
      <xdr:rowOff>144780</xdr:rowOff>
    </xdr:from>
    <xdr:ext cx="1476236" cy="495300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4780"/>
          <a:ext cx="1476236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78048</xdr:colOff>
      <xdr:row>0</xdr:row>
      <xdr:rowOff>133466</xdr:rowOff>
    </xdr:from>
    <xdr:ext cx="1476236" cy="495300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139" y="133466"/>
          <a:ext cx="1476236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194657</xdr:colOff>
      <xdr:row>0</xdr:row>
      <xdr:rowOff>0</xdr:rowOff>
    </xdr:from>
    <xdr:ext cx="1476236" cy="495300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39" y="0"/>
          <a:ext cx="1476236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1270</xdr:colOff>
      <xdr:row>0</xdr:row>
      <xdr:rowOff>163830</xdr:rowOff>
    </xdr:from>
    <xdr:ext cx="1476236" cy="495300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" y="163830"/>
          <a:ext cx="1476236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426720</xdr:colOff>
      <xdr:row>1</xdr:row>
      <xdr:rowOff>38100</xdr:rowOff>
    </xdr:from>
    <xdr:to>
      <xdr:col>3</xdr:col>
      <xdr:colOff>144780</xdr:colOff>
      <xdr:row>4</xdr:row>
      <xdr:rowOff>117598</xdr:rowOff>
    </xdr:to>
    <xdr:pic>
      <xdr:nvPicPr>
        <xdr:cNvPr id="3" name="Picture 340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" y="220980"/>
          <a:ext cx="1562100" cy="66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33</xdr:col>
      <xdr:colOff>420616</xdr:colOff>
      <xdr:row>18</xdr:row>
      <xdr:rowOff>81027</xdr:rowOff>
    </xdr:from>
    <xdr:to>
      <xdr:col>39</xdr:col>
      <xdr:colOff>237736</xdr:colOff>
      <xdr:row>33</xdr:row>
      <xdr:rowOff>81026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48</xdr:row>
      <xdr:rowOff>15240</xdr:rowOff>
    </xdr:from>
    <xdr:to>
      <xdr:col>10</xdr:col>
      <xdr:colOff>632460</xdr:colOff>
      <xdr:row>61</xdr:row>
      <xdr:rowOff>167640</xdr:rowOff>
    </xdr:to>
    <xdr:sp macro="" textlink="">
      <xdr:nvSpPr>
        <xdr:cNvPr id="2" name="Flecha curvada hacia la izquierda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278880" y="8793480"/>
          <a:ext cx="1028700" cy="252984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BO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7_SERVICIO%20AL%20CLIENTE%20POLIDUCTOS/PROGRAMACION%20POLIDUCTOS/Gestion%202025/07%20Julio%202025/Programa%20Transporte%20Julio%20%20(27-06-25)-0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7_SERVICIO%20AL%20CLIENTE%20POLIDUCTOS/PROGRAMACION%20POLIDUCTOS/Gestion%202022/11%20Noviembre%202022/Programa%20Transporte%20noviembre%20(28-10-22)-00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7_SERVICIO%20AL%20CLIENTE%20POLIDUCTOS/PROGRAMACION%20POLIDUCTOS/Gestion%202022/03%20Marzo%202022/Programa%20Transporte%20marzo%20(24-02-22)-0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07_SERVICIO%20AL%20CLIENTE%20POLIDUCTOS/PROGRAMACION%20POLIDUCTOS/Gestion%202025/03%20Marzo%202025/Programa%20Transporte%20Marzo%20(26-02-25)-0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7_SERVICIO%20AL%20CLIENTE%20POLIDUCTOS/PROGRAMACION%20POLIDUCTOS/Gestion%202022/07%20Julio%202022/Programa%20Transporte%20julio%20(29-06-22)-0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07_SERVICIO%20AL%20CLIENTE%20POLIDUCTOS/PROGRAMACION%20POLIDUCTOS/Gestion%202022/06%20Junio%202022/Programa%20Transporte%20junio%20(27-05-22)-00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07_SERVICIO%20AL%20CLIENTE%20POLIDUCTOS/PROGRAMACION%20POLIDUCTOS/Gestion%202021/01%20Enero%202021/Programa%20Transporte%20Ductos%20enero%20(28-12-20)-000a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CIÓN"/>
      <sheetName val="Z1PCSPSP"/>
      <sheetName val="PVT"/>
      <sheetName val="PCOLP I"/>
      <sheetName val="PCOLP II"/>
      <sheetName val="PCPV"/>
      <sheetName val="GLP CBBA"/>
      <sheetName val="CAP UTILIZADA"/>
      <sheetName val="CUMP ACUM"/>
      <sheetName val="CUMP DIA"/>
      <sheetName val="CONT FIRME YPFB"/>
      <sheetName val="ANH 15"/>
      <sheetName val="VOL ENTREGA"/>
    </sheetNames>
    <sheetDataSet>
      <sheetData sheetId="0" refreshError="1"/>
      <sheetData sheetId="1">
        <row r="39">
          <cell r="AO39">
            <v>703</v>
          </cell>
          <cell r="AP39">
            <v>0</v>
          </cell>
          <cell r="AR39">
            <v>0</v>
          </cell>
          <cell r="DA39">
            <v>0</v>
          </cell>
          <cell r="ET39">
            <v>232</v>
          </cell>
          <cell r="EU39">
            <v>0</v>
          </cell>
        </row>
      </sheetData>
      <sheetData sheetId="2">
        <row r="39">
          <cell r="AL39">
            <v>342</v>
          </cell>
          <cell r="AM39">
            <v>558</v>
          </cell>
          <cell r="AP39">
            <v>307</v>
          </cell>
        </row>
      </sheetData>
      <sheetData sheetId="3">
        <row r="39">
          <cell r="AO39">
            <v>2264</v>
          </cell>
        </row>
      </sheetData>
      <sheetData sheetId="4">
        <row r="39">
          <cell r="AO39">
            <v>1023</v>
          </cell>
        </row>
      </sheetData>
      <sheetData sheetId="5" refreshError="1"/>
      <sheetData sheetId="6">
        <row r="37">
          <cell r="I37">
            <v>1526.1840000000002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CIÓN"/>
      <sheetName val="Z1PCSPSP"/>
      <sheetName val="PVT"/>
      <sheetName val="PCOLP I"/>
      <sheetName val="PCOLP II"/>
      <sheetName val="PCPV"/>
      <sheetName val="GLP CBBA"/>
      <sheetName val="CAP UTILIZADA"/>
      <sheetName val="CUMP ACUM"/>
      <sheetName val="CUMP DIA"/>
      <sheetName val="CONT FIRME YPFB"/>
      <sheetName val="ANH 15"/>
      <sheetName val="VOL ENTREGA"/>
    </sheetNames>
    <sheetDataSet>
      <sheetData sheetId="0"/>
      <sheetData sheetId="1">
        <row r="39">
          <cell r="AO39">
            <v>1673</v>
          </cell>
          <cell r="EV39">
            <v>0</v>
          </cell>
          <cell r="EW39">
            <v>1009</v>
          </cell>
          <cell r="EX39">
            <v>0</v>
          </cell>
        </row>
      </sheetData>
      <sheetData sheetId="2">
        <row r="39">
          <cell r="AL39">
            <v>335</v>
          </cell>
        </row>
      </sheetData>
      <sheetData sheetId="3">
        <row r="39">
          <cell r="AO39">
            <v>1316</v>
          </cell>
        </row>
      </sheetData>
      <sheetData sheetId="4">
        <row r="39">
          <cell r="AO39">
            <v>403</v>
          </cell>
        </row>
      </sheetData>
      <sheetData sheetId="5">
        <row r="39">
          <cell r="AU39">
            <v>1519</v>
          </cell>
        </row>
      </sheetData>
      <sheetData sheetId="6">
        <row r="37">
          <cell r="I37">
            <v>761.09299999999985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CIÓN"/>
      <sheetName val="Z1PCSPSP"/>
      <sheetName val="PVT"/>
      <sheetName val="PCOLP I"/>
      <sheetName val="PCOLP II"/>
      <sheetName val="PCPV"/>
      <sheetName val="GLP CBBA"/>
      <sheetName val="CAP UTILIZADA"/>
      <sheetName val="CUMP ACUM"/>
      <sheetName val="CUMP DIA"/>
      <sheetName val="CONT FIRME YPFB"/>
      <sheetName val="ANH 15"/>
      <sheetName val="VOL ENTREGA"/>
    </sheetNames>
    <sheetDataSet>
      <sheetData sheetId="0"/>
      <sheetData sheetId="1">
        <row r="39">
          <cell r="AO39">
            <v>1298</v>
          </cell>
        </row>
      </sheetData>
      <sheetData sheetId="2">
        <row r="39">
          <cell r="AL39">
            <v>471</v>
          </cell>
          <cell r="AN39"/>
          <cell r="AO39"/>
        </row>
      </sheetData>
      <sheetData sheetId="3">
        <row r="39">
          <cell r="E39"/>
          <cell r="AQ39"/>
          <cell r="AR39"/>
          <cell r="AS39"/>
        </row>
      </sheetData>
      <sheetData sheetId="4">
        <row r="39">
          <cell r="AO39">
            <v>490</v>
          </cell>
        </row>
      </sheetData>
      <sheetData sheetId="5"/>
      <sheetData sheetId="6">
        <row r="37">
          <cell r="I37">
            <v>11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CIÓN"/>
      <sheetName val="Z1PCSPSP"/>
      <sheetName val="PVT"/>
      <sheetName val="PCOLP I"/>
      <sheetName val="PCOLP II"/>
      <sheetName val="PCPV"/>
      <sheetName val="GLP CBBA"/>
      <sheetName val="CAP UTILIZADA"/>
      <sheetName val="CUMP ACUM"/>
      <sheetName val="CUMP DIA"/>
      <sheetName val="CONT FIRME YPFB"/>
      <sheetName val="ANH 15"/>
      <sheetName val="VOL ENTREGA"/>
    </sheetNames>
    <sheetDataSet>
      <sheetData sheetId="0"/>
      <sheetData sheetId="1">
        <row r="39">
          <cell r="AO39">
            <v>707</v>
          </cell>
        </row>
      </sheetData>
      <sheetData sheetId="2">
        <row r="39">
          <cell r="AL39">
            <v>211</v>
          </cell>
        </row>
      </sheetData>
      <sheetData sheetId="3">
        <row r="39">
          <cell r="AO39">
            <v>10</v>
          </cell>
          <cell r="AP39">
            <v>0</v>
          </cell>
          <cell r="AT39">
            <v>0</v>
          </cell>
        </row>
      </sheetData>
      <sheetData sheetId="4">
        <row r="39">
          <cell r="AO39">
            <v>0</v>
          </cell>
          <cell r="AT39">
            <v>-9051.76</v>
          </cell>
        </row>
      </sheetData>
      <sheetData sheetId="5"/>
      <sheetData sheetId="6">
        <row r="37">
          <cell r="I37">
            <v>0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CIÓN"/>
      <sheetName val="Z1PCSPSP"/>
      <sheetName val="PVT"/>
      <sheetName val="PCOLP I"/>
      <sheetName val="PCOLP II"/>
      <sheetName val="PCPV"/>
      <sheetName val="GLP CBBA"/>
      <sheetName val="CAP UTILIZADA"/>
      <sheetName val="CUMP ACUM"/>
      <sheetName val="CUMP DIA"/>
      <sheetName val="CONT FIRME YPFB"/>
      <sheetName val="ANH 15"/>
      <sheetName val="VOL ENTREGA"/>
    </sheetNames>
    <sheetDataSet>
      <sheetData sheetId="0"/>
      <sheetData sheetId="1">
        <row r="39">
          <cell r="AO39">
            <v>1424</v>
          </cell>
        </row>
      </sheetData>
      <sheetData sheetId="2">
        <row r="39">
          <cell r="AL39">
            <v>550.51851851851848</v>
          </cell>
        </row>
      </sheetData>
      <sheetData sheetId="3"/>
      <sheetData sheetId="4">
        <row r="39">
          <cell r="AO39">
            <v>409</v>
          </cell>
          <cell r="AQ39"/>
          <cell r="AR39"/>
          <cell r="AS39">
            <v>0</v>
          </cell>
        </row>
      </sheetData>
      <sheetData sheetId="5">
        <row r="39">
          <cell r="AU39">
            <v>0</v>
          </cell>
        </row>
      </sheetData>
      <sheetData sheetId="6">
        <row r="37">
          <cell r="I37">
            <v>500.26443399999971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CIÓN"/>
      <sheetName val="Z1PCSPSP"/>
      <sheetName val="PVT"/>
      <sheetName val="PCOLP I"/>
      <sheetName val="PCOLP II"/>
      <sheetName val="PCPV"/>
      <sheetName val="GLP CBBA"/>
      <sheetName val="CAP UTILIZADA"/>
      <sheetName val="CUMP ACUM"/>
      <sheetName val="CUMP DIA"/>
      <sheetName val="CONT FIRME YPFB"/>
      <sheetName val="ANH 15"/>
      <sheetName val="VOL ENTREGA"/>
    </sheetNames>
    <sheetDataSet>
      <sheetData sheetId="0"/>
      <sheetData sheetId="1">
        <row r="39">
          <cell r="AO39">
            <v>1278</v>
          </cell>
        </row>
      </sheetData>
      <sheetData sheetId="2">
        <row r="39">
          <cell r="AL39">
            <v>347</v>
          </cell>
        </row>
      </sheetData>
      <sheetData sheetId="3">
        <row r="39">
          <cell r="AO39">
            <v>1330</v>
          </cell>
        </row>
      </sheetData>
      <sheetData sheetId="4">
        <row r="39">
          <cell r="AO39">
            <v>402</v>
          </cell>
        </row>
      </sheetData>
      <sheetData sheetId="5">
        <row r="39">
          <cell r="AR39">
            <v>1329</v>
          </cell>
        </row>
      </sheetData>
      <sheetData sheetId="6">
        <row r="37">
          <cell r="I37">
            <v>1683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CIÓN "/>
      <sheetName val="PCSZ-1,PCS,PSP"/>
      <sheetName val="PVT"/>
      <sheetName val="PCOLP I"/>
      <sheetName val="pcolp II"/>
      <sheetName val="PCPV"/>
      <sheetName val="GLP Cbba"/>
      <sheetName val="EJEC DIA"/>
      <sheetName val="EJEC ACUM DIC"/>
      <sheetName val="EJEC ACUM NOV"/>
      <sheetName val="CUM PROD"/>
      <sheetName val="FACTURACIÓN"/>
    </sheetNames>
    <sheetDataSet>
      <sheetData sheetId="0"/>
      <sheetData sheetId="1">
        <row r="38">
          <cell r="M38"/>
          <cell r="O38"/>
          <cell r="CJ38"/>
        </row>
      </sheetData>
      <sheetData sheetId="2">
        <row r="39">
          <cell r="AG39"/>
          <cell r="AI39"/>
          <cell r="AK39"/>
        </row>
      </sheetData>
      <sheetData sheetId="3">
        <row r="37">
          <cell r="W37"/>
        </row>
        <row r="38">
          <cell r="W38"/>
          <cell r="Y38"/>
          <cell r="AA38"/>
          <cell r="AC38"/>
          <cell r="AE38"/>
          <cell r="AG38"/>
        </row>
      </sheetData>
      <sheetData sheetId="4"/>
      <sheetData sheetId="5">
        <row r="39">
          <cell r="P39"/>
          <cell r="Q39">
            <v>0</v>
          </cell>
          <cell r="R39"/>
        </row>
      </sheetData>
      <sheetData sheetId="6"/>
      <sheetData sheetId="7"/>
      <sheetData sheetId="8"/>
      <sheetData sheetId="9"/>
      <sheetData sheetId="10"/>
      <sheetData sheetId="11">
        <row r="4">
          <cell r="I4" t="e">
            <v>#REF!</v>
          </cell>
        </row>
        <row r="5">
          <cell r="I5" t="e">
            <v>#REF!</v>
          </cell>
        </row>
        <row r="6">
          <cell r="I6" t="e">
            <v>#REF!</v>
          </cell>
        </row>
        <row r="7">
          <cell r="I7">
            <v>3800</v>
          </cell>
        </row>
        <row r="8">
          <cell r="I8" t="e">
            <v>#REF!</v>
          </cell>
        </row>
        <row r="9">
          <cell r="I9" t="e">
            <v>#REF!</v>
          </cell>
        </row>
        <row r="10">
          <cell r="I10" t="e">
            <v>#REF!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3"/>
  <sheetViews>
    <sheetView zoomScale="89" zoomScaleNormal="120" workbookViewId="0">
      <selection activeCell="H8" sqref="H8"/>
    </sheetView>
  </sheetViews>
  <sheetFormatPr baseColWidth="10" defaultColWidth="6" defaultRowHeight="13.2"/>
  <cols>
    <col min="1" max="1" width="2.5546875" style="167" customWidth="1"/>
    <col min="2" max="2" width="22.44140625" style="167" customWidth="1"/>
    <col min="3" max="6" width="10.5546875" style="167" customWidth="1"/>
    <col min="7" max="7" width="12.44140625" style="167" customWidth="1"/>
    <col min="8" max="11" width="10.5546875" style="167" customWidth="1"/>
    <col min="12" max="12" width="17.44140625" style="167" customWidth="1"/>
    <col min="13" max="16" width="10.5546875" style="167" customWidth="1"/>
    <col min="17" max="16384" width="6" style="167"/>
  </cols>
  <sheetData>
    <row r="1" spans="2:16" ht="14.4">
      <c r="E1" s="559">
        <v>45870</v>
      </c>
      <c r="F1" s="560"/>
    </row>
    <row r="2" spans="2:16" ht="16.2" thickBot="1">
      <c r="B2" s="557" t="s">
        <v>0</v>
      </c>
      <c r="C2" s="558"/>
      <c r="D2" s="558"/>
      <c r="E2" s="558"/>
      <c r="F2" s="558"/>
      <c r="G2" s="558"/>
      <c r="H2" s="558"/>
      <c r="I2" s="558"/>
      <c r="J2" s="452"/>
      <c r="K2" s="452"/>
      <c r="L2" s="452"/>
      <c r="M2" s="452"/>
      <c r="N2" s="452"/>
      <c r="O2" s="452"/>
      <c r="P2" s="452"/>
    </row>
    <row r="3" spans="2:16">
      <c r="B3" s="180" t="s">
        <v>1</v>
      </c>
      <c r="C3" s="206" t="s">
        <v>2</v>
      </c>
      <c r="D3" s="206" t="s">
        <v>3</v>
      </c>
      <c r="E3" s="206" t="s">
        <v>4</v>
      </c>
      <c r="F3" s="206" t="s">
        <v>5</v>
      </c>
      <c r="G3" s="206" t="s">
        <v>6</v>
      </c>
      <c r="H3" s="206" t="s">
        <v>183</v>
      </c>
      <c r="I3" s="207" t="s">
        <v>8</v>
      </c>
    </row>
    <row r="4" spans="2:16">
      <c r="B4" s="181" t="s">
        <v>9</v>
      </c>
      <c r="C4" s="401"/>
      <c r="D4" s="401"/>
      <c r="E4" s="401"/>
      <c r="F4" s="401"/>
      <c r="G4" s="401">
        <v>0</v>
      </c>
      <c r="H4" s="401"/>
      <c r="I4" s="182"/>
      <c r="J4" s="169"/>
      <c r="K4" s="169"/>
    </row>
    <row r="5" spans="2:16">
      <c r="B5" s="183" t="s">
        <v>10</v>
      </c>
      <c r="C5" s="170">
        <v>21489</v>
      </c>
      <c r="D5" s="170">
        <v>4400</v>
      </c>
      <c r="E5" s="170">
        <v>160</v>
      </c>
      <c r="F5" s="170">
        <v>2000</v>
      </c>
      <c r="G5" s="170">
        <v>3400</v>
      </c>
      <c r="H5" s="170">
        <v>2000</v>
      </c>
      <c r="I5" s="184">
        <v>0</v>
      </c>
      <c r="J5" s="169"/>
      <c r="K5" s="169"/>
    </row>
    <row r="6" spans="2:16">
      <c r="B6" s="181" t="s">
        <v>11</v>
      </c>
      <c r="C6" s="401"/>
      <c r="D6" s="401"/>
      <c r="E6" s="401"/>
      <c r="F6" s="401"/>
      <c r="G6" s="401">
        <v>0</v>
      </c>
      <c r="H6" s="401"/>
      <c r="I6" s="182"/>
      <c r="J6" s="169"/>
      <c r="K6" s="169"/>
    </row>
    <row r="7" spans="2:16">
      <c r="B7" s="183" t="s">
        <v>12</v>
      </c>
      <c r="C7" s="170">
        <v>4983</v>
      </c>
      <c r="D7" s="170">
        <v>8200</v>
      </c>
      <c r="E7" s="170"/>
      <c r="F7" s="170"/>
      <c r="G7" s="170"/>
      <c r="H7" s="170">
        <v>1900</v>
      </c>
      <c r="I7" s="184"/>
      <c r="J7" s="169"/>
      <c r="K7" s="169"/>
    </row>
    <row r="8" spans="2:16">
      <c r="B8" s="181" t="s">
        <v>13</v>
      </c>
      <c r="C8" s="401"/>
      <c r="D8" s="401"/>
      <c r="E8" s="401"/>
      <c r="F8" s="401"/>
      <c r="G8" s="401">
        <v>0</v>
      </c>
      <c r="H8" s="401"/>
      <c r="I8" s="182"/>
      <c r="J8" s="169"/>
      <c r="K8" s="169"/>
    </row>
    <row r="9" spans="2:16">
      <c r="B9" s="181" t="s">
        <v>14</v>
      </c>
      <c r="C9" s="401"/>
      <c r="D9" s="401"/>
      <c r="E9" s="401"/>
      <c r="F9" s="401"/>
      <c r="G9" s="401">
        <v>0</v>
      </c>
      <c r="H9" s="401"/>
      <c r="I9" s="182"/>
      <c r="J9" s="169"/>
      <c r="K9" s="169"/>
    </row>
    <row r="10" spans="2:16">
      <c r="B10" s="183" t="s">
        <v>15</v>
      </c>
      <c r="C10" s="170"/>
      <c r="D10" s="170">
        <v>0</v>
      </c>
      <c r="E10" s="170"/>
      <c r="F10" s="170"/>
      <c r="G10" s="170">
        <v>0</v>
      </c>
      <c r="H10" s="170">
        <v>4840</v>
      </c>
      <c r="I10" s="184"/>
      <c r="J10" s="169"/>
      <c r="K10" s="169"/>
    </row>
    <row r="11" spans="2:16" ht="13.8">
      <c r="B11" s="185" t="s">
        <v>16</v>
      </c>
      <c r="C11" s="171"/>
      <c r="D11" s="171"/>
      <c r="E11" s="171"/>
      <c r="F11" s="401"/>
      <c r="G11" s="402">
        <v>10</v>
      </c>
      <c r="H11" s="402"/>
      <c r="I11" s="182"/>
      <c r="J11" s="169"/>
      <c r="K11" s="169"/>
    </row>
    <row r="12" spans="2:16" ht="13.8">
      <c r="B12" s="185" t="s">
        <v>17</v>
      </c>
      <c r="C12" s="171"/>
      <c r="D12" s="171"/>
      <c r="E12" s="171"/>
      <c r="F12" s="401"/>
      <c r="G12" s="402">
        <v>15</v>
      </c>
      <c r="H12" s="402"/>
      <c r="I12" s="182"/>
      <c r="J12" s="169"/>
      <c r="K12" s="169"/>
    </row>
    <row r="13" spans="2:16" ht="13.8">
      <c r="B13" s="186" t="s">
        <v>18</v>
      </c>
      <c r="C13" s="172"/>
      <c r="D13" s="172">
        <v>1000</v>
      </c>
      <c r="E13" s="172"/>
      <c r="F13" s="170"/>
      <c r="G13" s="173">
        <v>0</v>
      </c>
      <c r="H13" s="173"/>
      <c r="I13" s="184"/>
      <c r="J13" s="169"/>
      <c r="K13" s="169"/>
    </row>
    <row r="14" spans="2:16" ht="13.8">
      <c r="B14" s="185" t="s">
        <v>19</v>
      </c>
      <c r="C14" s="171"/>
      <c r="D14" s="171"/>
      <c r="E14" s="171"/>
      <c r="F14" s="401"/>
      <c r="G14" s="402">
        <v>18</v>
      </c>
      <c r="H14" s="402"/>
      <c r="I14" s="182"/>
      <c r="J14" s="169"/>
      <c r="K14" s="169"/>
    </row>
    <row r="15" spans="2:16" ht="13.8">
      <c r="B15" s="185" t="s">
        <v>20</v>
      </c>
      <c r="C15" s="171"/>
      <c r="D15" s="171"/>
      <c r="E15" s="171"/>
      <c r="F15" s="401"/>
      <c r="G15" s="402">
        <v>17</v>
      </c>
      <c r="H15" s="402"/>
      <c r="I15" s="182"/>
      <c r="J15" s="169"/>
      <c r="K15" s="169"/>
    </row>
    <row r="16" spans="2:16" ht="13.8">
      <c r="B16" s="185" t="s">
        <v>21</v>
      </c>
      <c r="C16" s="171"/>
      <c r="D16" s="171"/>
      <c r="E16" s="171"/>
      <c r="F16" s="401"/>
      <c r="G16" s="402">
        <v>17</v>
      </c>
      <c r="H16" s="402"/>
      <c r="I16" s="182"/>
      <c r="J16" s="169"/>
      <c r="K16" s="169"/>
    </row>
    <row r="17" spans="2:12" ht="13.8">
      <c r="B17" s="186" t="s">
        <v>19</v>
      </c>
      <c r="C17" s="172">
        <v>310</v>
      </c>
      <c r="D17" s="172">
        <v>550</v>
      </c>
      <c r="E17" s="172"/>
      <c r="F17" s="170"/>
      <c r="G17" s="173">
        <v>200</v>
      </c>
      <c r="H17" s="173"/>
      <c r="I17" s="187"/>
      <c r="J17" s="169"/>
      <c r="K17" s="169"/>
    </row>
    <row r="18" spans="2:12" ht="13.8">
      <c r="B18" s="186" t="s">
        <v>21</v>
      </c>
      <c r="C18" s="172">
        <v>161</v>
      </c>
      <c r="D18" s="172"/>
      <c r="E18" s="172"/>
      <c r="F18" s="170"/>
      <c r="G18" s="173"/>
      <c r="H18" s="173"/>
      <c r="I18" s="187"/>
      <c r="J18" s="169"/>
      <c r="K18" s="169"/>
    </row>
    <row r="19" spans="2:12" ht="13.8">
      <c r="B19" s="186" t="s">
        <v>22</v>
      </c>
      <c r="C19" s="172">
        <v>3194</v>
      </c>
      <c r="D19" s="172">
        <v>7000</v>
      </c>
      <c r="E19" s="172"/>
      <c r="F19" s="170"/>
      <c r="G19" s="173">
        <v>500</v>
      </c>
      <c r="H19" s="173"/>
      <c r="I19" s="184"/>
      <c r="J19" s="169"/>
      <c r="K19" s="169"/>
    </row>
    <row r="20" spans="2:12" ht="13.8">
      <c r="B20" s="186" t="s">
        <v>23</v>
      </c>
      <c r="C20" s="172">
        <v>4559</v>
      </c>
      <c r="D20" s="172">
        <v>1200</v>
      </c>
      <c r="E20" s="172"/>
      <c r="F20" s="170"/>
      <c r="G20" s="173"/>
      <c r="H20" s="173"/>
      <c r="I20" s="184"/>
      <c r="J20" s="169"/>
      <c r="K20" s="169"/>
    </row>
    <row r="21" spans="2:12" ht="14.4" thickBot="1">
      <c r="B21" s="188" t="s">
        <v>24</v>
      </c>
      <c r="C21" s="189">
        <v>3153</v>
      </c>
      <c r="D21" s="189">
        <v>2500</v>
      </c>
      <c r="E21" s="189"/>
      <c r="F21" s="190"/>
      <c r="G21" s="191">
        <v>2800</v>
      </c>
      <c r="H21" s="191"/>
      <c r="I21" s="192"/>
      <c r="J21" s="169"/>
      <c r="K21" s="169"/>
    </row>
    <row r="22" spans="2:12">
      <c r="B22" s="168"/>
      <c r="C22" s="168"/>
      <c r="D22" s="168"/>
      <c r="E22" s="168"/>
      <c r="F22" s="168"/>
      <c r="G22" s="169"/>
      <c r="H22" s="169"/>
      <c r="I22" s="169"/>
      <c r="J22" s="169"/>
      <c r="K22" s="169"/>
    </row>
    <row r="23" spans="2:12" ht="15" thickBot="1">
      <c r="B23" s="555" t="s">
        <v>25</v>
      </c>
      <c r="C23" s="556"/>
      <c r="D23" s="556"/>
      <c r="E23" s="556"/>
      <c r="F23" s="556"/>
      <c r="G23" s="556"/>
      <c r="H23" s="556"/>
      <c r="I23" s="556"/>
      <c r="J23" s="169"/>
      <c r="K23" s="169"/>
    </row>
    <row r="24" spans="2:12">
      <c r="B24" s="193" t="s">
        <v>26</v>
      </c>
      <c r="C24" s="399" t="s">
        <v>2</v>
      </c>
      <c r="D24" s="399" t="s">
        <v>3</v>
      </c>
      <c r="E24" s="399" t="s">
        <v>4</v>
      </c>
      <c r="F24" s="399" t="s">
        <v>5</v>
      </c>
      <c r="G24" s="399" t="s">
        <v>6</v>
      </c>
      <c r="H24" s="399" t="s">
        <v>27</v>
      </c>
      <c r="I24" s="205" t="s">
        <v>8</v>
      </c>
      <c r="J24" s="399" t="s">
        <v>28</v>
      </c>
      <c r="K24" s="399" t="s">
        <v>29</v>
      </c>
      <c r="L24" s="399" t="s">
        <v>30</v>
      </c>
    </row>
    <row r="25" spans="2:12">
      <c r="B25" s="194" t="s">
        <v>31</v>
      </c>
      <c r="C25" s="404">
        <f>C4+C5</f>
        <v>21489</v>
      </c>
      <c r="D25" s="404">
        <f t="shared" ref="D25:J25" si="0">D4+D5</f>
        <v>4400</v>
      </c>
      <c r="E25" s="404">
        <f t="shared" si="0"/>
        <v>160</v>
      </c>
      <c r="F25" s="404">
        <f t="shared" si="0"/>
        <v>2000</v>
      </c>
      <c r="G25" s="404">
        <f t="shared" si="0"/>
        <v>3400</v>
      </c>
      <c r="H25" s="404">
        <f t="shared" si="0"/>
        <v>2000</v>
      </c>
      <c r="I25" s="195">
        <f t="shared" si="0"/>
        <v>0</v>
      </c>
      <c r="J25" s="404">
        <f t="shared" si="0"/>
        <v>0</v>
      </c>
      <c r="K25" s="404"/>
      <c r="L25" s="406"/>
    </row>
    <row r="26" spans="2:12">
      <c r="B26" s="194" t="s">
        <v>32</v>
      </c>
      <c r="C26" s="404">
        <f>C5</f>
        <v>21489</v>
      </c>
      <c r="D26" s="404">
        <f t="shared" ref="D26:I26" si="1">D5</f>
        <v>4400</v>
      </c>
      <c r="E26" s="404">
        <f t="shared" si="1"/>
        <v>160</v>
      </c>
      <c r="F26" s="404">
        <f t="shared" si="1"/>
        <v>2000</v>
      </c>
      <c r="G26" s="404">
        <f t="shared" si="1"/>
        <v>3400</v>
      </c>
      <c r="H26" s="404">
        <f t="shared" si="1"/>
        <v>2000</v>
      </c>
      <c r="I26" s="195">
        <f t="shared" si="1"/>
        <v>0</v>
      </c>
      <c r="J26" s="404">
        <f>SUM(C26:I26)</f>
        <v>33449</v>
      </c>
      <c r="K26" s="404" t="e">
        <f>#REF!</f>
        <v>#REF!</v>
      </c>
      <c r="L26" s="406" t="e">
        <f>K26/J26</f>
        <v>#REF!</v>
      </c>
    </row>
    <row r="27" spans="2:12">
      <c r="B27" s="181" t="s">
        <v>33</v>
      </c>
      <c r="C27" s="401">
        <f>C6+C7</f>
        <v>4983</v>
      </c>
      <c r="D27" s="401">
        <f t="shared" ref="D27:J27" si="2">D6+D7</f>
        <v>8200</v>
      </c>
      <c r="E27" s="401">
        <f t="shared" si="2"/>
        <v>0</v>
      </c>
      <c r="F27" s="401">
        <f t="shared" si="2"/>
        <v>0</v>
      </c>
      <c r="G27" s="401">
        <f t="shared" si="2"/>
        <v>0</v>
      </c>
      <c r="H27" s="401">
        <f t="shared" si="2"/>
        <v>1900</v>
      </c>
      <c r="I27" s="196">
        <f t="shared" si="2"/>
        <v>0</v>
      </c>
      <c r="J27" s="401">
        <f t="shared" si="2"/>
        <v>0</v>
      </c>
      <c r="K27" s="401"/>
      <c r="L27" s="406"/>
    </row>
    <row r="28" spans="2:12">
      <c r="B28" s="181" t="s">
        <v>34</v>
      </c>
      <c r="C28" s="402">
        <f>C7</f>
        <v>4983</v>
      </c>
      <c r="D28" s="402">
        <f t="shared" ref="D28:I28" si="3">D7</f>
        <v>8200</v>
      </c>
      <c r="E28" s="402">
        <f t="shared" si="3"/>
        <v>0</v>
      </c>
      <c r="F28" s="402">
        <f t="shared" si="3"/>
        <v>0</v>
      </c>
      <c r="G28" s="402">
        <f t="shared" si="3"/>
        <v>0</v>
      </c>
      <c r="H28" s="402">
        <f t="shared" si="3"/>
        <v>1900</v>
      </c>
      <c r="I28" s="182">
        <f t="shared" si="3"/>
        <v>0</v>
      </c>
      <c r="J28" s="404">
        <f>SUM(C28:I28)</f>
        <v>15083</v>
      </c>
      <c r="K28" s="404" t="e">
        <f>#REF!</f>
        <v>#REF!</v>
      </c>
      <c r="L28" s="406" t="e">
        <f>K28/J28</f>
        <v>#REF!</v>
      </c>
    </row>
    <row r="29" spans="2:12">
      <c r="B29" s="194" t="s">
        <v>35</v>
      </c>
      <c r="C29" s="405">
        <f>C8+C9+C10</f>
        <v>0</v>
      </c>
      <c r="D29" s="405">
        <f t="shared" ref="D29:J29" si="4">D8+D9+D10</f>
        <v>0</v>
      </c>
      <c r="E29" s="405">
        <f t="shared" si="4"/>
        <v>0</v>
      </c>
      <c r="F29" s="405">
        <f t="shared" si="4"/>
        <v>0</v>
      </c>
      <c r="G29" s="405">
        <f t="shared" si="4"/>
        <v>0</v>
      </c>
      <c r="H29" s="405">
        <f t="shared" si="4"/>
        <v>4840</v>
      </c>
      <c r="I29" s="197">
        <f t="shared" si="4"/>
        <v>0</v>
      </c>
      <c r="J29" s="405">
        <f t="shared" si="4"/>
        <v>0</v>
      </c>
      <c r="K29" s="405"/>
      <c r="L29" s="406"/>
    </row>
    <row r="30" spans="2:12">
      <c r="B30" s="194" t="s">
        <v>36</v>
      </c>
      <c r="C30" s="405">
        <f>C10</f>
        <v>0</v>
      </c>
      <c r="D30" s="405">
        <f t="shared" ref="D30:I30" si="5">D10</f>
        <v>0</v>
      </c>
      <c r="E30" s="405">
        <f t="shared" si="5"/>
        <v>0</v>
      </c>
      <c r="F30" s="405">
        <f t="shared" si="5"/>
        <v>0</v>
      </c>
      <c r="G30" s="405">
        <f t="shared" si="5"/>
        <v>0</v>
      </c>
      <c r="H30" s="405">
        <f t="shared" si="5"/>
        <v>4840</v>
      </c>
      <c r="I30" s="197">
        <f t="shared" si="5"/>
        <v>0</v>
      </c>
      <c r="J30" s="404">
        <f>SUM(C30:I30)</f>
        <v>4840</v>
      </c>
      <c r="K30" s="404" t="e">
        <f>#REF!</f>
        <v>#REF!</v>
      </c>
      <c r="L30" s="406">
        <v>1</v>
      </c>
    </row>
    <row r="31" spans="2:12">
      <c r="B31" s="181" t="s">
        <v>37</v>
      </c>
      <c r="C31" s="402"/>
      <c r="D31" s="402">
        <f>D19+D16+D15+D14+D13+D12+D11+D20+D17</f>
        <v>9750</v>
      </c>
      <c r="E31" s="402">
        <f>E19+E16+E15+E14+E13+E12+E11+E20</f>
        <v>0</v>
      </c>
      <c r="F31" s="402">
        <f>F19+F16+F15+F14+F13+F12+F11+F20</f>
        <v>0</v>
      </c>
      <c r="G31" s="402">
        <f>G19+G16+G15+G14+G13+G12+G11+G20+G17</f>
        <v>777</v>
      </c>
      <c r="H31" s="402">
        <f>H19+H16+H15+H14+H13+H12+H11+H20</f>
        <v>0</v>
      </c>
      <c r="I31" s="182">
        <f>I19+I16+I15+I14+I13+I12+I11+I20</f>
        <v>0</v>
      </c>
      <c r="J31" s="402">
        <f>J19+J16+J15+J14+J13+J12+J11+J20</f>
        <v>0</v>
      </c>
      <c r="K31" s="402"/>
      <c r="L31" s="406"/>
    </row>
    <row r="32" spans="2:12">
      <c r="B32" s="181" t="s">
        <v>38</v>
      </c>
      <c r="C32" s="402"/>
      <c r="D32" s="402">
        <f t="shared" ref="D32:I32" si="6">D31-D11-D12</f>
        <v>9750</v>
      </c>
      <c r="E32" s="402">
        <f t="shared" si="6"/>
        <v>0</v>
      </c>
      <c r="F32" s="402">
        <f t="shared" si="6"/>
        <v>0</v>
      </c>
      <c r="G32" s="402">
        <f>G31-G11-G12</f>
        <v>752</v>
      </c>
      <c r="H32" s="402">
        <f t="shared" si="6"/>
        <v>0</v>
      </c>
      <c r="I32" s="182">
        <f t="shared" si="6"/>
        <v>0</v>
      </c>
      <c r="J32" s="404">
        <f>SUM(C32:I32)</f>
        <v>10502</v>
      </c>
      <c r="K32" s="404" t="e">
        <f>#REF!-#REF!</f>
        <v>#REF!</v>
      </c>
      <c r="L32" s="406" t="e">
        <f>K32/J32</f>
        <v>#REF!</v>
      </c>
    </row>
    <row r="33" spans="2:12">
      <c r="B33" s="198" t="s">
        <v>39</v>
      </c>
      <c r="C33" s="403">
        <f t="shared" ref="C33:I33" si="7">C14+C15+C16+C19+C20+C17+C18</f>
        <v>8224</v>
      </c>
      <c r="D33" s="403">
        <f t="shared" si="7"/>
        <v>8750</v>
      </c>
      <c r="E33" s="403">
        <f t="shared" si="7"/>
        <v>0</v>
      </c>
      <c r="F33" s="403">
        <f t="shared" si="7"/>
        <v>0</v>
      </c>
      <c r="G33" s="403">
        <f t="shared" si="7"/>
        <v>752</v>
      </c>
      <c r="H33" s="403">
        <f t="shared" si="7"/>
        <v>0</v>
      </c>
      <c r="I33" s="184">
        <f t="shared" si="7"/>
        <v>0</v>
      </c>
      <c r="J33" s="404">
        <f>SUM(C33:I33)</f>
        <v>17726</v>
      </c>
      <c r="K33" s="403" t="e">
        <f>#REF!-#REF!</f>
        <v>#REF!</v>
      </c>
      <c r="L33" s="406" t="e">
        <f>K33/J33</f>
        <v>#REF!</v>
      </c>
    </row>
    <row r="34" spans="2:12">
      <c r="B34" s="199" t="s">
        <v>40</v>
      </c>
      <c r="C34" s="174">
        <f t="shared" ref="C34:I34" si="8">C33-C14-C15-C16-C17-C18</f>
        <v>7753</v>
      </c>
      <c r="D34" s="174">
        <f t="shared" si="8"/>
        <v>8200</v>
      </c>
      <c r="E34" s="174">
        <f t="shared" si="8"/>
        <v>0</v>
      </c>
      <c r="F34" s="174">
        <f t="shared" si="8"/>
        <v>0</v>
      </c>
      <c r="G34" s="174">
        <f t="shared" si="8"/>
        <v>500</v>
      </c>
      <c r="H34" s="174">
        <f t="shared" si="8"/>
        <v>0</v>
      </c>
      <c r="I34" s="200">
        <f t="shared" si="8"/>
        <v>0</v>
      </c>
      <c r="J34" s="404"/>
      <c r="K34" s="404"/>
      <c r="L34" s="406"/>
    </row>
    <row r="35" spans="2:12">
      <c r="B35" s="201" t="s">
        <v>41</v>
      </c>
      <c r="C35" s="402">
        <f>C20</f>
        <v>4559</v>
      </c>
      <c r="D35" s="402">
        <f t="shared" ref="D35:I35" si="9">D20</f>
        <v>1200</v>
      </c>
      <c r="E35" s="402">
        <f t="shared" si="9"/>
        <v>0</v>
      </c>
      <c r="F35" s="402">
        <f t="shared" si="9"/>
        <v>0</v>
      </c>
      <c r="G35" s="402">
        <f t="shared" si="9"/>
        <v>0</v>
      </c>
      <c r="H35" s="402">
        <f t="shared" si="9"/>
        <v>0</v>
      </c>
      <c r="I35" s="182">
        <f t="shared" si="9"/>
        <v>0</v>
      </c>
      <c r="J35" s="404">
        <f>SUM(C35:I35)</f>
        <v>5759</v>
      </c>
      <c r="K35" s="404" t="e">
        <f>#REF!</f>
        <v>#REF!</v>
      </c>
      <c r="L35" s="406" t="e">
        <f>K35/J35</f>
        <v>#REF!</v>
      </c>
    </row>
    <row r="36" spans="2:12" ht="13.8" thickBot="1">
      <c r="B36" s="202" t="s">
        <v>42</v>
      </c>
      <c r="C36" s="203">
        <f>C21</f>
        <v>3153</v>
      </c>
      <c r="D36" s="203">
        <f t="shared" ref="D36:I36" si="10">D21</f>
        <v>2500</v>
      </c>
      <c r="E36" s="203">
        <f t="shared" si="10"/>
        <v>0</v>
      </c>
      <c r="F36" s="203">
        <f t="shared" si="10"/>
        <v>0</v>
      </c>
      <c r="G36" s="203">
        <f t="shared" si="10"/>
        <v>2800</v>
      </c>
      <c r="H36" s="203">
        <f t="shared" si="10"/>
        <v>0</v>
      </c>
      <c r="I36" s="204">
        <f t="shared" si="10"/>
        <v>0</v>
      </c>
      <c r="J36" s="404">
        <f>SUM(C36:I36)</f>
        <v>8453</v>
      </c>
      <c r="K36" s="404" t="e">
        <f>#REF!</f>
        <v>#REF!</v>
      </c>
      <c r="L36" s="406" t="e">
        <f>K36/J36</f>
        <v>#REF!</v>
      </c>
    </row>
    <row r="37" spans="2:12">
      <c r="C37" s="169"/>
      <c r="D37" s="169"/>
      <c r="E37" s="169"/>
      <c r="F37" s="169"/>
      <c r="G37" s="169"/>
      <c r="H37" s="169"/>
      <c r="I37" s="169"/>
      <c r="J37" s="407">
        <f>SUM(J25:J36)</f>
        <v>95812</v>
      </c>
      <c r="K37" s="407" t="e">
        <f>SUM(K25:K36)</f>
        <v>#REF!</v>
      </c>
      <c r="L37" s="406" t="e">
        <f>K37/J37</f>
        <v>#REF!</v>
      </c>
    </row>
    <row r="38" spans="2:12">
      <c r="C38" s="169"/>
      <c r="D38" s="169"/>
      <c r="E38" s="169"/>
      <c r="F38" s="169"/>
      <c r="G38" s="169"/>
      <c r="H38" s="169"/>
      <c r="I38" s="169"/>
      <c r="J38" s="169"/>
      <c r="K38" s="169"/>
      <c r="L38" s="169"/>
    </row>
    <row r="39" spans="2:12">
      <c r="C39" s="169"/>
      <c r="D39" s="169"/>
      <c r="E39" s="169"/>
      <c r="F39" s="169"/>
      <c r="G39" s="169"/>
      <c r="H39" s="169"/>
      <c r="I39" s="169"/>
      <c r="J39" s="169"/>
      <c r="K39" s="169"/>
      <c r="L39" s="169"/>
    </row>
    <row r="40" spans="2:12">
      <c r="C40" s="169"/>
      <c r="D40" s="169"/>
      <c r="E40" s="169"/>
      <c r="F40" s="169"/>
      <c r="G40" s="169"/>
      <c r="H40" s="169"/>
      <c r="I40" s="169"/>
      <c r="J40" s="169"/>
      <c r="K40" s="169"/>
      <c r="L40" s="169"/>
    </row>
    <row r="41" spans="2:12">
      <c r="C41" s="169"/>
      <c r="D41" s="169"/>
      <c r="E41" s="169"/>
      <c r="F41" s="169"/>
      <c r="G41" s="169"/>
      <c r="H41" s="169"/>
      <c r="I41" s="169"/>
      <c r="J41" s="169"/>
      <c r="K41" s="169"/>
      <c r="L41" s="169"/>
    </row>
    <row r="42" spans="2:12">
      <c r="C42" s="169"/>
      <c r="D42" s="169"/>
      <c r="E42" s="169"/>
      <c r="F42" s="169"/>
      <c r="G42" s="169"/>
      <c r="H42" s="169"/>
      <c r="I42" s="169"/>
      <c r="J42" s="169"/>
      <c r="K42" s="169"/>
      <c r="L42" s="169"/>
    </row>
    <row r="43" spans="2:12">
      <c r="C43" s="169"/>
      <c r="D43" s="169"/>
      <c r="E43" s="169"/>
      <c r="F43" s="169"/>
      <c r="G43" s="169"/>
      <c r="H43" s="169"/>
      <c r="I43" s="169"/>
      <c r="J43" s="169"/>
      <c r="K43" s="169"/>
      <c r="L43" s="169"/>
    </row>
    <row r="44" spans="2:12">
      <c r="C44" s="169"/>
      <c r="D44" s="169"/>
      <c r="E44" s="169"/>
      <c r="F44" s="169"/>
      <c r="G44" s="169"/>
      <c r="H44" s="169"/>
      <c r="I44" s="169"/>
      <c r="J44" s="169"/>
      <c r="K44" s="169"/>
      <c r="L44" s="169"/>
    </row>
    <row r="45" spans="2:12">
      <c r="C45" s="169"/>
      <c r="D45" s="169"/>
      <c r="E45" s="169"/>
      <c r="F45" s="169"/>
      <c r="G45" s="169"/>
      <c r="H45" s="169"/>
      <c r="I45" s="169"/>
      <c r="J45" s="169"/>
      <c r="K45" s="169"/>
      <c r="L45" s="169"/>
    </row>
    <row r="46" spans="2:12">
      <c r="C46" s="169"/>
      <c r="D46" s="169"/>
      <c r="E46" s="169"/>
      <c r="F46" s="169"/>
      <c r="G46" s="169"/>
      <c r="H46" s="169"/>
      <c r="I46" s="169"/>
      <c r="J46" s="169"/>
      <c r="K46" s="169"/>
      <c r="L46" s="169"/>
    </row>
    <row r="47" spans="2:12">
      <c r="C47" s="169"/>
      <c r="D47" s="169"/>
      <c r="E47" s="169"/>
      <c r="F47" s="169"/>
      <c r="G47" s="169"/>
      <c r="H47" s="169"/>
      <c r="I47" s="169"/>
      <c r="J47" s="169"/>
      <c r="K47" s="169"/>
      <c r="L47" s="169"/>
    </row>
    <row r="48" spans="2:12">
      <c r="C48" s="169"/>
      <c r="D48" s="169"/>
      <c r="E48" s="169"/>
      <c r="F48" s="169"/>
      <c r="G48" s="169"/>
      <c r="H48" s="169"/>
      <c r="I48" s="169"/>
      <c r="J48" s="169"/>
      <c r="K48" s="169"/>
      <c r="L48" s="169"/>
    </row>
    <row r="49" spans="3:12">
      <c r="C49" s="169"/>
      <c r="D49" s="169"/>
      <c r="E49" s="169"/>
      <c r="F49" s="169"/>
      <c r="G49" s="169"/>
      <c r="H49" s="169"/>
      <c r="I49" s="169"/>
      <c r="J49" s="169"/>
      <c r="K49" s="169"/>
      <c r="L49" s="169"/>
    </row>
    <row r="50" spans="3:12">
      <c r="C50" s="169"/>
      <c r="D50" s="169"/>
      <c r="E50" s="169"/>
      <c r="F50" s="169"/>
      <c r="G50" s="169"/>
      <c r="H50" s="169"/>
      <c r="I50" s="169"/>
      <c r="J50" s="169"/>
      <c r="K50" s="169"/>
      <c r="L50" s="169"/>
    </row>
    <row r="51" spans="3:12">
      <c r="C51" s="169"/>
      <c r="D51" s="169"/>
      <c r="E51" s="169"/>
      <c r="F51" s="169"/>
      <c r="G51" s="169"/>
      <c r="H51" s="169"/>
      <c r="I51" s="169"/>
      <c r="J51" s="169"/>
      <c r="K51" s="169"/>
      <c r="L51" s="169"/>
    </row>
    <row r="52" spans="3:12">
      <c r="C52" s="169"/>
      <c r="D52" s="169"/>
      <c r="E52" s="169"/>
      <c r="F52" s="169"/>
      <c r="G52" s="169"/>
      <c r="H52" s="169"/>
      <c r="I52" s="169"/>
      <c r="J52" s="169"/>
      <c r="K52" s="169"/>
      <c r="L52" s="169"/>
    </row>
    <row r="53" spans="3:12">
      <c r="C53" s="169"/>
      <c r="D53" s="169"/>
      <c r="E53" s="169"/>
      <c r="F53" s="169"/>
      <c r="G53" s="169"/>
      <c r="H53" s="169"/>
      <c r="I53" s="169"/>
      <c r="J53" s="169"/>
      <c r="K53" s="169"/>
      <c r="L53" s="169"/>
    </row>
  </sheetData>
  <mergeCells count="3">
    <mergeCell ref="B23:I23"/>
    <mergeCell ref="B2:I2"/>
    <mergeCell ref="E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63"/>
  <sheetViews>
    <sheetView topLeftCell="A26" workbookViewId="0">
      <selection activeCell="I43" sqref="I43"/>
    </sheetView>
  </sheetViews>
  <sheetFormatPr baseColWidth="10" defaultColWidth="11.44140625" defaultRowHeight="14.4"/>
  <cols>
    <col min="1" max="1" width="14.5546875" customWidth="1"/>
    <col min="2" max="2" width="8.44140625" customWidth="1"/>
    <col min="3" max="3" width="9.5546875" customWidth="1"/>
    <col min="4" max="8" width="8.44140625" customWidth="1"/>
  </cols>
  <sheetData>
    <row r="1" spans="1:9">
      <c r="A1" s="252" t="s">
        <v>150</v>
      </c>
    </row>
    <row r="2" spans="1:9">
      <c r="A2" s="253" t="s">
        <v>151</v>
      </c>
      <c r="B2" s="254">
        <v>44243</v>
      </c>
    </row>
    <row r="3" spans="1:9">
      <c r="A3" s="255" t="s">
        <v>128</v>
      </c>
      <c r="B3" s="256" t="s">
        <v>2</v>
      </c>
      <c r="C3" s="256" t="s">
        <v>3</v>
      </c>
      <c r="D3" s="256" t="s">
        <v>4</v>
      </c>
      <c r="E3" s="256" t="s">
        <v>5</v>
      </c>
      <c r="F3" s="256" t="s">
        <v>6</v>
      </c>
      <c r="G3" s="256" t="s">
        <v>27</v>
      </c>
      <c r="H3" s="256" t="s">
        <v>8</v>
      </c>
      <c r="I3" s="256" t="s">
        <v>72</v>
      </c>
    </row>
    <row r="4" spans="1:9">
      <c r="A4" s="218" t="s">
        <v>147</v>
      </c>
      <c r="B4" s="211">
        <f>B56</f>
        <v>0</v>
      </c>
      <c r="C4" s="211">
        <f t="shared" ref="C4:H4" si="0">C56</f>
        <v>0</v>
      </c>
      <c r="D4" s="211">
        <f t="shared" si="0"/>
        <v>0</v>
      </c>
      <c r="E4" s="211">
        <f t="shared" si="0"/>
        <v>0</v>
      </c>
      <c r="F4" s="211">
        <f t="shared" si="0"/>
        <v>0</v>
      </c>
      <c r="G4" s="211">
        <f t="shared" si="0"/>
        <v>0</v>
      </c>
      <c r="H4" s="211">
        <f t="shared" si="0"/>
        <v>0</v>
      </c>
      <c r="I4" s="211">
        <f>SUM(B4:H4)</f>
        <v>0</v>
      </c>
    </row>
    <row r="5" spans="1:9">
      <c r="A5" s="210" t="s">
        <v>152</v>
      </c>
      <c r="B5" s="211" t="e">
        <f>VLOOKUP($B$2,'PCOLP I'!$B$8:$AK$38,24,1)</f>
        <v>#N/A</v>
      </c>
      <c r="C5" s="211" t="e">
        <f>VLOOKUP($B$2,'PCOLP I'!$B$8:$AK$38,26,1)</f>
        <v>#N/A</v>
      </c>
      <c r="D5" s="211" t="e">
        <f>VLOOKUP($B$2,'PCOLP I'!$B$8:$AK$38,28,1)</f>
        <v>#N/A</v>
      </c>
      <c r="E5" s="211" t="e">
        <f>VLOOKUP($B$2,'PCOLP I'!$B$8:$AK$38,30,1)</f>
        <v>#N/A</v>
      </c>
      <c r="F5" s="211" t="e">
        <f>VLOOKUP($B$2,'PCOLP I'!$B$8:$AK$38,32,1)+VLOOKUP($B$2,'PCOLP I'!$B$8:$AK$38,22,1)</f>
        <v>#N/A</v>
      </c>
      <c r="G5" s="211" t="e">
        <f>VLOOKUP($B$2,'PCOLP I'!$B$8:$AK$38,34,1)</f>
        <v>#N/A</v>
      </c>
      <c r="H5" s="211" t="e">
        <f>VLOOKUP($B$2,'PCOLP I'!$B$8:$AK$38,36,1)</f>
        <v>#N/A</v>
      </c>
      <c r="I5" s="211" t="e">
        <f>SUM(B5:H5)</f>
        <v>#N/A</v>
      </c>
    </row>
    <row r="6" spans="1:9">
      <c r="A6" s="257" t="s">
        <v>153</v>
      </c>
      <c r="B6" s="258" t="e">
        <f>B5/B4</f>
        <v>#N/A</v>
      </c>
      <c r="C6" s="258" t="e">
        <f>C5/C4</f>
        <v>#N/A</v>
      </c>
      <c r="D6" s="258"/>
      <c r="E6" s="258"/>
      <c r="F6" s="258"/>
      <c r="G6" s="258"/>
      <c r="H6" s="258"/>
      <c r="I6" s="258" t="e">
        <f>I5/I4</f>
        <v>#N/A</v>
      </c>
    </row>
    <row r="8" spans="1:9">
      <c r="A8" s="255" t="s">
        <v>104</v>
      </c>
      <c r="B8" s="256" t="s">
        <v>2</v>
      </c>
      <c r="C8" s="256" t="s">
        <v>3</v>
      </c>
      <c r="D8" s="256" t="s">
        <v>4</v>
      </c>
      <c r="E8" s="256" t="s">
        <v>5</v>
      </c>
      <c r="F8" s="256" t="s">
        <v>6</v>
      </c>
      <c r="G8" s="256" t="s">
        <v>27</v>
      </c>
      <c r="H8" s="256" t="s">
        <v>8</v>
      </c>
      <c r="I8" s="256" t="s">
        <v>72</v>
      </c>
    </row>
    <row r="9" spans="1:9">
      <c r="A9" s="218" t="s">
        <v>147</v>
      </c>
      <c r="B9" s="211">
        <f>B57</f>
        <v>0</v>
      </c>
      <c r="C9" s="211">
        <f t="shared" ref="C9:H9" si="1">C57</f>
        <v>0</v>
      </c>
      <c r="D9" s="211">
        <f t="shared" si="1"/>
        <v>0</v>
      </c>
      <c r="E9" s="211">
        <f t="shared" si="1"/>
        <v>0</v>
      </c>
      <c r="F9" s="211">
        <f t="shared" si="1"/>
        <v>0</v>
      </c>
      <c r="G9" s="211">
        <f t="shared" si="1"/>
        <v>0</v>
      </c>
      <c r="H9" s="211">
        <f t="shared" si="1"/>
        <v>0</v>
      </c>
      <c r="I9" s="211">
        <f>SUM(B9:H9)</f>
        <v>0</v>
      </c>
    </row>
    <row r="10" spans="1:9">
      <c r="A10" s="210" t="s">
        <v>152</v>
      </c>
      <c r="B10" s="211" t="e">
        <f>VLOOKUP($B$2,'PCOLP II'!$B$8:$AK$38,24,1)</f>
        <v>#N/A</v>
      </c>
      <c r="C10" s="211" t="e">
        <f>VLOOKUP($B$2,'PCOLP II'!$B$8:$AK$38,26,1)</f>
        <v>#N/A</v>
      </c>
      <c r="D10" s="211" t="e">
        <f>VLOOKUP($B$2,'PCOLP II'!$B$8:$AK$38,28,1)</f>
        <v>#N/A</v>
      </c>
      <c r="E10" s="211" t="e">
        <f>VLOOKUP($B$2,'PCOLP II'!$B$8:$AK$38,30,1)</f>
        <v>#N/A</v>
      </c>
      <c r="F10" s="211" t="e">
        <f>VLOOKUP($B$2,'PCOLP II'!$B$8:$AK$38,32,1)+VLOOKUP($B$2,'PCOLP II'!$B$8:$AK$38,22,1)</f>
        <v>#N/A</v>
      </c>
      <c r="G10" s="211" t="e">
        <f>VLOOKUP($B$2,'PCOLP II'!$B$8:$AK$38,34,1)</f>
        <v>#N/A</v>
      </c>
      <c r="H10" s="211" t="e">
        <f>VLOOKUP($B$2,'PCOLP II'!$B$8:$AK$38,36,1)</f>
        <v>#N/A</v>
      </c>
      <c r="I10" s="211" t="e">
        <f>SUM(B10:H10)</f>
        <v>#N/A</v>
      </c>
    </row>
    <row r="11" spans="1:9">
      <c r="A11" s="257" t="s">
        <v>153</v>
      </c>
      <c r="B11" s="258" t="e">
        <f>B10/B9</f>
        <v>#N/A</v>
      </c>
      <c r="C11" s="258" t="e">
        <f>C10/C9</f>
        <v>#N/A</v>
      </c>
      <c r="D11" s="258"/>
      <c r="E11" s="258"/>
      <c r="F11" s="258"/>
      <c r="G11" s="258"/>
      <c r="H11" s="258"/>
      <c r="I11" s="258" t="e">
        <f>I10/I9</f>
        <v>#N/A</v>
      </c>
    </row>
    <row r="13" spans="1:9">
      <c r="A13" s="255" t="s">
        <v>131</v>
      </c>
      <c r="B13" s="256" t="s">
        <v>2</v>
      </c>
      <c r="C13" s="256" t="s">
        <v>3</v>
      </c>
      <c r="D13" s="256" t="s">
        <v>4</v>
      </c>
      <c r="E13" s="256" t="s">
        <v>5</v>
      </c>
      <c r="F13" s="256" t="s">
        <v>6</v>
      </c>
      <c r="G13" s="256" t="s">
        <v>27</v>
      </c>
      <c r="H13" s="256" t="s">
        <v>8</v>
      </c>
      <c r="I13" s="256" t="s">
        <v>72</v>
      </c>
    </row>
    <row r="14" spans="1:9">
      <c r="A14" s="218" t="s">
        <v>147</v>
      </c>
      <c r="B14" s="211">
        <f>B58</f>
        <v>0</v>
      </c>
      <c r="C14" s="211">
        <f t="shared" ref="C14:H14" si="2">C58</f>
        <v>0</v>
      </c>
      <c r="D14" s="211">
        <f t="shared" si="2"/>
        <v>0</v>
      </c>
      <c r="E14" s="211">
        <f t="shared" si="2"/>
        <v>0</v>
      </c>
      <c r="F14" s="211">
        <f t="shared" si="2"/>
        <v>0</v>
      </c>
      <c r="G14" s="211">
        <f t="shared" si="2"/>
        <v>0</v>
      </c>
      <c r="H14" s="211">
        <f t="shared" si="2"/>
        <v>0</v>
      </c>
      <c r="I14" s="211">
        <f>SUM(B14:H14)</f>
        <v>0</v>
      </c>
    </row>
    <row r="15" spans="1:9">
      <c r="A15" s="210" t="s">
        <v>152</v>
      </c>
      <c r="B15" s="211" t="e">
        <f>VLOOKUP($B$2,PCPV!$B$8:$AM$38,26,1)</f>
        <v>#N/A</v>
      </c>
      <c r="C15" s="211" t="e">
        <f>VLOOKUP($B$2,PCPV!$B$8:$AM$38,28,1)</f>
        <v>#N/A</v>
      </c>
      <c r="D15" s="211" t="e">
        <f>VLOOKUP($B$2,PCPV!$B$8:$AM$38,30,1)</f>
        <v>#N/A</v>
      </c>
      <c r="E15" s="211" t="e">
        <f>VLOOKUP($B$2,PCPV!$B$8:$AM$38,32,1)</f>
        <v>#N/A</v>
      </c>
      <c r="F15" s="211" t="e">
        <f>VLOOKUP($B$2,PCPV!$B$8:$AM$38,34,1)+VLOOKUP($B$2,PCPV!$B$8:$AM$38,22,1)+VLOOKUP($B$2,PCPV!$B$8:$AM$38,24,1)</f>
        <v>#N/A</v>
      </c>
      <c r="G15" s="211" t="e">
        <f>VLOOKUP($B$2,PCPV!$B$8:$AM$38,36,1)</f>
        <v>#N/A</v>
      </c>
      <c r="H15" s="211" t="e">
        <f>VLOOKUP($B$2,PCPV!$B$8:$AM$38,38,1)</f>
        <v>#N/A</v>
      </c>
      <c r="I15" s="211" t="e">
        <f>SUM(B15:H15)</f>
        <v>#N/A</v>
      </c>
    </row>
    <row r="16" spans="1:9">
      <c r="A16" s="257" t="s">
        <v>153</v>
      </c>
      <c r="B16" s="258"/>
      <c r="C16" s="258" t="e">
        <f>C15/C14</f>
        <v>#N/A</v>
      </c>
      <c r="D16" s="258"/>
      <c r="E16" s="258"/>
      <c r="F16" s="258"/>
      <c r="G16" s="258"/>
      <c r="H16" s="258"/>
      <c r="I16" s="258" t="e">
        <f>I15/I14</f>
        <v>#N/A</v>
      </c>
    </row>
    <row r="18" spans="1:9">
      <c r="A18" s="255" t="s">
        <v>144</v>
      </c>
      <c r="B18" s="256" t="s">
        <v>2</v>
      </c>
      <c r="C18" s="256" t="s">
        <v>3</v>
      </c>
      <c r="D18" s="256" t="s">
        <v>4</v>
      </c>
      <c r="E18" s="256" t="s">
        <v>5</v>
      </c>
      <c r="F18" s="256" t="s">
        <v>6</v>
      </c>
      <c r="G18" s="256" t="s">
        <v>27</v>
      </c>
      <c r="H18" s="256" t="s">
        <v>8</v>
      </c>
      <c r="I18" s="256" t="s">
        <v>72</v>
      </c>
    </row>
    <row r="19" spans="1:9">
      <c r="A19" s="218" t="s">
        <v>147</v>
      </c>
      <c r="B19" s="211">
        <f>B59</f>
        <v>0</v>
      </c>
      <c r="C19" s="211">
        <f t="shared" ref="C19:H19" si="3">C59</f>
        <v>0</v>
      </c>
      <c r="D19" s="211">
        <f t="shared" si="3"/>
        <v>241</v>
      </c>
      <c r="E19" s="211">
        <f t="shared" si="3"/>
        <v>0</v>
      </c>
      <c r="F19" s="211">
        <f t="shared" si="3"/>
        <v>315</v>
      </c>
      <c r="G19" s="211">
        <f t="shared" si="3"/>
        <v>0</v>
      </c>
      <c r="H19" s="211">
        <f t="shared" si="3"/>
        <v>0</v>
      </c>
      <c r="I19" s="211">
        <f>SUM(B19:H19)</f>
        <v>556</v>
      </c>
    </row>
    <row r="20" spans="1:9">
      <c r="A20" s="210" t="s">
        <v>152</v>
      </c>
      <c r="B20" s="211" t="e">
        <f>VLOOKUP($B$2,Z1PCSPSP!$B$8:$AJ$38,23,1)</f>
        <v>#N/A</v>
      </c>
      <c r="C20" s="211" t="e">
        <f>VLOOKUP($B$2,Z1PCSPSP!$B$8:$AJ$38,25,1)</f>
        <v>#N/A</v>
      </c>
      <c r="D20" s="211" t="e">
        <f>VLOOKUP($B$2,Z1PCSPSP!$B$8:$AJ$38,27,1)</f>
        <v>#N/A</v>
      </c>
      <c r="E20" s="211" t="e">
        <f>VLOOKUP($B$2,Z1PCSPSP!$B$8:$AM$38,29,1)</f>
        <v>#N/A</v>
      </c>
      <c r="F20" s="211" t="e">
        <f>VLOOKUP($B$2,Z1PCSPSP!$B$8:$AM$38,31,1)+VLOOKUP($B$2,Z1PCSPSP!$B$8:$AM$38,19,1)+VLOOKUP($B$2,Z1PCSPSP!$B$8:$AM$38,21,1)</f>
        <v>#N/A</v>
      </c>
      <c r="G20" s="211" t="e">
        <f>VLOOKUP($B$2,Z1PCSPSP!$B$8:$AJ$38,33,1)</f>
        <v>#N/A</v>
      </c>
      <c r="H20" s="211" t="e">
        <f>VLOOKUP($B$2,Z1PCSPSP!$B$8:$AJ$38,35,1)</f>
        <v>#N/A</v>
      </c>
      <c r="I20" s="211" t="e">
        <f>SUM(B20:H20)</f>
        <v>#N/A</v>
      </c>
    </row>
    <row r="21" spans="1:9">
      <c r="A21" s="257" t="s">
        <v>153</v>
      </c>
      <c r="B21" s="258"/>
      <c r="C21" s="258"/>
      <c r="D21" s="258" t="e">
        <f>D20/D19</f>
        <v>#N/A</v>
      </c>
      <c r="E21" s="258"/>
      <c r="F21" s="258" t="e">
        <f>F20/F19</f>
        <v>#N/A</v>
      </c>
      <c r="G21" s="258"/>
      <c r="H21" s="258"/>
      <c r="I21" s="258" t="e">
        <f>I20/I19</f>
        <v>#N/A</v>
      </c>
    </row>
    <row r="23" spans="1:9">
      <c r="A23" s="255" t="s">
        <v>133</v>
      </c>
      <c r="B23" s="256" t="s">
        <v>2</v>
      </c>
      <c r="C23" s="256" t="s">
        <v>3</v>
      </c>
      <c r="D23" s="256" t="s">
        <v>4</v>
      </c>
      <c r="E23" s="256" t="s">
        <v>5</v>
      </c>
      <c r="F23" s="256" t="s">
        <v>6</v>
      </c>
      <c r="G23" s="256" t="s">
        <v>27</v>
      </c>
      <c r="H23" s="256" t="s">
        <v>8</v>
      </c>
      <c r="I23" s="256" t="s">
        <v>72</v>
      </c>
    </row>
    <row r="24" spans="1:9">
      <c r="A24" s="218" t="s">
        <v>147</v>
      </c>
      <c r="B24" s="211">
        <f>B60</f>
        <v>40</v>
      </c>
      <c r="C24" s="211">
        <f t="shared" ref="C24:H24" si="4">C60</f>
        <v>400</v>
      </c>
      <c r="D24" s="211">
        <f t="shared" si="4"/>
        <v>120</v>
      </c>
      <c r="E24" s="211">
        <f t="shared" si="4"/>
        <v>0</v>
      </c>
      <c r="F24" s="211">
        <f t="shared" si="4"/>
        <v>0</v>
      </c>
      <c r="G24" s="211">
        <f t="shared" si="4"/>
        <v>0</v>
      </c>
      <c r="H24" s="211">
        <f t="shared" si="4"/>
        <v>0</v>
      </c>
      <c r="I24" s="211">
        <f>SUM(B24:H24)</f>
        <v>560</v>
      </c>
    </row>
    <row r="25" spans="1:9">
      <c r="A25" s="210" t="s">
        <v>152</v>
      </c>
      <c r="B25" s="211" t="e">
        <f>VLOOKUP($B$2,Z1PCSPSP!$BS$8:$CS$38,15,1)+VLOOKUP($B$2,Z1PCSPSP!$BS$8:$CS$38,3,1)+VLOOKUP($B$2,Z1PCSPSP!$BS$8:$CS$38,11,1)</f>
        <v>#N/A</v>
      </c>
      <c r="C25" s="211" t="e">
        <f>VLOOKUP($B$2,Z1PCSPSP!$BS$8:$CS$38,17,1)+VLOOKUP($B$2,Z1PCSPSP!$BS$8:$CS$38,5,1)</f>
        <v>#N/A</v>
      </c>
      <c r="D25" s="211" t="e">
        <f>VLOOKUP($B$2,Z1PCSPSP!$BS$8:$CS$38,19,1)</f>
        <v>#N/A</v>
      </c>
      <c r="E25" s="211" t="e">
        <f>VLOOKUP($B$2,Z1PCSPSP!$BS$8:$CS$38,21,1)</f>
        <v>#N/A</v>
      </c>
      <c r="F25" s="211" t="e">
        <f>VLOOKUP($B$2,Z1PCSPSP!$BS$8:$CS$38,23,1)+VLOOKUP($B$2,Z1PCSPSP!$BS$8:$CS$38,7,1)+VLOOKUP($B$2,Z1PCSPSP!$BS$8:$CS$38,9,1)+VLOOKUP($B$2,Z1PCSPSP!$BS$8:$CS$38,13,1)</f>
        <v>#N/A</v>
      </c>
      <c r="G25" s="211" t="e">
        <f>VLOOKUP($B$2,Z1PCSPSP!$BS$8:$CS$38,25,1)</f>
        <v>#N/A</v>
      </c>
      <c r="H25" s="211" t="e">
        <f>VLOOKUP($B$2,Z1PCSPSP!$BS$8:$CS$38,27,1)</f>
        <v>#N/A</v>
      </c>
      <c r="I25" s="211" t="e">
        <f>SUM(B25:H25)</f>
        <v>#N/A</v>
      </c>
    </row>
    <row r="26" spans="1:9">
      <c r="A26" s="257" t="s">
        <v>153</v>
      </c>
      <c r="B26" s="258" t="e">
        <f>B25/B24</f>
        <v>#N/A</v>
      </c>
      <c r="C26" s="258" t="e">
        <f>C25/C24</f>
        <v>#N/A</v>
      </c>
      <c r="D26" s="258" t="e">
        <f>D25/D24</f>
        <v>#N/A</v>
      </c>
      <c r="E26" s="258"/>
      <c r="F26" s="258"/>
      <c r="G26" s="258"/>
      <c r="H26" s="258"/>
      <c r="I26" s="258" t="e">
        <f>I25/I24</f>
        <v>#N/A</v>
      </c>
    </row>
    <row r="28" spans="1:9">
      <c r="A28" s="255" t="s">
        <v>134</v>
      </c>
      <c r="B28" s="256" t="s">
        <v>2</v>
      </c>
      <c r="C28" s="256" t="s">
        <v>3</v>
      </c>
      <c r="D28" s="256" t="s">
        <v>4</v>
      </c>
      <c r="E28" s="256" t="s">
        <v>5</v>
      </c>
      <c r="F28" s="256" t="s">
        <v>6</v>
      </c>
      <c r="G28" s="256" t="s">
        <v>27</v>
      </c>
      <c r="H28" s="256" t="s">
        <v>8</v>
      </c>
      <c r="I28" s="256" t="s">
        <v>72</v>
      </c>
    </row>
    <row r="29" spans="1:9">
      <c r="A29" s="218" t="s">
        <v>147</v>
      </c>
      <c r="B29" s="211">
        <f>B61</f>
        <v>0</v>
      </c>
      <c r="C29" s="211">
        <f t="shared" ref="C29:H29" si="5">C61</f>
        <v>0</v>
      </c>
      <c r="D29" s="211">
        <f t="shared" si="5"/>
        <v>0</v>
      </c>
      <c r="E29" s="211">
        <f t="shared" si="5"/>
        <v>0</v>
      </c>
      <c r="F29" s="211">
        <f t="shared" si="5"/>
        <v>0</v>
      </c>
      <c r="G29" s="211">
        <f t="shared" si="5"/>
        <v>0</v>
      </c>
      <c r="H29" s="211">
        <f t="shared" si="5"/>
        <v>0</v>
      </c>
      <c r="I29" s="211">
        <f>SUM(B29:H29)</f>
        <v>0</v>
      </c>
    </row>
    <row r="30" spans="1:9">
      <c r="A30" s="210" t="s">
        <v>152</v>
      </c>
      <c r="B30" s="211" t="e">
        <f>VLOOKUP($B$2,Z1PCSPSP!$EB$8:$EP$38,3,1)</f>
        <v>#N/A</v>
      </c>
      <c r="C30" s="211" t="e">
        <f>VLOOKUP($B$2,Z1PCSPSP!$EB$8:$EP$38,5,1)</f>
        <v>#N/A</v>
      </c>
      <c r="D30" s="211" t="e">
        <f>VLOOKUP($B$2,Z1PCSPSP!$EB$8:$EP$38,7,1)</f>
        <v>#N/A</v>
      </c>
      <c r="E30" s="211" t="e">
        <f>VLOOKUP($B$2,Z1PCSPSP!$EB$8:$EP$38,9,1)</f>
        <v>#N/A</v>
      </c>
      <c r="F30" s="211" t="e">
        <f>VLOOKUP($B$2,Z1PCSPSP!$EB$8:$EP$38,11,1)</f>
        <v>#N/A</v>
      </c>
      <c r="G30" s="211" t="e">
        <f>VLOOKUP($B$2,Z1PCSPSP!$EB$8:$EP$38,13,1)</f>
        <v>#N/A</v>
      </c>
      <c r="H30" s="211" t="e">
        <f>VLOOKUP($B$2,Z1PCSPSP!$EB$8:$EP$38,15,1)</f>
        <v>#N/A</v>
      </c>
      <c r="I30" s="211" t="e">
        <f>SUM(B30:H30)</f>
        <v>#N/A</v>
      </c>
    </row>
    <row r="31" spans="1:9">
      <c r="A31" s="257" t="s">
        <v>153</v>
      </c>
      <c r="B31" s="258" t="e">
        <f>B30/B29</f>
        <v>#N/A</v>
      </c>
      <c r="C31" s="258" t="e">
        <f>C30/C29</f>
        <v>#N/A</v>
      </c>
      <c r="D31" s="258"/>
      <c r="E31" s="258"/>
      <c r="F31" s="258"/>
      <c r="G31" s="258"/>
      <c r="H31" s="258"/>
      <c r="I31" s="258" t="e">
        <f>I30/I29</f>
        <v>#N/A</v>
      </c>
    </row>
    <row r="33" spans="1:9">
      <c r="A33" s="255" t="s">
        <v>135</v>
      </c>
      <c r="B33" s="256" t="s">
        <v>2</v>
      </c>
      <c r="C33" s="256" t="s">
        <v>3</v>
      </c>
      <c r="D33" s="256" t="s">
        <v>4</v>
      </c>
      <c r="E33" s="256" t="s">
        <v>5</v>
      </c>
      <c r="F33" s="256" t="s">
        <v>6</v>
      </c>
      <c r="G33" s="256" t="s">
        <v>27</v>
      </c>
      <c r="H33" s="256" t="s">
        <v>8</v>
      </c>
      <c r="I33" s="256" t="s">
        <v>72</v>
      </c>
    </row>
    <row r="34" spans="1:9">
      <c r="A34" s="218" t="s">
        <v>147</v>
      </c>
      <c r="B34" s="211">
        <f>B62</f>
        <v>140</v>
      </c>
      <c r="C34" s="211">
        <f t="shared" ref="C34:H34" si="6">C62</f>
        <v>139</v>
      </c>
      <c r="D34" s="211">
        <f t="shared" si="6"/>
        <v>0</v>
      </c>
      <c r="E34" s="211">
        <f t="shared" si="6"/>
        <v>0</v>
      </c>
      <c r="F34" s="211">
        <f t="shared" si="6"/>
        <v>0</v>
      </c>
      <c r="G34" s="211">
        <f t="shared" si="6"/>
        <v>0</v>
      </c>
      <c r="H34" s="211">
        <f t="shared" si="6"/>
        <v>0</v>
      </c>
      <c r="I34" s="211">
        <f>SUM(B34:H34)</f>
        <v>279</v>
      </c>
    </row>
    <row r="35" spans="1:9">
      <c r="A35" s="210" t="s">
        <v>152</v>
      </c>
      <c r="B35" s="211" t="e">
        <f>VLOOKUP($B$2,PVT!$T$8:$AH$38,3,1)</f>
        <v>#N/A</v>
      </c>
      <c r="C35" s="211" t="e">
        <f>VLOOKUP($B$2,PVT!$T$8:$AH$38,5,1)</f>
        <v>#N/A</v>
      </c>
      <c r="D35" s="211" t="e">
        <f>VLOOKUP($B$2,PVT!$T$8:$AH$38,7,1)</f>
        <v>#N/A</v>
      </c>
      <c r="E35" s="211" t="e">
        <f>VLOOKUP($B$2,PVT!$T$8:$AH$38,9,1)</f>
        <v>#N/A</v>
      </c>
      <c r="F35" s="211" t="e">
        <f>VLOOKUP($B$2,PVT!$T$8:$AH$38,11,1)</f>
        <v>#N/A</v>
      </c>
      <c r="G35" s="211" t="e">
        <f>VLOOKUP($B$2,PVT!$T$8:$AH$38,13,1)</f>
        <v>#N/A</v>
      </c>
      <c r="H35" s="211" t="e">
        <f>VLOOKUP($B$2,PVT!$T$8:$AH$38,15,1)</f>
        <v>#N/A</v>
      </c>
      <c r="I35" s="211" t="e">
        <f>SUM(B35:H35)</f>
        <v>#N/A</v>
      </c>
    </row>
    <row r="36" spans="1:9">
      <c r="A36" s="257" t="s">
        <v>153</v>
      </c>
      <c r="B36" s="258" t="e">
        <f>B35/B34</f>
        <v>#N/A</v>
      </c>
      <c r="C36" s="258" t="e">
        <f>C35/C34</f>
        <v>#N/A</v>
      </c>
      <c r="D36" s="258"/>
      <c r="E36" s="258"/>
      <c r="F36" s="258"/>
      <c r="G36" s="258"/>
      <c r="H36" s="258"/>
      <c r="I36" s="258" t="e">
        <f>I35/I34</f>
        <v>#N/A</v>
      </c>
    </row>
    <row r="37" spans="1:9">
      <c r="A37" s="259"/>
      <c r="B37" s="260"/>
      <c r="C37" s="260"/>
      <c r="D37" s="260"/>
      <c r="E37" s="260"/>
      <c r="F37" s="260"/>
      <c r="G37" s="260"/>
      <c r="H37" s="260"/>
      <c r="I37" s="260"/>
    </row>
    <row r="38" spans="1:9">
      <c r="A38" s="255" t="s">
        <v>72</v>
      </c>
      <c r="B38" s="256" t="s">
        <v>2</v>
      </c>
      <c r="C38" s="256" t="s">
        <v>3</v>
      </c>
      <c r="D38" s="256" t="s">
        <v>4</v>
      </c>
      <c r="E38" s="256" t="s">
        <v>5</v>
      </c>
      <c r="F38" s="256" t="s">
        <v>6</v>
      </c>
      <c r="G38" s="256" t="s">
        <v>27</v>
      </c>
      <c r="H38" s="256" t="s">
        <v>8</v>
      </c>
      <c r="I38" s="256" t="s">
        <v>72</v>
      </c>
    </row>
    <row r="39" spans="1:9">
      <c r="A39" s="218" t="s">
        <v>147</v>
      </c>
      <c r="B39" s="211">
        <f>B4+B9+B14+B19+B24+B29+B34</f>
        <v>180</v>
      </c>
      <c r="C39" s="211">
        <f t="shared" ref="C39:H40" si="7">C4+C9+C14+C19+C24+C29+C34</f>
        <v>539</v>
      </c>
      <c r="D39" s="211">
        <f t="shared" si="7"/>
        <v>361</v>
      </c>
      <c r="E39" s="211">
        <f t="shared" si="7"/>
        <v>0</v>
      </c>
      <c r="F39" s="211">
        <f t="shared" si="7"/>
        <v>315</v>
      </c>
      <c r="G39" s="211">
        <f t="shared" si="7"/>
        <v>0</v>
      </c>
      <c r="H39" s="211">
        <f t="shared" si="7"/>
        <v>0</v>
      </c>
      <c r="I39" s="211">
        <f>SUM(B39:H39)</f>
        <v>1395</v>
      </c>
    </row>
    <row r="40" spans="1:9">
      <c r="A40" s="210" t="s">
        <v>152</v>
      </c>
      <c r="B40" s="211" t="e">
        <f>B5+B10+B15+B20+B25+B30+B35</f>
        <v>#N/A</v>
      </c>
      <c r="C40" s="211" t="e">
        <f t="shared" si="7"/>
        <v>#N/A</v>
      </c>
      <c r="D40" s="211" t="e">
        <f t="shared" si="7"/>
        <v>#N/A</v>
      </c>
      <c r="E40" s="211" t="e">
        <f t="shared" si="7"/>
        <v>#N/A</v>
      </c>
      <c r="F40" s="211" t="e">
        <f t="shared" si="7"/>
        <v>#N/A</v>
      </c>
      <c r="G40" s="211" t="e">
        <f t="shared" si="7"/>
        <v>#N/A</v>
      </c>
      <c r="H40" s="211" t="e">
        <f t="shared" si="7"/>
        <v>#N/A</v>
      </c>
      <c r="I40" s="211" t="e">
        <f>SUM(B40:H40)</f>
        <v>#N/A</v>
      </c>
    </row>
    <row r="41" spans="1:9">
      <c r="A41" s="257" t="s">
        <v>153</v>
      </c>
      <c r="B41" s="258" t="e">
        <f t="shared" ref="B41:I41" si="8">B40/B39</f>
        <v>#N/A</v>
      </c>
      <c r="C41" s="258" t="e">
        <f t="shared" si="8"/>
        <v>#N/A</v>
      </c>
      <c r="D41" s="258" t="e">
        <f>D40/D39</f>
        <v>#N/A</v>
      </c>
      <c r="E41" s="258"/>
      <c r="F41" s="258" t="e">
        <f>F40/F39</f>
        <v>#N/A</v>
      </c>
      <c r="G41" s="258"/>
      <c r="H41" s="258"/>
      <c r="I41" s="258" t="e">
        <f t="shared" si="8"/>
        <v>#N/A</v>
      </c>
    </row>
    <row r="42" spans="1:9">
      <c r="A42" s="259"/>
      <c r="B42" s="261"/>
      <c r="C42" s="261"/>
      <c r="D42" s="261"/>
      <c r="E42" s="261"/>
      <c r="F42" s="261"/>
      <c r="G42" s="261"/>
      <c r="H42" s="261"/>
      <c r="I42" s="261"/>
    </row>
    <row r="43" spans="1:9">
      <c r="A43" s="262" t="s">
        <v>154</v>
      </c>
      <c r="B43" s="254">
        <f>B2+1</f>
        <v>44244</v>
      </c>
    </row>
    <row r="44" spans="1:9">
      <c r="A44" s="255" t="s">
        <v>155</v>
      </c>
      <c r="B44" s="256" t="s">
        <v>2</v>
      </c>
      <c r="C44" s="256" t="s">
        <v>3</v>
      </c>
      <c r="D44" s="256" t="s">
        <v>4</v>
      </c>
      <c r="E44" s="256" t="s">
        <v>5</v>
      </c>
      <c r="F44" s="256" t="s">
        <v>6</v>
      </c>
      <c r="G44" s="256" t="s">
        <v>27</v>
      </c>
      <c r="H44" s="256" t="s">
        <v>8</v>
      </c>
      <c r="I44" s="256" t="s">
        <v>72</v>
      </c>
    </row>
    <row r="45" spans="1:9">
      <c r="A45" s="210" t="s">
        <v>156</v>
      </c>
      <c r="B45" s="211" t="e">
        <f>VLOOKUP($B$43,'PCOLP I'!$B$8:$AK$38,24,1)</f>
        <v>#N/A</v>
      </c>
      <c r="C45" s="211" t="e">
        <f>VLOOKUP($B$43,'PCOLP I'!$B$8:$AK$38,26,1)</f>
        <v>#N/A</v>
      </c>
      <c r="D45" s="211" t="e">
        <f>VLOOKUP($B$43,'PCOLP I'!$B$8:$AK$38,28,1)</f>
        <v>#N/A</v>
      </c>
      <c r="E45" s="211" t="e">
        <f>VLOOKUP($B$43,'PCOLP I'!$B$8:$AK$38,30,1)</f>
        <v>#N/A</v>
      </c>
      <c r="F45" s="211" t="e">
        <f>VLOOKUP($B$43,'PCOLP I'!$B$8:$AK$38,32,1)+VLOOKUP($B$43,'PCOLP I'!$B$8:$AK$38,22,1)</f>
        <v>#N/A</v>
      </c>
      <c r="G45" s="211" t="e">
        <f>VLOOKUP($B$43,'PCOLP I'!$B$8:$AK$38,34,1)</f>
        <v>#N/A</v>
      </c>
      <c r="H45" s="211" t="e">
        <f>VLOOKUP($B$43,'PCOLP I'!$B$8:$AK$38,36,1)</f>
        <v>#N/A</v>
      </c>
      <c r="I45" s="211" t="e">
        <f t="shared" ref="I45:I51" si="9">SUM(B45:H45)</f>
        <v>#N/A</v>
      </c>
    </row>
    <row r="46" spans="1:9">
      <c r="A46" s="257" t="s">
        <v>104</v>
      </c>
      <c r="B46" s="211" t="e">
        <f>VLOOKUP($B$43,'PCOLP II'!$B$8:$AK$38,24,1)</f>
        <v>#N/A</v>
      </c>
      <c r="C46" s="211" t="e">
        <f>VLOOKUP($B$43,'PCOLP II'!$B$8:$AK$38,26,1)</f>
        <v>#N/A</v>
      </c>
      <c r="D46" s="211" t="e">
        <f>VLOOKUP($B$43,'PCOLP II'!$B$8:$AK$38,28,1)</f>
        <v>#N/A</v>
      </c>
      <c r="E46" s="211" t="e">
        <f>VLOOKUP($B$43,'PCOLP II'!$B$8:$AK$38,30,1)</f>
        <v>#N/A</v>
      </c>
      <c r="F46" s="211" t="e">
        <f>VLOOKUP($B$43,'PCOLP II'!$B$8:$AK$38,32,1)+VLOOKUP($B$43,'PCOLP II'!$B$8:$AK$38,22,1)</f>
        <v>#N/A</v>
      </c>
      <c r="G46" s="211" t="e">
        <f>VLOOKUP($B$43,'PCOLP II'!$B$8:$AK$38,34,1)</f>
        <v>#N/A</v>
      </c>
      <c r="H46" s="211" t="e">
        <f>VLOOKUP($B$43,'PCOLP II'!$B$8:$AK$38,36,1)</f>
        <v>#N/A</v>
      </c>
      <c r="I46" s="211" t="e">
        <f t="shared" si="9"/>
        <v>#N/A</v>
      </c>
    </row>
    <row r="47" spans="1:9">
      <c r="A47" s="257" t="s">
        <v>131</v>
      </c>
      <c r="B47" s="211" t="e">
        <f>VLOOKUP($B$43,PCPV!$B$8:$AM$38,26,1)</f>
        <v>#N/A</v>
      </c>
      <c r="C47" s="211" t="e">
        <f>VLOOKUP($B$43,PCPV!$B$8:$AM$38,28,1)</f>
        <v>#N/A</v>
      </c>
      <c r="D47" s="211" t="e">
        <f>VLOOKUP($B$43,PCPV!$B$8:$AM$38,30,1)</f>
        <v>#N/A</v>
      </c>
      <c r="E47" s="211" t="e">
        <f>VLOOKUP($B$43,PCPV!$B$8:$AM$38,32,1)</f>
        <v>#N/A</v>
      </c>
      <c r="F47" s="211" t="e">
        <f>VLOOKUP($B$43,PCPV!$B$8:$AM$38,34,1)+VLOOKUP($B$43,PCPV!$B$8:$AM$38,22,1)+VLOOKUP($B$43,PCPV!$B$8:$AM$38,24,1)</f>
        <v>#N/A</v>
      </c>
      <c r="G47" s="211" t="e">
        <f>VLOOKUP($B$43,PCPV!$B$8:$AM$38,36,1)</f>
        <v>#N/A</v>
      </c>
      <c r="H47" s="211" t="e">
        <f>VLOOKUP($B$43,PCPV!$B$8:$AM$38,38,1)</f>
        <v>#N/A</v>
      </c>
      <c r="I47" s="211" t="e">
        <f t="shared" si="9"/>
        <v>#N/A</v>
      </c>
    </row>
    <row r="48" spans="1:9">
      <c r="A48" s="257" t="s">
        <v>144</v>
      </c>
      <c r="B48" s="211" t="e">
        <f>VLOOKUP($B$43,Z1PCSPSP!$B$8:$AJ$38,23,1)</f>
        <v>#N/A</v>
      </c>
      <c r="C48" s="211" t="e">
        <f>VLOOKUP($B$43,Z1PCSPSP!$B$8:$AJ$38,25,1)</f>
        <v>#N/A</v>
      </c>
      <c r="D48" s="211" t="e">
        <f>VLOOKUP($B$43,Z1PCSPSP!$B$8:$AJ$38,27,1)</f>
        <v>#N/A</v>
      </c>
      <c r="E48" s="211" t="e">
        <f>VLOOKUP($B$43,Z1PCSPSP!$B$8:$AM$38,29,1)</f>
        <v>#N/A</v>
      </c>
      <c r="F48" s="211" t="e">
        <f>VLOOKUP($B$43,Z1PCSPSP!$B$8:$AM$38,31,1)+VLOOKUP($B$43,Z1PCSPSP!$B$8:$AM$38,19,1)+VLOOKUP($B$43,Z1PCSPSP!$B$8:$AM$38,21,1)</f>
        <v>#N/A</v>
      </c>
      <c r="G48" s="211" t="e">
        <f>VLOOKUP($B$43,Z1PCSPSP!$B$8:$AJ$38,33,1)</f>
        <v>#N/A</v>
      </c>
      <c r="H48" s="211" t="e">
        <f>VLOOKUP($B$43,Z1PCSPSP!$B$8:$AJ$38,35,1)</f>
        <v>#N/A</v>
      </c>
      <c r="I48" s="211" t="e">
        <f t="shared" si="9"/>
        <v>#N/A</v>
      </c>
    </row>
    <row r="49" spans="1:9">
      <c r="A49" s="257" t="s">
        <v>133</v>
      </c>
      <c r="B49" s="211" t="e">
        <f>VLOOKUP($B$43,Z1PCSPSP!$BS$8:$CS$38,15,1)+VLOOKUP($B$43,Z1PCSPSP!$BS$8:$CS$38,3,1)+VLOOKUP($B$43,Z1PCSPSP!$BS$8:$CS$38,11,1)</f>
        <v>#N/A</v>
      </c>
      <c r="C49" s="211" t="e">
        <f>VLOOKUP($B$43,Z1PCSPSP!$BS$8:$CS$38,17,1)+VLOOKUP($B$43,Z1PCSPSP!$BS$8:$CS$38,5,1)</f>
        <v>#N/A</v>
      </c>
      <c r="D49" s="211" t="e">
        <f>VLOOKUP($B$43,Z1PCSPSP!$BS$8:$CS$38,19,1)</f>
        <v>#N/A</v>
      </c>
      <c r="E49" s="211" t="e">
        <f>VLOOKUP($B$43,Z1PCSPSP!$BS$8:$CS$38,21,1)</f>
        <v>#N/A</v>
      </c>
      <c r="F49" s="211" t="e">
        <f>VLOOKUP($B$43,Z1PCSPSP!$BS$8:$CS$38,23,1)+VLOOKUP($B$43,Z1PCSPSP!$BS$8:$CS$38,7,1)+VLOOKUP($B$43,Z1PCSPSP!$BS$8:$CS$38,9,1)+VLOOKUP($B$43,Z1PCSPSP!$BS$8:$CS$38,13,1)</f>
        <v>#N/A</v>
      </c>
      <c r="G49" s="211" t="e">
        <f>VLOOKUP($B$43,Z1PCSPSP!$BS$8:$CS$38,25,1)</f>
        <v>#N/A</v>
      </c>
      <c r="H49" s="211" t="e">
        <f>VLOOKUP($B$43,Z1PCSPSP!$BS$8:$CS$38,27,1)</f>
        <v>#N/A</v>
      </c>
      <c r="I49" s="211" t="e">
        <f t="shared" si="9"/>
        <v>#N/A</v>
      </c>
    </row>
    <row r="50" spans="1:9">
      <c r="A50" s="257" t="s">
        <v>134</v>
      </c>
      <c r="B50" s="211" t="e">
        <f>VLOOKUP($B$43,Z1PCSPSP!$EB$8:$EP$38,3,1)</f>
        <v>#N/A</v>
      </c>
      <c r="C50" s="211" t="e">
        <f>VLOOKUP($B$43,Z1PCSPSP!$EB$8:$EP$38,5,1)</f>
        <v>#N/A</v>
      </c>
      <c r="D50" s="211" t="e">
        <f>VLOOKUP($B$43,Z1PCSPSP!$EB$8:$EP$38,7,1)</f>
        <v>#N/A</v>
      </c>
      <c r="E50" s="211" t="e">
        <f>VLOOKUP($B$43,Z1PCSPSP!$EB$8:$EP$38,9,1)</f>
        <v>#N/A</v>
      </c>
      <c r="F50" s="211" t="e">
        <f>VLOOKUP($B$43,Z1PCSPSP!$EB$8:$EP$38,11,1)</f>
        <v>#N/A</v>
      </c>
      <c r="G50" s="211" t="e">
        <f>VLOOKUP($B$43,Z1PCSPSP!$EB$8:$EP$38,13,1)</f>
        <v>#N/A</v>
      </c>
      <c r="H50" s="211" t="e">
        <f>VLOOKUP($B$43,Z1PCSPSP!$EB$8:$EP$38,15,1)</f>
        <v>#N/A</v>
      </c>
      <c r="I50" s="211" t="e">
        <f t="shared" si="9"/>
        <v>#N/A</v>
      </c>
    </row>
    <row r="51" spans="1:9">
      <c r="A51" s="257" t="s">
        <v>135</v>
      </c>
      <c r="B51" s="211" t="e">
        <f>VLOOKUP($B$43,PVT!$T$8:$AH$38,3,1)</f>
        <v>#N/A</v>
      </c>
      <c r="C51" s="211" t="e">
        <f>VLOOKUP($B$43,PVT!$T$8:$AH$38,5,1)</f>
        <v>#N/A</v>
      </c>
      <c r="D51" s="211" t="e">
        <f>VLOOKUP($B$43,PVT!$T$8:$AH$38,7,1)</f>
        <v>#N/A</v>
      </c>
      <c r="E51" s="211" t="e">
        <f>VLOOKUP($B$43,PVT!$T$8:$AH$38,9,1)</f>
        <v>#N/A</v>
      </c>
      <c r="F51" s="211" t="e">
        <f>VLOOKUP($B$43,PVT!$T$8:$AH$38,11,1)</f>
        <v>#N/A</v>
      </c>
      <c r="G51" s="211" t="e">
        <f>VLOOKUP($B$43,PVT!$T$8:$AH$38,13,1)</f>
        <v>#N/A</v>
      </c>
      <c r="H51" s="211" t="e">
        <f>VLOOKUP($B$43,PVT!$T$8:$AH$38,15,1)</f>
        <v>#N/A</v>
      </c>
      <c r="I51" s="211" t="e">
        <f t="shared" si="9"/>
        <v>#N/A</v>
      </c>
    </row>
    <row r="52" spans="1:9">
      <c r="A52" s="257" t="s">
        <v>72</v>
      </c>
      <c r="B52" s="211" t="e">
        <f>SUM(B45:B51)</f>
        <v>#N/A</v>
      </c>
      <c r="C52" s="211" t="e">
        <f t="shared" ref="C52:I52" si="10">SUM(C45:C51)</f>
        <v>#N/A</v>
      </c>
      <c r="D52" s="211" t="e">
        <f t="shared" si="10"/>
        <v>#N/A</v>
      </c>
      <c r="E52" s="211" t="e">
        <f t="shared" si="10"/>
        <v>#N/A</v>
      </c>
      <c r="F52" s="211" t="e">
        <f t="shared" si="10"/>
        <v>#N/A</v>
      </c>
      <c r="G52" s="211" t="e">
        <f t="shared" si="10"/>
        <v>#N/A</v>
      </c>
      <c r="H52" s="211" t="e">
        <f t="shared" si="10"/>
        <v>#N/A</v>
      </c>
      <c r="I52" s="211" t="e">
        <f t="shared" si="10"/>
        <v>#N/A</v>
      </c>
    </row>
    <row r="54" spans="1:9">
      <c r="A54" s="262"/>
      <c r="B54" s="254" t="s">
        <v>157</v>
      </c>
    </row>
    <row r="55" spans="1:9">
      <c r="A55" s="255" t="s">
        <v>155</v>
      </c>
      <c r="B55" s="256" t="s">
        <v>2</v>
      </c>
      <c r="C55" s="256" t="s">
        <v>3</v>
      </c>
      <c r="D55" s="256" t="s">
        <v>4</v>
      </c>
      <c r="E55" s="256" t="s">
        <v>5</v>
      </c>
      <c r="F55" s="256" t="s">
        <v>6</v>
      </c>
      <c r="G55" s="256" t="s">
        <v>27</v>
      </c>
      <c r="H55" s="256" t="s">
        <v>8</v>
      </c>
      <c r="I55" s="256" t="s">
        <v>72</v>
      </c>
    </row>
    <row r="56" spans="1:9">
      <c r="A56" s="210" t="s">
        <v>156</v>
      </c>
      <c r="B56" s="211">
        <v>0</v>
      </c>
      <c r="C56" s="211">
        <v>0</v>
      </c>
      <c r="D56" s="211">
        <v>0</v>
      </c>
      <c r="E56" s="211">
        <v>0</v>
      </c>
      <c r="F56" s="211">
        <v>0</v>
      </c>
      <c r="G56" s="211">
        <v>0</v>
      </c>
      <c r="H56" s="211">
        <v>0</v>
      </c>
      <c r="I56" s="211">
        <f t="shared" ref="I56:I62" si="11">SUM(B56:H56)</f>
        <v>0</v>
      </c>
    </row>
    <row r="57" spans="1:9">
      <c r="A57" s="257" t="s">
        <v>104</v>
      </c>
      <c r="B57" s="211">
        <v>0</v>
      </c>
      <c r="C57" s="211">
        <v>0</v>
      </c>
      <c r="D57" s="211">
        <v>0</v>
      </c>
      <c r="E57" s="211">
        <v>0</v>
      </c>
      <c r="F57" s="211">
        <v>0</v>
      </c>
      <c r="G57" s="211">
        <v>0</v>
      </c>
      <c r="H57" s="211">
        <v>0</v>
      </c>
      <c r="I57" s="211">
        <f t="shared" si="11"/>
        <v>0</v>
      </c>
    </row>
    <row r="58" spans="1:9">
      <c r="A58" s="257" t="s">
        <v>131</v>
      </c>
      <c r="B58" s="211">
        <v>0</v>
      </c>
      <c r="C58" s="211">
        <v>0</v>
      </c>
      <c r="D58" s="211">
        <v>0</v>
      </c>
      <c r="E58" s="211">
        <v>0</v>
      </c>
      <c r="F58" s="211">
        <v>0</v>
      </c>
      <c r="G58" s="211">
        <v>0</v>
      </c>
      <c r="H58" s="211">
        <v>0</v>
      </c>
      <c r="I58" s="211">
        <f t="shared" si="11"/>
        <v>0</v>
      </c>
    </row>
    <row r="59" spans="1:9">
      <c r="A59" s="257" t="s">
        <v>144</v>
      </c>
      <c r="B59" s="211">
        <v>0</v>
      </c>
      <c r="C59" s="211">
        <v>0</v>
      </c>
      <c r="D59" s="211">
        <v>241</v>
      </c>
      <c r="E59" s="211">
        <v>0</v>
      </c>
      <c r="F59" s="211">
        <v>315</v>
      </c>
      <c r="G59" s="211">
        <v>0</v>
      </c>
      <c r="H59" s="211">
        <v>0</v>
      </c>
      <c r="I59" s="211">
        <f t="shared" si="11"/>
        <v>556</v>
      </c>
    </row>
    <row r="60" spans="1:9">
      <c r="A60" s="257" t="s">
        <v>133</v>
      </c>
      <c r="B60" s="211">
        <v>40</v>
      </c>
      <c r="C60" s="211">
        <v>400</v>
      </c>
      <c r="D60" s="211">
        <v>120</v>
      </c>
      <c r="E60" s="211">
        <v>0</v>
      </c>
      <c r="F60" s="211">
        <v>0</v>
      </c>
      <c r="G60" s="211">
        <v>0</v>
      </c>
      <c r="H60" s="211">
        <v>0</v>
      </c>
      <c r="I60" s="211">
        <f t="shared" si="11"/>
        <v>560</v>
      </c>
    </row>
    <row r="61" spans="1:9">
      <c r="A61" s="257" t="s">
        <v>134</v>
      </c>
      <c r="B61" s="211">
        <v>0</v>
      </c>
      <c r="C61" s="211">
        <v>0</v>
      </c>
      <c r="D61" s="211">
        <v>0</v>
      </c>
      <c r="E61" s="211">
        <v>0</v>
      </c>
      <c r="F61" s="211">
        <v>0</v>
      </c>
      <c r="G61" s="211">
        <v>0</v>
      </c>
      <c r="H61" s="211">
        <v>0</v>
      </c>
      <c r="I61" s="211">
        <f t="shared" si="11"/>
        <v>0</v>
      </c>
    </row>
    <row r="62" spans="1:9">
      <c r="A62" s="257" t="s">
        <v>135</v>
      </c>
      <c r="B62" s="211">
        <v>140</v>
      </c>
      <c r="C62" s="211">
        <v>139</v>
      </c>
      <c r="D62" s="211">
        <v>0</v>
      </c>
      <c r="E62" s="211">
        <v>0</v>
      </c>
      <c r="F62" s="211">
        <v>0</v>
      </c>
      <c r="G62" s="211">
        <v>0</v>
      </c>
      <c r="H62" s="211">
        <v>0</v>
      </c>
      <c r="I62" s="211">
        <f t="shared" si="11"/>
        <v>279</v>
      </c>
    </row>
    <row r="63" spans="1:9">
      <c r="A63" s="257" t="s">
        <v>72</v>
      </c>
      <c r="B63" s="211">
        <f>SUM(B56:B62)</f>
        <v>180</v>
      </c>
      <c r="C63" s="211">
        <f t="shared" ref="C63:H63" si="12">SUM(C56:C62)</f>
        <v>539</v>
      </c>
      <c r="D63" s="211">
        <f t="shared" si="12"/>
        <v>361</v>
      </c>
      <c r="E63" s="211">
        <f t="shared" si="12"/>
        <v>0</v>
      </c>
      <c r="F63" s="211">
        <f t="shared" si="12"/>
        <v>315</v>
      </c>
      <c r="G63" s="211">
        <f t="shared" si="12"/>
        <v>0</v>
      </c>
      <c r="H63" s="211">
        <f t="shared" si="12"/>
        <v>0</v>
      </c>
      <c r="I63" s="211">
        <f>SUM(I56:I62)</f>
        <v>1395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workbookViewId="0">
      <selection activeCell="K11" sqref="K11"/>
    </sheetView>
  </sheetViews>
  <sheetFormatPr baseColWidth="10" defaultColWidth="11.44140625" defaultRowHeight="14.4"/>
  <cols>
    <col min="7" max="8" width="11.5546875" customWidth="1"/>
  </cols>
  <sheetData>
    <row r="2" spans="1:11">
      <c r="A2" s="265" t="s">
        <v>158</v>
      </c>
    </row>
    <row r="4" spans="1:11">
      <c r="A4" s="265" t="s">
        <v>86</v>
      </c>
    </row>
    <row r="5" spans="1:11" ht="51">
      <c r="A5" s="331" t="s">
        <v>26</v>
      </c>
      <c r="B5" s="332" t="s">
        <v>159</v>
      </c>
      <c r="C5" s="332" t="s">
        <v>160</v>
      </c>
      <c r="D5" s="332" t="s">
        <v>161</v>
      </c>
      <c r="E5" s="332" t="s">
        <v>162</v>
      </c>
      <c r="F5" s="332" t="s">
        <v>163</v>
      </c>
      <c r="G5" s="332" t="s">
        <v>164</v>
      </c>
      <c r="H5" s="332" t="s">
        <v>165</v>
      </c>
      <c r="I5" s="332" t="s">
        <v>166</v>
      </c>
      <c r="J5" s="332" t="s">
        <v>167</v>
      </c>
      <c r="K5" s="332" t="s">
        <v>168</v>
      </c>
    </row>
    <row r="6" spans="1:11">
      <c r="A6" s="292" t="s">
        <v>128</v>
      </c>
      <c r="B6" s="293">
        <v>5873.69</v>
      </c>
      <c r="C6" s="294">
        <f t="shared" ref="C6:C12" si="0">B6*158.987*D6/1000</f>
        <v>26147.529856839999</v>
      </c>
      <c r="D6" s="295">
        <v>28</v>
      </c>
      <c r="E6" s="333">
        <f t="shared" ref="E6:E12" si="1">C6</f>
        <v>26147.529856839999</v>
      </c>
      <c r="F6" s="211">
        <f>'PCOLP I'!Y40+'PCOLP I'!AK40</f>
        <v>21489</v>
      </c>
      <c r="G6" s="211">
        <f>'PCOLP I'!Y39+'PCOLP I'!AK39</f>
        <v>20996</v>
      </c>
      <c r="H6" s="211">
        <f>IF(C6-G6&gt;0,C6-G6,0)</f>
        <v>5151.5298568399994</v>
      </c>
      <c r="I6" s="211">
        <v>42645.65695307</v>
      </c>
      <c r="J6" s="211">
        <f t="shared" ref="J6:J12" si="2">IF(G6-C6&gt;0,IF(G6-C6-I6&gt;0,0,I6+C6-G6),I6+C6-G6)</f>
        <v>47797.186809909996</v>
      </c>
      <c r="K6" s="211">
        <f t="shared" ref="K6:K12" si="3">IF(J6&gt;I6,0,IF(G6-C6-I6&gt;0,G6-C6-I6,0))</f>
        <v>0</v>
      </c>
    </row>
    <row r="7" spans="1:11">
      <c r="A7" s="292" t="s">
        <v>104</v>
      </c>
      <c r="B7" s="293">
        <v>705.35</v>
      </c>
      <c r="C7" s="294">
        <f t="shared" si="0"/>
        <v>3139.9614526</v>
      </c>
      <c r="D7" s="295">
        <f>D6</f>
        <v>28</v>
      </c>
      <c r="E7" s="333">
        <f t="shared" si="1"/>
        <v>3139.9614526</v>
      </c>
      <c r="F7" s="333">
        <f>'PCOLP II'!Y40</f>
        <v>4983</v>
      </c>
      <c r="G7" s="211">
        <f>'PCOLP II'!Y39</f>
        <v>4446</v>
      </c>
      <c r="H7" s="211">
        <f t="shared" ref="H7:H12" si="4">IF(C7-G7&gt;0,C7-G7,0)</f>
        <v>0</v>
      </c>
      <c r="I7" s="211">
        <v>0</v>
      </c>
      <c r="J7" s="211">
        <f t="shared" si="2"/>
        <v>0</v>
      </c>
      <c r="K7" s="211">
        <f t="shared" si="3"/>
        <v>1306.0385474</v>
      </c>
    </row>
    <row r="8" spans="1:11">
      <c r="A8" s="292" t="s">
        <v>131</v>
      </c>
      <c r="B8" s="293">
        <v>0</v>
      </c>
      <c r="C8" s="294">
        <f t="shared" si="0"/>
        <v>0</v>
      </c>
      <c r="D8" s="295">
        <f>D7</f>
        <v>28</v>
      </c>
      <c r="E8" s="333">
        <f t="shared" si="1"/>
        <v>0</v>
      </c>
      <c r="F8" s="333">
        <v>0</v>
      </c>
      <c r="G8" s="211">
        <v>0</v>
      </c>
      <c r="H8" s="211">
        <f t="shared" si="4"/>
        <v>0</v>
      </c>
      <c r="I8" s="211">
        <v>0</v>
      </c>
      <c r="J8" s="211">
        <f t="shared" si="2"/>
        <v>0</v>
      </c>
      <c r="K8" s="211">
        <f t="shared" si="3"/>
        <v>0</v>
      </c>
    </row>
    <row r="9" spans="1:11">
      <c r="A9" s="292" t="s">
        <v>144</v>
      </c>
      <c r="B9" s="293">
        <v>0</v>
      </c>
      <c r="C9" s="294">
        <f t="shared" si="0"/>
        <v>0</v>
      </c>
      <c r="D9" s="295">
        <f>D8</f>
        <v>28</v>
      </c>
      <c r="E9" s="333">
        <f t="shared" si="1"/>
        <v>0</v>
      </c>
      <c r="F9" s="333">
        <v>0</v>
      </c>
      <c r="G9" s="211">
        <v>0</v>
      </c>
      <c r="H9" s="211">
        <f t="shared" si="4"/>
        <v>0</v>
      </c>
      <c r="I9" s="211">
        <v>0</v>
      </c>
      <c r="J9" s="211">
        <f t="shared" si="2"/>
        <v>0</v>
      </c>
      <c r="K9" s="211">
        <f t="shared" si="3"/>
        <v>0</v>
      </c>
    </row>
    <row r="10" spans="1:11">
      <c r="A10" s="292" t="s">
        <v>133</v>
      </c>
      <c r="B10" s="293">
        <v>696.63</v>
      </c>
      <c r="C10" s="294">
        <f t="shared" si="0"/>
        <v>3101.1431866799999</v>
      </c>
      <c r="D10" s="295">
        <f>D7</f>
        <v>28</v>
      </c>
      <c r="E10" s="333">
        <f t="shared" si="1"/>
        <v>3101.1431866799999</v>
      </c>
      <c r="F10" s="333">
        <f>Z1PCSPSP!BU40+Z1PCSPSP!CC40+Z1PCSPSP!CG40-Z1PCSPSP!DN40</f>
        <v>3665</v>
      </c>
      <c r="G10" s="211">
        <f>Z1PCSPSP!BU39+Z1PCSPSP!CC39+Z1PCSPSP!CG39-Z1PCSPSP!DN39</f>
        <v>3830</v>
      </c>
      <c r="H10" s="211">
        <f t="shared" si="4"/>
        <v>0</v>
      </c>
      <c r="I10" s="211">
        <v>0</v>
      </c>
      <c r="J10" s="211">
        <f t="shared" si="2"/>
        <v>0</v>
      </c>
      <c r="K10" s="211">
        <f t="shared" si="3"/>
        <v>728.85681332000013</v>
      </c>
    </row>
    <row r="11" spans="1:11">
      <c r="A11" s="292" t="s">
        <v>134</v>
      </c>
      <c r="B11" s="293">
        <v>405</v>
      </c>
      <c r="C11" s="294">
        <f t="shared" si="0"/>
        <v>1802.9125800000002</v>
      </c>
      <c r="D11" s="295">
        <f>D10</f>
        <v>28</v>
      </c>
      <c r="E11" s="333">
        <f t="shared" si="1"/>
        <v>1802.9125800000002</v>
      </c>
      <c r="F11" s="333">
        <f>Z1PCSPSP!ED40</f>
        <v>4559</v>
      </c>
      <c r="G11" s="211">
        <f>Z1PCSPSP!ED39</f>
        <v>3726</v>
      </c>
      <c r="H11" s="211">
        <f t="shared" si="4"/>
        <v>0</v>
      </c>
      <c r="I11" s="211">
        <v>0</v>
      </c>
      <c r="J11" s="211">
        <f t="shared" si="2"/>
        <v>0</v>
      </c>
      <c r="K11" s="211">
        <f>IF(J11&gt;I11,0,IF(G11-C11-I11&gt;0,G11-C11-I11,0))</f>
        <v>1923.0874199999998</v>
      </c>
    </row>
    <row r="12" spans="1:11">
      <c r="A12" s="292" t="s">
        <v>135</v>
      </c>
      <c r="B12" s="293">
        <v>683.04</v>
      </c>
      <c r="C12" s="294">
        <f t="shared" si="0"/>
        <v>3040.6454534399995</v>
      </c>
      <c r="D12" s="295">
        <f>D11</f>
        <v>28</v>
      </c>
      <c r="E12" s="333">
        <f t="shared" si="1"/>
        <v>3040.6454534399995</v>
      </c>
      <c r="F12" s="333">
        <f>PVT!AD40+PVT!V40</f>
        <v>5953</v>
      </c>
      <c r="G12" s="211">
        <f>PVT!AD39+PVT!V39</f>
        <v>5571</v>
      </c>
      <c r="H12" s="211">
        <f t="shared" si="4"/>
        <v>0</v>
      </c>
      <c r="I12" s="211">
        <v>0</v>
      </c>
      <c r="J12" s="211">
        <f t="shared" si="2"/>
        <v>0</v>
      </c>
      <c r="K12" s="211">
        <f t="shared" si="3"/>
        <v>2530.3545465600005</v>
      </c>
    </row>
    <row r="13" spans="1:11">
      <c r="A13" s="292" t="s">
        <v>72</v>
      </c>
      <c r="B13" s="333">
        <f>SUM(B6:B12)</f>
        <v>8363.7099999999991</v>
      </c>
      <c r="C13" s="333">
        <f>SUM(C6:C12)</f>
        <v>37232.192529559994</v>
      </c>
      <c r="D13" s="295"/>
      <c r="E13" s="333">
        <f t="shared" ref="E13:K13" si="5">SUM(E6:E12)</f>
        <v>37232.192529559994</v>
      </c>
      <c r="F13" s="333">
        <f t="shared" si="5"/>
        <v>40649</v>
      </c>
      <c r="G13" s="333">
        <f t="shared" si="5"/>
        <v>38569</v>
      </c>
      <c r="H13" s="333">
        <f t="shared" si="5"/>
        <v>5151.5298568399994</v>
      </c>
      <c r="I13" s="333">
        <f t="shared" si="5"/>
        <v>42645.65695307</v>
      </c>
      <c r="J13" s="333">
        <f t="shared" si="5"/>
        <v>47797.186809909996</v>
      </c>
      <c r="K13" s="333">
        <f t="shared" si="5"/>
        <v>6488.33732728</v>
      </c>
    </row>
    <row r="15" spans="1:11">
      <c r="A15" s="265" t="s">
        <v>169</v>
      </c>
    </row>
    <row r="16" spans="1:11" ht="51">
      <c r="A16" s="331" t="s">
        <v>26</v>
      </c>
      <c r="B16" s="332" t="s">
        <v>159</v>
      </c>
      <c r="C16" s="332" t="s">
        <v>160</v>
      </c>
      <c r="D16" s="332" t="s">
        <v>161</v>
      </c>
      <c r="E16" s="332" t="s">
        <v>162</v>
      </c>
      <c r="F16" s="332" t="s">
        <v>163</v>
      </c>
      <c r="G16" s="332" t="s">
        <v>164</v>
      </c>
      <c r="H16" s="332" t="s">
        <v>165</v>
      </c>
      <c r="I16" s="332" t="s">
        <v>166</v>
      </c>
      <c r="J16" s="332" t="s">
        <v>167</v>
      </c>
      <c r="K16" s="332" t="s">
        <v>168</v>
      </c>
    </row>
    <row r="17" spans="1:11">
      <c r="A17" s="292" t="s">
        <v>128</v>
      </c>
      <c r="B17" s="293">
        <v>0</v>
      </c>
      <c r="C17" s="294">
        <f>B17*158.987*D17/1000</f>
        <v>0</v>
      </c>
      <c r="D17" s="295">
        <v>31</v>
      </c>
      <c r="E17" s="333">
        <f>C17</f>
        <v>0</v>
      </c>
      <c r="F17" s="333"/>
      <c r="G17" s="211">
        <f>'PCOLP I'!AA39+'PCOLP I'!AC39+'PCOLP I'!AE39+'PCOLP I'!AG39+'PCOLP I'!AI39</f>
        <v>15107</v>
      </c>
      <c r="H17" s="334">
        <f>IF(C17-G17&gt;0,C17-G17,0)</f>
        <v>0</v>
      </c>
      <c r="I17" s="211">
        <v>0</v>
      </c>
      <c r="J17" s="211">
        <f t="shared" ref="J17:J23" si="6">IF(G17-C17&gt;0,IF(G17-C17-I17&gt;0,0,I17+C17-G17),I17+C17-G17)</f>
        <v>0</v>
      </c>
      <c r="K17" s="211">
        <f t="shared" ref="K17:K23" si="7">IF(J17&gt;I17,0,IF(G17-C17-I17&gt;0,G17-C17-I17,0))</f>
        <v>15107</v>
      </c>
    </row>
    <row r="18" spans="1:11">
      <c r="A18" s="292" t="s">
        <v>104</v>
      </c>
      <c r="B18" s="293">
        <v>0</v>
      </c>
      <c r="C18" s="294">
        <f>B18*158.987*D18/1000</f>
        <v>0</v>
      </c>
      <c r="D18" s="295">
        <f>D17</f>
        <v>31</v>
      </c>
      <c r="E18" s="333">
        <f>C18</f>
        <v>0</v>
      </c>
      <c r="F18" s="333"/>
      <c r="G18" s="211">
        <f>'PCOLP II'!AA39+'PCOLP II'!AC39</f>
        <v>7410</v>
      </c>
      <c r="H18" s="334">
        <f t="shared" ref="H18:H23" si="8">IF(C18-G18&gt;0,C18-G18,0)</f>
        <v>0</v>
      </c>
      <c r="I18" s="211">
        <v>0</v>
      </c>
      <c r="J18" s="211">
        <f t="shared" si="6"/>
        <v>0</v>
      </c>
      <c r="K18" s="211">
        <f t="shared" si="7"/>
        <v>7410</v>
      </c>
    </row>
    <row r="19" spans="1:11">
      <c r="A19" s="292" t="s">
        <v>131</v>
      </c>
      <c r="B19" s="293">
        <v>0</v>
      </c>
      <c r="C19" s="294">
        <f t="shared" ref="C19:C21" si="9">B19*158.987*D19/1000</f>
        <v>0</v>
      </c>
      <c r="D19" s="295">
        <f t="shared" ref="D19:D21" si="10">D18</f>
        <v>31</v>
      </c>
      <c r="E19" s="333">
        <f t="shared" ref="E19:E21" si="11">C19</f>
        <v>0</v>
      </c>
      <c r="F19" s="333"/>
      <c r="G19" s="211">
        <f>PCPV!AC39+PCPV!AI39</f>
        <v>0</v>
      </c>
      <c r="H19" s="334">
        <f t="shared" si="8"/>
        <v>0</v>
      </c>
      <c r="I19" s="211">
        <v>0</v>
      </c>
      <c r="J19" s="211">
        <f t="shared" si="6"/>
        <v>0</v>
      </c>
      <c r="K19" s="211">
        <f t="shared" si="7"/>
        <v>0</v>
      </c>
    </row>
    <row r="20" spans="1:11">
      <c r="A20" s="292" t="s">
        <v>144</v>
      </c>
      <c r="B20" s="293">
        <v>0</v>
      </c>
      <c r="C20" s="294">
        <f t="shared" si="9"/>
        <v>0</v>
      </c>
      <c r="D20" s="295">
        <f t="shared" si="10"/>
        <v>31</v>
      </c>
      <c r="E20" s="333">
        <f t="shared" si="11"/>
        <v>0</v>
      </c>
      <c r="F20" s="333"/>
      <c r="G20" s="211">
        <f>NOMINACIÓN!D13+NOMINACIÓN!G13</f>
        <v>1000</v>
      </c>
      <c r="H20" s="334">
        <f t="shared" si="8"/>
        <v>0</v>
      </c>
      <c r="I20" s="211">
        <v>0</v>
      </c>
      <c r="J20" s="211">
        <f t="shared" si="6"/>
        <v>0</v>
      </c>
      <c r="K20" s="211">
        <f t="shared" si="7"/>
        <v>1000</v>
      </c>
    </row>
    <row r="21" spans="1:11">
      <c r="A21" s="292" t="s">
        <v>133</v>
      </c>
      <c r="B21" s="293">
        <v>0</v>
      </c>
      <c r="C21" s="294">
        <f t="shared" si="9"/>
        <v>0</v>
      </c>
      <c r="D21" s="295">
        <f t="shared" si="10"/>
        <v>31</v>
      </c>
      <c r="E21" s="333">
        <f t="shared" si="11"/>
        <v>0</v>
      </c>
      <c r="F21" s="333"/>
      <c r="G21" s="208">
        <f>Z1PCSPSP!BW39+Z1PCSPSP!BY39+Z1PCSPSP!CA39+Z1PCSPSP!CE39+Z1PCSPSP!CI39+Z1PCSPSP!CO39+Z1PCSPSP!CK39*0.8-Z1PCSPSP!DP39</f>
        <v>8628</v>
      </c>
      <c r="H21" s="334">
        <f t="shared" si="8"/>
        <v>0</v>
      </c>
      <c r="I21" s="211">
        <v>0</v>
      </c>
      <c r="J21" s="211">
        <f t="shared" si="6"/>
        <v>0</v>
      </c>
      <c r="K21" s="211">
        <f t="shared" si="7"/>
        <v>8628</v>
      </c>
    </row>
    <row r="22" spans="1:11">
      <c r="A22" s="292" t="s">
        <v>134</v>
      </c>
      <c r="B22" s="293">
        <v>0</v>
      </c>
      <c r="C22" s="294">
        <f>B22*158.987*D22/1000</f>
        <v>0</v>
      </c>
      <c r="D22" s="295">
        <f>D21</f>
        <v>31</v>
      </c>
      <c r="E22" s="333">
        <f>C22</f>
        <v>0</v>
      </c>
      <c r="F22" s="333"/>
      <c r="G22" s="211">
        <f>Z1PCSPSP!EF39</f>
        <v>1419</v>
      </c>
      <c r="H22" s="334">
        <f t="shared" si="8"/>
        <v>0</v>
      </c>
      <c r="I22" s="211">
        <v>0</v>
      </c>
      <c r="J22" s="211">
        <f t="shared" si="6"/>
        <v>0</v>
      </c>
      <c r="K22" s="211">
        <f t="shared" si="7"/>
        <v>1419</v>
      </c>
    </row>
    <row r="23" spans="1:11">
      <c r="A23" s="292" t="s">
        <v>135</v>
      </c>
      <c r="B23" s="293">
        <v>0</v>
      </c>
      <c r="C23" s="294">
        <f>B23*158.987*D23/1000</f>
        <v>0</v>
      </c>
      <c r="D23" s="295">
        <f>D22</f>
        <v>31</v>
      </c>
      <c r="E23" s="333">
        <f>C23</f>
        <v>0</v>
      </c>
      <c r="F23" s="333"/>
      <c r="G23" s="211">
        <f>PVT!X39+PVT!Z39</f>
        <v>2606</v>
      </c>
      <c r="H23" s="334">
        <f t="shared" si="8"/>
        <v>0</v>
      </c>
      <c r="I23" s="211">
        <v>0</v>
      </c>
      <c r="J23" s="211">
        <f t="shared" si="6"/>
        <v>0</v>
      </c>
      <c r="K23" s="211">
        <f t="shared" si="7"/>
        <v>2606</v>
      </c>
    </row>
    <row r="24" spans="1:11">
      <c r="A24" s="292" t="s">
        <v>72</v>
      </c>
      <c r="B24" s="333">
        <f>SUM(B17:B23)</f>
        <v>0</v>
      </c>
      <c r="C24" s="333">
        <f>SUM(C17:C23)</f>
        <v>0</v>
      </c>
      <c r="D24" s="295"/>
      <c r="E24" s="333">
        <f t="shared" ref="E24:K24" si="12">SUM(E17:E23)</f>
        <v>0</v>
      </c>
      <c r="F24" s="333">
        <f t="shared" si="12"/>
        <v>0</v>
      </c>
      <c r="G24" s="333">
        <f t="shared" si="12"/>
        <v>36170</v>
      </c>
      <c r="H24" s="333">
        <f t="shared" si="12"/>
        <v>0</v>
      </c>
      <c r="I24" s="333">
        <f t="shared" si="12"/>
        <v>0</v>
      </c>
      <c r="J24" s="333">
        <f t="shared" si="12"/>
        <v>0</v>
      </c>
      <c r="K24" s="333">
        <f t="shared" si="12"/>
        <v>36170</v>
      </c>
    </row>
  </sheetData>
  <conditionalFormatting sqref="J6:J12">
    <cfRule type="cellIs" dxfId="7" priority="8" operator="greaterThan">
      <formula>0</formula>
    </cfRule>
  </conditionalFormatting>
  <conditionalFormatting sqref="I8:I12">
    <cfRule type="cellIs" dxfId="6" priority="6" operator="greaterThan">
      <formula>0</formula>
    </cfRule>
  </conditionalFormatting>
  <conditionalFormatting sqref="I7">
    <cfRule type="cellIs" dxfId="5" priority="7" operator="greaterThan">
      <formula>0</formula>
    </cfRule>
  </conditionalFormatting>
  <conditionalFormatting sqref="I18">
    <cfRule type="cellIs" dxfId="4" priority="4" operator="greaterThan">
      <formula>0</formula>
    </cfRule>
  </conditionalFormatting>
  <conditionalFormatting sqref="I17 J17:J23">
    <cfRule type="cellIs" dxfId="3" priority="5" operator="greaterThan">
      <formula>0</formula>
    </cfRule>
  </conditionalFormatting>
  <conditionalFormatting sqref="I19:I23">
    <cfRule type="cellIs" dxfId="2" priority="3" operator="greaterThan">
      <formula>0</formula>
    </cfRule>
  </conditionalFormatting>
  <conditionalFormatting sqref="H6:H12">
    <cfRule type="cellIs" dxfId="1" priority="2" operator="greaterThan">
      <formula>0</formula>
    </cfRule>
  </conditionalFormatting>
  <conditionalFormatting sqref="I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Q60"/>
  <sheetViews>
    <sheetView workbookViewId="0">
      <selection activeCell="K8" sqref="K8"/>
    </sheetView>
  </sheetViews>
  <sheetFormatPr baseColWidth="10" defaultColWidth="11.44140625" defaultRowHeight="14.4"/>
  <cols>
    <col min="1" max="1" width="16.44140625" customWidth="1"/>
    <col min="2" max="2" width="0" hidden="1" customWidth="1"/>
    <col min="3" max="3" width="17.5546875" customWidth="1"/>
    <col min="4" max="4" width="0" hidden="1" customWidth="1"/>
    <col min="5" max="5" width="17.6640625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5" max="15" width="11.5546875" customWidth="1"/>
    <col min="16" max="16" width="11.5546875" hidden="1" customWidth="1"/>
    <col min="17" max="17" width="0" hidden="1" customWidth="1"/>
  </cols>
  <sheetData>
    <row r="1" spans="1:17">
      <c r="A1" s="252" t="s">
        <v>170</v>
      </c>
    </row>
    <row r="2" spans="1:17">
      <c r="A2" s="252"/>
      <c r="E2" s="261"/>
      <c r="F2" s="261"/>
      <c r="G2" s="652"/>
      <c r="H2" s="653"/>
      <c r="I2" s="261"/>
    </row>
    <row r="4" spans="1:17">
      <c r="A4" s="273" t="s">
        <v>128</v>
      </c>
      <c r="B4" s="654" t="s">
        <v>2</v>
      </c>
      <c r="C4" s="655"/>
      <c r="D4" s="648" t="s">
        <v>68</v>
      </c>
      <c r="E4" s="649"/>
      <c r="F4" s="648" t="s">
        <v>69</v>
      </c>
      <c r="G4" s="649"/>
      <c r="H4" s="648" t="s">
        <v>70</v>
      </c>
      <c r="I4" s="649"/>
      <c r="J4" s="648" t="s">
        <v>103</v>
      </c>
      <c r="K4" s="649"/>
      <c r="L4" s="648" t="s">
        <v>8</v>
      </c>
      <c r="M4" s="649"/>
      <c r="N4" s="648" t="s">
        <v>183</v>
      </c>
      <c r="O4" s="649"/>
      <c r="P4" s="274" t="s">
        <v>72</v>
      </c>
      <c r="Q4" s="274" t="s">
        <v>171</v>
      </c>
    </row>
    <row r="5" spans="1:17">
      <c r="A5" s="273"/>
      <c r="B5" s="275" t="s">
        <v>172</v>
      </c>
      <c r="C5" s="275" t="s">
        <v>173</v>
      </c>
      <c r="D5" s="276" t="s">
        <v>172</v>
      </c>
      <c r="E5" s="275" t="s">
        <v>173</v>
      </c>
      <c r="F5" s="276" t="s">
        <v>172</v>
      </c>
      <c r="G5" s="275" t="s">
        <v>173</v>
      </c>
      <c r="H5" s="276" t="s">
        <v>172</v>
      </c>
      <c r="I5" s="275" t="s">
        <v>173</v>
      </c>
      <c r="J5" s="276" t="s">
        <v>172</v>
      </c>
      <c r="K5" s="275" t="s">
        <v>173</v>
      </c>
      <c r="L5" s="276" t="s">
        <v>172</v>
      </c>
      <c r="M5" s="275" t="s">
        <v>173</v>
      </c>
      <c r="N5" s="276" t="s">
        <v>172</v>
      </c>
      <c r="O5" s="275" t="s">
        <v>173</v>
      </c>
      <c r="P5" s="275" t="s">
        <v>173</v>
      </c>
      <c r="Q5" s="275" t="s">
        <v>173</v>
      </c>
    </row>
    <row r="6" spans="1:17">
      <c r="A6" s="218" t="s">
        <v>174</v>
      </c>
      <c r="B6" s="212"/>
      <c r="C6" s="212">
        <v>20250</v>
      </c>
      <c r="D6" s="212">
        <v>0</v>
      </c>
      <c r="E6" s="212">
        <v>4400</v>
      </c>
      <c r="F6" s="212">
        <v>0</v>
      </c>
      <c r="G6" s="212">
        <v>160</v>
      </c>
      <c r="H6" s="212">
        <v>0</v>
      </c>
      <c r="I6" s="212">
        <v>1940</v>
      </c>
      <c r="J6" s="212">
        <v>0</v>
      </c>
      <c r="K6" s="212">
        <v>4200</v>
      </c>
      <c r="L6" s="212">
        <v>0</v>
      </c>
      <c r="M6" s="212">
        <v>0</v>
      </c>
      <c r="N6" s="212">
        <v>0</v>
      </c>
      <c r="O6" s="212">
        <v>2000</v>
      </c>
      <c r="P6" s="211">
        <f>O6+M6+K6+I6+G6+E6+C6</f>
        <v>32950</v>
      </c>
      <c r="Q6" s="211"/>
    </row>
    <row r="7" spans="1:17">
      <c r="A7" s="218" t="s">
        <v>175</v>
      </c>
      <c r="B7" s="212"/>
      <c r="C7" s="212">
        <f>'PCOLP I'!Y39</f>
        <v>20996</v>
      </c>
      <c r="D7" s="212">
        <f>'[7]PCOLP I'!W38</f>
        <v>0</v>
      </c>
      <c r="E7" s="212">
        <f>'PCOLP I'!AA39</f>
        <v>4044</v>
      </c>
      <c r="F7" s="212">
        <f>'[7]PCOLP I'!Y38</f>
        <v>0</v>
      </c>
      <c r="G7" s="212">
        <f>'PCOLP I'!AC39</f>
        <v>141</v>
      </c>
      <c r="H7" s="212">
        <f>'[7]PCOLP I'!AA38</f>
        <v>0</v>
      </c>
      <c r="I7" s="212">
        <f>'PCOLP I'!AE39</f>
        <v>1926</v>
      </c>
      <c r="J7" s="212">
        <f>'[7]PCOLP I'!AC38</f>
        <v>0</v>
      </c>
      <c r="K7" s="212">
        <f>'PCOLP I'!AG39</f>
        <v>3418</v>
      </c>
      <c r="L7" s="212">
        <f>'[7]PCOLP I'!AE38</f>
        <v>0</v>
      </c>
      <c r="M7" s="212">
        <f>'PCOLP I'!AK39</f>
        <v>0</v>
      </c>
      <c r="N7" s="212">
        <f>'[7]PCOLP I'!AG38</f>
        <v>0</v>
      </c>
      <c r="O7" s="212">
        <f>'PCOLP I'!AI39</f>
        <v>5578</v>
      </c>
      <c r="P7" s="211">
        <f>O7+M7+K7+I7+G7+E7+C7</f>
        <v>36103</v>
      </c>
      <c r="Q7" s="211" t="e">
        <f>[7]FACTURACIÓN!I4</f>
        <v>#REF!</v>
      </c>
    </row>
    <row r="8" spans="1:17">
      <c r="A8" s="218" t="s">
        <v>176</v>
      </c>
      <c r="B8" s="212"/>
      <c r="C8" s="212">
        <f>C7-C6</f>
        <v>746</v>
      </c>
      <c r="D8" s="212"/>
      <c r="E8" s="212">
        <f>E7-E6</f>
        <v>-356</v>
      </c>
      <c r="F8" s="212"/>
      <c r="G8" s="212">
        <f>G7-G6</f>
        <v>-19</v>
      </c>
      <c r="H8" s="212"/>
      <c r="I8" s="212">
        <f>I7-I6</f>
        <v>-14</v>
      </c>
      <c r="J8" s="212"/>
      <c r="K8" s="212">
        <f>K7-K6</f>
        <v>-782</v>
      </c>
      <c r="L8" s="212"/>
      <c r="M8" s="212">
        <f>M7-M6</f>
        <v>0</v>
      </c>
      <c r="N8" s="212"/>
      <c r="O8" s="212">
        <f>O7-O6</f>
        <v>3578</v>
      </c>
      <c r="P8" s="211">
        <f>O8+M8+K8+I8+G8+E8+C8</f>
        <v>3153</v>
      </c>
      <c r="Q8" s="211"/>
    </row>
    <row r="9" spans="1:17" hidden="1">
      <c r="A9" s="218" t="s">
        <v>177</v>
      </c>
      <c r="B9" s="212"/>
      <c r="C9" s="277">
        <f>C7/C6</f>
        <v>1.0368395061728395</v>
      </c>
      <c r="D9" s="212"/>
      <c r="E9" s="277">
        <f>E7/E6</f>
        <v>0.91909090909090907</v>
      </c>
      <c r="F9" s="212"/>
      <c r="G9" s="277">
        <f>G7/G6</f>
        <v>0.88124999999999998</v>
      </c>
      <c r="H9" s="212"/>
      <c r="I9" s="277"/>
      <c r="J9" s="212"/>
      <c r="K9" s="277">
        <f>K7/K6</f>
        <v>0.81380952380952376</v>
      </c>
      <c r="L9" s="212"/>
      <c r="M9" s="212">
        <f>M8-M7</f>
        <v>0</v>
      </c>
      <c r="N9" s="212"/>
      <c r="O9" s="277">
        <f>O7/O6</f>
        <v>2.7890000000000001</v>
      </c>
      <c r="P9" s="277">
        <f>P7/P6</f>
        <v>1.0956904400606979</v>
      </c>
      <c r="Q9" s="277"/>
    </row>
    <row r="10" spans="1:17" hidden="1">
      <c r="A10" s="278" t="s">
        <v>178</v>
      </c>
      <c r="B10" s="279"/>
      <c r="C10" s="280">
        <f>C7/$P$7</f>
        <v>0.58155831925324764</v>
      </c>
      <c r="D10" s="280">
        <f t="shared" ref="D10:O10" si="0">D7/$P$7</f>
        <v>0</v>
      </c>
      <c r="E10" s="280">
        <f t="shared" si="0"/>
        <v>0.11201285211755256</v>
      </c>
      <c r="F10" s="280">
        <f t="shared" si="0"/>
        <v>0</v>
      </c>
      <c r="G10" s="280">
        <f t="shared" si="0"/>
        <v>3.9054926183419662E-3</v>
      </c>
      <c r="H10" s="280">
        <f t="shared" si="0"/>
        <v>0</v>
      </c>
      <c r="I10" s="280">
        <f t="shared" si="0"/>
        <v>5.3347367254798772E-2</v>
      </c>
      <c r="J10" s="280">
        <f t="shared" si="0"/>
        <v>0</v>
      </c>
      <c r="K10" s="280">
        <f t="shared" si="0"/>
        <v>9.4673572833282552E-2</v>
      </c>
      <c r="L10" s="280">
        <f t="shared" si="0"/>
        <v>0</v>
      </c>
      <c r="M10" s="280">
        <f t="shared" si="0"/>
        <v>0</v>
      </c>
      <c r="N10" s="280">
        <f t="shared" si="0"/>
        <v>0</v>
      </c>
      <c r="O10" s="280">
        <f t="shared" si="0"/>
        <v>0.15450239592277651</v>
      </c>
      <c r="P10" s="281">
        <f>P7/($P$7+$P$15+$P$23+$P$31+$P$39+$P$47+$P$56)</f>
        <v>0.38577763530480313</v>
      </c>
      <c r="Q10" s="282" t="e">
        <f>Q7/($Q$7+$Q$15+$Q$23+$Q$31+$Q$39+$Q$47+$Q$56)</f>
        <v>#REF!</v>
      </c>
    </row>
    <row r="11" spans="1:17">
      <c r="A11" s="283" t="s">
        <v>252</v>
      </c>
      <c r="B11" s="284"/>
      <c r="C11" s="284"/>
      <c r="D11" s="284"/>
      <c r="E11" s="285"/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08"/>
    </row>
    <row r="12" spans="1:17">
      <c r="A12" s="286" t="s">
        <v>104</v>
      </c>
      <c r="B12" s="650" t="s">
        <v>2</v>
      </c>
      <c r="C12" s="651"/>
      <c r="D12" s="646" t="s">
        <v>68</v>
      </c>
      <c r="E12" s="647"/>
      <c r="F12" s="646" t="s">
        <v>69</v>
      </c>
      <c r="G12" s="646"/>
      <c r="H12" s="646" t="s">
        <v>103</v>
      </c>
      <c r="I12" s="647"/>
      <c r="J12" s="284"/>
      <c r="K12" s="648" t="s">
        <v>183</v>
      </c>
      <c r="L12" s="649"/>
      <c r="M12" s="284"/>
      <c r="N12" s="284"/>
      <c r="O12" s="284"/>
      <c r="P12" s="274" t="s">
        <v>72</v>
      </c>
      <c r="Q12" s="274" t="s">
        <v>171</v>
      </c>
    </row>
    <row r="13" spans="1:17">
      <c r="A13" s="273"/>
      <c r="B13" s="453" t="s">
        <v>172</v>
      </c>
      <c r="C13" s="453" t="s">
        <v>173</v>
      </c>
      <c r="D13" s="453" t="s">
        <v>172</v>
      </c>
      <c r="E13" s="453" t="s">
        <v>173</v>
      </c>
      <c r="F13" s="453" t="s">
        <v>172</v>
      </c>
      <c r="G13" s="453" t="s">
        <v>173</v>
      </c>
      <c r="H13" s="453" t="s">
        <v>172</v>
      </c>
      <c r="I13" s="453" t="s">
        <v>173</v>
      </c>
      <c r="J13" s="284"/>
      <c r="K13" s="276" t="s">
        <v>172</v>
      </c>
      <c r="L13" s="275" t="s">
        <v>173</v>
      </c>
      <c r="M13" s="284"/>
      <c r="N13" s="284"/>
      <c r="O13" s="284"/>
      <c r="P13" s="275" t="s">
        <v>173</v>
      </c>
      <c r="Q13" s="275" t="s">
        <v>173</v>
      </c>
    </row>
    <row r="14" spans="1:17">
      <c r="A14" s="218" t="s">
        <v>174</v>
      </c>
      <c r="B14" s="212"/>
      <c r="C14" s="212">
        <v>4100</v>
      </c>
      <c r="D14" s="212">
        <v>0</v>
      </c>
      <c r="E14" s="212">
        <v>8200</v>
      </c>
      <c r="F14" s="212">
        <v>0</v>
      </c>
      <c r="G14" s="212">
        <v>0</v>
      </c>
      <c r="H14" s="212">
        <v>0</v>
      </c>
      <c r="I14" s="212">
        <v>0</v>
      </c>
      <c r="J14" s="284"/>
      <c r="K14" s="212">
        <v>0</v>
      </c>
      <c r="L14" s="212">
        <v>1300</v>
      </c>
      <c r="M14" s="284"/>
      <c r="N14" s="284"/>
      <c r="O14" s="284"/>
      <c r="P14" s="211">
        <f>O14+M14+K14+I14+G14+E14+C14</f>
        <v>12300</v>
      </c>
      <c r="Q14" s="211"/>
    </row>
    <row r="15" spans="1:17">
      <c r="A15" s="218" t="s">
        <v>175</v>
      </c>
      <c r="B15" s="212"/>
      <c r="C15" s="212">
        <f>'PCOLP II'!Y39</f>
        <v>4446</v>
      </c>
      <c r="D15" s="212">
        <f>'PCOLP II'!Z39</f>
        <v>0</v>
      </c>
      <c r="E15" s="212">
        <f>'PCOLP II'!AA39</f>
        <v>7410</v>
      </c>
      <c r="F15" s="212">
        <f>'PCOLP II'!AB39</f>
        <v>0</v>
      </c>
      <c r="G15" s="212">
        <f>'PCOLP II'!AC39</f>
        <v>0</v>
      </c>
      <c r="H15" s="212">
        <f>'PCOLP II'!AD39</f>
        <v>0</v>
      </c>
      <c r="I15" s="212">
        <f>'PCOLP II'!AG39</f>
        <v>0</v>
      </c>
      <c r="J15" s="284"/>
      <c r="K15" s="212">
        <f>'PCOLP II'!AI39</f>
        <v>3493</v>
      </c>
      <c r="L15" s="212">
        <f>'PCOLP I'!AF47</f>
        <v>0</v>
      </c>
      <c r="M15" s="284"/>
      <c r="N15" s="284"/>
      <c r="O15" s="284"/>
      <c r="P15" s="211">
        <f>O15+M15+K15+I15+G15+E15+C15</f>
        <v>15349</v>
      </c>
      <c r="Q15" s="211" t="e">
        <f>[7]FACTURACIÓN!I5</f>
        <v>#REF!</v>
      </c>
    </row>
    <row r="16" spans="1:17">
      <c r="A16" s="218" t="s">
        <v>176</v>
      </c>
      <c r="B16" s="212"/>
      <c r="C16" s="212">
        <f>C15-C14</f>
        <v>346</v>
      </c>
      <c r="D16" s="212"/>
      <c r="E16" s="212">
        <f>E15-E14</f>
        <v>-790</v>
      </c>
      <c r="F16" s="212"/>
      <c r="G16" s="212">
        <f>G15-G14</f>
        <v>0</v>
      </c>
      <c r="H16" s="212"/>
      <c r="I16" s="212">
        <f>I15-I14</f>
        <v>0</v>
      </c>
      <c r="J16" s="284"/>
      <c r="K16" s="212"/>
      <c r="L16" s="212">
        <f>L15-L14</f>
        <v>-1300</v>
      </c>
      <c r="M16" s="284"/>
      <c r="N16" s="284"/>
      <c r="O16" s="284"/>
      <c r="P16" s="211">
        <f>O16+M16+K16+I16+G16+E16+C16</f>
        <v>-444</v>
      </c>
      <c r="Q16" s="211"/>
    </row>
    <row r="17" spans="1:17" hidden="1">
      <c r="A17" s="218" t="s">
        <v>177</v>
      </c>
      <c r="B17" s="212"/>
      <c r="C17" s="277">
        <f>C15/C14</f>
        <v>1.0843902439024391</v>
      </c>
      <c r="D17" s="212"/>
      <c r="E17" s="277">
        <f>E15/E14</f>
        <v>0.90365853658536588</v>
      </c>
      <c r="F17" s="212"/>
      <c r="G17" s="212"/>
      <c r="H17" s="212"/>
      <c r="I17" s="277"/>
      <c r="J17" s="284"/>
      <c r="K17" s="284"/>
      <c r="L17" s="284"/>
      <c r="M17" s="284"/>
      <c r="N17" s="284"/>
      <c r="O17" s="284"/>
      <c r="P17" s="277">
        <f>P15/P14</f>
        <v>1.2478861788617885</v>
      </c>
      <c r="Q17" s="277"/>
    </row>
    <row r="18" spans="1:17" hidden="1">
      <c r="A18" s="278" t="s">
        <v>178</v>
      </c>
      <c r="B18" s="279"/>
      <c r="C18" s="280">
        <f>C15/$P$15</f>
        <v>0.28966056420613723</v>
      </c>
      <c r="D18" s="280">
        <f t="shared" ref="D18:I18" si="1">D15/$P$15</f>
        <v>0</v>
      </c>
      <c r="E18" s="280">
        <f t="shared" si="1"/>
        <v>0.48276760701022869</v>
      </c>
      <c r="F18" s="280">
        <f t="shared" si="1"/>
        <v>0</v>
      </c>
      <c r="G18" s="280"/>
      <c r="H18" s="280">
        <f t="shared" si="1"/>
        <v>0</v>
      </c>
      <c r="I18" s="280">
        <f t="shared" si="1"/>
        <v>0</v>
      </c>
      <c r="J18" s="284"/>
      <c r="K18" s="284"/>
      <c r="L18" s="284"/>
      <c r="M18" s="284"/>
      <c r="N18" s="284"/>
      <c r="O18" s="284"/>
      <c r="P18" s="287">
        <f>P15/($P$7+$P$15+$P$23+$P$31+$P$39+$P$47+$P$56)</f>
        <v>0.16401132660148529</v>
      </c>
      <c r="Q18" s="282" t="e">
        <f>Q15/($Q$7+$Q$15+$Q$23+$Q$31+$Q$39+$Q$47+$Q$56)</f>
        <v>#REF!</v>
      </c>
    </row>
    <row r="19" spans="1:17">
      <c r="A19" s="283" t="s">
        <v>253</v>
      </c>
      <c r="B19" s="284"/>
      <c r="C19" s="284"/>
      <c r="D19" s="284"/>
      <c r="E19" s="285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08"/>
    </row>
    <row r="20" spans="1:17">
      <c r="A20" s="288" t="s">
        <v>131</v>
      </c>
      <c r="B20" s="650" t="s">
        <v>68</v>
      </c>
      <c r="C20" s="651"/>
      <c r="D20" s="646" t="s">
        <v>69</v>
      </c>
      <c r="E20" s="647"/>
      <c r="F20" s="646" t="s">
        <v>103</v>
      </c>
      <c r="G20" s="647"/>
      <c r="H20" s="284"/>
      <c r="I20" s="648" t="s">
        <v>183</v>
      </c>
      <c r="J20" s="649"/>
      <c r="K20" s="284"/>
      <c r="L20" s="284"/>
      <c r="M20" s="284"/>
      <c r="N20" s="284"/>
      <c r="O20" s="284"/>
      <c r="P20" s="274" t="s">
        <v>72</v>
      </c>
      <c r="Q20" s="274" t="s">
        <v>171</v>
      </c>
    </row>
    <row r="21" spans="1:17">
      <c r="A21" s="273"/>
      <c r="B21" s="453" t="s">
        <v>172</v>
      </c>
      <c r="C21" s="453" t="s">
        <v>173</v>
      </c>
      <c r="D21" s="453" t="s">
        <v>172</v>
      </c>
      <c r="E21" s="453" t="s">
        <v>173</v>
      </c>
      <c r="F21" s="453" t="s">
        <v>172</v>
      </c>
      <c r="G21" s="453" t="s">
        <v>173</v>
      </c>
      <c r="H21" s="284"/>
      <c r="I21" s="276" t="s">
        <v>172</v>
      </c>
      <c r="J21" s="275" t="s">
        <v>173</v>
      </c>
      <c r="K21" s="284"/>
      <c r="L21" s="284"/>
      <c r="M21" s="284"/>
      <c r="N21" s="284"/>
      <c r="O21" s="284"/>
      <c r="P21" s="275" t="s">
        <v>173</v>
      </c>
      <c r="Q21" s="275" t="s">
        <v>173</v>
      </c>
    </row>
    <row r="22" spans="1:17">
      <c r="A22" s="218" t="s">
        <v>174</v>
      </c>
      <c r="B22" s="212"/>
      <c r="C22" s="212">
        <v>0</v>
      </c>
      <c r="D22" s="212">
        <v>0</v>
      </c>
      <c r="E22" s="212">
        <v>0</v>
      </c>
      <c r="F22" s="212">
        <v>0</v>
      </c>
      <c r="G22" s="212">
        <v>0</v>
      </c>
      <c r="H22" s="284" t="e">
        <v>#REF!</v>
      </c>
      <c r="I22" s="212">
        <v>4850</v>
      </c>
      <c r="J22" s="212">
        <v>1300</v>
      </c>
      <c r="K22" s="284"/>
      <c r="L22" s="284"/>
      <c r="M22" s="284"/>
      <c r="N22" s="284"/>
      <c r="O22" s="284"/>
      <c r="P22" s="211">
        <f>O22+M22+K22+I22+G22+E22+C22</f>
        <v>4850</v>
      </c>
      <c r="Q22" s="211"/>
    </row>
    <row r="23" spans="1:17">
      <c r="A23" s="218" t="s">
        <v>175</v>
      </c>
      <c r="B23" s="212"/>
      <c r="C23" s="212">
        <f>PCPV!AC39</f>
        <v>0</v>
      </c>
      <c r="D23" s="212">
        <f>[7]PCPV!P39</f>
        <v>0</v>
      </c>
      <c r="E23" s="212">
        <f>[7]PCPV!Q39</f>
        <v>0</v>
      </c>
      <c r="F23" s="212">
        <f>[7]PCPV!R39</f>
        <v>0</v>
      </c>
      <c r="G23" s="212">
        <f>PCPV!AI39</f>
        <v>0</v>
      </c>
      <c r="H23" s="212" t="e">
        <f>[7]PCPV!#REF!</f>
        <v>#REF!</v>
      </c>
      <c r="I23" s="212">
        <f>PCPV!AK39</f>
        <v>973</v>
      </c>
      <c r="J23" s="212">
        <f>'PCOLP I'!AD55</f>
        <v>0</v>
      </c>
      <c r="K23" s="284"/>
      <c r="L23" s="284"/>
      <c r="M23" s="284"/>
      <c r="N23" s="284"/>
      <c r="O23" s="284"/>
      <c r="P23" s="211">
        <f>O23+M23+K23+I23+G23+E23+C23</f>
        <v>973</v>
      </c>
      <c r="Q23" s="211" t="e">
        <f>[7]FACTURACIÓN!I6</f>
        <v>#REF!</v>
      </c>
    </row>
    <row r="24" spans="1:17">
      <c r="A24" s="218" t="s">
        <v>176</v>
      </c>
      <c r="B24" s="212"/>
      <c r="C24" s="212">
        <f>C23-C22</f>
        <v>0</v>
      </c>
      <c r="D24" s="212"/>
      <c r="E24" s="212"/>
      <c r="F24" s="212"/>
      <c r="G24" s="212">
        <f>G23-G22</f>
        <v>0</v>
      </c>
      <c r="H24" s="284"/>
      <c r="I24" s="212"/>
      <c r="J24" s="212">
        <f>J23-J22</f>
        <v>-1300</v>
      </c>
      <c r="K24" s="284"/>
      <c r="L24" s="284"/>
      <c r="M24" s="284"/>
      <c r="N24" s="284"/>
      <c r="O24" s="284"/>
      <c r="P24" s="211">
        <f>O24+M24+K24+I24+G24+E24+C24</f>
        <v>0</v>
      </c>
      <c r="Q24" s="211"/>
    </row>
    <row r="25" spans="1:17" hidden="1">
      <c r="A25" s="218" t="s">
        <v>177</v>
      </c>
      <c r="B25" s="212"/>
      <c r="C25" s="277" t="e">
        <f>C23/C22</f>
        <v>#DIV/0!</v>
      </c>
      <c r="D25" s="212"/>
      <c r="E25" s="277"/>
      <c r="F25" s="212"/>
      <c r="G25" s="277"/>
      <c r="H25" s="284"/>
      <c r="I25" s="284"/>
      <c r="J25" s="284"/>
      <c r="K25" s="284"/>
      <c r="L25" s="284"/>
      <c r="M25" s="284"/>
      <c r="N25" s="284"/>
      <c r="O25" s="284"/>
      <c r="P25" s="277">
        <f>P23/P22</f>
        <v>0.20061855670103093</v>
      </c>
      <c r="Q25" s="277"/>
    </row>
    <row r="26" spans="1:17" hidden="1">
      <c r="A26" s="278" t="s">
        <v>178</v>
      </c>
      <c r="B26" s="279"/>
      <c r="C26" s="280">
        <f>C23/$P$23</f>
        <v>0</v>
      </c>
      <c r="D26" s="280">
        <f>D23/$P$23</f>
        <v>0</v>
      </c>
      <c r="E26" s="280">
        <f>E23/$P$23</f>
        <v>0</v>
      </c>
      <c r="F26" s="280">
        <f>F23/$P$23</f>
        <v>0</v>
      </c>
      <c r="G26" s="280">
        <f>G23/$P$23</f>
        <v>0</v>
      </c>
      <c r="H26" s="277" t="e">
        <f>H23/$P$15</f>
        <v>#REF!</v>
      </c>
      <c r="I26" s="284"/>
      <c r="J26" s="284"/>
      <c r="K26" s="284"/>
      <c r="L26" s="284"/>
      <c r="M26" s="284"/>
      <c r="N26" s="284"/>
      <c r="O26" s="284"/>
      <c r="P26" s="287">
        <f>P23/($P$7+$P$15+$P$23+$P$31+$P$39+$P$47+$P$56)</f>
        <v>1.0396965325639792E-2</v>
      </c>
      <c r="Q26" s="282" t="e">
        <f>Q23/($Q$7+$Q$15+$Q$23+$Q$31+$Q$39+$Q$47+$Q$56)</f>
        <v>#REF!</v>
      </c>
    </row>
    <row r="27" spans="1:17">
      <c r="A27" s="283" t="s">
        <v>254</v>
      </c>
      <c r="B27" s="284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4"/>
      <c r="N27" s="284"/>
      <c r="O27" s="284"/>
      <c r="P27" s="208"/>
    </row>
    <row r="28" spans="1:17">
      <c r="A28" s="288" t="s">
        <v>144</v>
      </c>
      <c r="B28" s="650" t="s">
        <v>68</v>
      </c>
      <c r="C28" s="651"/>
      <c r="D28" s="646" t="s">
        <v>69</v>
      </c>
      <c r="E28" s="646"/>
      <c r="F28" s="646" t="s">
        <v>103</v>
      </c>
      <c r="G28" s="647"/>
      <c r="H28" s="284"/>
      <c r="I28" s="284"/>
      <c r="J28" s="284"/>
      <c r="K28" s="284"/>
      <c r="L28" s="284"/>
      <c r="M28" s="284"/>
      <c r="N28" s="284"/>
      <c r="O28" s="284"/>
      <c r="P28" s="274" t="s">
        <v>72</v>
      </c>
      <c r="Q28" s="274" t="s">
        <v>171</v>
      </c>
    </row>
    <row r="29" spans="1:17">
      <c r="A29" s="273"/>
      <c r="B29" s="453" t="s">
        <v>172</v>
      </c>
      <c r="C29" s="453" t="s">
        <v>173</v>
      </c>
      <c r="D29" s="453" t="s">
        <v>172</v>
      </c>
      <c r="E29" s="453" t="s">
        <v>173</v>
      </c>
      <c r="F29" s="453" t="s">
        <v>172</v>
      </c>
      <c r="G29" s="453" t="s">
        <v>173</v>
      </c>
      <c r="H29" s="284"/>
      <c r="I29" s="284"/>
      <c r="J29" s="284"/>
      <c r="K29" s="284"/>
      <c r="L29" s="284"/>
      <c r="M29" s="284"/>
      <c r="N29" s="284"/>
      <c r="O29" s="284"/>
      <c r="P29" s="275" t="s">
        <v>173</v>
      </c>
      <c r="Q29" s="275" t="s">
        <v>173</v>
      </c>
    </row>
    <row r="30" spans="1:17">
      <c r="A30" s="218" t="s">
        <v>174</v>
      </c>
      <c r="B30" s="212"/>
      <c r="C30" s="212">
        <v>8980</v>
      </c>
      <c r="D30" s="212">
        <v>0</v>
      </c>
      <c r="E30" s="212">
        <v>260</v>
      </c>
      <c r="F30" s="212">
        <v>0</v>
      </c>
      <c r="G30" s="212">
        <v>825</v>
      </c>
      <c r="H30" s="284"/>
      <c r="I30" s="284"/>
      <c r="J30" s="284"/>
      <c r="K30" s="284"/>
      <c r="L30" s="284"/>
      <c r="M30" s="284"/>
      <c r="N30" s="284"/>
      <c r="O30" s="284"/>
      <c r="P30" s="211">
        <f>O30+M30+K30+I30+G30+E30+C30</f>
        <v>10065</v>
      </c>
      <c r="Q30" s="211"/>
    </row>
    <row r="31" spans="1:17">
      <c r="A31" s="218" t="s">
        <v>175</v>
      </c>
      <c r="B31" s="212"/>
      <c r="C31" s="212">
        <f>Z1PCSPSP!Z39</f>
        <v>9274</v>
      </c>
      <c r="D31" s="212">
        <f>'[7]PCSZ-1,PCS,PSP'!M38</f>
        <v>0</v>
      </c>
      <c r="E31" s="212">
        <f>Z1PCSPSP!AB39</f>
        <v>238</v>
      </c>
      <c r="F31" s="212">
        <f>'[7]PCSZ-1,PCS,PSP'!O38</f>
        <v>0</v>
      </c>
      <c r="G31" s="212">
        <f>Z1PCSPSP!AF39+Z1PCSPSP!V39+Z1PCSPSP!T39</f>
        <v>832</v>
      </c>
      <c r="H31" s="212" t="e">
        <f>'[7]PCSZ-1,PCS,PSP'!#REF!</f>
        <v>#REF!</v>
      </c>
      <c r="I31" s="284"/>
      <c r="J31" s="284"/>
      <c r="K31" s="284"/>
      <c r="L31" s="284"/>
      <c r="M31" s="284"/>
      <c r="N31" s="284"/>
      <c r="O31" s="284"/>
      <c r="P31" s="211">
        <f>O31+M31+K31+I31+G31+E31+C31</f>
        <v>10344</v>
      </c>
      <c r="Q31" s="211">
        <f>[7]FACTURACIÓN!I7</f>
        <v>3800</v>
      </c>
    </row>
    <row r="32" spans="1:17">
      <c r="A32" s="218" t="s">
        <v>176</v>
      </c>
      <c r="B32" s="212"/>
      <c r="C32" s="212">
        <f>C31-C30</f>
        <v>294</v>
      </c>
      <c r="D32" s="212"/>
      <c r="E32" s="212">
        <f>E31-E30</f>
        <v>-22</v>
      </c>
      <c r="F32" s="212"/>
      <c r="G32" s="212">
        <f>G31-G30</f>
        <v>7</v>
      </c>
      <c r="H32" s="284"/>
      <c r="I32" s="284"/>
      <c r="J32" s="284"/>
      <c r="K32" s="284"/>
      <c r="L32" s="284"/>
      <c r="M32" s="284"/>
      <c r="N32" s="284"/>
      <c r="O32" s="284"/>
      <c r="P32" s="211">
        <f>O32+M32+K32+I32+G32+E32+C32</f>
        <v>279</v>
      </c>
      <c r="Q32" s="211"/>
    </row>
    <row r="33" spans="1:17" hidden="1">
      <c r="A33" s="218" t="s">
        <v>177</v>
      </c>
      <c r="B33" s="212"/>
      <c r="C33" s="277">
        <f>C31/C30</f>
        <v>1.0327394209354119</v>
      </c>
      <c r="D33" s="212"/>
      <c r="E33" s="277">
        <f>E31/E30</f>
        <v>0.91538461538461535</v>
      </c>
      <c r="F33" s="212"/>
      <c r="G33" s="277">
        <f>G31/G30</f>
        <v>1.0084848484848485</v>
      </c>
      <c r="H33" s="284"/>
      <c r="I33" s="284"/>
      <c r="J33" s="284"/>
      <c r="K33" s="284"/>
      <c r="L33" s="284"/>
      <c r="M33" s="284"/>
      <c r="N33" s="284"/>
      <c r="O33" s="284"/>
      <c r="P33" s="277">
        <f>P31/P30</f>
        <v>1.0277198211624441</v>
      </c>
      <c r="Q33" s="277"/>
    </row>
    <row r="34" spans="1:17" hidden="1">
      <c r="A34" s="278" t="s">
        <v>178</v>
      </c>
      <c r="B34" s="289"/>
      <c r="C34" s="280">
        <f>C31/$P$31</f>
        <v>0.89655839133797366</v>
      </c>
      <c r="D34" s="280">
        <f>D31/$P$15</f>
        <v>0</v>
      </c>
      <c r="E34" s="280">
        <f>E31/$P$31</f>
        <v>2.3008507347254448E-2</v>
      </c>
      <c r="F34" s="280">
        <f>F31/$P$15</f>
        <v>0</v>
      </c>
      <c r="G34" s="280">
        <f>G31/$P$31</f>
        <v>8.0433101314771854E-2</v>
      </c>
      <c r="H34" s="277" t="e">
        <f>H31/$P$15</f>
        <v>#REF!</v>
      </c>
      <c r="I34" s="284"/>
      <c r="J34" s="284"/>
      <c r="K34" s="284"/>
      <c r="L34" s="284"/>
      <c r="M34" s="284"/>
      <c r="N34" s="284"/>
      <c r="O34" s="284"/>
      <c r="P34" s="287">
        <f>P31/($P$7+$P$15+$P$23+$P$31+$P$39+$P$47+$P$56)</f>
        <v>0.11053053373938131</v>
      </c>
      <c r="Q34" s="282" t="e">
        <f>Q31/($Q$7+$Q$15+$Q$23+$Q$31+$Q$39+$Q$47+$Q$56)</f>
        <v>#REF!</v>
      </c>
    </row>
    <row r="35" spans="1:17">
      <c r="A35" s="283" t="s">
        <v>179</v>
      </c>
      <c r="B35" s="284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4"/>
      <c r="N35" s="284"/>
      <c r="O35" s="284"/>
      <c r="P35" s="208"/>
    </row>
    <row r="36" spans="1:17">
      <c r="A36" s="288" t="s">
        <v>133</v>
      </c>
      <c r="B36" s="650" t="s">
        <v>2</v>
      </c>
      <c r="C36" s="651"/>
      <c r="D36" s="646" t="s">
        <v>68</v>
      </c>
      <c r="E36" s="647"/>
      <c r="F36" s="646" t="s">
        <v>69</v>
      </c>
      <c r="G36" s="646"/>
      <c r="H36" s="646" t="s">
        <v>103</v>
      </c>
      <c r="I36" s="647"/>
      <c r="J36" s="284"/>
      <c r="K36" s="284"/>
      <c r="L36" s="284"/>
      <c r="M36" s="284"/>
      <c r="N36" s="284"/>
      <c r="O36" s="284"/>
      <c r="P36" s="274" t="s">
        <v>72</v>
      </c>
      <c r="Q36" s="274" t="s">
        <v>171</v>
      </c>
    </row>
    <row r="37" spans="1:17">
      <c r="A37" s="273"/>
      <c r="B37" s="453" t="s">
        <v>172</v>
      </c>
      <c r="C37" s="453" t="s">
        <v>173</v>
      </c>
      <c r="D37" s="453" t="s">
        <v>172</v>
      </c>
      <c r="E37" s="453" t="s">
        <v>173</v>
      </c>
      <c r="F37" s="453" t="s">
        <v>172</v>
      </c>
      <c r="G37" s="453" t="s">
        <v>173</v>
      </c>
      <c r="H37" s="453" t="s">
        <v>172</v>
      </c>
      <c r="I37" s="453" t="s">
        <v>173</v>
      </c>
      <c r="J37" s="284"/>
      <c r="K37" s="284"/>
      <c r="L37" s="284"/>
      <c r="M37" s="284"/>
      <c r="N37" s="284"/>
      <c r="O37" s="284"/>
      <c r="P37" s="275" t="s">
        <v>173</v>
      </c>
      <c r="Q37" s="275" t="s">
        <v>173</v>
      </c>
    </row>
    <row r="38" spans="1:17">
      <c r="A38" s="218" t="s">
        <v>174</v>
      </c>
      <c r="B38" s="212"/>
      <c r="C38" s="212">
        <v>7860</v>
      </c>
      <c r="D38" s="212"/>
      <c r="E38" s="212">
        <v>8380</v>
      </c>
      <c r="F38" s="212"/>
      <c r="G38" s="212"/>
      <c r="H38" s="212"/>
      <c r="I38" s="212">
        <v>804</v>
      </c>
      <c r="J38" s="284"/>
      <c r="K38" s="284"/>
      <c r="L38" s="284"/>
      <c r="M38" s="284"/>
      <c r="N38" s="284"/>
      <c r="O38" s="284"/>
      <c r="P38" s="211">
        <f>O38+M38+K38+I38+G38+E38+C38</f>
        <v>17044</v>
      </c>
      <c r="Q38" s="211"/>
    </row>
    <row r="39" spans="1:17" ht="12.6" customHeight="1">
      <c r="A39" s="218" t="s">
        <v>175</v>
      </c>
      <c r="B39" s="212"/>
      <c r="C39" s="212">
        <f>Z1PCSPSP!BU39+Z1PCSPSP!CC39+Z1PCSPSP!CG39</f>
        <v>7792</v>
      </c>
      <c r="D39" s="212"/>
      <c r="E39" s="212">
        <f>Z1PCSPSP!BW39+Z1PCSPSP!CI39</f>
        <v>8904</v>
      </c>
      <c r="F39" s="212"/>
      <c r="G39" s="212"/>
      <c r="H39" s="212"/>
      <c r="I39" s="212">
        <f>Z1PCSPSP!BY39+Z1PCSPSP!CA39+Z1PCSPSP!CE39+Z1PCSPSP!CO39</f>
        <v>798</v>
      </c>
      <c r="J39" s="284"/>
      <c r="K39" s="284"/>
      <c r="L39" s="284"/>
      <c r="M39" s="284"/>
      <c r="N39" s="284"/>
      <c r="O39" s="284"/>
      <c r="P39" s="211">
        <f>O39+M39+K39+I39+G39+E39+C39</f>
        <v>17494</v>
      </c>
      <c r="Q39" s="211" t="e">
        <f>[7]FACTURACIÓN!I8</f>
        <v>#REF!</v>
      </c>
    </row>
    <row r="40" spans="1:17">
      <c r="A40" s="218" t="s">
        <v>176</v>
      </c>
      <c r="B40" s="212"/>
      <c r="C40" s="212">
        <f>C39-C38</f>
        <v>-68</v>
      </c>
      <c r="D40" s="212"/>
      <c r="E40" s="212">
        <f>E39-E38</f>
        <v>524</v>
      </c>
      <c r="F40" s="212"/>
      <c r="G40" s="212"/>
      <c r="H40" s="212"/>
      <c r="I40" s="212">
        <f>I39-I38</f>
        <v>-6</v>
      </c>
      <c r="J40" s="284"/>
      <c r="K40" s="284"/>
      <c r="L40" s="284"/>
      <c r="M40" s="284"/>
      <c r="N40" s="284"/>
      <c r="O40" s="284"/>
      <c r="P40" s="211">
        <f>O40+M40+K40+I40+G40+E40+C40</f>
        <v>450</v>
      </c>
      <c r="Q40" s="211"/>
    </row>
    <row r="41" spans="1:17" hidden="1">
      <c r="A41" s="218" t="s">
        <v>177</v>
      </c>
      <c r="B41" s="212"/>
      <c r="C41" s="277">
        <f>C39/C38</f>
        <v>0.99134860050890583</v>
      </c>
      <c r="D41" s="212"/>
      <c r="E41" s="277">
        <f>E39/E38</f>
        <v>1.0625298329355608</v>
      </c>
      <c r="F41" s="212"/>
      <c r="G41" s="277"/>
      <c r="H41" s="279"/>
      <c r="I41" s="277">
        <f>I39/I38</f>
        <v>0.9925373134328358</v>
      </c>
      <c r="J41" s="284"/>
      <c r="K41" s="284"/>
      <c r="L41" s="284"/>
      <c r="M41" s="284"/>
      <c r="N41" s="284"/>
      <c r="O41" s="284"/>
      <c r="P41" s="277">
        <f>P39/P38</f>
        <v>1.0264022529922554</v>
      </c>
      <c r="Q41" s="277"/>
    </row>
    <row r="42" spans="1:17" hidden="1">
      <c r="A42" s="278" t="s">
        <v>178</v>
      </c>
      <c r="B42" s="289"/>
      <c r="C42" s="280">
        <f>C39/$P$39</f>
        <v>0.4454098548073625</v>
      </c>
      <c r="D42" s="280">
        <f>D39/$P$15</f>
        <v>0</v>
      </c>
      <c r="E42" s="280">
        <f>E39/$P$39</f>
        <v>0.5089745055447582</v>
      </c>
      <c r="F42" s="280">
        <f>F39/$P$15</f>
        <v>0</v>
      </c>
      <c r="G42" s="280"/>
      <c r="H42" s="289"/>
      <c r="I42" s="280">
        <f>I39/$P$39</f>
        <v>4.5615639647879271E-2</v>
      </c>
      <c r="J42" s="284"/>
      <c r="K42" s="284"/>
      <c r="L42" s="284"/>
      <c r="M42" s="284"/>
      <c r="N42" s="284"/>
      <c r="O42" s="284"/>
      <c r="P42" s="287">
        <f>P39/($P$7+$P$15+$P$23+$P$31+$P$39+$P$47+$P$56)</f>
        <v>0.18693166639952985</v>
      </c>
      <c r="Q42" s="282" t="e">
        <f>Q39/($Q$7+$Q$15+$Q$23+$Q$31+$Q$39+$Q$47+$Q$56)</f>
        <v>#REF!</v>
      </c>
    </row>
    <row r="43" spans="1:17">
      <c r="A43" s="283" t="s">
        <v>179</v>
      </c>
      <c r="B43" s="284"/>
      <c r="C43" s="284"/>
      <c r="D43" s="284"/>
      <c r="E43" s="285"/>
      <c r="F43" s="284"/>
      <c r="G43" s="284"/>
      <c r="H43" s="284"/>
      <c r="I43" s="284"/>
      <c r="J43" s="284"/>
      <c r="K43" s="284"/>
      <c r="L43" s="284"/>
      <c r="M43" s="284"/>
      <c r="N43" s="284"/>
      <c r="O43" s="284"/>
      <c r="P43" s="208"/>
    </row>
    <row r="44" spans="1:17">
      <c r="A44" s="288" t="s">
        <v>134</v>
      </c>
      <c r="B44" s="650" t="s">
        <v>2</v>
      </c>
      <c r="C44" s="651"/>
      <c r="D44" s="646" t="s">
        <v>68</v>
      </c>
      <c r="E44" s="647"/>
      <c r="F44" s="646" t="s">
        <v>103</v>
      </c>
      <c r="G44" s="647"/>
      <c r="H44" s="284"/>
      <c r="I44" s="284"/>
      <c r="J44" s="284"/>
      <c r="K44" s="284"/>
      <c r="L44" s="284"/>
      <c r="M44" s="284"/>
      <c r="N44" s="284"/>
      <c r="O44" s="284"/>
      <c r="P44" s="274" t="s">
        <v>72</v>
      </c>
      <c r="Q44" s="274" t="s">
        <v>171</v>
      </c>
    </row>
    <row r="45" spans="1:17">
      <c r="A45" s="273"/>
      <c r="B45" s="453" t="s">
        <v>172</v>
      </c>
      <c r="C45" s="453" t="s">
        <v>173</v>
      </c>
      <c r="D45" s="453" t="s">
        <v>172</v>
      </c>
      <c r="E45" s="453" t="s">
        <v>173</v>
      </c>
      <c r="F45" s="453" t="s">
        <v>172</v>
      </c>
      <c r="G45" s="453" t="s">
        <v>173</v>
      </c>
      <c r="H45" s="284"/>
      <c r="I45" s="284"/>
      <c r="J45" s="284"/>
      <c r="K45" s="284"/>
      <c r="L45" s="284"/>
      <c r="M45" s="284"/>
      <c r="N45" s="284"/>
      <c r="O45" s="284"/>
      <c r="P45" s="275" t="s">
        <v>173</v>
      </c>
      <c r="Q45" s="275" t="s">
        <v>173</v>
      </c>
    </row>
    <row r="46" spans="1:17">
      <c r="A46" s="218" t="s">
        <v>174</v>
      </c>
      <c r="B46" s="212"/>
      <c r="C46" s="212">
        <v>3990</v>
      </c>
      <c r="D46" s="212">
        <v>0</v>
      </c>
      <c r="E46" s="212">
        <v>1700</v>
      </c>
      <c r="F46" s="212" t="e">
        <v>#REF!</v>
      </c>
      <c r="G46" s="212">
        <v>0</v>
      </c>
      <c r="H46" s="284"/>
      <c r="I46" s="284"/>
      <c r="J46" s="284"/>
      <c r="K46" s="284"/>
      <c r="L46" s="284"/>
      <c r="M46" s="284"/>
      <c r="N46" s="284"/>
      <c r="O46" s="284"/>
      <c r="P46" s="211">
        <f>O46+M46+K46+I46+G46+E46+C46</f>
        <v>5690</v>
      </c>
      <c r="Q46" s="211"/>
    </row>
    <row r="47" spans="1:17">
      <c r="A47" s="218" t="s">
        <v>175</v>
      </c>
      <c r="B47" s="212"/>
      <c r="C47" s="212">
        <f>Z1PCSPSP!ED39</f>
        <v>3726</v>
      </c>
      <c r="D47" s="212">
        <f>'[7]PCSZ-1,PCS,PSP'!CJ38</f>
        <v>0</v>
      </c>
      <c r="E47" s="212">
        <f>Z1PCSPSP!EF39</f>
        <v>1419</v>
      </c>
      <c r="F47" s="212" t="e">
        <f>'[7]PCSZ-1,PCS,PSP'!#REF!</f>
        <v>#REF!</v>
      </c>
      <c r="G47" s="212">
        <f>Z1PCSPSP!EL39</f>
        <v>0</v>
      </c>
      <c r="H47" s="284"/>
      <c r="I47" s="284"/>
      <c r="J47" s="284"/>
      <c r="K47" s="284"/>
      <c r="L47" s="284"/>
      <c r="M47" s="284"/>
      <c r="N47" s="284"/>
      <c r="O47" s="284"/>
      <c r="P47" s="211">
        <f>O47+M47+K47+I47+G47+E47+C47</f>
        <v>5145</v>
      </c>
      <c r="Q47" s="211" t="e">
        <f>[7]FACTURACIÓN!I9</f>
        <v>#REF!</v>
      </c>
    </row>
    <row r="48" spans="1:17">
      <c r="A48" s="218" t="s">
        <v>176</v>
      </c>
      <c r="B48" s="212"/>
      <c r="C48" s="212">
        <f>C47-C46</f>
        <v>-264</v>
      </c>
      <c r="D48" s="212"/>
      <c r="E48" s="212">
        <f>E47-E46</f>
        <v>-281</v>
      </c>
      <c r="F48" s="212"/>
      <c r="G48" s="212"/>
      <c r="H48" s="284"/>
      <c r="I48" s="284"/>
      <c r="J48" s="284"/>
      <c r="K48" s="284"/>
      <c r="L48" s="284"/>
      <c r="M48" s="284"/>
      <c r="N48" s="284"/>
      <c r="O48" s="284"/>
      <c r="P48" s="211">
        <f>O48+M48+K48+I48+G48+E48+C48</f>
        <v>-545</v>
      </c>
      <c r="Q48" s="211"/>
    </row>
    <row r="49" spans="1:17" hidden="1">
      <c r="A49" s="218" t="s">
        <v>177</v>
      </c>
      <c r="B49" s="212"/>
      <c r="C49" s="277">
        <f>C47/C46</f>
        <v>0.93383458646616546</v>
      </c>
      <c r="D49" s="212"/>
      <c r="E49" s="277">
        <f>E47/E46</f>
        <v>0.83470588235294119</v>
      </c>
      <c r="F49" s="212"/>
      <c r="G49" s="277"/>
      <c r="H49" s="284"/>
      <c r="I49" s="284"/>
      <c r="J49" s="284"/>
      <c r="K49" s="284"/>
      <c r="L49" s="284"/>
      <c r="M49" s="284"/>
      <c r="N49" s="284"/>
      <c r="O49" s="284"/>
      <c r="P49" s="277">
        <f>P47/P46</f>
        <v>0.90421792618629171</v>
      </c>
      <c r="Q49" s="277"/>
    </row>
    <row r="50" spans="1:17" hidden="1">
      <c r="A50" s="278" t="s">
        <v>178</v>
      </c>
      <c r="B50" s="289"/>
      <c r="C50" s="280">
        <f>C46/$P$47</f>
        <v>0.77551020408163263</v>
      </c>
      <c r="D50" s="280">
        <f>D46/$P$15</f>
        <v>0</v>
      </c>
      <c r="E50" s="280">
        <f>E46/$P$47</f>
        <v>0.3304178814382896</v>
      </c>
      <c r="F50" s="280" t="e">
        <f>F46/$P$15</f>
        <v>#REF!</v>
      </c>
      <c r="G50" s="280"/>
      <c r="H50" s="284"/>
      <c r="I50" s="284"/>
      <c r="J50" s="284"/>
      <c r="K50" s="284"/>
      <c r="L50" s="284"/>
      <c r="M50" s="284"/>
      <c r="N50" s="284"/>
      <c r="O50" s="284"/>
      <c r="P50" s="287">
        <f>P47/($P$7+$P$15+$P$23+$P$31+$P$39+$P$47+$P$56)</f>
        <v>5.4976759096008979E-2</v>
      </c>
      <c r="Q50" s="282" t="e">
        <f>Q47/($Q$7+$Q$15+$Q$23+$Q$31+$Q$39+$Q$47+$Q$56)</f>
        <v>#REF!</v>
      </c>
    </row>
    <row r="51" spans="1:17" hidden="1">
      <c r="A51" s="290"/>
      <c r="B51" s="279"/>
      <c r="C51" s="291"/>
      <c r="D51" s="279"/>
      <c r="E51" s="291"/>
      <c r="F51" s="279"/>
      <c r="G51" s="291"/>
      <c r="H51" s="284"/>
      <c r="I51" s="284"/>
      <c r="J51" s="284"/>
      <c r="K51" s="284"/>
      <c r="L51" s="284"/>
      <c r="M51" s="284"/>
      <c r="N51" s="284"/>
      <c r="O51" s="284"/>
    </row>
    <row r="52" spans="1:17">
      <c r="A52" s="283" t="s">
        <v>255</v>
      </c>
      <c r="B52" s="284"/>
      <c r="C52" s="284"/>
      <c r="D52" s="284"/>
      <c r="E52" s="285"/>
      <c r="F52" s="284"/>
      <c r="G52" s="284"/>
      <c r="H52" s="284"/>
      <c r="I52" s="284"/>
      <c r="J52" s="284"/>
      <c r="K52" s="284"/>
      <c r="L52" s="284"/>
      <c r="M52" s="284"/>
      <c r="N52" s="284"/>
      <c r="O52" s="284"/>
      <c r="P52" s="208"/>
    </row>
    <row r="53" spans="1:17">
      <c r="A53" s="288" t="s">
        <v>135</v>
      </c>
      <c r="B53" s="650" t="s">
        <v>2</v>
      </c>
      <c r="C53" s="651"/>
      <c r="D53" s="646" t="s">
        <v>68</v>
      </c>
      <c r="E53" s="647"/>
      <c r="F53" s="646" t="s">
        <v>69</v>
      </c>
      <c r="G53" s="646"/>
      <c r="H53" s="646" t="s">
        <v>103</v>
      </c>
      <c r="I53" s="647"/>
      <c r="J53" s="284"/>
      <c r="K53" s="284"/>
      <c r="L53" s="284"/>
      <c r="M53" s="284"/>
      <c r="N53" s="284"/>
      <c r="O53" s="284"/>
      <c r="P53" s="274" t="s">
        <v>72</v>
      </c>
      <c r="Q53" s="274" t="s">
        <v>171</v>
      </c>
    </row>
    <row r="54" spans="1:17">
      <c r="A54" s="273"/>
      <c r="B54" s="453" t="s">
        <v>172</v>
      </c>
      <c r="C54" s="453" t="s">
        <v>173</v>
      </c>
      <c r="D54" s="453" t="s">
        <v>172</v>
      </c>
      <c r="E54" s="453" t="s">
        <v>173</v>
      </c>
      <c r="F54" s="453" t="s">
        <v>172</v>
      </c>
      <c r="G54" s="453" t="s">
        <v>173</v>
      </c>
      <c r="H54" s="453" t="s">
        <v>172</v>
      </c>
      <c r="I54" s="453" t="s">
        <v>173</v>
      </c>
      <c r="J54" s="284"/>
      <c r="K54" s="284"/>
      <c r="L54" s="284"/>
      <c r="M54" s="284"/>
      <c r="N54" s="284"/>
      <c r="O54" s="284"/>
      <c r="P54" s="275" t="s">
        <v>173</v>
      </c>
      <c r="Q54" s="275" t="s">
        <v>173</v>
      </c>
    </row>
    <row r="55" spans="1:17">
      <c r="A55" s="218" t="s">
        <v>174</v>
      </c>
      <c r="B55" s="212"/>
      <c r="C55" s="212">
        <v>2460</v>
      </c>
      <c r="D55" s="212">
        <v>0</v>
      </c>
      <c r="E55" s="212">
        <v>2500</v>
      </c>
      <c r="F55" s="212">
        <v>0</v>
      </c>
      <c r="G55" s="212"/>
      <c r="H55" s="212">
        <v>0</v>
      </c>
      <c r="I55" s="212">
        <v>2800</v>
      </c>
      <c r="J55" s="284"/>
      <c r="K55" s="284"/>
      <c r="L55" s="284"/>
      <c r="M55" s="284"/>
      <c r="N55" s="284"/>
      <c r="O55" s="284"/>
      <c r="P55" s="211">
        <f>O55+M55+K55+I55+G55+E55+C55</f>
        <v>7760</v>
      </c>
      <c r="Q55" s="211"/>
    </row>
    <row r="56" spans="1:17" ht="14.7" customHeight="1">
      <c r="A56" s="218" t="s">
        <v>175</v>
      </c>
      <c r="B56" s="212"/>
      <c r="C56" s="212">
        <f>PVT!V39</f>
        <v>2767</v>
      </c>
      <c r="D56" s="212">
        <f>[7]PVT!AG39</f>
        <v>0</v>
      </c>
      <c r="E56" s="212">
        <f>PVT!X39</f>
        <v>2606</v>
      </c>
      <c r="F56" s="212">
        <f>[7]PVT!AI39</f>
        <v>0</v>
      </c>
      <c r="G56" s="212"/>
      <c r="H56" s="212">
        <f>[7]PVT!AK39</f>
        <v>0</v>
      </c>
      <c r="I56" s="212">
        <f>PVT!AD39</f>
        <v>2804</v>
      </c>
      <c r="J56" s="284"/>
      <c r="K56" s="284"/>
      <c r="L56" s="284"/>
      <c r="M56" s="284"/>
      <c r="N56" s="284"/>
      <c r="O56" s="284"/>
      <c r="P56" s="211">
        <f>O56+M56+K56+I56+G56+E56+C56</f>
        <v>8177</v>
      </c>
      <c r="Q56" s="211" t="e">
        <f>[7]FACTURACIÓN!I10</f>
        <v>#REF!</v>
      </c>
    </row>
    <row r="57" spans="1:17">
      <c r="A57" s="218" t="s">
        <v>176</v>
      </c>
      <c r="B57" s="212"/>
      <c r="C57" s="212">
        <f>C56-C55</f>
        <v>307</v>
      </c>
      <c r="D57" s="212"/>
      <c r="E57" s="212">
        <f>E56-E55</f>
        <v>106</v>
      </c>
      <c r="F57" s="212"/>
      <c r="G57" s="212"/>
      <c r="H57" s="212"/>
      <c r="I57" s="212">
        <f>I56-I55</f>
        <v>4</v>
      </c>
      <c r="J57" s="284"/>
      <c r="K57" s="284"/>
      <c r="L57" s="284"/>
      <c r="M57" s="284"/>
      <c r="N57" s="284"/>
      <c r="O57" s="284"/>
      <c r="P57" s="211">
        <f>O57+M57+K57+I57+G57+E57+C57</f>
        <v>417</v>
      </c>
      <c r="Q57" s="211"/>
    </row>
    <row r="58" spans="1:17" hidden="1">
      <c r="A58" s="218" t="s">
        <v>177</v>
      </c>
      <c r="B58" s="212"/>
      <c r="C58" s="277">
        <f>C56/C55</f>
        <v>1.1247967479674796</v>
      </c>
      <c r="D58" s="212"/>
      <c r="E58" s="277">
        <f>E56/E55</f>
        <v>1.0424</v>
      </c>
      <c r="F58" s="212"/>
      <c r="G58" s="277"/>
      <c r="H58" s="208"/>
      <c r="I58" s="277">
        <f>I56/I55</f>
        <v>1.0014285714285713</v>
      </c>
      <c r="J58" s="208"/>
      <c r="P58" s="277">
        <f>P56/P55</f>
        <v>1.0537371134020619</v>
      </c>
      <c r="Q58" s="277"/>
    </row>
    <row r="59" spans="1:17" hidden="1">
      <c r="A59" s="278" t="s">
        <v>178</v>
      </c>
      <c r="B59" s="289"/>
      <c r="C59" s="280">
        <f>C56/$P$56</f>
        <v>0.3383881619175737</v>
      </c>
      <c r="D59" s="280">
        <f>D56/$P$56</f>
        <v>0</v>
      </c>
      <c r="E59" s="280">
        <f>E56/$P$56</f>
        <v>0.31869878928702461</v>
      </c>
      <c r="F59" s="280">
        <f>F56/$P$56</f>
        <v>0</v>
      </c>
      <c r="G59" s="280"/>
      <c r="H59" s="280">
        <f>H56/$P$56</f>
        <v>0</v>
      </c>
      <c r="I59" s="280">
        <f>I56/$P$56</f>
        <v>0.34291304879540174</v>
      </c>
      <c r="J59" s="208"/>
      <c r="P59" s="281">
        <f>P56/($P$7+$P$15+$P$23+$P$31+$P$39+$P$47+$P$56)</f>
        <v>8.737511353315168E-2</v>
      </c>
      <c r="Q59" s="282" t="e">
        <f>Q56/($Q$7+$Q$15+$Q$23+$Q$31+$Q$39+$Q$47+$Q$56)</f>
        <v>#REF!</v>
      </c>
    </row>
    <row r="60" spans="1:17">
      <c r="A60" s="283" t="s">
        <v>256</v>
      </c>
      <c r="P60" s="291"/>
      <c r="Q60" s="291"/>
    </row>
  </sheetData>
  <mergeCells count="31">
    <mergeCell ref="B53:C53"/>
    <mergeCell ref="B44:C44"/>
    <mergeCell ref="B12:C12"/>
    <mergeCell ref="G2:H2"/>
    <mergeCell ref="B20:C20"/>
    <mergeCell ref="D20:E20"/>
    <mergeCell ref="F20:G20"/>
    <mergeCell ref="B4:C4"/>
    <mergeCell ref="D4:E4"/>
    <mergeCell ref="F4:G4"/>
    <mergeCell ref="B28:C28"/>
    <mergeCell ref="D28:E28"/>
    <mergeCell ref="F28:G28"/>
    <mergeCell ref="B36:C36"/>
    <mergeCell ref="D36:E36"/>
    <mergeCell ref="F36:G36"/>
    <mergeCell ref="N4:O4"/>
    <mergeCell ref="D12:E12"/>
    <mergeCell ref="F12:G12"/>
    <mergeCell ref="H12:I12"/>
    <mergeCell ref="H4:I4"/>
    <mergeCell ref="J4:K4"/>
    <mergeCell ref="L4:M4"/>
    <mergeCell ref="K12:L12"/>
    <mergeCell ref="H36:I36"/>
    <mergeCell ref="I20:J20"/>
    <mergeCell ref="D44:E44"/>
    <mergeCell ref="F44:G44"/>
    <mergeCell ref="D53:E53"/>
    <mergeCell ref="F53:G53"/>
    <mergeCell ref="H53:I5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22" sqref="B22"/>
    </sheetView>
  </sheetViews>
  <sheetFormatPr baseColWidth="10" defaultColWidth="11.44140625" defaultRowHeight="14.4"/>
  <sheetData>
    <row r="1" spans="1:9">
      <c r="A1" s="265" t="s">
        <v>180</v>
      </c>
    </row>
    <row r="3" spans="1:9">
      <c r="A3" s="265" t="s">
        <v>181</v>
      </c>
      <c r="B3" s="265"/>
      <c r="C3" s="265"/>
      <c r="D3" s="265"/>
      <c r="E3" s="265"/>
      <c r="F3" s="265"/>
      <c r="G3" s="265"/>
      <c r="H3" s="265"/>
      <c r="I3" s="265"/>
    </row>
    <row r="4" spans="1:9">
      <c r="A4" s="266" t="s">
        <v>26</v>
      </c>
      <c r="B4" s="267" t="s">
        <v>2</v>
      </c>
      <c r="C4" s="267" t="s">
        <v>3</v>
      </c>
      <c r="D4" s="267" t="s">
        <v>4</v>
      </c>
      <c r="E4" s="267" t="s">
        <v>5</v>
      </c>
      <c r="F4" s="267" t="s">
        <v>6</v>
      </c>
      <c r="G4" s="267" t="s">
        <v>27</v>
      </c>
      <c r="H4" s="267" t="s">
        <v>8</v>
      </c>
      <c r="I4" s="267" t="s">
        <v>72</v>
      </c>
    </row>
    <row r="5" spans="1:9">
      <c r="A5" s="210" t="s">
        <v>128</v>
      </c>
      <c r="B5" s="211">
        <f>'PCOLP I'!Y39</f>
        <v>20996</v>
      </c>
      <c r="C5" s="211">
        <f>'PCOLP I'!AA39</f>
        <v>4044</v>
      </c>
      <c r="D5" s="211">
        <f>'PCOLP I'!AC39</f>
        <v>141</v>
      </c>
      <c r="E5" s="211">
        <f>'PCOLP I'!AE39</f>
        <v>1926</v>
      </c>
      <c r="F5" s="211">
        <f>'PCOLP I'!W39+'PCOLP I'!AG39</f>
        <v>3418</v>
      </c>
      <c r="G5" s="211">
        <f>'PCOLP I'!AI39</f>
        <v>5578</v>
      </c>
      <c r="H5" s="211">
        <f>'PCOLP I'!AK39</f>
        <v>0</v>
      </c>
      <c r="I5" s="211">
        <f>SUM(B5:H5)</f>
        <v>36103</v>
      </c>
    </row>
    <row r="6" spans="1:9">
      <c r="A6" s="210" t="s">
        <v>104</v>
      </c>
      <c r="B6" s="211">
        <f>'PCOLP II'!Y39</f>
        <v>4446</v>
      </c>
      <c r="C6" s="211">
        <f>'PCOLP II'!AA39</f>
        <v>7410</v>
      </c>
      <c r="D6" s="211">
        <f>'PCOLP II'!AC39</f>
        <v>0</v>
      </c>
      <c r="E6" s="211">
        <f>'PCOLP II'!AE39</f>
        <v>0</v>
      </c>
      <c r="F6" s="211">
        <f>'PCOLP II'!W39+'PCOLP II'!AG39</f>
        <v>0</v>
      </c>
      <c r="G6" s="211">
        <f>'PCOLP II'!AI39</f>
        <v>3493</v>
      </c>
      <c r="H6" s="211">
        <f>'PCOLP II'!AK39</f>
        <v>0</v>
      </c>
      <c r="I6" s="211">
        <f t="shared" ref="I6:I11" si="0">SUM(B6:H6)</f>
        <v>15349</v>
      </c>
    </row>
    <row r="7" spans="1:9">
      <c r="A7" s="210" t="s">
        <v>131</v>
      </c>
      <c r="B7" s="211">
        <f>PCPV!AA39</f>
        <v>0</v>
      </c>
      <c r="C7" s="211">
        <f>PCPV!AC39</f>
        <v>0</v>
      </c>
      <c r="D7" s="211">
        <f>PCPV!AE39</f>
        <v>0</v>
      </c>
      <c r="E7" s="211">
        <f>PCPV!AG39</f>
        <v>0</v>
      </c>
      <c r="F7" s="211">
        <f>PCPV!W39+PCPV!Y39+PCPV!AI39</f>
        <v>0</v>
      </c>
      <c r="G7" s="211">
        <f>PCPV!AK39</f>
        <v>973</v>
      </c>
      <c r="H7" s="211">
        <f>PCPV!AM39</f>
        <v>0</v>
      </c>
      <c r="I7" s="211">
        <f t="shared" si="0"/>
        <v>973</v>
      </c>
    </row>
    <row r="8" spans="1:9">
      <c r="A8" s="210" t="s">
        <v>144</v>
      </c>
      <c r="B8" s="211">
        <f>NOMINACIÓN!C11+NOMINACIÓN!C12+NOMINACIÓN!C13</f>
        <v>0</v>
      </c>
      <c r="C8" s="211">
        <f>NOMINACIÓN!D11+NOMINACIÓN!D12+NOMINACIÓN!D13</f>
        <v>1000</v>
      </c>
      <c r="D8" s="211">
        <f>NOMINACIÓN!E11+NOMINACIÓN!E12+NOMINACIÓN!E13</f>
        <v>0</v>
      </c>
      <c r="E8" s="211">
        <f>NOMINACIÓN!F11+NOMINACIÓN!F12+NOMINACIÓN!F13</f>
        <v>0</v>
      </c>
      <c r="F8" s="211">
        <f>NOMINACIÓN!G11+NOMINACIÓN!G12+NOMINACIÓN!G13</f>
        <v>25</v>
      </c>
      <c r="G8" s="211">
        <f>NOMINACIÓN!H11+NOMINACIÓN!H12+NOMINACIÓN!H13</f>
        <v>0</v>
      </c>
      <c r="H8" s="211">
        <f>NOMINACIÓN!I11+NOMINACIÓN!I12+NOMINACIÓN!I13</f>
        <v>0</v>
      </c>
      <c r="I8" s="211">
        <f t="shared" si="0"/>
        <v>1025</v>
      </c>
    </row>
    <row r="9" spans="1:9">
      <c r="A9" s="210" t="s">
        <v>133</v>
      </c>
      <c r="B9" s="211">
        <f>Z1PCSPSP!BU39+Z1PCSPSP!CC39+Z1PCSPSP!CG39-Z1PCSPSP!DN39</f>
        <v>3830</v>
      </c>
      <c r="C9" s="211">
        <f>Z1PCSPSP!BW39+Z1PCSPSP!CI39-Z1PCSPSP!DP39</f>
        <v>7630</v>
      </c>
      <c r="D9" s="211"/>
      <c r="E9" s="211"/>
      <c r="F9" s="211">
        <f>Z1PCSPSP!BY39+Z1PCSPSP!CA39+Z1PCSPSP!CE39+Z1PCSPSP!CO39-Z1PCSPSP!DV39</f>
        <v>798</v>
      </c>
      <c r="G9" s="211"/>
      <c r="H9" s="211"/>
      <c r="I9" s="211">
        <f t="shared" si="0"/>
        <v>12258</v>
      </c>
    </row>
    <row r="10" spans="1:9">
      <c r="A10" s="210" t="s">
        <v>134</v>
      </c>
      <c r="B10" s="211">
        <f>Z1PCSPSP!ED39</f>
        <v>3726</v>
      </c>
      <c r="C10" s="211">
        <f>Z1PCSPSP!EF39</f>
        <v>1419</v>
      </c>
      <c r="D10" s="211"/>
      <c r="E10" s="211"/>
      <c r="F10" s="211">
        <f>Z1PCSPSP!EL39</f>
        <v>0</v>
      </c>
      <c r="G10" s="211"/>
      <c r="H10" s="211"/>
      <c r="I10" s="211">
        <f t="shared" si="0"/>
        <v>5145</v>
      </c>
    </row>
    <row r="11" spans="1:9">
      <c r="A11" s="210" t="s">
        <v>135</v>
      </c>
      <c r="B11" s="211">
        <f>PVT!V39</f>
        <v>2767</v>
      </c>
      <c r="C11" s="211">
        <f>PVT!X39</f>
        <v>2606</v>
      </c>
      <c r="D11" s="211"/>
      <c r="E11" s="211"/>
      <c r="F11" s="211">
        <f>PVT!AD39</f>
        <v>2804</v>
      </c>
      <c r="G11" s="211"/>
      <c r="H11" s="211"/>
      <c r="I11" s="211">
        <f t="shared" si="0"/>
        <v>8177</v>
      </c>
    </row>
    <row r="12" spans="1:9">
      <c r="A12" s="210" t="s">
        <v>72</v>
      </c>
      <c r="B12" s="211">
        <f>SUM(B5:B11)</f>
        <v>35765</v>
      </c>
      <c r="C12" s="211">
        <f>SUM(C5:C11)</f>
        <v>24109</v>
      </c>
      <c r="D12" s="211">
        <f>SUM(D5:D11)</f>
        <v>141</v>
      </c>
      <c r="E12" s="211"/>
      <c r="F12" s="211">
        <f>SUM(F5:F11)</f>
        <v>7045</v>
      </c>
      <c r="G12" s="211">
        <f>SUM(G5:G11)</f>
        <v>10044</v>
      </c>
      <c r="H12" s="211">
        <f>SUM(H5:H11)</f>
        <v>0</v>
      </c>
      <c r="I12" s="211">
        <f>SUM(I5:I11)</f>
        <v>79030</v>
      </c>
    </row>
    <row r="14" spans="1:9">
      <c r="A14" s="265" t="s">
        <v>182</v>
      </c>
    </row>
    <row r="15" spans="1:9">
      <c r="A15" s="266" t="s">
        <v>26</v>
      </c>
      <c r="B15" s="267" t="s">
        <v>2</v>
      </c>
      <c r="C15" s="267" t="s">
        <v>3</v>
      </c>
      <c r="D15" s="267" t="s">
        <v>4</v>
      </c>
      <c r="E15" s="267" t="s">
        <v>5</v>
      </c>
      <c r="F15" s="267" t="s">
        <v>6</v>
      </c>
      <c r="G15" s="267" t="s">
        <v>27</v>
      </c>
      <c r="H15" s="267" t="s">
        <v>8</v>
      </c>
      <c r="I15" s="267" t="s">
        <v>72</v>
      </c>
    </row>
    <row r="16" spans="1:9">
      <c r="A16" s="210" t="s">
        <v>128</v>
      </c>
      <c r="B16" s="211">
        <f>B5*1000/158.987</f>
        <v>132061.11191481064</v>
      </c>
      <c r="C16" s="211">
        <f t="shared" ref="C16:H16" si="1">C5*1000/158.987</f>
        <v>25436.041940536019</v>
      </c>
      <c r="D16" s="211">
        <f t="shared" si="1"/>
        <v>886.86496380207188</v>
      </c>
      <c r="E16" s="211">
        <f t="shared" si="1"/>
        <v>12114.198016190003</v>
      </c>
      <c r="F16" s="211">
        <f t="shared" si="1"/>
        <v>21498.613094152352</v>
      </c>
      <c r="G16" s="211">
        <f t="shared" si="1"/>
        <v>35084.629560907495</v>
      </c>
      <c r="H16" s="211">
        <f t="shared" si="1"/>
        <v>0</v>
      </c>
      <c r="I16" s="211">
        <f>SUM(B16:H16)</f>
        <v>227081.45949039859</v>
      </c>
    </row>
    <row r="17" spans="1:9">
      <c r="A17" s="210" t="s">
        <v>104</v>
      </c>
      <c r="B17" s="211">
        <f t="shared" ref="B17:H22" si="2">B6*1000/158.987</f>
        <v>27964.550560737673</v>
      </c>
      <c r="C17" s="211">
        <f t="shared" si="2"/>
        <v>46607.58426789612</v>
      </c>
      <c r="D17" s="211">
        <f t="shared" si="2"/>
        <v>0</v>
      </c>
      <c r="E17" s="211">
        <f t="shared" si="2"/>
        <v>0</v>
      </c>
      <c r="F17" s="211">
        <f t="shared" si="2"/>
        <v>0</v>
      </c>
      <c r="G17" s="211">
        <f t="shared" si="2"/>
        <v>21970.349777025796</v>
      </c>
      <c r="H17" s="211">
        <f t="shared" si="2"/>
        <v>0</v>
      </c>
      <c r="I17" s="211">
        <f t="shared" ref="I17:I22" si="3">SUM(B17:H17)</f>
        <v>96542.484605659585</v>
      </c>
    </row>
    <row r="18" spans="1:9">
      <c r="A18" s="210" t="s">
        <v>131</v>
      </c>
      <c r="B18" s="211">
        <f t="shared" si="2"/>
        <v>0</v>
      </c>
      <c r="C18" s="211">
        <f t="shared" si="2"/>
        <v>0</v>
      </c>
      <c r="D18" s="211">
        <f t="shared" si="2"/>
        <v>0</v>
      </c>
      <c r="E18" s="211">
        <f t="shared" si="2"/>
        <v>0</v>
      </c>
      <c r="F18" s="211">
        <f t="shared" si="2"/>
        <v>0</v>
      </c>
      <c r="G18" s="211">
        <f t="shared" si="2"/>
        <v>6119.9972324781274</v>
      </c>
      <c r="H18" s="211">
        <f t="shared" si="2"/>
        <v>0</v>
      </c>
      <c r="I18" s="211">
        <f t="shared" si="3"/>
        <v>6119.9972324781274</v>
      </c>
    </row>
    <row r="19" spans="1:9">
      <c r="A19" s="210" t="s">
        <v>144</v>
      </c>
      <c r="B19" s="211">
        <f t="shared" si="2"/>
        <v>0</v>
      </c>
      <c r="C19" s="211">
        <f t="shared" si="2"/>
        <v>6289.8224383125662</v>
      </c>
      <c r="D19" s="211">
        <f t="shared" si="2"/>
        <v>0</v>
      </c>
      <c r="E19" s="211">
        <f t="shared" si="2"/>
        <v>0</v>
      </c>
      <c r="F19" s="211">
        <f t="shared" si="2"/>
        <v>157.24556095781418</v>
      </c>
      <c r="G19" s="211">
        <f t="shared" si="2"/>
        <v>0</v>
      </c>
      <c r="H19" s="211">
        <f t="shared" si="2"/>
        <v>0</v>
      </c>
      <c r="I19" s="211">
        <f t="shared" si="3"/>
        <v>6447.0679992703808</v>
      </c>
    </row>
    <row r="20" spans="1:9">
      <c r="A20" s="210" t="s">
        <v>133</v>
      </c>
      <c r="B20" s="211">
        <f t="shared" si="2"/>
        <v>24090.019938737129</v>
      </c>
      <c r="C20" s="211">
        <f t="shared" si="2"/>
        <v>47991.345204324884</v>
      </c>
      <c r="D20" s="211">
        <f t="shared" si="2"/>
        <v>0</v>
      </c>
      <c r="E20" s="211">
        <f t="shared" si="2"/>
        <v>0</v>
      </c>
      <c r="F20" s="211">
        <f t="shared" si="2"/>
        <v>5019.2783057734277</v>
      </c>
      <c r="G20" s="211">
        <f t="shared" si="2"/>
        <v>0</v>
      </c>
      <c r="H20" s="211">
        <f t="shared" si="2"/>
        <v>0</v>
      </c>
      <c r="I20" s="211">
        <f t="shared" si="3"/>
        <v>77100.643448835443</v>
      </c>
    </row>
    <row r="21" spans="1:9">
      <c r="A21" s="210" t="s">
        <v>134</v>
      </c>
      <c r="B21" s="211">
        <f t="shared" si="2"/>
        <v>23435.878405152624</v>
      </c>
      <c r="C21" s="211">
        <f t="shared" si="2"/>
        <v>8925.2580399655326</v>
      </c>
      <c r="D21" s="211">
        <f t="shared" si="2"/>
        <v>0</v>
      </c>
      <c r="E21" s="211">
        <f t="shared" si="2"/>
        <v>0</v>
      </c>
      <c r="F21" s="211">
        <f t="shared" si="2"/>
        <v>0</v>
      </c>
      <c r="G21" s="211">
        <f t="shared" si="2"/>
        <v>0</v>
      </c>
      <c r="H21" s="211">
        <f t="shared" si="2"/>
        <v>0</v>
      </c>
      <c r="I21" s="211">
        <f t="shared" si="3"/>
        <v>32361.136445118158</v>
      </c>
    </row>
    <row r="22" spans="1:9">
      <c r="A22" s="210" t="s">
        <v>135</v>
      </c>
      <c r="B22" s="211">
        <f t="shared" si="2"/>
        <v>17403.93868681087</v>
      </c>
      <c r="C22" s="211">
        <f t="shared" si="2"/>
        <v>16391.277274242548</v>
      </c>
      <c r="D22" s="211">
        <f t="shared" si="2"/>
        <v>0</v>
      </c>
      <c r="E22" s="211">
        <f t="shared" si="2"/>
        <v>0</v>
      </c>
      <c r="F22" s="211">
        <f t="shared" si="2"/>
        <v>17636.662117028438</v>
      </c>
      <c r="G22" s="211">
        <f t="shared" si="2"/>
        <v>0</v>
      </c>
      <c r="H22" s="211">
        <f t="shared" si="2"/>
        <v>0</v>
      </c>
      <c r="I22" s="211">
        <f t="shared" si="3"/>
        <v>51431.878078081849</v>
      </c>
    </row>
    <row r="23" spans="1:9">
      <c r="A23" s="210" t="s">
        <v>72</v>
      </c>
      <c r="B23" s="211">
        <f>SUM(B16:B22)</f>
        <v>224955.49950624892</v>
      </c>
      <c r="C23" s="211">
        <f>SUM(C16:C22)</f>
        <v>151641.32916527765</v>
      </c>
      <c r="D23" s="211">
        <f>SUM(D16:D22)</f>
        <v>886.86496380207188</v>
      </c>
      <c r="E23" s="211"/>
      <c r="F23" s="211">
        <f>SUM(F16:F22)</f>
        <v>44311.79907791203</v>
      </c>
      <c r="G23" s="211">
        <f>SUM(G16:G22)</f>
        <v>63174.976570411418</v>
      </c>
      <c r="H23" s="211">
        <f>SUM(H16:H22)</f>
        <v>0</v>
      </c>
      <c r="I23" s="211">
        <f>SUM(I16:I22)</f>
        <v>497084.66729984211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FG47"/>
  <sheetViews>
    <sheetView topLeftCell="Z4" zoomScaleNormal="100" workbookViewId="0">
      <selection activeCell="AR25" sqref="AR25"/>
    </sheetView>
  </sheetViews>
  <sheetFormatPr baseColWidth="10" defaultColWidth="11.44140625" defaultRowHeight="14.4"/>
  <cols>
    <col min="1" max="1" width="2" customWidth="1"/>
    <col min="2" max="2" width="10.5546875" customWidth="1"/>
    <col min="3" max="4" width="5.44140625" hidden="1" customWidth="1"/>
    <col min="5" max="5" width="5.6640625" customWidth="1"/>
    <col min="6" max="6" width="6.5546875" customWidth="1"/>
    <col min="7" max="7" width="6.33203125" customWidth="1"/>
    <col min="8" max="8" width="6.44140625" customWidth="1"/>
    <col min="9" max="10" width="5.44140625" hidden="1" customWidth="1"/>
    <col min="11" max="11" width="6.33203125" customWidth="1"/>
    <col min="12" max="12" width="10.44140625" customWidth="1"/>
    <col min="13" max="16" width="5.44140625" hidden="1" customWidth="1"/>
    <col min="17" max="17" width="7.5546875" customWidth="1"/>
    <col min="18" max="18" width="9.6640625" customWidth="1"/>
    <col min="19" max="19" width="4.44140625" customWidth="1"/>
    <col min="20" max="20" width="4.5546875" customWidth="1"/>
    <col min="21" max="21" width="4.44140625" customWidth="1"/>
    <col min="22" max="22" width="4.5546875" customWidth="1"/>
    <col min="23" max="23" width="5.6640625" customWidth="1"/>
    <col min="24" max="24" width="5.5546875" customWidth="1"/>
    <col min="25" max="25" width="5.44140625" customWidth="1"/>
    <col min="26" max="26" width="6.5546875" customWidth="1"/>
    <col min="27" max="27" width="5.33203125" customWidth="1"/>
    <col min="28" max="28" width="5.5546875" customWidth="1"/>
    <col min="29" max="30" width="7.33203125" hidden="1" customWidth="1"/>
    <col min="31" max="31" width="5" customWidth="1"/>
    <col min="32" max="32" width="7.33203125" customWidth="1"/>
    <col min="33" max="36" width="7.33203125" hidden="1" customWidth="1"/>
    <col min="37" max="37" width="8.5546875" customWidth="1"/>
    <col min="38" max="38" width="5.5546875" customWidth="1"/>
    <col min="39" max="39" width="7.44140625" customWidth="1"/>
    <col min="40" max="40" width="5.6640625" hidden="1" customWidth="1"/>
    <col min="41" max="44" width="7.33203125" customWidth="1"/>
    <col min="45" max="46" width="7.33203125" hidden="1" customWidth="1"/>
    <col min="47" max="48" width="7.33203125" customWidth="1"/>
    <col min="49" max="49" width="7.5546875" customWidth="1"/>
    <col min="50" max="53" width="7.33203125" customWidth="1"/>
    <col min="54" max="54" width="3.44140625" customWidth="1"/>
    <col min="55" max="55" width="8.6640625" customWidth="1"/>
    <col min="56" max="56" width="5.5546875" customWidth="1"/>
    <col min="57" max="57" width="5.44140625" customWidth="1"/>
    <col min="58" max="58" width="5.6640625" customWidth="1"/>
    <col min="59" max="59" width="6.44140625" customWidth="1"/>
    <col min="60" max="60" width="6.5546875" customWidth="1"/>
    <col min="61" max="61" width="5.5546875" customWidth="1"/>
    <col min="62" max="62" width="4.44140625" hidden="1" customWidth="1"/>
    <col min="63" max="63" width="6.44140625" hidden="1" customWidth="1"/>
    <col min="64" max="64" width="6.44140625" customWidth="1"/>
    <col min="65" max="65" width="7.5546875" customWidth="1"/>
    <col min="66" max="66" width="4.44140625" hidden="1" customWidth="1"/>
    <col min="67" max="67" width="6.44140625" hidden="1" customWidth="1"/>
    <col min="68" max="68" width="4.44140625" hidden="1" customWidth="1"/>
    <col min="69" max="69" width="6.44140625" hidden="1" customWidth="1"/>
    <col min="70" max="70" width="6.6640625" customWidth="1"/>
    <col min="71" max="71" width="9.5546875" customWidth="1"/>
    <col min="72" max="72" width="4.5546875" customWidth="1"/>
    <col min="73" max="73" width="5.6640625" customWidth="1"/>
    <col min="74" max="74" width="5.5546875" customWidth="1"/>
    <col min="75" max="75" width="6.44140625" customWidth="1"/>
    <col min="76" max="76" width="5.44140625" customWidth="1"/>
    <col min="77" max="77" width="6.44140625" customWidth="1"/>
    <col min="78" max="78" width="5.5546875" customWidth="1"/>
    <col min="79" max="79" width="6.44140625" customWidth="1"/>
    <col min="80" max="80" width="4.5546875" customWidth="1"/>
    <col min="81" max="81" width="6.44140625" customWidth="1"/>
    <col min="82" max="82" width="5.44140625" customWidth="1"/>
    <col min="83" max="83" width="6.44140625" customWidth="1"/>
    <col min="84" max="84" width="5.44140625" customWidth="1"/>
    <col min="85" max="85" width="6.44140625" customWidth="1"/>
    <col min="86" max="86" width="6.5546875" customWidth="1"/>
    <col min="87" max="87" width="6.44140625" customWidth="1"/>
    <col min="88" max="88" width="6.6640625" customWidth="1"/>
    <col min="89" max="89" width="6.44140625" customWidth="1"/>
    <col min="90" max="91" width="6.44140625" hidden="1" customWidth="1"/>
    <col min="92" max="92" width="6.33203125" customWidth="1"/>
    <col min="93" max="93" width="5.44140625" customWidth="1"/>
    <col min="94" max="97" width="6.44140625" hidden="1" customWidth="1"/>
    <col min="98" max="98" width="7.33203125" customWidth="1"/>
    <col min="99" max="99" width="4.5546875" customWidth="1"/>
    <col min="100" max="100" width="8.44140625" customWidth="1"/>
    <col min="101" max="101" width="6.44140625" customWidth="1"/>
    <col min="102" max="102" width="6.6640625" customWidth="1"/>
    <col min="103" max="104" width="11.5546875" hidden="1" customWidth="1"/>
    <col min="105" max="105" width="6.5546875" customWidth="1"/>
    <col min="106" max="107" width="11.5546875" hidden="1" customWidth="1"/>
    <col min="108" max="108" width="6.44140625" customWidth="1"/>
    <col min="109" max="109" width="5.6640625" customWidth="1"/>
    <col min="110" max="111" width="11.5546875" hidden="1" customWidth="1"/>
    <col min="112" max="112" width="7.44140625" customWidth="1"/>
    <col min="113" max="114" width="0" hidden="1" customWidth="1"/>
    <col min="115" max="115" width="3.44140625" customWidth="1"/>
    <col min="117" max="117" width="6.44140625" customWidth="1"/>
    <col min="118" max="118" width="5.5546875" customWidth="1"/>
    <col min="119" max="119" width="7.5546875" customWidth="1"/>
    <col min="120" max="120" width="6.33203125" customWidth="1"/>
    <col min="121" max="124" width="7.5546875" hidden="1" customWidth="1"/>
    <col min="125" max="125" width="6.33203125" customWidth="1"/>
    <col min="126" max="126" width="7.5546875" customWidth="1"/>
    <col min="127" max="130" width="7.5546875" hidden="1" customWidth="1"/>
    <col min="131" max="131" width="7.5546875" customWidth="1"/>
    <col min="132" max="132" width="10.44140625" customWidth="1"/>
    <col min="133" max="133" width="6.5546875" customWidth="1"/>
    <col min="134" max="134" width="5.5546875" customWidth="1"/>
    <col min="135" max="135" width="7.5546875" customWidth="1"/>
    <col min="136" max="136" width="6.44140625" customWidth="1"/>
    <col min="137" max="140" width="7.5546875" hidden="1" customWidth="1"/>
    <col min="141" max="141" width="4.44140625" customWidth="1"/>
    <col min="142" max="142" width="7.5546875" customWidth="1"/>
    <col min="143" max="146" width="7.5546875" hidden="1" customWidth="1"/>
    <col min="147" max="147" width="7.5546875" customWidth="1"/>
    <col min="148" max="148" width="5.5546875" customWidth="1"/>
    <col min="149" max="149" width="7.5546875" customWidth="1"/>
    <col min="150" max="150" width="6.6640625" customWidth="1"/>
    <col min="151" max="151" width="7.5546875" customWidth="1"/>
    <col min="152" max="156" width="7.5546875" hidden="1" customWidth="1"/>
    <col min="157" max="157" width="5.6640625" customWidth="1"/>
    <col min="158" max="158" width="7.5546875" customWidth="1"/>
    <col min="159" max="160" width="7.5546875" hidden="1" customWidth="1"/>
    <col min="161" max="161" width="7.5546875" customWidth="1"/>
    <col min="162" max="163" width="7.5546875" hidden="1" customWidth="1"/>
  </cols>
  <sheetData>
    <row r="1" spans="2:163">
      <c r="B1" s="1"/>
      <c r="C1" s="1"/>
      <c r="D1" s="1"/>
      <c r="E1" s="2"/>
      <c r="F1" s="106"/>
      <c r="G1" s="1"/>
      <c r="H1" s="1"/>
      <c r="I1" s="3"/>
      <c r="J1" s="3"/>
      <c r="K1" s="106" t="s">
        <v>43</v>
      </c>
      <c r="L1" s="3"/>
      <c r="M1" s="3"/>
      <c r="N1" s="3"/>
      <c r="O1" s="3"/>
      <c r="P1" s="1"/>
      <c r="Q1" s="3"/>
      <c r="R1" s="4"/>
      <c r="S1" s="4"/>
      <c r="T1" s="4"/>
      <c r="U1" s="4"/>
      <c r="V1" s="4"/>
      <c r="W1" s="5"/>
      <c r="X1" s="6"/>
      <c r="Y1" s="7"/>
      <c r="Z1" s="1"/>
      <c r="AA1" s="1"/>
      <c r="AB1" s="1"/>
      <c r="AC1" s="8"/>
      <c r="AD1" s="8"/>
      <c r="AE1" s="8"/>
      <c r="AF1" s="8"/>
      <c r="AG1" s="8"/>
      <c r="AH1" s="8"/>
      <c r="AI1" s="8"/>
      <c r="AJ1" s="1"/>
      <c r="AK1" s="7"/>
      <c r="AL1" s="7"/>
      <c r="AM1" s="7"/>
      <c r="AN1" s="9"/>
      <c r="AO1" s="9"/>
      <c r="AP1" s="9"/>
      <c r="AQ1" s="5"/>
      <c r="AR1" s="5"/>
      <c r="AS1" s="5"/>
      <c r="AT1" s="10"/>
      <c r="AU1" s="5"/>
      <c r="AV1" s="5"/>
      <c r="AW1" s="5"/>
      <c r="AX1" s="5"/>
      <c r="AY1" s="5"/>
      <c r="AZ1" s="5"/>
      <c r="BA1" s="5"/>
      <c r="BC1" s="1"/>
      <c r="BD1" s="1"/>
      <c r="BE1" s="1"/>
      <c r="BF1" s="2"/>
      <c r="BG1" s="106"/>
      <c r="BH1" s="1"/>
      <c r="BI1" s="1"/>
      <c r="BJ1" s="3"/>
      <c r="BK1" s="3"/>
      <c r="BL1" s="106" t="s">
        <v>43</v>
      </c>
      <c r="BM1" s="3"/>
      <c r="BN1" s="3"/>
      <c r="BO1" s="3"/>
      <c r="BP1" s="3"/>
      <c r="BQ1" s="1"/>
      <c r="BR1" s="3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5"/>
      <c r="CG1" s="6"/>
      <c r="CH1" s="7"/>
      <c r="CI1" s="1"/>
      <c r="CJ1" s="1"/>
      <c r="CK1" s="1"/>
      <c r="CL1" s="8"/>
      <c r="CM1" s="8"/>
      <c r="CN1" s="8"/>
      <c r="CO1" s="8"/>
      <c r="CP1" s="8"/>
      <c r="CQ1" s="8"/>
      <c r="CR1" s="8"/>
      <c r="CS1" s="1"/>
      <c r="CT1" s="7"/>
      <c r="CU1" s="7"/>
      <c r="CV1" s="7"/>
      <c r="CW1" s="9"/>
      <c r="CX1" s="9"/>
      <c r="CY1" s="9"/>
      <c r="CZ1" s="5"/>
      <c r="DA1" s="5"/>
      <c r="DB1" s="5"/>
      <c r="DC1" s="10"/>
      <c r="DD1" s="5"/>
      <c r="DE1" s="5"/>
      <c r="DF1" s="5"/>
      <c r="DG1" s="5"/>
      <c r="DH1" s="5"/>
      <c r="DI1" s="5"/>
      <c r="DJ1" s="5"/>
      <c r="DL1" s="1"/>
      <c r="DM1" s="1"/>
      <c r="DN1" s="1"/>
      <c r="DO1" s="2"/>
      <c r="DP1" s="106"/>
      <c r="DQ1" s="1"/>
      <c r="DR1" s="1"/>
      <c r="DS1" s="3"/>
      <c r="DT1" s="3"/>
      <c r="DU1" s="106" t="s">
        <v>43</v>
      </c>
      <c r="DV1" s="3"/>
      <c r="DW1" s="3"/>
      <c r="DX1" s="3"/>
      <c r="DY1" s="3"/>
      <c r="DZ1" s="1"/>
      <c r="EA1" s="3"/>
      <c r="EB1" s="4"/>
      <c r="EC1" s="5"/>
      <c r="ED1" s="6"/>
      <c r="EE1" s="7"/>
      <c r="EF1" s="1"/>
      <c r="EG1" s="1"/>
      <c r="EH1" s="1"/>
      <c r="EI1" s="8"/>
      <c r="EJ1" s="8"/>
      <c r="EK1" s="8"/>
      <c r="EL1" s="8"/>
      <c r="EM1" s="8"/>
      <c r="EN1" s="8"/>
      <c r="EO1" s="8"/>
      <c r="EP1" s="1"/>
      <c r="EQ1" s="7"/>
      <c r="ER1" s="7"/>
      <c r="ES1" s="7"/>
      <c r="ET1" s="9"/>
      <c r="EU1" s="9"/>
      <c r="EV1" s="9"/>
      <c r="EW1" s="5"/>
      <c r="EX1" s="5"/>
      <c r="EY1" s="5"/>
      <c r="EZ1" s="10"/>
      <c r="FA1" s="5"/>
      <c r="FB1" s="5"/>
      <c r="FC1" s="5"/>
      <c r="FD1" s="5"/>
      <c r="FE1" s="5"/>
      <c r="FF1" s="5"/>
      <c r="FG1" s="5"/>
    </row>
    <row r="2" spans="2:163">
      <c r="B2" s="11"/>
      <c r="C2" s="1"/>
      <c r="D2" s="1"/>
      <c r="E2" s="11"/>
      <c r="F2" s="107"/>
      <c r="G2" s="1"/>
      <c r="H2" s="5"/>
      <c r="I2" s="12"/>
      <c r="J2" s="12"/>
      <c r="K2" s="107" t="s">
        <v>44</v>
      </c>
      <c r="L2" s="13"/>
      <c r="M2" s="13"/>
      <c r="N2" s="13"/>
      <c r="O2" s="13"/>
      <c r="P2" s="14"/>
      <c r="Q2" s="1"/>
      <c r="R2" s="12"/>
      <c r="S2" s="12"/>
      <c r="T2" s="12"/>
      <c r="U2" s="12"/>
      <c r="V2" s="12"/>
      <c r="W2" s="12"/>
      <c r="X2" s="13"/>
      <c r="Y2" s="15"/>
      <c r="Z2" s="15"/>
      <c r="AA2" s="15"/>
      <c r="AB2" s="15"/>
      <c r="AC2" s="15"/>
      <c r="AD2" s="16"/>
      <c r="AE2" s="16"/>
      <c r="AF2" s="16"/>
      <c r="AG2" s="16"/>
      <c r="AH2" s="16"/>
      <c r="AI2" s="451"/>
      <c r="AJ2" s="451"/>
      <c r="AK2" s="451"/>
      <c r="AL2" s="451"/>
      <c r="AM2" s="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C2" s="11"/>
      <c r="BD2" s="1"/>
      <c r="BE2" s="1"/>
      <c r="BF2" s="11"/>
      <c r="BG2" s="107"/>
      <c r="BH2" s="1"/>
      <c r="BI2" s="5"/>
      <c r="BJ2" s="12"/>
      <c r="BK2" s="12"/>
      <c r="BL2" s="107" t="s">
        <v>45</v>
      </c>
      <c r="BM2" s="13"/>
      <c r="BN2" s="13"/>
      <c r="BO2" s="13"/>
      <c r="BP2" s="13"/>
      <c r="BQ2" s="14"/>
      <c r="BR2" s="1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3"/>
      <c r="CH2" s="15"/>
      <c r="CI2" s="15"/>
      <c r="CJ2" s="15"/>
      <c r="CK2" s="15"/>
      <c r="CL2" s="15"/>
      <c r="CM2" s="16"/>
      <c r="CN2" s="16"/>
      <c r="CO2" s="16"/>
      <c r="CP2" s="16"/>
      <c r="CQ2" s="16"/>
      <c r="CR2" s="451"/>
      <c r="CS2" s="451"/>
      <c r="CT2" s="451"/>
      <c r="CU2" s="451"/>
      <c r="CV2" s="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L2" s="11"/>
      <c r="DM2" s="1"/>
      <c r="DN2" s="1"/>
      <c r="DO2" s="11"/>
      <c r="DP2" s="107"/>
      <c r="DQ2" s="1"/>
      <c r="DR2" s="5"/>
      <c r="DS2" s="12"/>
      <c r="DT2" s="12"/>
      <c r="DU2" s="107" t="s">
        <v>46</v>
      </c>
      <c r="DV2" s="13"/>
      <c r="DW2" s="13"/>
      <c r="DX2" s="13"/>
      <c r="DY2" s="13"/>
      <c r="DZ2" s="14"/>
      <c r="EA2" s="1"/>
      <c r="EB2" s="12"/>
      <c r="EC2" s="12"/>
      <c r="ED2" s="13"/>
      <c r="EE2" s="15"/>
      <c r="EF2" s="15"/>
      <c r="EG2" s="15"/>
      <c r="EH2" s="15"/>
      <c r="EI2" s="15"/>
      <c r="EJ2" s="16"/>
      <c r="EK2" s="16"/>
      <c r="EL2" s="16"/>
      <c r="EM2" s="16"/>
      <c r="EN2" s="16"/>
      <c r="EO2" s="451"/>
      <c r="EP2" s="451"/>
      <c r="EQ2" s="451"/>
      <c r="ER2" s="451"/>
      <c r="ES2" s="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</row>
    <row r="3" spans="2:163" ht="15.6">
      <c r="B3" s="11"/>
      <c r="C3" s="1"/>
      <c r="D3" s="1"/>
      <c r="E3" s="11"/>
      <c r="F3" s="108"/>
      <c r="G3" s="559"/>
      <c r="H3" s="560"/>
      <c r="I3" s="12"/>
      <c r="J3" s="12"/>
      <c r="K3" s="108" t="s">
        <v>47</v>
      </c>
      <c r="L3" s="559">
        <f>'PCOLP I'!G3</f>
        <v>45870</v>
      </c>
      <c r="M3" s="559"/>
      <c r="N3" s="13"/>
      <c r="O3" s="13"/>
      <c r="P3" s="11"/>
      <c r="Q3" s="1"/>
      <c r="R3" s="18"/>
      <c r="S3" s="18"/>
      <c r="T3" s="18"/>
      <c r="U3" s="18"/>
      <c r="V3" s="18"/>
      <c r="W3" s="12"/>
      <c r="X3" s="12"/>
      <c r="Y3" s="19"/>
      <c r="Z3" s="19"/>
      <c r="AA3" s="19"/>
      <c r="AB3" s="19"/>
      <c r="AC3" s="19"/>
      <c r="AD3" s="16"/>
      <c r="AE3" s="16"/>
      <c r="AF3" s="16"/>
      <c r="AG3" s="16"/>
      <c r="AH3" s="16"/>
      <c r="AI3" s="451"/>
      <c r="AJ3" s="451"/>
      <c r="AK3" s="50" t="s">
        <v>48</v>
      </c>
      <c r="AL3" s="50"/>
      <c r="AM3" s="20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C3" s="11"/>
      <c r="BD3" s="1"/>
      <c r="BE3" s="1"/>
      <c r="BF3" s="11"/>
      <c r="BG3" s="108"/>
      <c r="BH3" s="559"/>
      <c r="BI3" s="560"/>
      <c r="BJ3" s="12"/>
      <c r="BK3" s="12"/>
      <c r="BL3" s="108" t="s">
        <v>47</v>
      </c>
      <c r="BM3" s="559">
        <f>L3</f>
        <v>45870</v>
      </c>
      <c r="BN3" s="560"/>
      <c r="BO3" s="13"/>
      <c r="BP3" s="13"/>
      <c r="BQ3" s="11"/>
      <c r="BR3" s="1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2"/>
      <c r="CG3" s="12"/>
      <c r="CH3" s="19"/>
      <c r="CI3" s="19"/>
      <c r="CJ3" s="19"/>
      <c r="CK3" s="19"/>
      <c r="CL3" s="19"/>
      <c r="CM3" s="16"/>
      <c r="CN3" s="16"/>
      <c r="CO3" s="16"/>
      <c r="CP3" s="16"/>
      <c r="CQ3" s="16"/>
      <c r="CR3" s="451"/>
      <c r="CS3" s="451"/>
      <c r="CT3" s="50" t="s">
        <v>48</v>
      </c>
      <c r="CU3" s="50"/>
      <c r="CV3" s="20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L3" s="11"/>
      <c r="DM3" s="1"/>
      <c r="DN3" s="1"/>
      <c r="DO3" s="11"/>
      <c r="DP3" s="108"/>
      <c r="DQ3" s="559"/>
      <c r="DR3" s="560"/>
      <c r="DS3" s="12"/>
      <c r="DT3" s="12"/>
      <c r="DU3" s="108" t="s">
        <v>47</v>
      </c>
      <c r="DV3" s="559">
        <f>BM3</f>
        <v>45870</v>
      </c>
      <c r="DW3" s="560"/>
      <c r="DX3" s="13"/>
      <c r="DY3" s="13"/>
      <c r="DZ3" s="11"/>
      <c r="EA3" s="1"/>
      <c r="EB3" s="18"/>
      <c r="EC3" s="12"/>
      <c r="ED3" s="12"/>
      <c r="EE3" s="19"/>
      <c r="EF3" s="19"/>
      <c r="EG3" s="19"/>
      <c r="EH3" s="19"/>
      <c r="EI3" s="19"/>
      <c r="EJ3" s="16"/>
      <c r="EK3" s="16"/>
      <c r="EL3" s="16"/>
      <c r="EM3" s="16"/>
      <c r="EN3" s="16"/>
      <c r="EO3" s="451"/>
      <c r="EP3" s="451"/>
      <c r="EQ3" s="50" t="s">
        <v>48</v>
      </c>
      <c r="ER3" s="50"/>
      <c r="ES3" s="20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</row>
    <row r="4" spans="2:163" ht="15" thickBot="1">
      <c r="B4" s="11"/>
      <c r="C4" s="1"/>
      <c r="D4" s="1"/>
      <c r="E4" s="11"/>
      <c r="F4" s="109"/>
      <c r="G4" s="52"/>
      <c r="H4" s="53"/>
      <c r="I4" s="12"/>
      <c r="J4" s="22"/>
      <c r="K4" s="109" t="s">
        <v>250</v>
      </c>
      <c r="L4" s="3"/>
      <c r="M4" s="21"/>
      <c r="N4" s="3"/>
      <c r="O4" s="12"/>
      <c r="P4" s="11"/>
      <c r="Q4" s="1"/>
      <c r="R4" s="21"/>
      <c r="S4" s="21"/>
      <c r="T4" s="21"/>
      <c r="U4" s="21"/>
      <c r="V4" s="21"/>
      <c r="W4" s="12"/>
      <c r="X4" s="22"/>
      <c r="Y4" s="23"/>
      <c r="Z4" s="24"/>
      <c r="AA4" s="24"/>
      <c r="AB4" s="24"/>
      <c r="AC4" s="24"/>
      <c r="AD4" s="16"/>
      <c r="AE4" s="16"/>
      <c r="AF4" s="16"/>
      <c r="AG4" s="16"/>
      <c r="AH4" s="16"/>
      <c r="AI4" s="451"/>
      <c r="AJ4" s="451"/>
      <c r="AK4" s="451"/>
      <c r="AL4" s="451"/>
      <c r="AM4" s="20"/>
      <c r="AN4" s="25"/>
      <c r="AO4" s="25"/>
      <c r="AP4" s="25"/>
      <c r="AQ4" s="26"/>
      <c r="AR4" s="26"/>
      <c r="AS4" s="26"/>
      <c r="AT4" s="27"/>
      <c r="AU4" s="26"/>
      <c r="AV4" s="26"/>
      <c r="AW4" s="26"/>
      <c r="AX4" s="26"/>
      <c r="AY4" s="26"/>
      <c r="AZ4" s="26"/>
      <c r="BA4" s="26"/>
      <c r="BC4" s="11"/>
      <c r="BD4" s="1"/>
      <c r="BE4" s="1"/>
      <c r="BF4" s="11"/>
      <c r="BG4" s="109"/>
      <c r="BH4" s="52"/>
      <c r="BI4" s="53"/>
      <c r="BJ4" s="12"/>
      <c r="BK4" s="22"/>
      <c r="BL4" s="109" t="s">
        <v>250</v>
      </c>
      <c r="BM4" s="3"/>
      <c r="BN4" s="21"/>
      <c r="BO4" s="3"/>
      <c r="BP4" s="12"/>
      <c r="BQ4" s="11"/>
      <c r="BR4" s="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12"/>
      <c r="CG4" s="22"/>
      <c r="CH4" s="23"/>
      <c r="CI4" s="24"/>
      <c r="CJ4" s="24"/>
      <c r="CK4" s="24"/>
      <c r="CL4" s="24"/>
      <c r="CM4" s="16"/>
      <c r="CN4" s="16"/>
      <c r="CO4" s="16"/>
      <c r="CP4" s="16"/>
      <c r="CQ4" s="16"/>
      <c r="CR4" s="451"/>
      <c r="CS4" s="451"/>
      <c r="CT4" s="451"/>
      <c r="CU4" s="451"/>
      <c r="CV4" s="20"/>
      <c r="CW4" s="25"/>
      <c r="CX4" s="25"/>
      <c r="CY4" s="25"/>
      <c r="CZ4" s="26"/>
      <c r="DA4" s="26"/>
      <c r="DB4" s="26"/>
      <c r="DC4" s="27"/>
      <c r="DD4" s="26"/>
      <c r="DE4" s="26"/>
      <c r="DF4" s="26"/>
      <c r="DG4" s="26"/>
      <c r="DH4" s="26"/>
      <c r="DI4" s="26"/>
      <c r="DJ4" s="26"/>
      <c r="DL4" s="11"/>
      <c r="DM4" s="1"/>
      <c r="DN4" s="1"/>
      <c r="DO4" s="11"/>
      <c r="DP4" s="109"/>
      <c r="DQ4" s="52"/>
      <c r="DR4" s="53"/>
      <c r="DS4" s="12"/>
      <c r="DT4" s="22"/>
      <c r="DU4" s="109" t="s">
        <v>250</v>
      </c>
      <c r="DV4" s="3"/>
      <c r="DW4" s="21"/>
      <c r="DX4" s="3"/>
      <c r="DY4" s="12"/>
      <c r="DZ4" s="11"/>
      <c r="EA4" s="1"/>
      <c r="EB4" s="21"/>
      <c r="EC4" s="12"/>
      <c r="ED4" s="22"/>
      <c r="EE4" s="23"/>
      <c r="EF4" s="24"/>
      <c r="EG4" s="24"/>
      <c r="EH4" s="24"/>
      <c r="EI4" s="24"/>
      <c r="EJ4" s="16"/>
      <c r="EK4" s="16"/>
      <c r="EL4" s="16"/>
      <c r="EM4" s="16"/>
      <c r="EN4" s="16"/>
      <c r="EO4" s="451"/>
      <c r="EP4" s="451"/>
      <c r="EQ4" s="451"/>
      <c r="ER4" s="451"/>
      <c r="ES4" s="20"/>
      <c r="ET4" s="25"/>
      <c r="EU4" s="25"/>
      <c r="EV4" s="25"/>
      <c r="EW4" s="26"/>
      <c r="EX4" s="26"/>
      <c r="EY4" s="26"/>
      <c r="EZ4" s="27"/>
      <c r="FA4" s="26"/>
      <c r="FB4" s="26"/>
      <c r="FC4" s="26"/>
      <c r="FD4" s="26"/>
      <c r="FE4" s="26"/>
      <c r="FF4" s="26"/>
      <c r="FG4" s="26"/>
    </row>
    <row r="5" spans="2:163" ht="26.1" customHeight="1" thickBot="1">
      <c r="B5" s="583" t="s">
        <v>49</v>
      </c>
      <c r="C5" s="594" t="s">
        <v>50</v>
      </c>
      <c r="D5" s="595"/>
      <c r="E5" s="595"/>
      <c r="F5" s="595"/>
      <c r="G5" s="595"/>
      <c r="H5" s="595"/>
      <c r="I5" s="595"/>
      <c r="J5" s="595"/>
      <c r="K5" s="595"/>
      <c r="L5" s="595"/>
      <c r="M5" s="595"/>
      <c r="N5" s="595"/>
      <c r="O5" s="595"/>
      <c r="P5" s="595"/>
      <c r="Q5" s="596"/>
      <c r="R5" s="574" t="s">
        <v>49</v>
      </c>
      <c r="S5" s="569" t="s">
        <v>51</v>
      </c>
      <c r="T5" s="571"/>
      <c r="U5" s="569" t="s">
        <v>52</v>
      </c>
      <c r="V5" s="571"/>
      <c r="W5" s="569" t="s">
        <v>53</v>
      </c>
      <c r="X5" s="571"/>
      <c r="Y5" s="577" t="s">
        <v>54</v>
      </c>
      <c r="Z5" s="605"/>
      <c r="AA5" s="605"/>
      <c r="AB5" s="605"/>
      <c r="AC5" s="605"/>
      <c r="AD5" s="605"/>
      <c r="AE5" s="605"/>
      <c r="AF5" s="605"/>
      <c r="AG5" s="605"/>
      <c r="AH5" s="605"/>
      <c r="AI5" s="605"/>
      <c r="AJ5" s="605"/>
      <c r="AK5" s="606"/>
      <c r="AL5" s="583"/>
      <c r="AM5" s="583" t="s">
        <v>49</v>
      </c>
      <c r="AN5" s="607" t="s">
        <v>55</v>
      </c>
      <c r="AO5" s="608"/>
      <c r="AP5" s="608"/>
      <c r="AQ5" s="609"/>
      <c r="AR5" s="609"/>
      <c r="AS5" s="609"/>
      <c r="AT5" s="610"/>
      <c r="AU5" s="607" t="s">
        <v>56</v>
      </c>
      <c r="AV5" s="608"/>
      <c r="AW5" s="608"/>
      <c r="AX5" s="608"/>
      <c r="AY5" s="608"/>
      <c r="AZ5" s="609"/>
      <c r="BA5" s="610"/>
      <c r="BC5" s="583" t="s">
        <v>49</v>
      </c>
      <c r="BD5" s="594" t="s">
        <v>57</v>
      </c>
      <c r="BE5" s="595"/>
      <c r="BF5" s="595"/>
      <c r="BG5" s="595"/>
      <c r="BH5" s="595"/>
      <c r="BI5" s="595"/>
      <c r="BJ5" s="595"/>
      <c r="BK5" s="595"/>
      <c r="BL5" s="595"/>
      <c r="BM5" s="595"/>
      <c r="BN5" s="595"/>
      <c r="BO5" s="595"/>
      <c r="BP5" s="595"/>
      <c r="BQ5" s="595"/>
      <c r="BR5" s="596"/>
      <c r="BS5" s="574" t="s">
        <v>49</v>
      </c>
      <c r="BT5" s="561" t="s">
        <v>58</v>
      </c>
      <c r="BU5" s="562"/>
      <c r="BV5" s="562"/>
      <c r="BW5" s="562"/>
      <c r="BX5" s="562"/>
      <c r="BY5" s="563"/>
      <c r="BZ5" s="564" t="s">
        <v>59</v>
      </c>
      <c r="CA5" s="565"/>
      <c r="CB5" s="569" t="s">
        <v>60</v>
      </c>
      <c r="CC5" s="570"/>
      <c r="CD5" s="570"/>
      <c r="CE5" s="571"/>
      <c r="CF5" s="577" t="s">
        <v>61</v>
      </c>
      <c r="CG5" s="578"/>
      <c r="CH5" s="578"/>
      <c r="CI5" s="578"/>
      <c r="CJ5" s="578"/>
      <c r="CK5" s="578"/>
      <c r="CL5" s="578"/>
      <c r="CM5" s="578"/>
      <c r="CN5" s="578"/>
      <c r="CO5" s="578"/>
      <c r="CP5" s="578"/>
      <c r="CQ5" s="578"/>
      <c r="CR5" s="578"/>
      <c r="CS5" s="578"/>
      <c r="CT5" s="579"/>
      <c r="CU5" s="583"/>
      <c r="CV5" s="583" t="s">
        <v>49</v>
      </c>
      <c r="CW5" s="586" t="s">
        <v>62</v>
      </c>
      <c r="CX5" s="587"/>
      <c r="CY5" s="587"/>
      <c r="CZ5" s="588"/>
      <c r="DA5" s="588"/>
      <c r="DB5" s="588"/>
      <c r="DC5" s="589"/>
      <c r="DD5" s="586" t="s">
        <v>63</v>
      </c>
      <c r="DE5" s="587"/>
      <c r="DF5" s="587"/>
      <c r="DG5" s="587"/>
      <c r="DH5" s="587"/>
      <c r="DI5" s="588"/>
      <c r="DJ5" s="589"/>
      <c r="DL5" s="583" t="s">
        <v>49</v>
      </c>
      <c r="DM5" s="594" t="s">
        <v>64</v>
      </c>
      <c r="DN5" s="595"/>
      <c r="DO5" s="595"/>
      <c r="DP5" s="595"/>
      <c r="DQ5" s="595"/>
      <c r="DR5" s="595"/>
      <c r="DS5" s="595"/>
      <c r="DT5" s="595"/>
      <c r="DU5" s="595"/>
      <c r="DV5" s="595"/>
      <c r="DW5" s="595"/>
      <c r="DX5" s="595"/>
      <c r="DY5" s="595"/>
      <c r="DZ5" s="595"/>
      <c r="EA5" s="596"/>
      <c r="EB5" s="574" t="s">
        <v>49</v>
      </c>
      <c r="EC5" s="577" t="s">
        <v>65</v>
      </c>
      <c r="ED5" s="578"/>
      <c r="EE5" s="578"/>
      <c r="EF5" s="578"/>
      <c r="EG5" s="578"/>
      <c r="EH5" s="578"/>
      <c r="EI5" s="578"/>
      <c r="EJ5" s="578"/>
      <c r="EK5" s="578"/>
      <c r="EL5" s="578"/>
      <c r="EM5" s="578"/>
      <c r="EN5" s="578"/>
      <c r="EO5" s="578"/>
      <c r="EP5" s="578"/>
      <c r="EQ5" s="579"/>
      <c r="ER5" s="583"/>
      <c r="ES5" s="583" t="s">
        <v>49</v>
      </c>
      <c r="ET5" s="586" t="s">
        <v>66</v>
      </c>
      <c r="EU5" s="587"/>
      <c r="EV5" s="587"/>
      <c r="EW5" s="588"/>
      <c r="EX5" s="588"/>
      <c r="EY5" s="588"/>
      <c r="EZ5" s="589"/>
      <c r="FA5" s="586" t="s">
        <v>67</v>
      </c>
      <c r="FB5" s="587"/>
      <c r="FC5" s="587"/>
      <c r="FD5" s="587"/>
      <c r="FE5" s="587"/>
      <c r="FF5" s="588"/>
      <c r="FG5" s="589"/>
    </row>
    <row r="6" spans="2:163" ht="26.1" customHeight="1" thickBot="1">
      <c r="B6" s="584"/>
      <c r="C6" s="593" t="s">
        <v>2</v>
      </c>
      <c r="D6" s="567"/>
      <c r="E6" s="566" t="s">
        <v>68</v>
      </c>
      <c r="F6" s="567"/>
      <c r="G6" s="566" t="s">
        <v>69</v>
      </c>
      <c r="H6" s="566"/>
      <c r="I6" s="566" t="s">
        <v>70</v>
      </c>
      <c r="J6" s="567"/>
      <c r="K6" s="566" t="s">
        <v>71</v>
      </c>
      <c r="L6" s="567"/>
      <c r="M6" s="566" t="s">
        <v>27</v>
      </c>
      <c r="N6" s="567"/>
      <c r="O6" s="566" t="s">
        <v>8</v>
      </c>
      <c r="P6" s="580"/>
      <c r="Q6" s="581" t="s">
        <v>72</v>
      </c>
      <c r="R6" s="575"/>
      <c r="S6" s="566" t="s">
        <v>71</v>
      </c>
      <c r="T6" s="567"/>
      <c r="U6" s="566" t="s">
        <v>71</v>
      </c>
      <c r="V6" s="567"/>
      <c r="W6" s="566" t="s">
        <v>71</v>
      </c>
      <c r="X6" s="567"/>
      <c r="Y6" s="601" t="s">
        <v>68</v>
      </c>
      <c r="Z6" s="568"/>
      <c r="AA6" s="601" t="s">
        <v>69</v>
      </c>
      <c r="AB6" s="568"/>
      <c r="AC6" s="601" t="s">
        <v>70</v>
      </c>
      <c r="AD6" s="568"/>
      <c r="AE6" s="566" t="s">
        <v>71</v>
      </c>
      <c r="AF6" s="567"/>
      <c r="AG6" s="601" t="s">
        <v>27</v>
      </c>
      <c r="AH6" s="568"/>
      <c r="AI6" s="601" t="s">
        <v>8</v>
      </c>
      <c r="AJ6" s="602"/>
      <c r="AK6" s="603" t="s">
        <v>72</v>
      </c>
      <c r="AL6" s="584"/>
      <c r="AM6" s="584"/>
      <c r="AN6" s="611"/>
      <c r="AO6" s="612"/>
      <c r="AP6" s="612"/>
      <c r="AQ6" s="612"/>
      <c r="AR6" s="612"/>
      <c r="AS6" s="612"/>
      <c r="AT6" s="600"/>
      <c r="AU6" s="611"/>
      <c r="AV6" s="612"/>
      <c r="AW6" s="612"/>
      <c r="AX6" s="612"/>
      <c r="AY6" s="612"/>
      <c r="AZ6" s="612"/>
      <c r="BA6" s="600"/>
      <c r="BC6" s="584"/>
      <c r="BD6" s="593" t="s">
        <v>2</v>
      </c>
      <c r="BE6" s="567"/>
      <c r="BF6" s="566" t="s">
        <v>68</v>
      </c>
      <c r="BG6" s="567"/>
      <c r="BH6" s="566" t="s">
        <v>69</v>
      </c>
      <c r="BI6" s="566"/>
      <c r="BJ6" s="566" t="s">
        <v>70</v>
      </c>
      <c r="BK6" s="567"/>
      <c r="BL6" s="566" t="s">
        <v>71</v>
      </c>
      <c r="BM6" s="567"/>
      <c r="BN6" s="566" t="s">
        <v>27</v>
      </c>
      <c r="BO6" s="567"/>
      <c r="BP6" s="566" t="s">
        <v>8</v>
      </c>
      <c r="BQ6" s="598"/>
      <c r="BR6" s="599" t="s">
        <v>72</v>
      </c>
      <c r="BS6" s="575"/>
      <c r="BT6" s="572" t="s">
        <v>73</v>
      </c>
      <c r="BU6" s="573"/>
      <c r="BV6" s="566" t="s">
        <v>68</v>
      </c>
      <c r="BW6" s="567"/>
      <c r="BX6" s="566" t="s">
        <v>71</v>
      </c>
      <c r="BY6" s="567"/>
      <c r="BZ6" s="566" t="s">
        <v>71</v>
      </c>
      <c r="CA6" s="567"/>
      <c r="CB6" s="568" t="s">
        <v>73</v>
      </c>
      <c r="CC6" s="567"/>
      <c r="CD6" s="566" t="s">
        <v>71</v>
      </c>
      <c r="CE6" s="567"/>
      <c r="CF6" s="593" t="s">
        <v>2</v>
      </c>
      <c r="CG6" s="567"/>
      <c r="CH6" s="566" t="s">
        <v>68</v>
      </c>
      <c r="CI6" s="567"/>
      <c r="CJ6" s="566" t="s">
        <v>69</v>
      </c>
      <c r="CK6" s="566"/>
      <c r="CL6" s="566" t="s">
        <v>70</v>
      </c>
      <c r="CM6" s="567"/>
      <c r="CN6" s="566" t="s">
        <v>71</v>
      </c>
      <c r="CO6" s="567"/>
      <c r="CP6" s="566" t="s">
        <v>27</v>
      </c>
      <c r="CQ6" s="567"/>
      <c r="CR6" s="566" t="s">
        <v>8</v>
      </c>
      <c r="CS6" s="580"/>
      <c r="CT6" s="581" t="s">
        <v>72</v>
      </c>
      <c r="CU6" s="584"/>
      <c r="CV6" s="584"/>
      <c r="CW6" s="590"/>
      <c r="CX6" s="591"/>
      <c r="CY6" s="591"/>
      <c r="CZ6" s="591"/>
      <c r="DA6" s="591"/>
      <c r="DB6" s="591"/>
      <c r="DC6" s="592"/>
      <c r="DD6" s="590"/>
      <c r="DE6" s="591"/>
      <c r="DF6" s="591"/>
      <c r="DG6" s="591"/>
      <c r="DH6" s="591"/>
      <c r="DI6" s="591"/>
      <c r="DJ6" s="592"/>
      <c r="DL6" s="584"/>
      <c r="DM6" s="593" t="s">
        <v>2</v>
      </c>
      <c r="DN6" s="567"/>
      <c r="DO6" s="566" t="s">
        <v>68</v>
      </c>
      <c r="DP6" s="567"/>
      <c r="DQ6" s="566" t="s">
        <v>69</v>
      </c>
      <c r="DR6" s="566"/>
      <c r="DS6" s="566" t="s">
        <v>70</v>
      </c>
      <c r="DT6" s="567"/>
      <c r="DU6" s="566" t="s">
        <v>71</v>
      </c>
      <c r="DV6" s="567"/>
      <c r="DW6" s="566" t="s">
        <v>27</v>
      </c>
      <c r="DX6" s="567"/>
      <c r="DY6" s="566" t="s">
        <v>8</v>
      </c>
      <c r="DZ6" s="580"/>
      <c r="EA6" s="581" t="s">
        <v>72</v>
      </c>
      <c r="EB6" s="575"/>
      <c r="EC6" s="593" t="s">
        <v>2</v>
      </c>
      <c r="ED6" s="567"/>
      <c r="EE6" s="566" t="s">
        <v>68</v>
      </c>
      <c r="EF6" s="567"/>
      <c r="EG6" s="566" t="s">
        <v>69</v>
      </c>
      <c r="EH6" s="566"/>
      <c r="EI6" s="566" t="s">
        <v>70</v>
      </c>
      <c r="EJ6" s="567"/>
      <c r="EK6" s="566" t="s">
        <v>71</v>
      </c>
      <c r="EL6" s="567"/>
      <c r="EM6" s="566" t="s">
        <v>27</v>
      </c>
      <c r="EN6" s="567"/>
      <c r="EO6" s="566" t="s">
        <v>8</v>
      </c>
      <c r="EP6" s="580"/>
      <c r="EQ6" s="581" t="s">
        <v>72</v>
      </c>
      <c r="ER6" s="584"/>
      <c r="ES6" s="584"/>
      <c r="ET6" s="590"/>
      <c r="EU6" s="591"/>
      <c r="EV6" s="591"/>
      <c r="EW6" s="591"/>
      <c r="EX6" s="591"/>
      <c r="EY6" s="591"/>
      <c r="EZ6" s="592"/>
      <c r="FA6" s="590"/>
      <c r="FB6" s="591"/>
      <c r="FC6" s="591"/>
      <c r="FD6" s="591"/>
      <c r="FE6" s="591"/>
      <c r="FF6" s="591"/>
      <c r="FG6" s="592"/>
    </row>
    <row r="7" spans="2:163" ht="15" thickBot="1">
      <c r="B7" s="585"/>
      <c r="C7" s="140" t="s">
        <v>74</v>
      </c>
      <c r="D7" s="141" t="s">
        <v>75</v>
      </c>
      <c r="E7" s="141" t="s">
        <v>74</v>
      </c>
      <c r="F7" s="141" t="s">
        <v>75</v>
      </c>
      <c r="G7" s="141" t="s">
        <v>74</v>
      </c>
      <c r="H7" s="141" t="s">
        <v>75</v>
      </c>
      <c r="I7" s="141" t="s">
        <v>74</v>
      </c>
      <c r="J7" s="141" t="s">
        <v>75</v>
      </c>
      <c r="K7" s="141" t="s">
        <v>74</v>
      </c>
      <c r="L7" s="141" t="s">
        <v>75</v>
      </c>
      <c r="M7" s="141" t="s">
        <v>74</v>
      </c>
      <c r="N7" s="141" t="s">
        <v>75</v>
      </c>
      <c r="O7" s="141" t="s">
        <v>74</v>
      </c>
      <c r="P7" s="152" t="s">
        <v>75</v>
      </c>
      <c r="Q7" s="585"/>
      <c r="R7" s="576"/>
      <c r="S7" s="140" t="s">
        <v>74</v>
      </c>
      <c r="T7" s="141" t="s">
        <v>75</v>
      </c>
      <c r="U7" s="140" t="s">
        <v>74</v>
      </c>
      <c r="V7" s="142" t="s">
        <v>75</v>
      </c>
      <c r="W7" s="140" t="s">
        <v>74</v>
      </c>
      <c r="X7" s="141" t="s">
        <v>75</v>
      </c>
      <c r="Y7" s="141" t="s">
        <v>74</v>
      </c>
      <c r="Z7" s="141" t="s">
        <v>75</v>
      </c>
      <c r="AA7" s="141" t="s">
        <v>74</v>
      </c>
      <c r="AB7" s="141" t="s">
        <v>75</v>
      </c>
      <c r="AC7" s="141" t="s">
        <v>74</v>
      </c>
      <c r="AD7" s="141" t="s">
        <v>75</v>
      </c>
      <c r="AE7" s="141" t="s">
        <v>74</v>
      </c>
      <c r="AF7" s="141" t="s">
        <v>75</v>
      </c>
      <c r="AG7" s="141" t="s">
        <v>74</v>
      </c>
      <c r="AH7" s="141" t="s">
        <v>75</v>
      </c>
      <c r="AI7" s="141" t="s">
        <v>74</v>
      </c>
      <c r="AJ7" s="141" t="s">
        <v>75</v>
      </c>
      <c r="AK7" s="604"/>
      <c r="AL7" s="585"/>
      <c r="AM7" s="585"/>
      <c r="AN7" s="146" t="s">
        <v>73</v>
      </c>
      <c r="AO7" s="147" t="s">
        <v>3</v>
      </c>
      <c r="AP7" s="147" t="s">
        <v>4</v>
      </c>
      <c r="AQ7" s="146" t="s">
        <v>76</v>
      </c>
      <c r="AR7" s="147" t="s">
        <v>6</v>
      </c>
      <c r="AS7" s="147" t="s">
        <v>27</v>
      </c>
      <c r="AT7" s="148" t="s">
        <v>8</v>
      </c>
      <c r="AU7" s="146" t="s">
        <v>76</v>
      </c>
      <c r="AV7" s="147" t="s">
        <v>77</v>
      </c>
      <c r="AW7" s="147" t="s">
        <v>3</v>
      </c>
      <c r="AX7" s="147" t="s">
        <v>4</v>
      </c>
      <c r="AY7" s="147" t="s">
        <v>6</v>
      </c>
      <c r="AZ7" s="147"/>
      <c r="BA7" s="148" t="s">
        <v>247</v>
      </c>
      <c r="BC7" s="582"/>
      <c r="BD7" s="165" t="s">
        <v>74</v>
      </c>
      <c r="BE7" s="166" t="s">
        <v>75</v>
      </c>
      <c r="BF7" s="166" t="s">
        <v>74</v>
      </c>
      <c r="BG7" s="166" t="s">
        <v>75</v>
      </c>
      <c r="BH7" s="166" t="s">
        <v>74</v>
      </c>
      <c r="BI7" s="166" t="s">
        <v>75</v>
      </c>
      <c r="BJ7" s="166" t="s">
        <v>74</v>
      </c>
      <c r="BK7" s="166" t="s">
        <v>75</v>
      </c>
      <c r="BL7" s="166" t="s">
        <v>74</v>
      </c>
      <c r="BM7" s="166" t="s">
        <v>75</v>
      </c>
      <c r="BN7" s="166" t="s">
        <v>74</v>
      </c>
      <c r="BO7" s="166" t="s">
        <v>75</v>
      </c>
      <c r="BP7" s="166" t="s">
        <v>74</v>
      </c>
      <c r="BQ7" s="166" t="s">
        <v>75</v>
      </c>
      <c r="BR7" s="600"/>
      <c r="BS7" s="597"/>
      <c r="BT7" s="165" t="s">
        <v>74</v>
      </c>
      <c r="BU7" s="166" t="s">
        <v>75</v>
      </c>
      <c r="BV7" s="166" t="s">
        <v>74</v>
      </c>
      <c r="BW7" s="166" t="s">
        <v>75</v>
      </c>
      <c r="BX7" s="166" t="s">
        <v>74</v>
      </c>
      <c r="BY7" s="427" t="s">
        <v>75</v>
      </c>
      <c r="BZ7" s="165" t="s">
        <v>74</v>
      </c>
      <c r="CA7" s="166" t="s">
        <v>75</v>
      </c>
      <c r="CB7" s="165" t="s">
        <v>74</v>
      </c>
      <c r="CC7" s="166" t="s">
        <v>75</v>
      </c>
      <c r="CD7" s="166" t="s">
        <v>74</v>
      </c>
      <c r="CE7" s="166" t="s">
        <v>75</v>
      </c>
      <c r="CF7" s="165" t="s">
        <v>74</v>
      </c>
      <c r="CG7" s="166" t="s">
        <v>75</v>
      </c>
      <c r="CH7" s="166" t="s">
        <v>74</v>
      </c>
      <c r="CI7" s="166" t="s">
        <v>75</v>
      </c>
      <c r="CJ7" s="166" t="s">
        <v>74</v>
      </c>
      <c r="CK7" s="166" t="s">
        <v>75</v>
      </c>
      <c r="CL7" s="166" t="s">
        <v>74</v>
      </c>
      <c r="CM7" s="166" t="s">
        <v>75</v>
      </c>
      <c r="CN7" s="166" t="s">
        <v>74</v>
      </c>
      <c r="CO7" s="166" t="s">
        <v>75</v>
      </c>
      <c r="CP7" s="166" t="s">
        <v>74</v>
      </c>
      <c r="CQ7" s="166" t="s">
        <v>75</v>
      </c>
      <c r="CR7" s="166" t="s">
        <v>74</v>
      </c>
      <c r="CS7" s="428" t="s">
        <v>75</v>
      </c>
      <c r="CT7" s="582"/>
      <c r="CU7" s="585"/>
      <c r="CV7" s="585"/>
      <c r="CW7" s="146" t="s">
        <v>73</v>
      </c>
      <c r="CX7" s="147" t="s">
        <v>3</v>
      </c>
      <c r="CY7" s="147" t="s">
        <v>4</v>
      </c>
      <c r="CZ7" s="147" t="s">
        <v>5</v>
      </c>
      <c r="DA7" s="147" t="s">
        <v>6</v>
      </c>
      <c r="DB7" s="147" t="s">
        <v>27</v>
      </c>
      <c r="DC7" s="148" t="s">
        <v>8</v>
      </c>
      <c r="DD7" s="146" t="s">
        <v>73</v>
      </c>
      <c r="DE7" s="147" t="s">
        <v>3</v>
      </c>
      <c r="DF7" s="147" t="s">
        <v>4</v>
      </c>
      <c r="DG7" s="147" t="s">
        <v>5</v>
      </c>
      <c r="DH7" s="147" t="s">
        <v>6</v>
      </c>
      <c r="DI7" s="147" t="s">
        <v>27</v>
      </c>
      <c r="DJ7" s="148" t="s">
        <v>8</v>
      </c>
      <c r="DL7" s="585"/>
      <c r="DM7" s="140" t="s">
        <v>74</v>
      </c>
      <c r="DN7" s="141" t="s">
        <v>75</v>
      </c>
      <c r="DO7" s="141" t="s">
        <v>74</v>
      </c>
      <c r="DP7" s="141" t="s">
        <v>75</v>
      </c>
      <c r="DQ7" s="141" t="s">
        <v>74</v>
      </c>
      <c r="DR7" s="141" t="s">
        <v>75</v>
      </c>
      <c r="DS7" s="141" t="s">
        <v>74</v>
      </c>
      <c r="DT7" s="141" t="s">
        <v>75</v>
      </c>
      <c r="DU7" s="141" t="s">
        <v>74</v>
      </c>
      <c r="DV7" s="141" t="s">
        <v>75</v>
      </c>
      <c r="DW7" s="141" t="s">
        <v>74</v>
      </c>
      <c r="DX7" s="141" t="s">
        <v>75</v>
      </c>
      <c r="DY7" s="141" t="s">
        <v>74</v>
      </c>
      <c r="DZ7" s="152" t="s">
        <v>75</v>
      </c>
      <c r="EA7" s="585"/>
      <c r="EB7" s="576"/>
      <c r="EC7" s="140" t="s">
        <v>74</v>
      </c>
      <c r="ED7" s="141" t="s">
        <v>75</v>
      </c>
      <c r="EE7" s="141" t="s">
        <v>74</v>
      </c>
      <c r="EF7" s="141" t="s">
        <v>75</v>
      </c>
      <c r="EG7" s="141" t="s">
        <v>74</v>
      </c>
      <c r="EH7" s="141" t="s">
        <v>75</v>
      </c>
      <c r="EI7" s="141" t="s">
        <v>74</v>
      </c>
      <c r="EJ7" s="141" t="s">
        <v>75</v>
      </c>
      <c r="EK7" s="141" t="s">
        <v>74</v>
      </c>
      <c r="EL7" s="141" t="s">
        <v>75</v>
      </c>
      <c r="EM7" s="141" t="s">
        <v>74</v>
      </c>
      <c r="EN7" s="141" t="s">
        <v>75</v>
      </c>
      <c r="EO7" s="141" t="s">
        <v>74</v>
      </c>
      <c r="EP7" s="152" t="s">
        <v>75</v>
      </c>
      <c r="EQ7" s="585"/>
      <c r="ER7" s="585"/>
      <c r="ES7" s="585"/>
      <c r="ET7" s="146" t="s">
        <v>73</v>
      </c>
      <c r="EU7" s="147" t="s">
        <v>3</v>
      </c>
      <c r="EV7" s="147" t="s">
        <v>4</v>
      </c>
      <c r="EW7" s="147" t="s">
        <v>5</v>
      </c>
      <c r="EX7" s="147" t="s">
        <v>6</v>
      </c>
      <c r="EY7" s="147" t="s">
        <v>27</v>
      </c>
      <c r="EZ7" s="148" t="s">
        <v>8</v>
      </c>
      <c r="FA7" s="146" t="s">
        <v>73</v>
      </c>
      <c r="FB7" s="147" t="s">
        <v>3</v>
      </c>
      <c r="FC7" s="147" t="s">
        <v>4</v>
      </c>
      <c r="FD7" s="147" t="s">
        <v>5</v>
      </c>
      <c r="FE7" s="147" t="s">
        <v>6</v>
      </c>
      <c r="FF7" s="147" t="s">
        <v>27</v>
      </c>
      <c r="FG7" s="148" t="s">
        <v>8</v>
      </c>
    </row>
    <row r="8" spans="2:163" ht="15" thickBot="1">
      <c r="B8" s="63">
        <f>L3</f>
        <v>45870</v>
      </c>
      <c r="C8" s="376"/>
      <c r="D8" s="486"/>
      <c r="E8" s="410">
        <v>14</v>
      </c>
      <c r="F8" s="418">
        <v>101</v>
      </c>
      <c r="G8" s="417" t="s">
        <v>196</v>
      </c>
      <c r="H8" s="418">
        <v>200</v>
      </c>
      <c r="I8" s="113"/>
      <c r="J8" s="408"/>
      <c r="K8" s="410">
        <v>15</v>
      </c>
      <c r="L8" s="115">
        <v>267</v>
      </c>
      <c r="M8" s="115"/>
      <c r="N8" s="115"/>
      <c r="O8" s="112"/>
      <c r="P8" s="111"/>
      <c r="Q8" s="125">
        <f t="shared" ref="Q8:Q36" si="0">P8+N8+L8+J8+H8+F8+D8</f>
        <v>568</v>
      </c>
      <c r="R8" s="317">
        <f>B8</f>
        <v>45870</v>
      </c>
      <c r="S8" s="150"/>
      <c r="T8" s="153"/>
      <c r="U8" s="150"/>
      <c r="V8" s="153"/>
      <c r="W8" s="114"/>
      <c r="X8" s="489"/>
      <c r="Y8" s="410">
        <v>14</v>
      </c>
      <c r="Z8" s="418">
        <v>447</v>
      </c>
      <c r="AA8" s="417"/>
      <c r="AB8" s="418"/>
      <c r="AC8" s="113"/>
      <c r="AD8" s="409"/>
      <c r="AE8" s="114"/>
      <c r="AF8" s="115"/>
      <c r="AG8" s="114"/>
      <c r="AH8" s="114"/>
      <c r="AI8" s="114"/>
      <c r="AJ8" s="115"/>
      <c r="AK8" s="105">
        <f>AJ8+AH8+AF8+AD8+AB8+Z8+X8+V8+T8</f>
        <v>447</v>
      </c>
      <c r="AL8" s="117">
        <f t="shared" ref="AL8:AL38" si="1">AK8-Q8</f>
        <v>-121</v>
      </c>
      <c r="AM8" s="63">
        <f>R8</f>
        <v>45870</v>
      </c>
      <c r="AN8" s="176"/>
      <c r="AO8" s="176">
        <v>675</v>
      </c>
      <c r="AP8" s="176">
        <f>[1]Z1PCSPSP!AP39</f>
        <v>0</v>
      </c>
      <c r="AQ8" s="176">
        <v>455</v>
      </c>
      <c r="AR8" s="176">
        <f>[1]Z1PCSPSP!AR39</f>
        <v>0</v>
      </c>
      <c r="AS8" s="84"/>
      <c r="AT8" s="84">
        <v>3134</v>
      </c>
      <c r="AU8" s="83"/>
      <c r="AV8" s="84"/>
      <c r="AW8" s="84"/>
      <c r="AX8" s="79"/>
      <c r="AY8" s="84"/>
      <c r="AZ8" s="79"/>
      <c r="BA8" s="85"/>
      <c r="BC8" s="63">
        <f>B8</f>
        <v>45870</v>
      </c>
      <c r="BD8" s="552"/>
      <c r="BE8" s="553"/>
      <c r="BF8" s="554" t="s">
        <v>198</v>
      </c>
      <c r="BG8" s="111">
        <v>544</v>
      </c>
      <c r="BH8" s="417"/>
      <c r="BI8" s="418"/>
      <c r="BJ8" s="113"/>
      <c r="BK8" s="408"/>
      <c r="BL8" s="114"/>
      <c r="BM8" s="115"/>
      <c r="BN8" s="115"/>
      <c r="BO8" s="115"/>
      <c r="BP8" s="112"/>
      <c r="BQ8" s="111"/>
      <c r="BR8" s="125">
        <f t="shared" ref="BR8:BR9" si="2">BQ8+BO8+BM8+BK8+BI8+BG8+BE8</f>
        <v>544</v>
      </c>
      <c r="BS8" s="317">
        <f t="shared" ref="BS8:BS38" si="3">BC8</f>
        <v>45870</v>
      </c>
      <c r="BT8" s="376"/>
      <c r="BU8" s="263"/>
      <c r="BV8" s="554" t="s">
        <v>187</v>
      </c>
      <c r="BW8" s="439">
        <v>65</v>
      </c>
      <c r="BX8" s="263"/>
      <c r="BY8" s="153"/>
      <c r="BZ8" s="150"/>
      <c r="CA8" s="153"/>
      <c r="CB8" s="552" t="s">
        <v>185</v>
      </c>
      <c r="CC8" s="263">
        <v>19</v>
      </c>
      <c r="CD8" s="263"/>
      <c r="CE8" s="153"/>
      <c r="CF8" s="552">
        <v>1600</v>
      </c>
      <c r="CG8" s="111"/>
      <c r="CH8" s="112" t="s">
        <v>186</v>
      </c>
      <c r="CI8" s="418">
        <v>395</v>
      </c>
      <c r="CJ8" s="417"/>
      <c r="CK8" s="418"/>
      <c r="CL8" s="113"/>
      <c r="CM8" s="408"/>
      <c r="CN8" s="114"/>
      <c r="CO8" s="497"/>
      <c r="CP8" s="494"/>
      <c r="CQ8" s="114"/>
      <c r="CR8" s="114"/>
      <c r="CS8" s="115"/>
      <c r="CT8" s="105">
        <f>CO8+CK8+CI8+CG8+CE8+CC8+CA8+BY8+BW8+BU8</f>
        <v>479</v>
      </c>
      <c r="CU8" s="117">
        <f t="shared" ref="CU8:CU38" si="4">CT8-BR8</f>
        <v>-65</v>
      </c>
      <c r="CV8" s="309">
        <f>BS8</f>
        <v>45870</v>
      </c>
      <c r="CW8" s="176">
        <v>744</v>
      </c>
      <c r="CX8" s="176">
        <v>805</v>
      </c>
      <c r="CY8" s="176">
        <f>[1]Z1PCSPSP!CY39</f>
        <v>0</v>
      </c>
      <c r="CZ8" s="176">
        <f>[1]Z1PCSPSP!CZ39</f>
        <v>0</v>
      </c>
      <c r="DA8" s="176">
        <f>[1]Z1PCSPSP!DA39</f>
        <v>0</v>
      </c>
      <c r="DB8" s="84"/>
      <c r="DC8" s="84"/>
      <c r="DD8" s="400">
        <v>180</v>
      </c>
      <c r="DE8" s="79">
        <v>290</v>
      </c>
      <c r="DF8" s="79"/>
      <c r="DG8" s="79"/>
      <c r="DH8" s="79">
        <v>222</v>
      </c>
      <c r="DI8" s="84"/>
      <c r="DJ8" s="85"/>
      <c r="DL8" s="63">
        <f>DV3</f>
        <v>45870</v>
      </c>
      <c r="DM8" s="376"/>
      <c r="DN8" s="111"/>
      <c r="DO8" s="112" t="s">
        <v>193</v>
      </c>
      <c r="DP8" s="111">
        <v>92</v>
      </c>
      <c r="DQ8" s="417"/>
      <c r="DR8" s="418"/>
      <c r="DS8" s="113"/>
      <c r="DT8" s="408"/>
      <c r="DU8" s="114"/>
      <c r="DV8" s="115"/>
      <c r="DW8" s="115"/>
      <c r="DX8" s="115"/>
      <c r="DY8" s="417"/>
      <c r="DZ8" s="111"/>
      <c r="EA8" s="125">
        <f t="shared" ref="EA8" si="5">DZ8+DX8+DV8+DT8+DR8+DP8+DN8</f>
        <v>92</v>
      </c>
      <c r="EB8" s="317">
        <f t="shared" ref="EB8" si="6">DL8</f>
        <v>45870</v>
      </c>
      <c r="EC8" s="376" t="s">
        <v>188</v>
      </c>
      <c r="ED8" s="111">
        <v>106</v>
      </c>
      <c r="EE8" s="112"/>
      <c r="EF8" s="111"/>
      <c r="EG8" s="417"/>
      <c r="EH8" s="418"/>
      <c r="EI8" s="417"/>
      <c r="EJ8" s="111"/>
      <c r="EK8" s="114"/>
      <c r="EL8" s="115"/>
      <c r="EM8" s="114"/>
      <c r="EN8" s="114"/>
      <c r="EO8" s="114"/>
      <c r="EP8" s="115"/>
      <c r="EQ8" s="125">
        <f>EP8+EN8+EL8+EJ8+EH8+EF8+ED8</f>
        <v>106</v>
      </c>
      <c r="ER8" s="117">
        <f t="shared" ref="ER8:ER38" si="7">EQ8-EA8</f>
        <v>14</v>
      </c>
      <c r="ES8" s="63">
        <f t="shared" ref="ES8:ES38" si="8">EB8</f>
        <v>45870</v>
      </c>
      <c r="ET8" s="176">
        <f>[1]Z1PCSPSP!ET39</f>
        <v>232</v>
      </c>
      <c r="EU8" s="176">
        <f>[1]Z1PCSPSP!EU39</f>
        <v>0</v>
      </c>
      <c r="EV8" s="83">
        <f>[2]Z1PCSPSP!EV39</f>
        <v>0</v>
      </c>
      <c r="EW8" s="83">
        <f>[2]Z1PCSPSP!EW39</f>
        <v>1009</v>
      </c>
      <c r="EX8" s="83">
        <f>[2]Z1PCSPSP!EX39</f>
        <v>0</v>
      </c>
      <c r="EY8" s="84"/>
      <c r="EZ8" s="84">
        <v>3134</v>
      </c>
      <c r="FA8" s="310">
        <v>200</v>
      </c>
      <c r="FB8" s="311">
        <v>337</v>
      </c>
      <c r="FC8" s="311"/>
      <c r="FD8" s="311"/>
      <c r="FE8" s="311">
        <v>263</v>
      </c>
      <c r="FF8" s="84"/>
      <c r="FG8" s="85"/>
    </row>
    <row r="9" spans="2:163">
      <c r="B9" s="64">
        <f>B8+1</f>
        <v>45871</v>
      </c>
      <c r="C9" s="54"/>
      <c r="D9" s="322"/>
      <c r="E9" s="327">
        <v>9260</v>
      </c>
      <c r="F9" s="413"/>
      <c r="G9" s="412"/>
      <c r="H9" s="413"/>
      <c r="I9" s="414"/>
      <c r="J9" s="415"/>
      <c r="K9" s="410">
        <v>15</v>
      </c>
      <c r="L9" s="411">
        <v>552</v>
      </c>
      <c r="M9" s="411"/>
      <c r="N9" s="411"/>
      <c r="O9" s="30"/>
      <c r="P9" s="28"/>
      <c r="Q9" s="389">
        <f t="shared" si="0"/>
        <v>552</v>
      </c>
      <c r="R9" s="388">
        <f>B9</f>
        <v>45871</v>
      </c>
      <c r="S9" s="390"/>
      <c r="T9" s="391"/>
      <c r="U9" s="390"/>
      <c r="V9" s="391"/>
      <c r="W9" s="410"/>
      <c r="X9" s="395"/>
      <c r="Y9" s="410">
        <v>14</v>
      </c>
      <c r="Z9" s="413">
        <v>556</v>
      </c>
      <c r="AA9" s="412"/>
      <c r="AB9" s="413"/>
      <c r="AC9" s="414"/>
      <c r="AD9" s="416"/>
      <c r="AE9" s="410"/>
      <c r="AF9" s="411"/>
      <c r="AG9" s="410"/>
      <c r="AH9" s="410"/>
      <c r="AI9" s="410"/>
      <c r="AJ9" s="411"/>
      <c r="AK9" s="387">
        <f>AJ9+AH9+AF9+AD9+AB9+Z9+X9+V9+T9</f>
        <v>556</v>
      </c>
      <c r="AL9" s="118">
        <f t="shared" si="1"/>
        <v>4</v>
      </c>
      <c r="AM9" s="87">
        <f>R9</f>
        <v>45871</v>
      </c>
      <c r="AN9" s="178"/>
      <c r="AO9" s="178">
        <f t="shared" ref="AO9:AO24" si="9">IF(AO8+Z8-AV8-AW8-BG8&lt;0,0,AO8+Z8-AV8-AW8-BG8)</f>
        <v>578</v>
      </c>
      <c r="AP9" s="179">
        <f>IF(AP8+AB8-BI8-AX8&lt;0,0,AP8+AB8-BI8-AX8)</f>
        <v>0</v>
      </c>
      <c r="AQ9" s="179">
        <f t="shared" ref="AQ9:AQ24" si="10">IF(AQ8+Z8-AU8-AV8-BG8&lt;0,0,AQ8+Z8-AU8-AV8-BG8)</f>
        <v>358</v>
      </c>
      <c r="AR9" s="179">
        <f t="shared" ref="AR9:AR24" si="11">IF(AR8+AF8-AY8-BM8&lt;0,0,AR8+AF8-AY8-BM8)</f>
        <v>0</v>
      </c>
      <c r="AS9" s="79">
        <f>AS8+AH8-AZ8</f>
        <v>0</v>
      </c>
      <c r="AT9" s="79">
        <f>AT8+AJ8-BA8</f>
        <v>3134</v>
      </c>
      <c r="AU9" s="400"/>
      <c r="AV9" s="79"/>
      <c r="AW9" s="79"/>
      <c r="AX9" s="79">
        <f>PVT!C9</f>
        <v>0</v>
      </c>
      <c r="AY9" s="79"/>
      <c r="AZ9" s="79"/>
      <c r="BA9" s="86"/>
      <c r="BC9" s="64">
        <f>BC8+1</f>
        <v>45871</v>
      </c>
      <c r="BD9" s="434"/>
      <c r="BE9" s="28"/>
      <c r="BF9" s="344" t="s">
        <v>198</v>
      </c>
      <c r="BG9" s="341">
        <v>600</v>
      </c>
      <c r="BH9" s="412"/>
      <c r="BI9" s="413"/>
      <c r="BJ9" s="414"/>
      <c r="BK9" s="415"/>
      <c r="BL9" s="410"/>
      <c r="BM9" s="411"/>
      <c r="BN9" s="411"/>
      <c r="BO9" s="411"/>
      <c r="BP9" s="30"/>
      <c r="BQ9" s="28"/>
      <c r="BR9" s="389">
        <f t="shared" si="2"/>
        <v>600</v>
      </c>
      <c r="BS9" s="388">
        <f t="shared" si="3"/>
        <v>45871</v>
      </c>
      <c r="BT9" s="390"/>
      <c r="BU9" s="264"/>
      <c r="BV9" s="344"/>
      <c r="BW9" s="422"/>
      <c r="BX9" s="264"/>
      <c r="BY9" s="391"/>
      <c r="BZ9" s="390"/>
      <c r="CA9" s="391"/>
      <c r="CB9" s="434"/>
      <c r="CC9" s="264"/>
      <c r="CD9" s="264"/>
      <c r="CE9" s="391"/>
      <c r="CF9" s="434" t="s">
        <v>185</v>
      </c>
      <c r="CG9" s="28">
        <v>192</v>
      </c>
      <c r="CH9" s="30" t="s">
        <v>186</v>
      </c>
      <c r="CI9" s="420">
        <v>383</v>
      </c>
      <c r="CJ9" s="412"/>
      <c r="CK9" s="413"/>
      <c r="CL9" s="414"/>
      <c r="CM9" s="415"/>
      <c r="CN9" s="410"/>
      <c r="CO9" s="498"/>
      <c r="CP9" s="363"/>
      <c r="CQ9" s="410"/>
      <c r="CR9" s="410"/>
      <c r="CS9" s="411"/>
      <c r="CT9" s="387">
        <f>CO9+CK9+CI9+CG9+CE9+CC9+CA9+BY9+BW9+BU9</f>
        <v>575</v>
      </c>
      <c r="CU9" s="118">
        <f t="shared" si="4"/>
        <v>-25</v>
      </c>
      <c r="CV9" s="87">
        <f>BS9</f>
        <v>45871</v>
      </c>
      <c r="CW9" s="178">
        <f t="shared" ref="CW9:CW14" si="12">IF(CW8+CG8-DN8-DD8&lt;=0,0,CW8+CG8-DN8-DD8)</f>
        <v>564</v>
      </c>
      <c r="CX9" s="179">
        <f t="shared" ref="CX9:CX20" si="13">IF(CX8+CI8+0.15*CK8-DE8-DP8&lt;=0,0,CX8+CI8+0.15*CK8-DE8-DP8)</f>
        <v>818</v>
      </c>
      <c r="CY9" s="179"/>
      <c r="CZ9" s="179"/>
      <c r="DA9" s="336">
        <f t="shared" ref="DA9:DA28" si="14">IF(DA8+CO8-DH8-DV8+0.85*CK8&lt;=0,0,DA8+CO8-DH8-DV8+0.85*CK8)</f>
        <v>0</v>
      </c>
      <c r="DB9" s="79"/>
      <c r="DC9" s="79"/>
      <c r="DD9" s="400"/>
      <c r="DE9" s="79">
        <v>290</v>
      </c>
      <c r="DF9" s="79"/>
      <c r="DG9" s="79"/>
      <c r="DH9" s="79">
        <v>141</v>
      </c>
      <c r="DI9" s="79"/>
      <c r="DJ9" s="86"/>
      <c r="DL9" s="64">
        <f>DL8+1</f>
        <v>45871</v>
      </c>
      <c r="DM9" s="54" t="s">
        <v>212</v>
      </c>
      <c r="DN9" s="28">
        <v>210</v>
      </c>
      <c r="DO9" s="30"/>
      <c r="DP9" s="28"/>
      <c r="DQ9" s="412"/>
      <c r="DR9" s="413"/>
      <c r="DS9" s="414"/>
      <c r="DT9" s="415"/>
      <c r="DU9" s="410"/>
      <c r="DV9" s="411"/>
      <c r="DW9" s="411"/>
      <c r="DX9" s="411"/>
      <c r="DY9" s="412"/>
      <c r="DZ9" s="28"/>
      <c r="EA9" s="389">
        <f t="shared" ref="EA9:EA16" si="15">DZ9+DX9+DV9+DT9+DR9+DP9+DN9</f>
        <v>210</v>
      </c>
      <c r="EB9" s="388">
        <f t="shared" ref="EB9:EB16" si="16">DL9</f>
        <v>45871</v>
      </c>
      <c r="EC9" s="54" t="s">
        <v>188</v>
      </c>
      <c r="ED9" s="28">
        <v>181</v>
      </c>
      <c r="EE9" s="30"/>
      <c r="EF9" s="28"/>
      <c r="EG9" s="417"/>
      <c r="EH9" s="418"/>
      <c r="EI9" s="417"/>
      <c r="EJ9" s="111"/>
      <c r="EK9" s="424"/>
      <c r="EL9" s="411"/>
      <c r="EM9" s="410"/>
      <c r="EN9" s="410"/>
      <c r="EO9" s="410"/>
      <c r="EP9" s="411"/>
      <c r="EQ9" s="389">
        <f>EP9+EN9+EL9+EJ9+EH9+EF9+ED9</f>
        <v>181</v>
      </c>
      <c r="ER9" s="118">
        <f t="shared" si="7"/>
        <v>-29</v>
      </c>
      <c r="ES9" s="87">
        <f t="shared" si="8"/>
        <v>45871</v>
      </c>
      <c r="ET9" s="178">
        <f>IF(ET8+ED8-FA8&lt;0,0,ET8+ED8-FA8)</f>
        <v>138</v>
      </c>
      <c r="EU9" s="179">
        <f t="shared" ref="EU9:EU24" si="17">IF(EU8+EF8-FB8&lt;0,0,EU8+EF8-FB8)</f>
        <v>0</v>
      </c>
      <c r="EV9" s="79">
        <f t="shared" ref="EV9:EV24" si="18">EV8+EH8-FC8</f>
        <v>0</v>
      </c>
      <c r="EW9" s="79">
        <f t="shared" ref="EW9:EW24" si="19">EW8+EJ8-FD8</f>
        <v>1009</v>
      </c>
      <c r="EX9" s="79">
        <f t="shared" ref="EX9:EX24" si="20">IF(EX8+EL8-FE8&lt;0,0,EX8+EL8-FE8)</f>
        <v>0</v>
      </c>
      <c r="EY9" s="179">
        <f>EY8+EN8-FF8</f>
        <v>0</v>
      </c>
      <c r="EZ9" s="179">
        <f>EZ8+EP8-FG8</f>
        <v>3134</v>
      </c>
      <c r="FA9" s="310"/>
      <c r="FB9" s="311">
        <v>126</v>
      </c>
      <c r="FC9" s="311"/>
      <c r="FD9" s="311"/>
      <c r="FE9" s="311">
        <v>43</v>
      </c>
      <c r="FF9" s="79"/>
      <c r="FG9" s="86"/>
    </row>
    <row r="10" spans="2:163">
      <c r="B10" s="64">
        <f t="shared" ref="B10:B38" si="21">B9+1</f>
        <v>45872</v>
      </c>
      <c r="C10" s="54"/>
      <c r="D10" s="322"/>
      <c r="E10" s="410">
        <v>16</v>
      </c>
      <c r="F10" s="413">
        <v>517</v>
      </c>
      <c r="G10" s="412" t="s">
        <v>197</v>
      </c>
      <c r="H10" s="413">
        <v>50</v>
      </c>
      <c r="I10" s="414"/>
      <c r="J10" s="415"/>
      <c r="K10" s="410">
        <v>15</v>
      </c>
      <c r="L10" s="411">
        <v>13</v>
      </c>
      <c r="M10" s="411"/>
      <c r="N10" s="411"/>
      <c r="O10" s="412"/>
      <c r="P10" s="28"/>
      <c r="Q10" s="389">
        <f t="shared" si="0"/>
        <v>580</v>
      </c>
      <c r="R10" s="388">
        <f t="shared" ref="R10:R36" si="22">B10</f>
        <v>45872</v>
      </c>
      <c r="S10" s="410"/>
      <c r="T10" s="155"/>
      <c r="U10" s="410"/>
      <c r="V10" s="155"/>
      <c r="W10" s="54"/>
      <c r="X10" s="395"/>
      <c r="Y10" s="410">
        <v>14</v>
      </c>
      <c r="Z10" s="413">
        <v>572</v>
      </c>
      <c r="AA10" s="419"/>
      <c r="AB10" s="413"/>
      <c r="AC10" s="414"/>
      <c r="AD10" s="416"/>
      <c r="AE10" s="410"/>
      <c r="AF10" s="411"/>
      <c r="AG10" s="410"/>
      <c r="AH10" s="410"/>
      <c r="AI10" s="410"/>
      <c r="AJ10" s="411"/>
      <c r="AK10" s="387">
        <f t="shared" ref="AK10:AK38" si="23">AJ10+AH10+AF10+AD10+AB10+Z10+X10+V10+T10</f>
        <v>572</v>
      </c>
      <c r="AL10" s="118">
        <f t="shared" si="1"/>
        <v>-8</v>
      </c>
      <c r="AM10" s="87">
        <f t="shared" ref="AM10:AM38" si="24">R10</f>
        <v>45872</v>
      </c>
      <c r="AN10" s="400"/>
      <c r="AO10" s="178">
        <f t="shared" si="9"/>
        <v>534</v>
      </c>
      <c r="AP10" s="179">
        <f t="shared" ref="AP10:AP39" si="25">IF(AP9+AB9-BI9-AX9&lt;0,0,AP9+AB9-BI9-AX9)</f>
        <v>0</v>
      </c>
      <c r="AQ10" s="179">
        <f t="shared" si="10"/>
        <v>314</v>
      </c>
      <c r="AR10" s="179">
        <f t="shared" si="11"/>
        <v>0</v>
      </c>
      <c r="AS10" s="79">
        <f t="shared" ref="AS10:AS38" si="26">AS9+AH9-AZ9</f>
        <v>0</v>
      </c>
      <c r="AT10" s="79">
        <f t="shared" ref="AT10:AT38" si="27">AT9+AJ9-BA9</f>
        <v>3134</v>
      </c>
      <c r="AU10" s="400"/>
      <c r="AV10" s="79"/>
      <c r="AW10" s="79">
        <v>30</v>
      </c>
      <c r="AX10" s="79">
        <f>PVT!C10</f>
        <v>0</v>
      </c>
      <c r="AY10" s="79">
        <v>45</v>
      </c>
      <c r="AZ10" s="79"/>
      <c r="BA10" s="86"/>
      <c r="BC10" s="64">
        <f t="shared" ref="BC10:BC34" si="28">BC9+1</f>
        <v>45872</v>
      </c>
      <c r="BD10" s="434" t="s">
        <v>199</v>
      </c>
      <c r="BE10" s="28">
        <v>469</v>
      </c>
      <c r="BF10" s="344" t="s">
        <v>198</v>
      </c>
      <c r="BG10" s="341">
        <v>228</v>
      </c>
      <c r="BH10" s="412"/>
      <c r="BI10" s="413"/>
      <c r="BJ10" s="414"/>
      <c r="BK10" s="415"/>
      <c r="BL10" s="410"/>
      <c r="BM10" s="411"/>
      <c r="BN10" s="411"/>
      <c r="BO10" s="411"/>
      <c r="BP10" s="412"/>
      <c r="BQ10" s="28"/>
      <c r="BR10" s="389">
        <f>BQ10+BO10+BM10+BK10+BI10+BG10+BE10</f>
        <v>697</v>
      </c>
      <c r="BS10" s="388">
        <f t="shared" si="3"/>
        <v>45872</v>
      </c>
      <c r="BT10" s="434" t="s">
        <v>195</v>
      </c>
      <c r="BU10" s="264">
        <v>37</v>
      </c>
      <c r="BV10" s="344"/>
      <c r="BW10" s="422"/>
      <c r="BX10" s="264"/>
      <c r="BY10" s="391"/>
      <c r="BZ10" s="390"/>
      <c r="CA10" s="391"/>
      <c r="CB10" s="434"/>
      <c r="CC10" s="264"/>
      <c r="CD10" s="264"/>
      <c r="CE10" s="391"/>
      <c r="CF10" s="434" t="s">
        <v>185</v>
      </c>
      <c r="CG10" s="28">
        <v>624</v>
      </c>
      <c r="CH10" s="30"/>
      <c r="CI10" s="413"/>
      <c r="CJ10" s="412"/>
      <c r="CK10" s="413"/>
      <c r="CL10" s="414"/>
      <c r="CM10" s="415"/>
      <c r="CN10" s="410"/>
      <c r="CO10" s="498"/>
      <c r="CP10" s="363"/>
      <c r="CQ10" s="410"/>
      <c r="CR10" s="410"/>
      <c r="CS10" s="411"/>
      <c r="CT10" s="387">
        <f t="shared" ref="CT10:CT38" si="29">CO10+CK10+CI10+CG10+CE10+CC10+CA10+BY10+BW10+BU10</f>
        <v>661</v>
      </c>
      <c r="CU10" s="118">
        <f t="shared" si="4"/>
        <v>-36</v>
      </c>
      <c r="CV10" s="87">
        <f t="shared" ref="CV10:CV38" si="30">BS10</f>
        <v>45872</v>
      </c>
      <c r="CW10" s="539">
        <f t="shared" si="12"/>
        <v>546</v>
      </c>
      <c r="CX10" s="540">
        <f t="shared" si="13"/>
        <v>911</v>
      </c>
      <c r="CY10" s="540"/>
      <c r="CZ10" s="540"/>
      <c r="DA10" s="540">
        <f t="shared" si="14"/>
        <v>0</v>
      </c>
      <c r="DB10" s="79"/>
      <c r="DC10" s="79"/>
      <c r="DD10" s="400"/>
      <c r="DE10" s="79"/>
      <c r="DF10" s="79"/>
      <c r="DG10" s="79"/>
      <c r="DH10" s="79"/>
      <c r="DI10" s="79"/>
      <c r="DJ10" s="86"/>
      <c r="DL10" s="64">
        <f t="shared" ref="DL10:DL38" si="31">DL9+1</f>
        <v>45872</v>
      </c>
      <c r="DM10" s="54" t="s">
        <v>212</v>
      </c>
      <c r="DN10" s="28">
        <v>207</v>
      </c>
      <c r="DO10" s="30"/>
      <c r="DP10" s="28"/>
      <c r="DQ10" s="412"/>
      <c r="DR10" s="413"/>
      <c r="DS10" s="414"/>
      <c r="DT10" s="415"/>
      <c r="DU10" s="410"/>
      <c r="DV10" s="411"/>
      <c r="DW10" s="411"/>
      <c r="DX10" s="411"/>
      <c r="DY10" s="412"/>
      <c r="DZ10" s="28"/>
      <c r="EA10" s="389">
        <f t="shared" si="15"/>
        <v>207</v>
      </c>
      <c r="EB10" s="388">
        <f t="shared" si="16"/>
        <v>45872</v>
      </c>
      <c r="EC10" s="54" t="s">
        <v>188</v>
      </c>
      <c r="ED10" s="28">
        <v>44</v>
      </c>
      <c r="EE10" s="30" t="s">
        <v>193</v>
      </c>
      <c r="EF10" s="28">
        <v>147</v>
      </c>
      <c r="EG10" s="412"/>
      <c r="EH10" s="413"/>
      <c r="EI10" s="414"/>
      <c r="EJ10" s="416"/>
      <c r="EK10" s="410"/>
      <c r="EL10" s="411"/>
      <c r="EM10" s="410"/>
      <c r="EN10" s="410"/>
      <c r="EO10" s="410"/>
      <c r="EP10" s="411"/>
      <c r="EQ10" s="389">
        <f>EP10+EN10+EL10+EJ10+EH10+EF10+ED10</f>
        <v>191</v>
      </c>
      <c r="ER10" s="118">
        <f t="shared" si="7"/>
        <v>-16</v>
      </c>
      <c r="ES10" s="87">
        <f t="shared" si="8"/>
        <v>45872</v>
      </c>
      <c r="ET10" s="178">
        <f t="shared" ref="ET10:ET24" si="32">IF(ET9+ED9-FA9&lt;0,0,ET9+ED9-FA9)</f>
        <v>319</v>
      </c>
      <c r="EU10" s="179">
        <f t="shared" si="17"/>
        <v>0</v>
      </c>
      <c r="EV10" s="79">
        <f t="shared" si="18"/>
        <v>0</v>
      </c>
      <c r="EW10" s="79">
        <f t="shared" si="19"/>
        <v>1009</v>
      </c>
      <c r="EX10" s="79">
        <f t="shared" si="20"/>
        <v>0</v>
      </c>
      <c r="EY10" s="179">
        <f t="shared" ref="EY10:EY38" si="33">EY9+EN9-FF9</f>
        <v>0</v>
      </c>
      <c r="EZ10" s="179">
        <f t="shared" ref="EZ10:EZ38" si="34">EZ9+EP9-FG9</f>
        <v>3134</v>
      </c>
      <c r="FA10" s="310"/>
      <c r="FB10" s="311"/>
      <c r="FC10" s="311"/>
      <c r="FD10" s="311"/>
      <c r="FE10" s="311"/>
      <c r="FF10" s="79"/>
      <c r="FG10" s="86"/>
    </row>
    <row r="11" spans="2:163">
      <c r="B11" s="64">
        <f t="shared" si="21"/>
        <v>45873</v>
      </c>
      <c r="C11" s="54"/>
      <c r="D11" s="322"/>
      <c r="E11" s="410">
        <v>16</v>
      </c>
      <c r="F11" s="413">
        <v>524</v>
      </c>
      <c r="G11" s="412"/>
      <c r="H11" s="413"/>
      <c r="I11" s="414"/>
      <c r="J11" s="415"/>
      <c r="K11" s="410"/>
      <c r="L11" s="411"/>
      <c r="M11" s="411"/>
      <c r="N11" s="411"/>
      <c r="O11" s="412"/>
      <c r="P11" s="28"/>
      <c r="Q11" s="389">
        <f t="shared" si="0"/>
        <v>524</v>
      </c>
      <c r="R11" s="388">
        <f t="shared" si="22"/>
        <v>45873</v>
      </c>
      <c r="S11" s="410">
        <v>15</v>
      </c>
      <c r="T11" s="391">
        <v>5</v>
      </c>
      <c r="U11" s="410">
        <v>15</v>
      </c>
      <c r="V11" s="391">
        <v>11</v>
      </c>
      <c r="W11" s="410"/>
      <c r="X11" s="395"/>
      <c r="Y11" s="410">
        <v>14</v>
      </c>
      <c r="Z11" s="413">
        <v>510</v>
      </c>
      <c r="AA11" s="412"/>
      <c r="AB11" s="413"/>
      <c r="AC11" s="414"/>
      <c r="AD11" s="416"/>
      <c r="AE11" s="410"/>
      <c r="AF11" s="411"/>
      <c r="AG11" s="410"/>
      <c r="AH11" s="410"/>
      <c r="AI11" s="410"/>
      <c r="AJ11" s="411"/>
      <c r="AK11" s="387">
        <f t="shared" si="23"/>
        <v>526</v>
      </c>
      <c r="AL11" s="118">
        <f t="shared" si="1"/>
        <v>2</v>
      </c>
      <c r="AM11" s="87">
        <f t="shared" si="24"/>
        <v>45873</v>
      </c>
      <c r="AN11" s="400"/>
      <c r="AO11" s="178">
        <v>882</v>
      </c>
      <c r="AP11" s="179">
        <f t="shared" si="25"/>
        <v>0</v>
      </c>
      <c r="AQ11" s="179">
        <v>728</v>
      </c>
      <c r="AR11" s="179">
        <f t="shared" si="11"/>
        <v>0</v>
      </c>
      <c r="AS11" s="79">
        <f t="shared" si="26"/>
        <v>0</v>
      </c>
      <c r="AT11" s="79">
        <f t="shared" si="27"/>
        <v>3134</v>
      </c>
      <c r="AU11" s="400"/>
      <c r="AV11" s="79"/>
      <c r="AW11" s="79">
        <v>30</v>
      </c>
      <c r="AX11" s="79">
        <f>PVT!C11</f>
        <v>0</v>
      </c>
      <c r="AY11" s="79">
        <v>45</v>
      </c>
      <c r="AZ11" s="79"/>
      <c r="BA11" s="86"/>
      <c r="BC11" s="64">
        <f t="shared" si="28"/>
        <v>45873</v>
      </c>
      <c r="BD11" s="434" t="s">
        <v>199</v>
      </c>
      <c r="BE11" s="28">
        <v>441</v>
      </c>
      <c r="BF11" s="344">
        <v>980</v>
      </c>
      <c r="BG11" s="413"/>
      <c r="BH11" s="412"/>
      <c r="BI11" s="413"/>
      <c r="BJ11" s="414"/>
      <c r="BK11" s="415"/>
      <c r="BL11" s="410"/>
      <c r="BM11" s="411"/>
      <c r="BN11" s="411"/>
      <c r="BO11" s="411"/>
      <c r="BP11" s="412"/>
      <c r="BQ11" s="28"/>
      <c r="BR11" s="389">
        <f t="shared" ref="BR11:BR30" si="35">BQ11+BO11+BM11+BK11+BI11+BG11+BE11</f>
        <v>441</v>
      </c>
      <c r="BS11" s="388">
        <f t="shared" si="3"/>
        <v>45873</v>
      </c>
      <c r="BT11" s="434"/>
      <c r="BU11" s="264"/>
      <c r="BV11" s="30"/>
      <c r="BW11" s="264"/>
      <c r="BX11" s="264"/>
      <c r="BY11" s="391"/>
      <c r="BZ11" s="390"/>
      <c r="CA11" s="391"/>
      <c r="CB11" s="390"/>
      <c r="CC11" s="264"/>
      <c r="CD11" s="264"/>
      <c r="CE11" s="391"/>
      <c r="CF11" s="434" t="s">
        <v>185</v>
      </c>
      <c r="CG11" s="28">
        <v>418</v>
      </c>
      <c r="CH11" s="344">
        <v>1820</v>
      </c>
      <c r="CI11" s="413"/>
      <c r="CJ11" s="412"/>
      <c r="CK11" s="413"/>
      <c r="CL11" s="414"/>
      <c r="CM11" s="416"/>
      <c r="CN11" s="410"/>
      <c r="CO11" s="498"/>
      <c r="CP11" s="363"/>
      <c r="CQ11" s="410"/>
      <c r="CR11" s="410"/>
      <c r="CS11" s="411"/>
      <c r="CT11" s="387">
        <f t="shared" si="29"/>
        <v>418</v>
      </c>
      <c r="CU11" s="118">
        <f t="shared" si="4"/>
        <v>-23</v>
      </c>
      <c r="CV11" s="87">
        <f t="shared" si="30"/>
        <v>45873</v>
      </c>
      <c r="CW11" s="178">
        <v>942</v>
      </c>
      <c r="CX11" s="179">
        <v>738</v>
      </c>
      <c r="CY11" s="179"/>
      <c r="CZ11" s="179"/>
      <c r="DA11" s="179">
        <v>392</v>
      </c>
      <c r="DB11" s="79"/>
      <c r="DC11" s="79"/>
      <c r="DD11" s="400">
        <v>215</v>
      </c>
      <c r="DE11" s="79">
        <v>290</v>
      </c>
      <c r="DF11" s="79"/>
      <c r="DG11" s="79"/>
      <c r="DH11" s="79">
        <v>210</v>
      </c>
      <c r="DI11" s="79"/>
      <c r="DJ11" s="86"/>
      <c r="DL11" s="64">
        <f t="shared" si="31"/>
        <v>45873</v>
      </c>
      <c r="DM11" s="54" t="s">
        <v>212</v>
      </c>
      <c r="DN11" s="28">
        <v>200</v>
      </c>
      <c r="DO11" s="30"/>
      <c r="DP11" s="28"/>
      <c r="DQ11" s="412"/>
      <c r="DR11" s="413"/>
      <c r="DS11" s="414"/>
      <c r="DT11" s="415"/>
      <c r="DU11" s="410"/>
      <c r="DV11" s="411"/>
      <c r="DW11" s="411"/>
      <c r="DX11" s="411"/>
      <c r="DY11" s="412"/>
      <c r="DZ11" s="28"/>
      <c r="EA11" s="389">
        <f t="shared" si="15"/>
        <v>200</v>
      </c>
      <c r="EB11" s="388">
        <f t="shared" si="16"/>
        <v>45873</v>
      </c>
      <c r="EC11" s="54" t="s">
        <v>212</v>
      </c>
      <c r="ED11" s="28">
        <v>46</v>
      </c>
      <c r="EE11" s="30" t="s">
        <v>193</v>
      </c>
      <c r="EF11" s="28">
        <v>151</v>
      </c>
      <c r="EG11" s="412"/>
      <c r="EH11" s="413"/>
      <c r="EI11" s="414"/>
      <c r="EJ11" s="416"/>
      <c r="EK11" s="410"/>
      <c r="EL11" s="411"/>
      <c r="EM11" s="410"/>
      <c r="EN11" s="410"/>
      <c r="EO11" s="410"/>
      <c r="EP11" s="411"/>
      <c r="EQ11" s="389">
        <f t="shared" ref="EQ11:EQ33" si="36">EP11+EN11+EL11+EJ11+EH11+EF11+ED11</f>
        <v>197</v>
      </c>
      <c r="ER11" s="118">
        <f t="shared" si="7"/>
        <v>-3</v>
      </c>
      <c r="ES11" s="87">
        <f t="shared" si="8"/>
        <v>45873</v>
      </c>
      <c r="ET11" s="178">
        <v>471</v>
      </c>
      <c r="EU11" s="179">
        <v>1009</v>
      </c>
      <c r="EV11" s="79">
        <f t="shared" si="18"/>
        <v>0</v>
      </c>
      <c r="EW11" s="79">
        <f t="shared" si="19"/>
        <v>1009</v>
      </c>
      <c r="EX11" s="79">
        <f t="shared" si="20"/>
        <v>0</v>
      </c>
      <c r="EY11" s="179">
        <f t="shared" si="33"/>
        <v>0</v>
      </c>
      <c r="EZ11" s="179">
        <f t="shared" si="34"/>
        <v>3134</v>
      </c>
      <c r="FA11" s="310">
        <v>259</v>
      </c>
      <c r="FB11" s="311">
        <v>337</v>
      </c>
      <c r="FC11" s="311"/>
      <c r="FD11" s="311"/>
      <c r="FE11" s="311">
        <v>263</v>
      </c>
      <c r="FF11" s="79"/>
      <c r="FG11" s="86"/>
    </row>
    <row r="12" spans="2:163">
      <c r="B12" s="64">
        <f t="shared" si="21"/>
        <v>45874</v>
      </c>
      <c r="C12" s="54"/>
      <c r="D12" s="322"/>
      <c r="E12" s="410">
        <v>16</v>
      </c>
      <c r="F12" s="413">
        <v>495</v>
      </c>
      <c r="G12" s="412"/>
      <c r="H12" s="413"/>
      <c r="I12" s="414"/>
      <c r="J12" s="415"/>
      <c r="K12" s="410"/>
      <c r="L12" s="411"/>
      <c r="M12" s="411"/>
      <c r="N12" s="411"/>
      <c r="O12" s="412"/>
      <c r="P12" s="28"/>
      <c r="Q12" s="389">
        <f t="shared" si="0"/>
        <v>495</v>
      </c>
      <c r="R12" s="388">
        <f t="shared" si="22"/>
        <v>45874</v>
      </c>
      <c r="S12" s="390"/>
      <c r="T12" s="391"/>
      <c r="U12" s="390"/>
      <c r="V12" s="391"/>
      <c r="W12" s="54"/>
      <c r="X12" s="395"/>
      <c r="Y12" s="410">
        <v>14</v>
      </c>
      <c r="Z12" s="413">
        <v>133</v>
      </c>
      <c r="AA12" s="412" t="s">
        <v>196</v>
      </c>
      <c r="AB12" s="413">
        <v>193</v>
      </c>
      <c r="AC12" s="414"/>
      <c r="AD12" s="416"/>
      <c r="AE12" s="410">
        <v>15</v>
      </c>
      <c r="AF12" s="411">
        <v>158</v>
      </c>
      <c r="AG12" s="410"/>
      <c r="AH12" s="410"/>
      <c r="AI12" s="410"/>
      <c r="AJ12" s="411"/>
      <c r="AK12" s="387">
        <f t="shared" si="23"/>
        <v>484</v>
      </c>
      <c r="AL12" s="118">
        <f t="shared" si="1"/>
        <v>-11</v>
      </c>
      <c r="AM12" s="87">
        <f t="shared" si="24"/>
        <v>45874</v>
      </c>
      <c r="AN12" s="400"/>
      <c r="AO12" s="178">
        <v>1327</v>
      </c>
      <c r="AP12" s="179">
        <f t="shared" si="25"/>
        <v>0</v>
      </c>
      <c r="AQ12" s="179">
        <v>1239</v>
      </c>
      <c r="AR12" s="179">
        <f t="shared" si="11"/>
        <v>0</v>
      </c>
      <c r="AS12" s="79">
        <f t="shared" si="26"/>
        <v>0</v>
      </c>
      <c r="AT12" s="79">
        <f t="shared" si="27"/>
        <v>3134</v>
      </c>
      <c r="AU12" s="400"/>
      <c r="AV12" s="79"/>
      <c r="AW12" s="79">
        <v>30</v>
      </c>
      <c r="AX12" s="79">
        <f>PVT!C12</f>
        <v>0</v>
      </c>
      <c r="AY12" s="79">
        <v>45</v>
      </c>
      <c r="AZ12" s="79"/>
      <c r="BA12" s="86"/>
      <c r="BC12" s="64">
        <f t="shared" si="28"/>
        <v>45874</v>
      </c>
      <c r="BD12" s="434" t="s">
        <v>199</v>
      </c>
      <c r="BE12" s="28">
        <v>640</v>
      </c>
      <c r="BF12" s="344"/>
      <c r="BG12" s="413"/>
      <c r="BH12" s="412"/>
      <c r="BI12" s="413"/>
      <c r="BJ12" s="414"/>
      <c r="BK12" s="415"/>
      <c r="BL12" s="410"/>
      <c r="BM12" s="411"/>
      <c r="BN12" s="411"/>
      <c r="BO12" s="411"/>
      <c r="BP12" s="412"/>
      <c r="BQ12" s="28"/>
      <c r="BR12" s="389">
        <f t="shared" si="35"/>
        <v>640</v>
      </c>
      <c r="BS12" s="388">
        <f t="shared" si="3"/>
        <v>45874</v>
      </c>
      <c r="BT12" s="434"/>
      <c r="BU12" s="264"/>
      <c r="BV12" s="344" t="s">
        <v>198</v>
      </c>
      <c r="BW12" s="264">
        <v>58</v>
      </c>
      <c r="BX12" s="264"/>
      <c r="BY12" s="391"/>
      <c r="BZ12" s="390"/>
      <c r="CA12" s="391"/>
      <c r="CB12" s="390"/>
      <c r="CC12" s="264"/>
      <c r="CD12" s="264"/>
      <c r="CE12" s="391"/>
      <c r="CF12" s="434" t="s">
        <v>185</v>
      </c>
      <c r="CG12" s="28">
        <v>331</v>
      </c>
      <c r="CH12" s="344" t="s">
        <v>187</v>
      </c>
      <c r="CI12" s="413">
        <v>241</v>
      </c>
      <c r="CJ12" s="412"/>
      <c r="CK12" s="413"/>
      <c r="CL12" s="414"/>
      <c r="CM12" s="416"/>
      <c r="CN12" s="410"/>
      <c r="CO12" s="498"/>
      <c r="CP12" s="363"/>
      <c r="CQ12" s="410"/>
      <c r="CR12" s="410"/>
      <c r="CS12" s="411"/>
      <c r="CT12" s="387">
        <f t="shared" si="29"/>
        <v>630</v>
      </c>
      <c r="CU12" s="118">
        <f t="shared" si="4"/>
        <v>-10</v>
      </c>
      <c r="CV12" s="87">
        <f t="shared" si="30"/>
        <v>45874</v>
      </c>
      <c r="CW12" s="178">
        <v>905</v>
      </c>
      <c r="CX12" s="179">
        <v>381</v>
      </c>
      <c r="CY12" s="179"/>
      <c r="CZ12" s="179"/>
      <c r="DA12" s="179">
        <f t="shared" si="14"/>
        <v>182</v>
      </c>
      <c r="DB12" s="179"/>
      <c r="DC12" s="179"/>
      <c r="DD12" s="400">
        <v>201</v>
      </c>
      <c r="DE12" s="79">
        <v>264</v>
      </c>
      <c r="DF12" s="79"/>
      <c r="DG12" s="79"/>
      <c r="DH12" s="79">
        <v>222</v>
      </c>
      <c r="DI12" s="79"/>
      <c r="DJ12" s="86"/>
      <c r="DL12" s="64">
        <f t="shared" si="31"/>
        <v>45874</v>
      </c>
      <c r="DM12" s="54" t="s">
        <v>212</v>
      </c>
      <c r="DN12" s="28">
        <v>53</v>
      </c>
      <c r="DO12" s="30"/>
      <c r="DP12" s="28"/>
      <c r="DQ12" s="412"/>
      <c r="DR12" s="413"/>
      <c r="DS12" s="414"/>
      <c r="DT12" s="415"/>
      <c r="DU12" s="410"/>
      <c r="DV12" s="411"/>
      <c r="DW12" s="411"/>
      <c r="DX12" s="411"/>
      <c r="DY12" s="412"/>
      <c r="DZ12" s="28"/>
      <c r="EA12" s="389">
        <f t="shared" si="15"/>
        <v>53</v>
      </c>
      <c r="EB12" s="388">
        <f t="shared" si="16"/>
        <v>45874</v>
      </c>
      <c r="EC12" s="54" t="s">
        <v>212</v>
      </c>
      <c r="ED12" s="28">
        <v>93</v>
      </c>
      <c r="EE12" s="30"/>
      <c r="EF12" s="28"/>
      <c r="EG12" s="412"/>
      <c r="EH12" s="413"/>
      <c r="EI12" s="414"/>
      <c r="EJ12" s="416"/>
      <c r="EK12" s="410"/>
      <c r="EL12" s="411"/>
      <c r="EM12" s="410"/>
      <c r="EN12" s="410"/>
      <c r="EO12" s="410"/>
      <c r="EP12" s="411"/>
      <c r="EQ12" s="389">
        <f t="shared" si="36"/>
        <v>93</v>
      </c>
      <c r="ER12" s="118">
        <f t="shared" si="7"/>
        <v>40</v>
      </c>
      <c r="ES12" s="87">
        <f t="shared" si="8"/>
        <v>45874</v>
      </c>
      <c r="ET12" s="178">
        <v>260</v>
      </c>
      <c r="EU12" s="179">
        <v>903</v>
      </c>
      <c r="EV12" s="79">
        <f t="shared" si="18"/>
        <v>0</v>
      </c>
      <c r="EW12" s="79">
        <f t="shared" si="19"/>
        <v>1009</v>
      </c>
      <c r="EX12" s="79">
        <f t="shared" si="20"/>
        <v>0</v>
      </c>
      <c r="EY12" s="179">
        <f t="shared" si="33"/>
        <v>0</v>
      </c>
      <c r="EZ12" s="179">
        <f t="shared" si="34"/>
        <v>3134</v>
      </c>
      <c r="FA12" s="310">
        <v>190</v>
      </c>
      <c r="FB12" s="311">
        <v>126</v>
      </c>
      <c r="FC12" s="311"/>
      <c r="FD12" s="311"/>
      <c r="FE12" s="311">
        <v>43</v>
      </c>
      <c r="FF12" s="79"/>
      <c r="FG12" s="86"/>
    </row>
    <row r="13" spans="2:163">
      <c r="B13" s="64">
        <f t="shared" si="21"/>
        <v>45875</v>
      </c>
      <c r="C13" s="54"/>
      <c r="D13" s="322"/>
      <c r="E13" s="410">
        <v>16</v>
      </c>
      <c r="F13" s="413">
        <v>542</v>
      </c>
      <c r="G13" s="412"/>
      <c r="H13" s="413"/>
      <c r="I13" s="414"/>
      <c r="J13" s="415"/>
      <c r="K13" s="410"/>
      <c r="L13" s="411"/>
      <c r="M13" s="411"/>
      <c r="N13" s="411"/>
      <c r="O13" s="30"/>
      <c r="P13" s="28"/>
      <c r="Q13" s="389">
        <f t="shared" si="0"/>
        <v>542</v>
      </c>
      <c r="R13" s="388">
        <f t="shared" si="22"/>
        <v>45875</v>
      </c>
      <c r="S13" s="390"/>
      <c r="T13" s="391"/>
      <c r="U13" s="390"/>
      <c r="V13" s="391"/>
      <c r="W13" s="54"/>
      <c r="X13" s="395"/>
      <c r="Y13" s="410"/>
      <c r="Z13" s="413"/>
      <c r="AA13" s="412"/>
      <c r="AB13" s="413"/>
      <c r="AC13" s="414"/>
      <c r="AD13" s="416"/>
      <c r="AE13" s="410">
        <v>15</v>
      </c>
      <c r="AF13" s="411">
        <v>544</v>
      </c>
      <c r="AG13" s="410"/>
      <c r="AH13" s="410"/>
      <c r="AI13" s="410"/>
      <c r="AJ13" s="411"/>
      <c r="AK13" s="387">
        <f t="shared" si="23"/>
        <v>544</v>
      </c>
      <c r="AL13" s="118">
        <f t="shared" si="1"/>
        <v>2</v>
      </c>
      <c r="AM13" s="87">
        <f t="shared" si="24"/>
        <v>45875</v>
      </c>
      <c r="AN13" s="400"/>
      <c r="AO13" s="178">
        <f t="shared" si="9"/>
        <v>1430</v>
      </c>
      <c r="AP13" s="179">
        <f t="shared" si="25"/>
        <v>193</v>
      </c>
      <c r="AQ13" s="179">
        <f t="shared" si="10"/>
        <v>1372</v>
      </c>
      <c r="AR13" s="179">
        <f t="shared" si="11"/>
        <v>113</v>
      </c>
      <c r="AS13" s="79">
        <f t="shared" si="26"/>
        <v>0</v>
      </c>
      <c r="AT13" s="79">
        <f t="shared" si="27"/>
        <v>3134</v>
      </c>
      <c r="AU13" s="400">
        <v>200</v>
      </c>
      <c r="AV13" s="79"/>
      <c r="AW13" s="79">
        <v>30</v>
      </c>
      <c r="AX13" s="79">
        <f>PVT!C13</f>
        <v>0</v>
      </c>
      <c r="AY13" s="79">
        <v>45</v>
      </c>
      <c r="AZ13" s="79"/>
      <c r="BA13" s="86"/>
      <c r="BC13" s="64">
        <f t="shared" si="28"/>
        <v>45875</v>
      </c>
      <c r="BD13" s="434"/>
      <c r="BE13" s="28"/>
      <c r="BF13" s="344" t="s">
        <v>211</v>
      </c>
      <c r="BG13" s="413">
        <v>653</v>
      </c>
      <c r="BH13" s="412"/>
      <c r="BI13" s="413"/>
      <c r="BJ13" s="414"/>
      <c r="BK13" s="415"/>
      <c r="BL13" s="410"/>
      <c r="BM13" s="411"/>
      <c r="BN13" s="411"/>
      <c r="BO13" s="411"/>
      <c r="BP13" s="30"/>
      <c r="BQ13" s="28"/>
      <c r="BR13" s="389">
        <f t="shared" si="35"/>
        <v>653</v>
      </c>
      <c r="BS13" s="388">
        <f t="shared" si="3"/>
        <v>45875</v>
      </c>
      <c r="BT13" s="390"/>
      <c r="BU13" s="264"/>
      <c r="BV13" s="344"/>
      <c r="BW13" s="264"/>
      <c r="BX13" s="264"/>
      <c r="BY13" s="391"/>
      <c r="BZ13" s="390"/>
      <c r="CA13" s="391"/>
      <c r="CB13" s="434" t="s">
        <v>195</v>
      </c>
      <c r="CC13" s="264">
        <v>34</v>
      </c>
      <c r="CD13" s="264"/>
      <c r="CE13" s="391"/>
      <c r="CF13" s="434"/>
      <c r="CG13" s="28"/>
      <c r="CH13" s="344" t="s">
        <v>187</v>
      </c>
      <c r="CI13" s="413">
        <v>678</v>
      </c>
      <c r="CJ13" s="412"/>
      <c r="CK13" s="413"/>
      <c r="CL13" s="414"/>
      <c r="CM13" s="416"/>
      <c r="CN13" s="410"/>
      <c r="CO13" s="498"/>
      <c r="CP13" s="363"/>
      <c r="CQ13" s="410"/>
      <c r="CR13" s="410"/>
      <c r="CS13" s="411"/>
      <c r="CT13" s="387">
        <f t="shared" si="29"/>
        <v>712</v>
      </c>
      <c r="CU13" s="118">
        <f t="shared" si="4"/>
        <v>59</v>
      </c>
      <c r="CV13" s="87">
        <f t="shared" si="30"/>
        <v>45875</v>
      </c>
      <c r="CW13" s="178">
        <f t="shared" si="12"/>
        <v>982</v>
      </c>
      <c r="CX13" s="179">
        <f t="shared" si="13"/>
        <v>358</v>
      </c>
      <c r="CY13" s="179"/>
      <c r="CZ13" s="179"/>
      <c r="DA13" s="179">
        <f t="shared" si="14"/>
        <v>0</v>
      </c>
      <c r="DB13" s="179"/>
      <c r="DC13" s="179"/>
      <c r="DD13" s="178"/>
      <c r="DE13" s="179">
        <v>242</v>
      </c>
      <c r="DF13" s="179"/>
      <c r="DG13" s="179"/>
      <c r="DH13" s="179"/>
      <c r="DI13" s="79"/>
      <c r="DJ13" s="86"/>
      <c r="DL13" s="64">
        <f t="shared" si="31"/>
        <v>45875</v>
      </c>
      <c r="DM13" s="54"/>
      <c r="DN13" s="28"/>
      <c r="DO13" s="344" t="s">
        <v>187</v>
      </c>
      <c r="DP13" s="28">
        <v>62</v>
      </c>
      <c r="DQ13" s="412"/>
      <c r="DR13" s="413"/>
      <c r="DS13" s="414"/>
      <c r="DT13" s="415"/>
      <c r="DU13" s="410"/>
      <c r="DV13" s="411"/>
      <c r="DW13" s="411"/>
      <c r="DX13" s="411"/>
      <c r="DY13" s="30"/>
      <c r="DZ13" s="28"/>
      <c r="EA13" s="389">
        <f t="shared" si="15"/>
        <v>62</v>
      </c>
      <c r="EB13" s="388">
        <f t="shared" si="16"/>
        <v>45875</v>
      </c>
      <c r="EC13" s="54" t="s">
        <v>212</v>
      </c>
      <c r="ED13" s="28">
        <v>32</v>
      </c>
      <c r="EE13" s="30"/>
      <c r="EF13" s="28"/>
      <c r="EG13" s="412"/>
      <c r="EH13" s="413"/>
      <c r="EI13" s="414"/>
      <c r="EJ13" s="416"/>
      <c r="EK13" s="410"/>
      <c r="EL13" s="411"/>
      <c r="EM13" s="410"/>
      <c r="EN13" s="410"/>
      <c r="EO13" s="410"/>
      <c r="EP13" s="411"/>
      <c r="EQ13" s="389">
        <f t="shared" si="36"/>
        <v>32</v>
      </c>
      <c r="ER13" s="118">
        <f t="shared" si="7"/>
        <v>-30</v>
      </c>
      <c r="ES13" s="87">
        <f t="shared" si="8"/>
        <v>45875</v>
      </c>
      <c r="ET13" s="178">
        <f t="shared" si="32"/>
        <v>163</v>
      </c>
      <c r="EU13" s="179">
        <f t="shared" si="17"/>
        <v>777</v>
      </c>
      <c r="EV13" s="79">
        <f t="shared" si="18"/>
        <v>0</v>
      </c>
      <c r="EW13" s="79">
        <f t="shared" si="19"/>
        <v>1009</v>
      </c>
      <c r="EX13" s="79">
        <f t="shared" si="20"/>
        <v>0</v>
      </c>
      <c r="EY13" s="179">
        <f t="shared" si="33"/>
        <v>0</v>
      </c>
      <c r="EZ13" s="179">
        <f t="shared" si="34"/>
        <v>3134</v>
      </c>
      <c r="FA13" s="178"/>
      <c r="FB13" s="179"/>
      <c r="FC13" s="179"/>
      <c r="FD13" s="179"/>
      <c r="FE13" s="179"/>
      <c r="FF13" s="79"/>
      <c r="FG13" s="86"/>
    </row>
    <row r="14" spans="2:163">
      <c r="B14" s="64">
        <f t="shared" si="21"/>
        <v>45876</v>
      </c>
      <c r="C14" s="54"/>
      <c r="D14" s="322"/>
      <c r="E14" s="410">
        <v>16</v>
      </c>
      <c r="F14" s="413">
        <v>570</v>
      </c>
      <c r="G14" s="412"/>
      <c r="H14" s="413"/>
      <c r="I14" s="414"/>
      <c r="J14" s="415"/>
      <c r="K14" s="410"/>
      <c r="L14" s="411"/>
      <c r="M14" s="411"/>
      <c r="N14" s="411"/>
      <c r="O14" s="30"/>
      <c r="P14" s="28"/>
      <c r="Q14" s="389">
        <f t="shared" si="0"/>
        <v>570</v>
      </c>
      <c r="R14" s="388">
        <f t="shared" si="22"/>
        <v>45876</v>
      </c>
      <c r="S14" s="390"/>
      <c r="T14" s="391"/>
      <c r="U14" s="390"/>
      <c r="V14" s="391"/>
      <c r="W14" s="54"/>
      <c r="X14" s="395"/>
      <c r="Y14" s="410">
        <v>16</v>
      </c>
      <c r="Z14" s="413">
        <v>411</v>
      </c>
      <c r="AA14" s="412" t="s">
        <v>197</v>
      </c>
      <c r="AB14" s="413">
        <v>45</v>
      </c>
      <c r="AC14" s="414"/>
      <c r="AD14" s="416"/>
      <c r="AE14" s="410">
        <v>15</v>
      </c>
      <c r="AF14" s="411">
        <v>114</v>
      </c>
      <c r="AG14" s="410"/>
      <c r="AH14" s="410"/>
      <c r="AI14" s="410"/>
      <c r="AJ14" s="411"/>
      <c r="AK14" s="387">
        <f t="shared" si="23"/>
        <v>570</v>
      </c>
      <c r="AL14" s="118">
        <f t="shared" si="1"/>
        <v>0</v>
      </c>
      <c r="AM14" s="87">
        <f t="shared" si="24"/>
        <v>45876</v>
      </c>
      <c r="AN14" s="400"/>
      <c r="AO14" s="178">
        <f t="shared" si="9"/>
        <v>747</v>
      </c>
      <c r="AP14" s="179">
        <f t="shared" si="25"/>
        <v>193</v>
      </c>
      <c r="AQ14" s="179">
        <f t="shared" si="10"/>
        <v>519</v>
      </c>
      <c r="AR14" s="179">
        <f t="shared" si="11"/>
        <v>612</v>
      </c>
      <c r="AS14" s="79">
        <f t="shared" si="26"/>
        <v>0</v>
      </c>
      <c r="AT14" s="79">
        <f t="shared" si="27"/>
        <v>3134</v>
      </c>
      <c r="AU14" s="400"/>
      <c r="AV14" s="79"/>
      <c r="AW14" s="79">
        <v>30</v>
      </c>
      <c r="AX14" s="79">
        <f>PVT!C14</f>
        <v>0</v>
      </c>
      <c r="AY14" s="79">
        <v>45</v>
      </c>
      <c r="AZ14" s="79"/>
      <c r="BA14" s="86"/>
      <c r="BC14" s="64">
        <f t="shared" si="28"/>
        <v>45876</v>
      </c>
      <c r="BD14" s="54">
        <v>1550</v>
      </c>
      <c r="BE14" s="28"/>
      <c r="BF14" s="344" t="s">
        <v>211</v>
      </c>
      <c r="BG14" s="413">
        <v>327</v>
      </c>
      <c r="BH14" s="412" t="s">
        <v>208</v>
      </c>
      <c r="BI14" s="413">
        <v>190</v>
      </c>
      <c r="BJ14" s="414"/>
      <c r="BK14" s="415"/>
      <c r="BL14" s="410" t="s">
        <v>210</v>
      </c>
      <c r="BM14" s="411">
        <v>88</v>
      </c>
      <c r="BN14" s="411"/>
      <c r="BO14" s="411"/>
      <c r="BP14" s="30"/>
      <c r="BQ14" s="28"/>
      <c r="BR14" s="389">
        <f t="shared" si="35"/>
        <v>605</v>
      </c>
      <c r="BS14" s="388">
        <f t="shared" si="3"/>
        <v>45876</v>
      </c>
      <c r="BT14" s="434" t="s">
        <v>199</v>
      </c>
      <c r="BU14" s="264">
        <v>26</v>
      </c>
      <c r="BV14" s="344"/>
      <c r="BW14" s="264"/>
      <c r="BX14" s="264"/>
      <c r="BY14" s="391"/>
      <c r="BZ14" s="390"/>
      <c r="CA14" s="391"/>
      <c r="CB14" s="434"/>
      <c r="CC14" s="264"/>
      <c r="CD14" s="264"/>
      <c r="CE14" s="391"/>
      <c r="CF14" s="434"/>
      <c r="CG14" s="28"/>
      <c r="CH14" s="344" t="s">
        <v>187</v>
      </c>
      <c r="CI14" s="413">
        <v>568</v>
      </c>
      <c r="CJ14" s="412"/>
      <c r="CK14" s="413"/>
      <c r="CL14" s="414"/>
      <c r="CM14" s="416"/>
      <c r="CN14" s="410"/>
      <c r="CO14" s="498"/>
      <c r="CP14" s="363"/>
      <c r="CQ14" s="410"/>
      <c r="CR14" s="410"/>
      <c r="CS14" s="411"/>
      <c r="CT14" s="387">
        <f t="shared" si="29"/>
        <v>594</v>
      </c>
      <c r="CU14" s="118">
        <f t="shared" si="4"/>
        <v>-11</v>
      </c>
      <c r="CV14" s="87">
        <f t="shared" si="30"/>
        <v>45876</v>
      </c>
      <c r="CW14" s="178">
        <f t="shared" si="12"/>
        <v>982</v>
      </c>
      <c r="CX14" s="179">
        <v>717</v>
      </c>
      <c r="CY14" s="179"/>
      <c r="CZ14" s="179"/>
      <c r="DA14" s="179">
        <f t="shared" si="14"/>
        <v>0</v>
      </c>
      <c r="DB14" s="179"/>
      <c r="DC14" s="179"/>
      <c r="DD14" s="400"/>
      <c r="DE14" s="79"/>
      <c r="DF14" s="79"/>
      <c r="DG14" s="79"/>
      <c r="DH14" s="79"/>
      <c r="DI14" s="79"/>
      <c r="DJ14" s="86"/>
      <c r="DL14" s="64">
        <f t="shared" si="31"/>
        <v>45876</v>
      </c>
      <c r="DM14" s="54"/>
      <c r="DN14" s="28"/>
      <c r="DO14" s="344" t="s">
        <v>187</v>
      </c>
      <c r="DP14" s="28">
        <v>214</v>
      </c>
      <c r="DQ14" s="412"/>
      <c r="DR14" s="413"/>
      <c r="DS14" s="414"/>
      <c r="DT14" s="415"/>
      <c r="DU14" s="410"/>
      <c r="DV14" s="411"/>
      <c r="DW14" s="411"/>
      <c r="DX14" s="411"/>
      <c r="DY14" s="30"/>
      <c r="DZ14" s="28"/>
      <c r="EA14" s="389">
        <f t="shared" si="15"/>
        <v>214</v>
      </c>
      <c r="EB14" s="388">
        <f t="shared" si="16"/>
        <v>45876</v>
      </c>
      <c r="EC14" s="54" t="s">
        <v>212</v>
      </c>
      <c r="ED14" s="28">
        <v>204</v>
      </c>
      <c r="EE14" s="344"/>
      <c r="EF14" s="28"/>
      <c r="EG14" s="412"/>
      <c r="EH14" s="413"/>
      <c r="EI14" s="414"/>
      <c r="EJ14" s="416"/>
      <c r="EK14" s="410"/>
      <c r="EL14" s="411"/>
      <c r="EM14" s="410"/>
      <c r="EN14" s="410"/>
      <c r="EO14" s="410"/>
      <c r="EP14" s="411"/>
      <c r="EQ14" s="389">
        <f t="shared" si="36"/>
        <v>204</v>
      </c>
      <c r="ER14" s="118">
        <f t="shared" si="7"/>
        <v>-10</v>
      </c>
      <c r="ES14" s="87">
        <f t="shared" si="8"/>
        <v>45876</v>
      </c>
      <c r="ET14" s="178">
        <v>188</v>
      </c>
      <c r="EU14" s="179">
        <f t="shared" si="17"/>
        <v>777</v>
      </c>
      <c r="EV14" s="79">
        <f t="shared" si="18"/>
        <v>0</v>
      </c>
      <c r="EW14" s="79">
        <f t="shared" si="19"/>
        <v>1009</v>
      </c>
      <c r="EX14" s="79">
        <f t="shared" si="20"/>
        <v>0</v>
      </c>
      <c r="EY14" s="79">
        <f t="shared" si="33"/>
        <v>0</v>
      </c>
      <c r="EZ14" s="79">
        <f t="shared" si="34"/>
        <v>3134</v>
      </c>
      <c r="FA14" s="310"/>
      <c r="FB14" s="311">
        <v>215</v>
      </c>
      <c r="FC14" s="311"/>
      <c r="FD14" s="311"/>
      <c r="FE14" s="311"/>
      <c r="FF14" s="79"/>
      <c r="FG14" s="86"/>
    </row>
    <row r="15" spans="2:163">
      <c r="B15" s="64">
        <f t="shared" si="21"/>
        <v>45877</v>
      </c>
      <c r="C15" s="54"/>
      <c r="D15" s="322"/>
      <c r="E15" s="410">
        <v>16</v>
      </c>
      <c r="F15" s="413">
        <v>587</v>
      </c>
      <c r="G15" s="412"/>
      <c r="H15" s="413"/>
      <c r="I15" s="414"/>
      <c r="J15" s="415"/>
      <c r="K15" s="410"/>
      <c r="L15" s="411"/>
      <c r="M15" s="411"/>
      <c r="N15" s="411"/>
      <c r="O15" s="30"/>
      <c r="P15" s="28"/>
      <c r="Q15" s="389">
        <f t="shared" si="0"/>
        <v>587</v>
      </c>
      <c r="R15" s="388">
        <f t="shared" si="22"/>
        <v>45877</v>
      </c>
      <c r="S15" s="390"/>
      <c r="T15" s="391"/>
      <c r="U15" s="390"/>
      <c r="V15" s="391"/>
      <c r="W15" s="54"/>
      <c r="X15" s="395"/>
      <c r="Y15" s="410">
        <v>16</v>
      </c>
      <c r="Z15" s="413">
        <v>572</v>
      </c>
      <c r="AA15" s="412"/>
      <c r="AB15" s="413"/>
      <c r="AC15" s="414"/>
      <c r="AD15" s="416"/>
      <c r="AE15" s="410"/>
      <c r="AF15" s="411"/>
      <c r="AG15" s="410"/>
      <c r="AH15" s="410"/>
      <c r="AI15" s="410"/>
      <c r="AJ15" s="411"/>
      <c r="AK15" s="387">
        <f t="shared" si="23"/>
        <v>572</v>
      </c>
      <c r="AL15" s="118">
        <f t="shared" si="1"/>
        <v>-15</v>
      </c>
      <c r="AM15" s="87">
        <f t="shared" si="24"/>
        <v>45877</v>
      </c>
      <c r="AN15" s="400"/>
      <c r="AO15" s="178">
        <v>825</v>
      </c>
      <c r="AP15" s="179">
        <f t="shared" si="25"/>
        <v>48</v>
      </c>
      <c r="AQ15" s="179">
        <v>682</v>
      </c>
      <c r="AR15" s="179">
        <f t="shared" si="11"/>
        <v>593</v>
      </c>
      <c r="AS15" s="79">
        <f t="shared" si="26"/>
        <v>0</v>
      </c>
      <c r="AT15" s="79">
        <f t="shared" si="27"/>
        <v>3134</v>
      </c>
      <c r="AU15" s="400"/>
      <c r="AV15" s="79"/>
      <c r="AW15" s="79"/>
      <c r="AX15" s="79"/>
      <c r="AY15" s="79"/>
      <c r="AZ15" s="79"/>
      <c r="BA15" s="86"/>
      <c r="BC15" s="64">
        <f t="shared" si="28"/>
        <v>45877</v>
      </c>
      <c r="BD15" s="54"/>
      <c r="BE15" s="28"/>
      <c r="BF15" s="412"/>
      <c r="BG15" s="413"/>
      <c r="BH15" s="412"/>
      <c r="BI15" s="413"/>
      <c r="BJ15" s="414"/>
      <c r="BK15" s="415"/>
      <c r="BL15" s="410" t="s">
        <v>210</v>
      </c>
      <c r="BM15" s="411">
        <v>642</v>
      </c>
      <c r="BN15" s="411"/>
      <c r="BO15" s="411"/>
      <c r="BP15" s="30"/>
      <c r="BQ15" s="28"/>
      <c r="BR15" s="389">
        <f t="shared" si="35"/>
        <v>642</v>
      </c>
      <c r="BS15" s="388">
        <f t="shared" si="3"/>
        <v>45877</v>
      </c>
      <c r="BT15" s="434" t="s">
        <v>199</v>
      </c>
      <c r="BU15" s="264">
        <v>30</v>
      </c>
      <c r="BV15" s="264"/>
      <c r="BW15" s="264"/>
      <c r="BX15" s="264"/>
      <c r="BY15" s="391"/>
      <c r="BZ15" s="390"/>
      <c r="CA15" s="391"/>
      <c r="CB15" s="54"/>
      <c r="CC15" s="264"/>
      <c r="CD15" s="264"/>
      <c r="CE15" s="391"/>
      <c r="CF15" s="434" t="s">
        <v>195</v>
      </c>
      <c r="CG15" s="28">
        <v>284</v>
      </c>
      <c r="CH15" s="344" t="s">
        <v>187</v>
      </c>
      <c r="CI15" s="413">
        <v>326</v>
      </c>
      <c r="CJ15" s="412"/>
      <c r="CK15" s="413"/>
      <c r="CL15" s="414"/>
      <c r="CM15" s="416"/>
      <c r="CN15" s="410"/>
      <c r="CO15" s="498"/>
      <c r="CP15" s="363"/>
      <c r="CQ15" s="410"/>
      <c r="CR15" s="410"/>
      <c r="CS15" s="411"/>
      <c r="CT15" s="387">
        <f t="shared" si="29"/>
        <v>640</v>
      </c>
      <c r="CU15" s="118">
        <f t="shared" si="4"/>
        <v>-2</v>
      </c>
      <c r="CV15" s="87">
        <f t="shared" si="30"/>
        <v>45877</v>
      </c>
      <c r="CW15" s="178">
        <f t="shared" ref="CW15:CW30" si="37">IF(CW14+CG14-DN14-DD14&lt;=0,0,CW14+CG14-DN14-DD14)</f>
        <v>982</v>
      </c>
      <c r="CX15" s="179">
        <f t="shared" si="13"/>
        <v>1071</v>
      </c>
      <c r="CY15" s="179"/>
      <c r="CZ15" s="179"/>
      <c r="DA15" s="179">
        <f t="shared" si="14"/>
        <v>0</v>
      </c>
      <c r="DB15" s="179"/>
      <c r="DC15" s="179"/>
      <c r="DD15" s="400">
        <v>180</v>
      </c>
      <c r="DE15" s="79">
        <v>407</v>
      </c>
      <c r="DF15" s="79"/>
      <c r="DG15" s="79"/>
      <c r="DH15" s="79">
        <v>222</v>
      </c>
      <c r="DI15" s="79"/>
      <c r="DJ15" s="86"/>
      <c r="DL15" s="64">
        <f t="shared" si="31"/>
        <v>45877</v>
      </c>
      <c r="DM15" s="54" t="s">
        <v>213</v>
      </c>
      <c r="DN15" s="28">
        <v>83</v>
      </c>
      <c r="DO15" s="344" t="s">
        <v>187</v>
      </c>
      <c r="DP15" s="28">
        <v>327</v>
      </c>
      <c r="DQ15" s="412"/>
      <c r="DR15" s="413"/>
      <c r="DS15" s="414"/>
      <c r="DT15" s="415"/>
      <c r="DU15" s="410"/>
      <c r="DV15" s="411"/>
      <c r="DW15" s="411"/>
      <c r="DX15" s="411"/>
      <c r="DY15" s="30"/>
      <c r="DZ15" s="28"/>
      <c r="EA15" s="389">
        <f t="shared" si="15"/>
        <v>410</v>
      </c>
      <c r="EB15" s="388">
        <f t="shared" si="16"/>
        <v>45877</v>
      </c>
      <c r="EC15" s="54" t="s">
        <v>212</v>
      </c>
      <c r="ED15" s="28">
        <v>293</v>
      </c>
      <c r="EE15" s="344" t="s">
        <v>187</v>
      </c>
      <c r="EF15" s="28">
        <v>112</v>
      </c>
      <c r="EG15" s="412"/>
      <c r="EH15" s="413"/>
      <c r="EI15" s="414"/>
      <c r="EJ15" s="416"/>
      <c r="EK15" s="410"/>
      <c r="EL15" s="411"/>
      <c r="EM15" s="410"/>
      <c r="EN15" s="410"/>
      <c r="EO15" s="410"/>
      <c r="EP15" s="411"/>
      <c r="EQ15" s="389">
        <f>EP15+EN15+EL15+EJ15+EH15+EF15+ED15</f>
        <v>405</v>
      </c>
      <c r="ER15" s="118">
        <f t="shared" si="7"/>
        <v>-5</v>
      </c>
      <c r="ES15" s="87">
        <f t="shared" si="8"/>
        <v>45877</v>
      </c>
      <c r="ET15" s="178">
        <f t="shared" si="32"/>
        <v>392</v>
      </c>
      <c r="EU15" s="179">
        <v>835</v>
      </c>
      <c r="EV15" s="79">
        <f t="shared" si="18"/>
        <v>0</v>
      </c>
      <c r="EW15" s="79">
        <f t="shared" si="19"/>
        <v>1009</v>
      </c>
      <c r="EX15" s="79">
        <f t="shared" si="20"/>
        <v>0</v>
      </c>
      <c r="EY15" s="179">
        <f t="shared" si="33"/>
        <v>0</v>
      </c>
      <c r="EZ15" s="179">
        <f t="shared" si="34"/>
        <v>3134</v>
      </c>
      <c r="FA15" s="310">
        <v>287</v>
      </c>
      <c r="FB15" s="311">
        <v>215</v>
      </c>
      <c r="FC15" s="311"/>
      <c r="FD15" s="311"/>
      <c r="FE15" s="311">
        <v>181</v>
      </c>
      <c r="FF15" s="79"/>
      <c r="FG15" s="86"/>
    </row>
    <row r="16" spans="2:163">
      <c r="B16" s="64">
        <f t="shared" si="21"/>
        <v>45878</v>
      </c>
      <c r="C16" s="54"/>
      <c r="D16" s="322"/>
      <c r="E16" s="410">
        <v>16</v>
      </c>
      <c r="F16" s="413">
        <v>396</v>
      </c>
      <c r="G16" s="29"/>
      <c r="H16" s="413"/>
      <c r="I16" s="414"/>
      <c r="J16" s="415"/>
      <c r="K16" s="410"/>
      <c r="L16" s="411"/>
      <c r="M16" s="411"/>
      <c r="N16" s="411"/>
      <c r="O16" s="412"/>
      <c r="P16" s="28"/>
      <c r="Q16" s="389">
        <f t="shared" si="0"/>
        <v>396</v>
      </c>
      <c r="R16" s="388">
        <f t="shared" si="22"/>
        <v>45878</v>
      </c>
      <c r="S16" s="390"/>
      <c r="T16" s="391"/>
      <c r="U16" s="390"/>
      <c r="V16" s="391"/>
      <c r="W16" s="54"/>
      <c r="X16" s="395"/>
      <c r="Y16" s="410">
        <v>16</v>
      </c>
      <c r="Z16" s="413">
        <v>475</v>
      </c>
      <c r="AA16" s="412"/>
      <c r="AB16" s="413"/>
      <c r="AC16" s="414"/>
      <c r="AD16" s="416"/>
      <c r="AE16" s="410"/>
      <c r="AF16" s="411"/>
      <c r="AG16" s="410"/>
      <c r="AH16" s="410"/>
      <c r="AI16" s="410"/>
      <c r="AJ16" s="411"/>
      <c r="AK16" s="387">
        <f t="shared" si="23"/>
        <v>475</v>
      </c>
      <c r="AL16" s="118">
        <f t="shared" si="1"/>
        <v>79</v>
      </c>
      <c r="AM16" s="87">
        <f t="shared" si="24"/>
        <v>45878</v>
      </c>
      <c r="AN16" s="400"/>
      <c r="AO16" s="178">
        <f t="shared" si="9"/>
        <v>1397</v>
      </c>
      <c r="AP16" s="179">
        <f t="shared" si="25"/>
        <v>48</v>
      </c>
      <c r="AQ16" s="179">
        <f t="shared" si="10"/>
        <v>1254</v>
      </c>
      <c r="AR16" s="179">
        <f t="shared" si="11"/>
        <v>0</v>
      </c>
      <c r="AS16" s="79">
        <f t="shared" si="26"/>
        <v>0</v>
      </c>
      <c r="AT16" s="79">
        <f t="shared" si="27"/>
        <v>3134</v>
      </c>
      <c r="AU16" s="400"/>
      <c r="AV16" s="79"/>
      <c r="AW16" s="79"/>
      <c r="AX16" s="79">
        <f>PVT!C16</f>
        <v>0</v>
      </c>
      <c r="AY16" s="79"/>
      <c r="AZ16" s="79"/>
      <c r="BA16" s="86"/>
      <c r="BC16" s="64">
        <f t="shared" si="28"/>
        <v>45878</v>
      </c>
      <c r="BD16" s="54"/>
      <c r="BE16" s="28"/>
      <c r="BF16" s="412" t="s">
        <v>204</v>
      </c>
      <c r="BG16" s="413">
        <v>404</v>
      </c>
      <c r="BH16" s="412" t="s">
        <v>209</v>
      </c>
      <c r="BI16" s="413">
        <v>50</v>
      </c>
      <c r="BJ16" s="414"/>
      <c r="BK16" s="415"/>
      <c r="BL16" s="410" t="s">
        <v>210</v>
      </c>
      <c r="BM16" s="411">
        <v>70</v>
      </c>
      <c r="BN16" s="411"/>
      <c r="BO16" s="411"/>
      <c r="BP16" s="30"/>
      <c r="BQ16" s="28"/>
      <c r="BR16" s="389">
        <f t="shared" si="35"/>
        <v>524</v>
      </c>
      <c r="BS16" s="388">
        <f t="shared" si="3"/>
        <v>45878</v>
      </c>
      <c r="BT16" s="390"/>
      <c r="BU16" s="264"/>
      <c r="BV16" s="344" t="s">
        <v>211</v>
      </c>
      <c r="BW16" s="264">
        <v>36</v>
      </c>
      <c r="BX16" s="264"/>
      <c r="BY16" s="391"/>
      <c r="BZ16" s="390"/>
      <c r="CA16" s="391"/>
      <c r="CB16" s="434"/>
      <c r="CC16" s="264"/>
      <c r="CD16" s="264"/>
      <c r="CE16" s="391"/>
      <c r="CF16" s="434" t="s">
        <v>195</v>
      </c>
      <c r="CG16" s="28">
        <v>436</v>
      </c>
      <c r="CH16" s="344"/>
      <c r="CI16" s="413"/>
      <c r="CJ16" s="412"/>
      <c r="CK16" s="413"/>
      <c r="CL16" s="414"/>
      <c r="CM16" s="416"/>
      <c r="CN16" s="410"/>
      <c r="CO16" s="498"/>
      <c r="CP16" s="363"/>
      <c r="CQ16" s="410"/>
      <c r="CR16" s="410"/>
      <c r="CS16" s="411"/>
      <c r="CT16" s="387">
        <f t="shared" si="29"/>
        <v>472</v>
      </c>
      <c r="CU16" s="118">
        <f t="shared" si="4"/>
        <v>-52</v>
      </c>
      <c r="CV16" s="87">
        <f t="shared" si="30"/>
        <v>45878</v>
      </c>
      <c r="CW16" s="178">
        <f t="shared" si="37"/>
        <v>1003</v>
      </c>
      <c r="CX16" s="179">
        <v>641</v>
      </c>
      <c r="CY16" s="179"/>
      <c r="CZ16" s="179"/>
      <c r="DA16" s="179">
        <f t="shared" si="14"/>
        <v>0</v>
      </c>
      <c r="DB16" s="179"/>
      <c r="DC16" s="179"/>
      <c r="DD16" s="400"/>
      <c r="DE16" s="79">
        <v>250</v>
      </c>
      <c r="DF16" s="79"/>
      <c r="DG16" s="79"/>
      <c r="DH16" s="79">
        <v>141</v>
      </c>
      <c r="DI16" s="79"/>
      <c r="DJ16" s="86"/>
      <c r="DL16" s="64">
        <f t="shared" si="31"/>
        <v>45878</v>
      </c>
      <c r="DM16" s="54" t="s">
        <v>213</v>
      </c>
      <c r="DN16" s="28">
        <v>440</v>
      </c>
      <c r="DO16" s="344"/>
      <c r="DP16" s="28"/>
      <c r="DQ16" s="412"/>
      <c r="DR16" s="413"/>
      <c r="DS16" s="414"/>
      <c r="DT16" s="415"/>
      <c r="DU16" s="410"/>
      <c r="DV16" s="411"/>
      <c r="DW16" s="411"/>
      <c r="DX16" s="411"/>
      <c r="DY16" s="30"/>
      <c r="DZ16" s="28"/>
      <c r="EA16" s="389">
        <f t="shared" si="15"/>
        <v>440</v>
      </c>
      <c r="EB16" s="388">
        <f t="shared" si="16"/>
        <v>45878</v>
      </c>
      <c r="EC16" s="54"/>
      <c r="ED16" s="28"/>
      <c r="EE16" s="344" t="s">
        <v>187</v>
      </c>
      <c r="EF16" s="28">
        <v>438</v>
      </c>
      <c r="EG16" s="412"/>
      <c r="EH16" s="413"/>
      <c r="EI16" s="414"/>
      <c r="EJ16" s="416"/>
      <c r="EK16" s="410"/>
      <c r="EL16" s="411"/>
      <c r="EM16" s="410"/>
      <c r="EN16" s="410"/>
      <c r="EO16" s="410"/>
      <c r="EP16" s="411"/>
      <c r="EQ16" s="389">
        <f>EP16+EN16+EL16+EJ16+EH16+EF16+ED16</f>
        <v>438</v>
      </c>
      <c r="ER16" s="118">
        <f t="shared" si="7"/>
        <v>-2</v>
      </c>
      <c r="ES16" s="87">
        <f t="shared" si="8"/>
        <v>45878</v>
      </c>
      <c r="ET16" s="178">
        <v>437</v>
      </c>
      <c r="EU16" s="179">
        <f>IF(EU15+EF15-FB15&lt;0,0,EU15+EF15-FB15)</f>
        <v>732</v>
      </c>
      <c r="EV16" s="79">
        <f t="shared" si="18"/>
        <v>0</v>
      </c>
      <c r="EW16" s="79">
        <f t="shared" si="19"/>
        <v>1009</v>
      </c>
      <c r="EX16" s="79">
        <f t="shared" si="20"/>
        <v>0</v>
      </c>
      <c r="EY16" s="179">
        <f t="shared" si="33"/>
        <v>0</v>
      </c>
      <c r="EZ16" s="179">
        <f t="shared" si="34"/>
        <v>3134</v>
      </c>
      <c r="FA16" s="310"/>
      <c r="FB16" s="311">
        <v>337</v>
      </c>
      <c r="FC16" s="311"/>
      <c r="FD16" s="311"/>
      <c r="FE16" s="311">
        <v>263</v>
      </c>
      <c r="FF16" s="79"/>
      <c r="FG16" s="86"/>
    </row>
    <row r="17" spans="2:163">
      <c r="B17" s="64">
        <f t="shared" si="21"/>
        <v>45879</v>
      </c>
      <c r="C17" s="54"/>
      <c r="D17" s="322"/>
      <c r="E17" s="327"/>
      <c r="F17" s="413"/>
      <c r="G17" s="29"/>
      <c r="H17" s="413"/>
      <c r="I17" s="414"/>
      <c r="J17" s="415"/>
      <c r="K17" s="410"/>
      <c r="L17" s="411"/>
      <c r="M17" s="411"/>
      <c r="N17" s="411"/>
      <c r="O17" s="412"/>
      <c r="P17" s="28"/>
      <c r="Q17" s="389">
        <f t="shared" si="0"/>
        <v>0</v>
      </c>
      <c r="R17" s="388">
        <f t="shared" si="22"/>
        <v>45879</v>
      </c>
      <c r="S17" s="390"/>
      <c r="T17" s="391"/>
      <c r="U17" s="390"/>
      <c r="V17" s="391"/>
      <c r="W17" s="54"/>
      <c r="X17" s="395"/>
      <c r="Y17" s="410">
        <v>16</v>
      </c>
      <c r="Z17" s="413">
        <v>46</v>
      </c>
      <c r="AA17" s="412"/>
      <c r="AB17" s="413"/>
      <c r="AC17" s="414"/>
      <c r="AD17" s="416"/>
      <c r="AE17" s="410"/>
      <c r="AF17" s="411"/>
      <c r="AG17" s="410"/>
      <c r="AH17" s="410"/>
      <c r="AI17" s="410"/>
      <c r="AJ17" s="411"/>
      <c r="AK17" s="387">
        <f t="shared" si="23"/>
        <v>46</v>
      </c>
      <c r="AL17" s="118">
        <f t="shared" si="1"/>
        <v>46</v>
      </c>
      <c r="AM17" s="87">
        <f t="shared" si="24"/>
        <v>45879</v>
      </c>
      <c r="AN17" s="400"/>
      <c r="AO17" s="178">
        <f t="shared" si="9"/>
        <v>1468</v>
      </c>
      <c r="AP17" s="179">
        <f t="shared" si="25"/>
        <v>0</v>
      </c>
      <c r="AQ17" s="179">
        <f t="shared" si="10"/>
        <v>1325</v>
      </c>
      <c r="AR17" s="179">
        <f t="shared" si="11"/>
        <v>0</v>
      </c>
      <c r="AS17" s="79">
        <f t="shared" si="26"/>
        <v>0</v>
      </c>
      <c r="AT17" s="79">
        <f t="shared" si="27"/>
        <v>3134</v>
      </c>
      <c r="AU17" s="400"/>
      <c r="AV17" s="79"/>
      <c r="AW17" s="79">
        <v>30</v>
      </c>
      <c r="AX17" s="79">
        <f>PVT!C17</f>
        <v>0</v>
      </c>
      <c r="AY17" s="79">
        <v>45</v>
      </c>
      <c r="AZ17" s="79"/>
      <c r="BA17" s="86"/>
      <c r="BC17" s="64">
        <f t="shared" si="28"/>
        <v>45879</v>
      </c>
      <c r="BD17" s="54" t="s">
        <v>200</v>
      </c>
      <c r="BE17" s="28">
        <v>386</v>
      </c>
      <c r="BF17" s="412" t="s">
        <v>204</v>
      </c>
      <c r="BG17" s="413">
        <v>296</v>
      </c>
      <c r="BH17" s="412"/>
      <c r="BI17" s="413"/>
      <c r="BJ17" s="414"/>
      <c r="BK17" s="415"/>
      <c r="BL17" s="410"/>
      <c r="BM17" s="411"/>
      <c r="BN17" s="411"/>
      <c r="BO17" s="411"/>
      <c r="BP17" s="30"/>
      <c r="BQ17" s="28"/>
      <c r="BR17" s="389">
        <f t="shared" si="35"/>
        <v>682</v>
      </c>
      <c r="BS17" s="388">
        <f t="shared" si="3"/>
        <v>45879</v>
      </c>
      <c r="BT17" s="390"/>
      <c r="BU17" s="264"/>
      <c r="BV17" s="412"/>
      <c r="BW17" s="264"/>
      <c r="BX17" s="410" t="s">
        <v>210</v>
      </c>
      <c r="BY17" s="391">
        <v>119</v>
      </c>
      <c r="BZ17" s="390"/>
      <c r="CA17" s="391"/>
      <c r="CB17" s="390"/>
      <c r="CC17" s="264"/>
      <c r="CD17" s="264"/>
      <c r="CE17" s="391"/>
      <c r="CF17" s="434" t="s">
        <v>195</v>
      </c>
      <c r="CG17" s="28">
        <v>5</v>
      </c>
      <c r="CH17" s="344" t="s">
        <v>198</v>
      </c>
      <c r="CI17" s="413">
        <v>596</v>
      </c>
      <c r="CJ17" s="412"/>
      <c r="CK17" s="413"/>
      <c r="CL17" s="414"/>
      <c r="CM17" s="416"/>
      <c r="CN17" s="410"/>
      <c r="CO17" s="498"/>
      <c r="CP17" s="363"/>
      <c r="CQ17" s="410"/>
      <c r="CR17" s="410"/>
      <c r="CS17" s="411"/>
      <c r="CT17" s="387">
        <f t="shared" si="29"/>
        <v>720</v>
      </c>
      <c r="CU17" s="118">
        <f t="shared" si="4"/>
        <v>38</v>
      </c>
      <c r="CV17" s="87">
        <f t="shared" si="30"/>
        <v>45879</v>
      </c>
      <c r="CW17" s="178">
        <f t="shared" si="37"/>
        <v>999</v>
      </c>
      <c r="CX17" s="179">
        <f t="shared" si="13"/>
        <v>391</v>
      </c>
      <c r="CY17" s="179"/>
      <c r="CZ17" s="179"/>
      <c r="DA17" s="179">
        <f t="shared" si="14"/>
        <v>0</v>
      </c>
      <c r="DB17" s="179"/>
      <c r="DC17" s="179"/>
      <c r="DD17" s="400"/>
      <c r="DE17" s="79"/>
      <c r="DF17" s="79"/>
      <c r="DG17" s="79"/>
      <c r="DH17" s="79"/>
      <c r="DI17" s="79"/>
      <c r="DJ17" s="86"/>
      <c r="DL17" s="64">
        <f t="shared" si="31"/>
        <v>45879</v>
      </c>
      <c r="DM17" s="54" t="s">
        <v>213</v>
      </c>
      <c r="DN17" s="28">
        <v>77</v>
      </c>
      <c r="DO17" s="30"/>
      <c r="DP17" s="28"/>
      <c r="DQ17" s="412"/>
      <c r="DR17" s="413"/>
      <c r="DS17" s="414"/>
      <c r="DT17" s="415"/>
      <c r="DU17" s="410"/>
      <c r="DV17" s="411"/>
      <c r="DW17" s="411"/>
      <c r="DX17" s="411"/>
      <c r="DY17" s="30"/>
      <c r="DZ17" s="28"/>
      <c r="EA17" s="389">
        <f t="shared" ref="EA17" si="38">DZ17+DX17+DV17+DT17+DR17+DP17+DN17</f>
        <v>77</v>
      </c>
      <c r="EB17" s="388">
        <f t="shared" ref="EB17" si="39">DL17</f>
        <v>45879</v>
      </c>
      <c r="EC17" s="54" t="s">
        <v>213</v>
      </c>
      <c r="ED17" s="28">
        <v>82</v>
      </c>
      <c r="EE17" s="344" t="s">
        <v>187</v>
      </c>
      <c r="EF17" s="28">
        <v>53</v>
      </c>
      <c r="EG17" s="412"/>
      <c r="EH17" s="413"/>
      <c r="EI17" s="414"/>
      <c r="EJ17" s="416"/>
      <c r="EK17" s="410"/>
      <c r="EL17" s="411"/>
      <c r="EM17" s="410"/>
      <c r="EN17" s="410"/>
      <c r="EO17" s="410"/>
      <c r="EP17" s="411"/>
      <c r="EQ17" s="389">
        <f t="shared" si="36"/>
        <v>135</v>
      </c>
      <c r="ER17" s="118">
        <f t="shared" si="7"/>
        <v>58</v>
      </c>
      <c r="ES17" s="87">
        <f t="shared" si="8"/>
        <v>45879</v>
      </c>
      <c r="ET17" s="178">
        <f t="shared" si="32"/>
        <v>437</v>
      </c>
      <c r="EU17" s="179">
        <f>IF(EU16+EF16-FB16&lt;0,0,EU16+EF16-FB16)</f>
        <v>833</v>
      </c>
      <c r="EV17" s="79">
        <f t="shared" si="18"/>
        <v>0</v>
      </c>
      <c r="EW17" s="79">
        <f t="shared" si="19"/>
        <v>1009</v>
      </c>
      <c r="EX17" s="79">
        <f t="shared" si="20"/>
        <v>0</v>
      </c>
      <c r="EY17" s="179">
        <f t="shared" si="33"/>
        <v>0</v>
      </c>
      <c r="EZ17" s="179">
        <f t="shared" si="34"/>
        <v>3134</v>
      </c>
      <c r="FA17" s="310"/>
      <c r="FB17" s="311"/>
      <c r="FC17" s="311"/>
      <c r="FD17" s="311"/>
      <c r="FE17" s="311"/>
      <c r="FF17" s="79"/>
      <c r="FG17" s="86"/>
    </row>
    <row r="18" spans="2:163">
      <c r="B18" s="64">
        <f t="shared" si="21"/>
        <v>45880</v>
      </c>
      <c r="C18" s="54"/>
      <c r="D18" s="322"/>
      <c r="E18" s="327"/>
      <c r="F18" s="413"/>
      <c r="G18" s="29"/>
      <c r="H18" s="413"/>
      <c r="I18" s="414"/>
      <c r="J18" s="415"/>
      <c r="K18" s="410"/>
      <c r="L18" s="411"/>
      <c r="M18" s="411"/>
      <c r="N18" s="411"/>
      <c r="O18" s="412"/>
      <c r="P18" s="28"/>
      <c r="Q18" s="389">
        <f t="shared" si="0"/>
        <v>0</v>
      </c>
      <c r="R18" s="388">
        <f t="shared" si="22"/>
        <v>45880</v>
      </c>
      <c r="S18" s="390"/>
      <c r="T18" s="391"/>
      <c r="U18" s="390"/>
      <c r="V18" s="391"/>
      <c r="W18" s="54"/>
      <c r="X18" s="395"/>
      <c r="Y18" s="410">
        <v>16</v>
      </c>
      <c r="Z18" s="413">
        <v>10</v>
      </c>
      <c r="AA18" s="412"/>
      <c r="AB18" s="413"/>
      <c r="AC18" s="414"/>
      <c r="AD18" s="416"/>
      <c r="AE18" s="410"/>
      <c r="AF18" s="411"/>
      <c r="AG18" s="410"/>
      <c r="AH18" s="410"/>
      <c r="AI18" s="410"/>
      <c r="AJ18" s="411"/>
      <c r="AK18" s="387">
        <f t="shared" si="23"/>
        <v>10</v>
      </c>
      <c r="AL18" s="118">
        <f t="shared" si="1"/>
        <v>10</v>
      </c>
      <c r="AM18" s="87">
        <f t="shared" si="24"/>
        <v>45880</v>
      </c>
      <c r="AN18" s="400"/>
      <c r="AO18" s="178">
        <v>1139</v>
      </c>
      <c r="AP18" s="179">
        <f t="shared" si="25"/>
        <v>0</v>
      </c>
      <c r="AQ18" s="179">
        <v>956</v>
      </c>
      <c r="AR18" s="179">
        <f t="shared" si="11"/>
        <v>0</v>
      </c>
      <c r="AS18" s="79">
        <f t="shared" si="26"/>
        <v>0</v>
      </c>
      <c r="AT18" s="79">
        <f t="shared" si="27"/>
        <v>3134</v>
      </c>
      <c r="AU18" s="400">
        <v>160</v>
      </c>
      <c r="AV18" s="79"/>
      <c r="AW18" s="79">
        <v>30</v>
      </c>
      <c r="AX18" s="79">
        <f>PVT!C18</f>
        <v>0</v>
      </c>
      <c r="AY18" s="79">
        <v>45</v>
      </c>
      <c r="AZ18" s="79"/>
      <c r="BA18" s="86"/>
      <c r="BC18" s="64">
        <f t="shared" si="28"/>
        <v>45880</v>
      </c>
      <c r="BD18" s="54" t="s">
        <v>200</v>
      </c>
      <c r="BE18" s="28">
        <v>686</v>
      </c>
      <c r="BF18" s="412"/>
      <c r="BG18" s="28"/>
      <c r="BH18" s="412"/>
      <c r="BI18" s="413"/>
      <c r="BJ18" s="414"/>
      <c r="BK18" s="415"/>
      <c r="BL18" s="410"/>
      <c r="BM18" s="411"/>
      <c r="BN18" s="411"/>
      <c r="BO18" s="411"/>
      <c r="BP18" s="30"/>
      <c r="BQ18" s="28"/>
      <c r="BR18" s="389">
        <f t="shared" si="35"/>
        <v>686</v>
      </c>
      <c r="BS18" s="388">
        <f t="shared" si="3"/>
        <v>45880</v>
      </c>
      <c r="BT18" s="390"/>
      <c r="BU18" s="264"/>
      <c r="BV18" s="412"/>
      <c r="BW18" s="264"/>
      <c r="BX18" s="410" t="s">
        <v>210</v>
      </c>
      <c r="BY18" s="391">
        <v>89</v>
      </c>
      <c r="BZ18" s="390"/>
      <c r="CA18" s="391"/>
      <c r="CB18" s="434" t="s">
        <v>199</v>
      </c>
      <c r="CC18" s="264">
        <v>31</v>
      </c>
      <c r="CD18" s="264"/>
      <c r="CE18" s="391"/>
      <c r="CF18" s="434">
        <v>1490</v>
      </c>
      <c r="CG18" s="28"/>
      <c r="CH18" s="344" t="s">
        <v>198</v>
      </c>
      <c r="CI18" s="413">
        <v>560</v>
      </c>
      <c r="CJ18" s="412"/>
      <c r="CK18" s="413"/>
      <c r="CL18" s="414"/>
      <c r="CM18" s="416"/>
      <c r="CN18" s="410"/>
      <c r="CO18" s="498"/>
      <c r="CP18" s="363"/>
      <c r="CQ18" s="410"/>
      <c r="CR18" s="410"/>
      <c r="CS18" s="411"/>
      <c r="CT18" s="387">
        <f t="shared" si="29"/>
        <v>680</v>
      </c>
      <c r="CU18" s="118">
        <f t="shared" si="4"/>
        <v>-6</v>
      </c>
      <c r="CV18" s="388">
        <f t="shared" si="30"/>
        <v>45880</v>
      </c>
      <c r="CW18" s="178">
        <f t="shared" si="37"/>
        <v>927</v>
      </c>
      <c r="CX18" s="179">
        <v>959</v>
      </c>
      <c r="CY18" s="179"/>
      <c r="CZ18" s="179"/>
      <c r="DA18" s="179">
        <v>608</v>
      </c>
      <c r="DB18" s="179"/>
      <c r="DC18" s="179"/>
      <c r="DD18" s="400">
        <v>211</v>
      </c>
      <c r="DE18" s="79">
        <v>306</v>
      </c>
      <c r="DF18" s="79"/>
      <c r="DG18" s="79"/>
      <c r="DH18" s="79">
        <v>210</v>
      </c>
      <c r="DI18" s="79"/>
      <c r="DJ18" s="86"/>
      <c r="DL18" s="64">
        <f t="shared" si="31"/>
        <v>45880</v>
      </c>
      <c r="DM18" s="54" t="s">
        <v>214</v>
      </c>
      <c r="DN18" s="28">
        <v>137</v>
      </c>
      <c r="DO18" s="30"/>
      <c r="DP18" s="28"/>
      <c r="DQ18" s="412"/>
      <c r="DR18" s="413"/>
      <c r="DS18" s="414"/>
      <c r="DT18" s="415"/>
      <c r="DU18" s="410"/>
      <c r="DV18" s="411"/>
      <c r="DW18" s="411"/>
      <c r="DX18" s="411"/>
      <c r="DY18" s="30"/>
      <c r="DZ18" s="28"/>
      <c r="EA18" s="389">
        <f t="shared" ref="EA18" si="40">DZ18+DX18+DV18+DT18+DR18+DP18+DN18</f>
        <v>137</v>
      </c>
      <c r="EB18" s="388">
        <f t="shared" ref="EB18" si="41">DL18</f>
        <v>45880</v>
      </c>
      <c r="EC18" s="54" t="s">
        <v>213</v>
      </c>
      <c r="ED18" s="28">
        <v>88</v>
      </c>
      <c r="EE18" s="344"/>
      <c r="EF18" s="28"/>
      <c r="EG18" s="412"/>
      <c r="EH18" s="413"/>
      <c r="EI18" s="414"/>
      <c r="EJ18" s="416"/>
      <c r="EK18" s="410"/>
      <c r="EL18" s="411"/>
      <c r="EM18" s="410"/>
      <c r="EN18" s="410"/>
      <c r="EO18" s="410"/>
      <c r="EP18" s="411"/>
      <c r="EQ18" s="389">
        <f t="shared" si="36"/>
        <v>88</v>
      </c>
      <c r="ER18" s="118">
        <f t="shared" si="7"/>
        <v>-49</v>
      </c>
      <c r="ES18" s="87">
        <f t="shared" si="8"/>
        <v>45880</v>
      </c>
      <c r="ET18" s="178">
        <f t="shared" si="32"/>
        <v>519</v>
      </c>
      <c r="EU18" s="179">
        <v>931</v>
      </c>
      <c r="EV18" s="79">
        <f t="shared" si="18"/>
        <v>0</v>
      </c>
      <c r="EW18" s="79">
        <f t="shared" si="19"/>
        <v>1009</v>
      </c>
      <c r="EX18" s="79">
        <f t="shared" si="20"/>
        <v>0</v>
      </c>
      <c r="EY18" s="179">
        <f t="shared" si="33"/>
        <v>0</v>
      </c>
      <c r="EZ18" s="179">
        <f t="shared" si="34"/>
        <v>3134</v>
      </c>
      <c r="FA18" s="310">
        <v>241</v>
      </c>
      <c r="FB18" s="311">
        <v>290</v>
      </c>
      <c r="FC18" s="311"/>
      <c r="FD18" s="311"/>
      <c r="FE18" s="311">
        <v>202</v>
      </c>
      <c r="FF18" s="79"/>
      <c r="FG18" s="86"/>
    </row>
    <row r="19" spans="2:163">
      <c r="B19" s="64">
        <f t="shared" si="21"/>
        <v>45881</v>
      </c>
      <c r="C19" s="54"/>
      <c r="D19" s="322"/>
      <c r="E19" s="327"/>
      <c r="F19" s="413"/>
      <c r="G19" s="29"/>
      <c r="H19" s="413"/>
      <c r="I19" s="414"/>
      <c r="J19" s="415"/>
      <c r="K19" s="410"/>
      <c r="L19" s="411"/>
      <c r="M19" s="411"/>
      <c r="N19" s="411"/>
      <c r="O19" s="412"/>
      <c r="P19" s="28"/>
      <c r="Q19" s="389">
        <f t="shared" ref="Q19:Q27" si="42">P19+N19+L19+J19+H19+F19+D19</f>
        <v>0</v>
      </c>
      <c r="R19" s="388">
        <f t="shared" ref="R19:R27" si="43">B19</f>
        <v>45881</v>
      </c>
      <c r="S19" s="390"/>
      <c r="T19" s="391"/>
      <c r="U19" s="390"/>
      <c r="V19" s="391"/>
      <c r="W19" s="54"/>
      <c r="X19" s="395"/>
      <c r="Y19" s="410"/>
      <c r="Z19" s="413"/>
      <c r="AA19" s="412"/>
      <c r="AB19" s="413"/>
      <c r="AC19" s="414"/>
      <c r="AD19" s="416"/>
      <c r="AE19" s="410"/>
      <c r="AF19" s="411"/>
      <c r="AG19" s="410"/>
      <c r="AH19" s="410"/>
      <c r="AI19" s="410"/>
      <c r="AJ19" s="411"/>
      <c r="AK19" s="387">
        <f t="shared" si="23"/>
        <v>0</v>
      </c>
      <c r="AL19" s="118">
        <f t="shared" si="1"/>
        <v>0</v>
      </c>
      <c r="AM19" s="87">
        <f t="shared" si="24"/>
        <v>45881</v>
      </c>
      <c r="AN19" s="400"/>
      <c r="AO19" s="178">
        <v>1113</v>
      </c>
      <c r="AP19" s="179">
        <f t="shared" si="25"/>
        <v>0</v>
      </c>
      <c r="AQ19" s="179">
        <v>967</v>
      </c>
      <c r="AR19" s="179">
        <f t="shared" si="11"/>
        <v>0</v>
      </c>
      <c r="AS19" s="79">
        <f t="shared" si="26"/>
        <v>0</v>
      </c>
      <c r="AT19" s="79">
        <f t="shared" si="27"/>
        <v>3134</v>
      </c>
      <c r="AU19" s="400"/>
      <c r="AV19" s="79"/>
      <c r="AW19" s="79">
        <v>30</v>
      </c>
      <c r="AX19" s="79">
        <f>PVT!C19</f>
        <v>0</v>
      </c>
      <c r="AY19" s="79">
        <v>45</v>
      </c>
      <c r="AZ19" s="79"/>
      <c r="BA19" s="336">
        <v>650</v>
      </c>
      <c r="BC19" s="64">
        <f t="shared" si="28"/>
        <v>45881</v>
      </c>
      <c r="BD19" s="54" t="s">
        <v>200</v>
      </c>
      <c r="BE19" s="28">
        <v>660</v>
      </c>
      <c r="BF19" s="30"/>
      <c r="BG19" s="413"/>
      <c r="BH19" s="412"/>
      <c r="BI19" s="413"/>
      <c r="BJ19" s="414"/>
      <c r="BK19" s="415"/>
      <c r="BL19" s="410"/>
      <c r="BM19" s="411"/>
      <c r="BN19" s="411"/>
      <c r="BO19" s="411"/>
      <c r="BP19" s="30"/>
      <c r="BQ19" s="28"/>
      <c r="BR19" s="389">
        <f t="shared" si="35"/>
        <v>660</v>
      </c>
      <c r="BS19" s="388">
        <f t="shared" si="3"/>
        <v>45881</v>
      </c>
      <c r="BT19" s="390"/>
      <c r="BU19" s="264"/>
      <c r="BV19" s="412" t="s">
        <v>204</v>
      </c>
      <c r="BW19" s="264">
        <v>48</v>
      </c>
      <c r="BX19" s="264"/>
      <c r="BY19" s="391"/>
      <c r="BZ19" s="410" t="s">
        <v>184</v>
      </c>
      <c r="CA19" s="391">
        <v>15</v>
      </c>
      <c r="CB19" s="390"/>
      <c r="CC19" s="264"/>
      <c r="CD19" s="264"/>
      <c r="CE19" s="391"/>
      <c r="CF19" s="434" t="s">
        <v>199</v>
      </c>
      <c r="CG19" s="28">
        <v>533</v>
      </c>
      <c r="CH19" s="344" t="s">
        <v>198</v>
      </c>
      <c r="CI19" s="413">
        <v>80</v>
      </c>
      <c r="CJ19" s="412"/>
      <c r="CK19" s="413"/>
      <c r="CL19" s="414"/>
      <c r="CM19" s="416"/>
      <c r="CN19" s="410"/>
      <c r="CO19" s="498"/>
      <c r="CP19" s="363"/>
      <c r="CQ19" s="410"/>
      <c r="CR19" s="410"/>
      <c r="CS19" s="411"/>
      <c r="CT19" s="387">
        <f t="shared" si="29"/>
        <v>676</v>
      </c>
      <c r="CU19" s="118">
        <f t="shared" si="4"/>
        <v>16</v>
      </c>
      <c r="CV19" s="388">
        <f t="shared" si="30"/>
        <v>45881</v>
      </c>
      <c r="CW19" s="178">
        <f t="shared" si="37"/>
        <v>579</v>
      </c>
      <c r="CX19" s="179">
        <f t="shared" si="13"/>
        <v>1213</v>
      </c>
      <c r="CY19" s="179"/>
      <c r="CZ19" s="179"/>
      <c r="DA19" s="179">
        <v>761</v>
      </c>
      <c r="DB19" s="179"/>
      <c r="DC19" s="179"/>
      <c r="DD19" s="400">
        <v>163</v>
      </c>
      <c r="DE19" s="79">
        <v>243</v>
      </c>
      <c r="DF19" s="79"/>
      <c r="DG19" s="79"/>
      <c r="DH19" s="79">
        <v>222</v>
      </c>
      <c r="DI19" s="79"/>
      <c r="DJ19" s="86"/>
      <c r="DL19" s="64">
        <f t="shared" si="31"/>
        <v>45881</v>
      </c>
      <c r="DM19" s="54" t="s">
        <v>214</v>
      </c>
      <c r="DN19" s="28">
        <v>204</v>
      </c>
      <c r="DO19" s="30"/>
      <c r="DP19" s="28"/>
      <c r="DQ19" s="412"/>
      <c r="DR19" s="413"/>
      <c r="DS19" s="414"/>
      <c r="DT19" s="415"/>
      <c r="DU19" s="410"/>
      <c r="DV19" s="411"/>
      <c r="DW19" s="411"/>
      <c r="DX19" s="411"/>
      <c r="DY19" s="30"/>
      <c r="DZ19" s="28"/>
      <c r="EA19" s="389">
        <f t="shared" ref="EA19:EA20" si="44">DZ19+DX19+DV19+DT19+DR19+DP19+DN19</f>
        <v>204</v>
      </c>
      <c r="EB19" s="388">
        <f t="shared" ref="EB19:EB20" si="45">DL19</f>
        <v>45881</v>
      </c>
      <c r="EC19" s="54" t="s">
        <v>213</v>
      </c>
      <c r="ED19" s="28">
        <v>207</v>
      </c>
      <c r="EE19" s="344"/>
      <c r="EF19" s="28"/>
      <c r="EG19" s="412"/>
      <c r="EH19" s="413"/>
      <c r="EI19" s="414"/>
      <c r="EJ19" s="416"/>
      <c r="EK19" s="410"/>
      <c r="EL19" s="411"/>
      <c r="EM19" s="410"/>
      <c r="EN19" s="410"/>
      <c r="EO19" s="410"/>
      <c r="EP19" s="411"/>
      <c r="EQ19" s="389">
        <f t="shared" si="36"/>
        <v>207</v>
      </c>
      <c r="ER19" s="118">
        <f t="shared" si="7"/>
        <v>3</v>
      </c>
      <c r="ES19" s="87">
        <f t="shared" si="8"/>
        <v>45881</v>
      </c>
      <c r="ET19" s="178">
        <v>410</v>
      </c>
      <c r="EU19" s="179">
        <v>1067</v>
      </c>
      <c r="EV19" s="79">
        <f t="shared" si="18"/>
        <v>0</v>
      </c>
      <c r="EW19" s="79">
        <f t="shared" si="19"/>
        <v>1009</v>
      </c>
      <c r="EX19" s="79">
        <f t="shared" si="20"/>
        <v>0</v>
      </c>
      <c r="EY19" s="179">
        <f t="shared" si="33"/>
        <v>0</v>
      </c>
      <c r="EZ19" s="179">
        <f t="shared" si="34"/>
        <v>3134</v>
      </c>
      <c r="FA19" s="310">
        <v>161</v>
      </c>
      <c r="FB19" s="311">
        <v>190</v>
      </c>
      <c r="FC19" s="311"/>
      <c r="FD19" s="311"/>
      <c r="FE19" s="311">
        <v>203</v>
      </c>
      <c r="FF19" s="79"/>
      <c r="FG19" s="86"/>
    </row>
    <row r="20" spans="2:163">
      <c r="B20" s="64">
        <f t="shared" si="21"/>
        <v>45882</v>
      </c>
      <c r="C20" s="54"/>
      <c r="D20" s="322"/>
      <c r="E20" s="410">
        <v>16</v>
      </c>
      <c r="F20" s="413">
        <v>561</v>
      </c>
      <c r="G20" s="412"/>
      <c r="H20" s="413"/>
      <c r="I20" s="414"/>
      <c r="J20" s="415"/>
      <c r="K20" s="410"/>
      <c r="L20" s="411"/>
      <c r="M20" s="411"/>
      <c r="N20" s="411"/>
      <c r="O20" s="412"/>
      <c r="P20" s="28"/>
      <c r="Q20" s="389">
        <f t="shared" si="42"/>
        <v>561</v>
      </c>
      <c r="R20" s="388">
        <f t="shared" si="43"/>
        <v>45882</v>
      </c>
      <c r="S20" s="390"/>
      <c r="T20" s="391"/>
      <c r="U20" s="390"/>
      <c r="V20" s="391"/>
      <c r="W20" s="54"/>
      <c r="X20" s="395"/>
      <c r="Y20" s="410">
        <v>16</v>
      </c>
      <c r="Z20" s="413">
        <v>438</v>
      </c>
      <c r="AA20" s="412"/>
      <c r="AB20" s="413"/>
      <c r="AC20" s="414"/>
      <c r="AD20" s="416"/>
      <c r="AE20" s="410"/>
      <c r="AF20" s="411"/>
      <c r="AG20" s="410"/>
      <c r="AH20" s="410"/>
      <c r="AI20" s="410"/>
      <c r="AJ20" s="411"/>
      <c r="AK20" s="387">
        <f t="shared" si="23"/>
        <v>438</v>
      </c>
      <c r="AL20" s="118">
        <f t="shared" si="1"/>
        <v>-123</v>
      </c>
      <c r="AM20" s="87">
        <f t="shared" si="24"/>
        <v>45882</v>
      </c>
      <c r="AN20" s="400"/>
      <c r="AO20" s="178">
        <f t="shared" si="9"/>
        <v>1083</v>
      </c>
      <c r="AP20" s="179">
        <f t="shared" si="25"/>
        <v>0</v>
      </c>
      <c r="AQ20" s="179">
        <v>847</v>
      </c>
      <c r="AR20" s="179">
        <f t="shared" si="11"/>
        <v>0</v>
      </c>
      <c r="AS20" s="79">
        <f t="shared" si="26"/>
        <v>0</v>
      </c>
      <c r="AT20" s="79">
        <f t="shared" si="27"/>
        <v>2484</v>
      </c>
      <c r="AU20" s="400"/>
      <c r="AV20" s="79"/>
      <c r="AW20" s="79">
        <v>30</v>
      </c>
      <c r="AX20" s="79">
        <f>PVT!C20</f>
        <v>0</v>
      </c>
      <c r="AY20" s="79">
        <v>45</v>
      </c>
      <c r="AZ20" s="79"/>
      <c r="BA20" s="86"/>
      <c r="BC20" s="64">
        <f t="shared" si="28"/>
        <v>45882</v>
      </c>
      <c r="BD20" s="54" t="s">
        <v>200</v>
      </c>
      <c r="BE20" s="28">
        <v>218</v>
      </c>
      <c r="BF20" s="30" t="s">
        <v>205</v>
      </c>
      <c r="BG20" s="413">
        <v>368</v>
      </c>
      <c r="BH20" s="412"/>
      <c r="BI20" s="413"/>
      <c r="BJ20" s="414"/>
      <c r="BK20" s="415"/>
      <c r="BL20" s="410"/>
      <c r="BM20" s="411"/>
      <c r="BN20" s="411"/>
      <c r="BO20" s="411"/>
      <c r="BP20" s="30"/>
      <c r="BQ20" s="28"/>
      <c r="BR20" s="389">
        <f t="shared" si="35"/>
        <v>586</v>
      </c>
      <c r="BS20" s="388">
        <f t="shared" si="3"/>
        <v>45882</v>
      </c>
      <c r="BT20" s="54" t="s">
        <v>200</v>
      </c>
      <c r="BU20" s="264">
        <v>56</v>
      </c>
      <c r="BV20" s="264"/>
      <c r="BW20" s="264"/>
      <c r="BX20" s="264"/>
      <c r="BY20" s="391"/>
      <c r="BZ20" s="390"/>
      <c r="CA20" s="391"/>
      <c r="CB20" s="390"/>
      <c r="CC20" s="264"/>
      <c r="CD20" s="264"/>
      <c r="CE20" s="391"/>
      <c r="CF20" s="434" t="s">
        <v>199</v>
      </c>
      <c r="CG20" s="28">
        <v>545</v>
      </c>
      <c r="CH20" s="344"/>
      <c r="CI20" s="413"/>
      <c r="CJ20" s="412"/>
      <c r="CK20" s="413"/>
      <c r="CL20" s="414"/>
      <c r="CM20" s="416"/>
      <c r="CN20" s="410"/>
      <c r="CO20" s="498"/>
      <c r="CP20" s="363"/>
      <c r="CQ20" s="410"/>
      <c r="CR20" s="410"/>
      <c r="CS20" s="411"/>
      <c r="CT20" s="387">
        <f t="shared" si="29"/>
        <v>601</v>
      </c>
      <c r="CU20" s="118">
        <f t="shared" si="4"/>
        <v>15</v>
      </c>
      <c r="CV20" s="388">
        <f t="shared" si="30"/>
        <v>45882</v>
      </c>
      <c r="CW20" s="178">
        <f t="shared" si="37"/>
        <v>745</v>
      </c>
      <c r="CX20" s="179">
        <f t="shared" si="13"/>
        <v>1050</v>
      </c>
      <c r="CY20" s="179"/>
      <c r="CZ20" s="179"/>
      <c r="DA20" s="179">
        <f t="shared" si="14"/>
        <v>539</v>
      </c>
      <c r="DB20" s="179"/>
      <c r="DC20" s="179"/>
      <c r="DD20" s="400">
        <v>180</v>
      </c>
      <c r="DE20" s="79">
        <v>238</v>
      </c>
      <c r="DF20" s="79"/>
      <c r="DG20" s="79"/>
      <c r="DH20" s="79">
        <v>222</v>
      </c>
      <c r="DI20" s="79"/>
      <c r="DJ20" s="86"/>
      <c r="DL20" s="64">
        <f t="shared" si="31"/>
        <v>45882</v>
      </c>
      <c r="DM20" s="54" t="s">
        <v>214</v>
      </c>
      <c r="DN20" s="28">
        <v>150</v>
      </c>
      <c r="DO20" s="30"/>
      <c r="DP20" s="28"/>
      <c r="DQ20" s="412"/>
      <c r="DR20" s="413"/>
      <c r="DS20" s="414"/>
      <c r="DT20" s="415"/>
      <c r="DU20" s="410"/>
      <c r="DV20" s="411"/>
      <c r="DW20" s="411"/>
      <c r="DX20" s="411"/>
      <c r="DY20" s="412"/>
      <c r="DZ20" s="28"/>
      <c r="EA20" s="389">
        <f t="shared" si="44"/>
        <v>150</v>
      </c>
      <c r="EB20" s="388">
        <f t="shared" si="45"/>
        <v>45882</v>
      </c>
      <c r="EC20" s="54" t="s">
        <v>213</v>
      </c>
      <c r="ED20" s="28">
        <v>155</v>
      </c>
      <c r="EE20" s="344"/>
      <c r="EF20" s="28"/>
      <c r="EG20" s="412"/>
      <c r="EH20" s="413"/>
      <c r="EI20" s="414"/>
      <c r="EJ20" s="416"/>
      <c r="EK20" s="410"/>
      <c r="EL20" s="411"/>
      <c r="EM20" s="410"/>
      <c r="EN20" s="410"/>
      <c r="EO20" s="410"/>
      <c r="EP20" s="411"/>
      <c r="EQ20" s="389">
        <f t="shared" si="36"/>
        <v>155</v>
      </c>
      <c r="ER20" s="118">
        <f t="shared" si="7"/>
        <v>5</v>
      </c>
      <c r="ES20" s="87">
        <f t="shared" si="8"/>
        <v>45882</v>
      </c>
      <c r="ET20" s="178">
        <f t="shared" si="32"/>
        <v>456</v>
      </c>
      <c r="EU20" s="179">
        <f t="shared" si="17"/>
        <v>877</v>
      </c>
      <c r="EV20" s="79">
        <f t="shared" si="18"/>
        <v>0</v>
      </c>
      <c r="EW20" s="79">
        <f t="shared" si="19"/>
        <v>1009</v>
      </c>
      <c r="EX20" s="79">
        <f t="shared" si="20"/>
        <v>0</v>
      </c>
      <c r="EY20" s="179">
        <f t="shared" si="33"/>
        <v>0</v>
      </c>
      <c r="EZ20" s="179">
        <f t="shared" si="34"/>
        <v>3134</v>
      </c>
      <c r="FA20" s="310">
        <v>235</v>
      </c>
      <c r="FB20" s="311">
        <v>193</v>
      </c>
      <c r="FC20" s="311"/>
      <c r="FD20" s="311"/>
      <c r="FE20" s="311">
        <v>221</v>
      </c>
      <c r="FF20" s="79"/>
      <c r="FG20" s="86"/>
    </row>
    <row r="21" spans="2:163">
      <c r="B21" s="64">
        <f t="shared" si="21"/>
        <v>45883</v>
      </c>
      <c r="C21" s="54"/>
      <c r="D21" s="322"/>
      <c r="E21" s="410">
        <v>16</v>
      </c>
      <c r="F21" s="413">
        <v>593</v>
      </c>
      <c r="G21" s="29"/>
      <c r="H21" s="413"/>
      <c r="I21" s="414"/>
      <c r="J21" s="415"/>
      <c r="K21" s="410"/>
      <c r="L21" s="411"/>
      <c r="M21" s="411"/>
      <c r="N21" s="411"/>
      <c r="O21" s="412"/>
      <c r="P21" s="28"/>
      <c r="Q21" s="389">
        <f t="shared" si="42"/>
        <v>593</v>
      </c>
      <c r="R21" s="388">
        <f t="shared" si="43"/>
        <v>45883</v>
      </c>
      <c r="S21" s="390"/>
      <c r="T21" s="391"/>
      <c r="U21" s="390"/>
      <c r="V21" s="391"/>
      <c r="W21" s="54"/>
      <c r="X21" s="395"/>
      <c r="Y21" s="410">
        <v>16</v>
      </c>
      <c r="Z21" s="413">
        <v>578</v>
      </c>
      <c r="AA21" s="412"/>
      <c r="AB21" s="413"/>
      <c r="AC21" s="414"/>
      <c r="AD21" s="416"/>
      <c r="AE21" s="410"/>
      <c r="AF21" s="411"/>
      <c r="AG21" s="410"/>
      <c r="AH21" s="410"/>
      <c r="AI21" s="410"/>
      <c r="AJ21" s="411"/>
      <c r="AK21" s="387">
        <f t="shared" ref="AK21" si="46">AJ21+AH21+AF21+AD21+AB21+Z21+X21+V21+T21</f>
        <v>578</v>
      </c>
      <c r="AL21" s="118">
        <f t="shared" si="1"/>
        <v>-15</v>
      </c>
      <c r="AM21" s="87">
        <f t="shared" si="24"/>
        <v>45883</v>
      </c>
      <c r="AN21" s="400"/>
      <c r="AO21" s="178">
        <v>1119</v>
      </c>
      <c r="AP21" s="179">
        <f t="shared" si="25"/>
        <v>0</v>
      </c>
      <c r="AQ21" s="179">
        <v>916</v>
      </c>
      <c r="AR21" s="179">
        <f t="shared" si="11"/>
        <v>0</v>
      </c>
      <c r="AS21" s="79">
        <f t="shared" si="26"/>
        <v>0</v>
      </c>
      <c r="AT21" s="79">
        <f t="shared" si="27"/>
        <v>2484</v>
      </c>
      <c r="AU21" s="400"/>
      <c r="AV21" s="79"/>
      <c r="AW21" s="79">
        <v>30</v>
      </c>
      <c r="AX21" s="79">
        <f>PVT!C21</f>
        <v>30</v>
      </c>
      <c r="AY21" s="79">
        <v>45</v>
      </c>
      <c r="AZ21" s="79"/>
      <c r="BA21" s="86"/>
      <c r="BC21" s="64">
        <f t="shared" si="28"/>
        <v>45883</v>
      </c>
      <c r="BD21" s="54"/>
      <c r="BE21" s="28"/>
      <c r="BF21" s="30" t="s">
        <v>205</v>
      </c>
      <c r="BG21" s="413">
        <v>626</v>
      </c>
      <c r="BH21" s="412"/>
      <c r="BI21" s="413"/>
      <c r="BJ21" s="414"/>
      <c r="BK21" s="415"/>
      <c r="BL21" s="410"/>
      <c r="BM21" s="411"/>
      <c r="BN21" s="411"/>
      <c r="BO21" s="411"/>
      <c r="BP21" s="30"/>
      <c r="BQ21" s="28"/>
      <c r="BR21" s="389">
        <f t="shared" si="35"/>
        <v>626</v>
      </c>
      <c r="BS21" s="388">
        <f t="shared" si="3"/>
        <v>45883</v>
      </c>
      <c r="BT21" s="54"/>
      <c r="BU21" s="264"/>
      <c r="BV21" s="264"/>
      <c r="BW21" s="264"/>
      <c r="BX21" s="264"/>
      <c r="BY21" s="391"/>
      <c r="BZ21" s="390"/>
      <c r="CA21" s="391"/>
      <c r="CB21" s="390"/>
      <c r="CC21" s="264"/>
      <c r="CD21" s="410" t="s">
        <v>184</v>
      </c>
      <c r="CE21" s="391">
        <v>16</v>
      </c>
      <c r="CF21" s="434" t="s">
        <v>199</v>
      </c>
      <c r="CG21" s="28">
        <v>411</v>
      </c>
      <c r="CH21" s="344" t="s">
        <v>211</v>
      </c>
      <c r="CI21" s="413">
        <v>192</v>
      </c>
      <c r="CJ21" s="412"/>
      <c r="CK21" s="413"/>
      <c r="CL21" s="414"/>
      <c r="CM21" s="416"/>
      <c r="CN21" s="410"/>
      <c r="CO21" s="498"/>
      <c r="CP21" s="363"/>
      <c r="CQ21" s="410"/>
      <c r="CR21" s="410"/>
      <c r="CS21" s="411"/>
      <c r="CT21" s="387">
        <f t="shared" si="29"/>
        <v>619</v>
      </c>
      <c r="CU21" s="118">
        <f t="shared" si="4"/>
        <v>-7</v>
      </c>
      <c r="CV21" s="388">
        <f t="shared" si="30"/>
        <v>45883</v>
      </c>
      <c r="CW21" s="178">
        <v>952</v>
      </c>
      <c r="CX21" s="179">
        <v>787</v>
      </c>
      <c r="CY21" s="179"/>
      <c r="CZ21" s="179"/>
      <c r="DA21" s="179">
        <f t="shared" si="14"/>
        <v>317</v>
      </c>
      <c r="DB21" s="79"/>
      <c r="DC21" s="79"/>
      <c r="DD21" s="400">
        <v>163</v>
      </c>
      <c r="DE21" s="79">
        <v>191</v>
      </c>
      <c r="DF21" s="79"/>
      <c r="DG21" s="79"/>
      <c r="DH21" s="79">
        <v>222</v>
      </c>
      <c r="DI21" s="79"/>
      <c r="DJ21" s="86"/>
      <c r="DL21" s="64">
        <f t="shared" si="31"/>
        <v>45883</v>
      </c>
      <c r="DM21" s="54" t="s">
        <v>215</v>
      </c>
      <c r="DN21" s="28">
        <v>196</v>
      </c>
      <c r="DO21" s="30"/>
      <c r="DP21" s="28"/>
      <c r="DQ21" s="412"/>
      <c r="DR21" s="413"/>
      <c r="DS21" s="414"/>
      <c r="DT21" s="415"/>
      <c r="DU21" s="410"/>
      <c r="DV21" s="411"/>
      <c r="DW21" s="411"/>
      <c r="DX21" s="411"/>
      <c r="DY21" s="412"/>
      <c r="DZ21" s="28"/>
      <c r="EA21" s="389">
        <f t="shared" ref="EA21:EA25" si="47">DZ21+DX21+DV21+DT21+DR21+DP21+DN21</f>
        <v>196</v>
      </c>
      <c r="EB21" s="388">
        <f t="shared" ref="EB21:EB25" si="48">DL21</f>
        <v>45883</v>
      </c>
      <c r="EC21" s="54" t="s">
        <v>214</v>
      </c>
      <c r="ED21" s="28">
        <v>186</v>
      </c>
      <c r="EE21" s="30"/>
      <c r="EF21" s="28"/>
      <c r="EG21" s="412"/>
      <c r="EH21" s="413"/>
      <c r="EI21" s="414"/>
      <c r="EJ21" s="415"/>
      <c r="EK21" s="410"/>
      <c r="EL21" s="411"/>
      <c r="EM21" s="410"/>
      <c r="EN21" s="410"/>
      <c r="EO21" s="410"/>
      <c r="EP21" s="411"/>
      <c r="EQ21" s="389">
        <f t="shared" si="36"/>
        <v>186</v>
      </c>
      <c r="ER21" s="118">
        <f t="shared" si="7"/>
        <v>-10</v>
      </c>
      <c r="ES21" s="87">
        <f t="shared" si="8"/>
        <v>45883</v>
      </c>
      <c r="ET21" s="178">
        <v>423</v>
      </c>
      <c r="EU21" s="179">
        <v>1093</v>
      </c>
      <c r="EV21" s="79">
        <f t="shared" si="18"/>
        <v>0</v>
      </c>
      <c r="EW21" s="79">
        <f t="shared" si="19"/>
        <v>1009</v>
      </c>
      <c r="EX21" s="79">
        <f t="shared" si="20"/>
        <v>0</v>
      </c>
      <c r="EY21" s="179">
        <f t="shared" si="33"/>
        <v>0</v>
      </c>
      <c r="EZ21" s="179">
        <f t="shared" si="34"/>
        <v>3134</v>
      </c>
      <c r="FA21" s="310">
        <v>189</v>
      </c>
      <c r="FB21" s="311">
        <v>215</v>
      </c>
      <c r="FC21" s="311"/>
      <c r="FD21" s="311"/>
      <c r="FE21" s="311">
        <v>181</v>
      </c>
      <c r="FF21" s="79"/>
      <c r="FG21" s="86"/>
    </row>
    <row r="22" spans="2:163">
      <c r="B22" s="64">
        <f t="shared" si="21"/>
        <v>45884</v>
      </c>
      <c r="C22" s="54"/>
      <c r="D22" s="322"/>
      <c r="E22" s="410">
        <v>16</v>
      </c>
      <c r="F22" s="413">
        <v>596</v>
      </c>
      <c r="G22" s="412"/>
      <c r="H22" s="413"/>
      <c r="I22" s="414"/>
      <c r="J22" s="415"/>
      <c r="K22" s="410"/>
      <c r="L22" s="411"/>
      <c r="M22" s="411"/>
      <c r="N22" s="411"/>
      <c r="O22" s="412"/>
      <c r="P22" s="28"/>
      <c r="Q22" s="389">
        <f t="shared" si="42"/>
        <v>596</v>
      </c>
      <c r="R22" s="388">
        <f t="shared" si="43"/>
        <v>45884</v>
      </c>
      <c r="S22" s="390"/>
      <c r="T22" s="391"/>
      <c r="U22" s="390"/>
      <c r="V22" s="391"/>
      <c r="W22" s="397"/>
      <c r="X22" s="398"/>
      <c r="Y22" s="410">
        <v>16</v>
      </c>
      <c r="Z22" s="413">
        <v>586</v>
      </c>
      <c r="AA22" s="412"/>
      <c r="AB22" s="413"/>
      <c r="AC22" s="414"/>
      <c r="AD22" s="416"/>
      <c r="AE22" s="410"/>
      <c r="AF22" s="411"/>
      <c r="AG22" s="410"/>
      <c r="AH22" s="410"/>
      <c r="AI22" s="410"/>
      <c r="AJ22" s="411"/>
      <c r="AK22" s="387">
        <f t="shared" si="23"/>
        <v>586</v>
      </c>
      <c r="AL22" s="118">
        <f t="shared" si="1"/>
        <v>-10</v>
      </c>
      <c r="AM22" s="87">
        <f t="shared" si="24"/>
        <v>45884</v>
      </c>
      <c r="AN22" s="400"/>
      <c r="AO22" s="178">
        <f t="shared" si="9"/>
        <v>1041</v>
      </c>
      <c r="AP22" s="179">
        <f t="shared" si="25"/>
        <v>0</v>
      </c>
      <c r="AQ22" s="179">
        <f t="shared" si="10"/>
        <v>868</v>
      </c>
      <c r="AR22" s="179">
        <f t="shared" si="11"/>
        <v>0</v>
      </c>
      <c r="AS22" s="79">
        <f t="shared" si="26"/>
        <v>0</v>
      </c>
      <c r="AT22" s="79">
        <f t="shared" si="27"/>
        <v>2484</v>
      </c>
      <c r="AU22" s="400"/>
      <c r="AV22" s="79"/>
      <c r="AW22" s="79"/>
      <c r="AX22" s="79">
        <f>PVT!C22</f>
        <v>0</v>
      </c>
      <c r="AY22" s="79"/>
      <c r="AZ22" s="79"/>
      <c r="BA22" s="86"/>
      <c r="BC22" s="64">
        <f t="shared" si="28"/>
        <v>45884</v>
      </c>
      <c r="BD22" s="54"/>
      <c r="BE22" s="28"/>
      <c r="BF22" s="30" t="s">
        <v>205</v>
      </c>
      <c r="BG22" s="413">
        <v>609</v>
      </c>
      <c r="BH22" s="412"/>
      <c r="BI22" s="413"/>
      <c r="BJ22" s="414"/>
      <c r="BK22" s="415"/>
      <c r="BL22" s="410"/>
      <c r="BM22" s="411"/>
      <c r="BN22" s="411"/>
      <c r="BO22" s="411"/>
      <c r="BP22" s="412"/>
      <c r="BQ22" s="28"/>
      <c r="BR22" s="389">
        <f t="shared" si="35"/>
        <v>609</v>
      </c>
      <c r="BS22" s="388">
        <f t="shared" si="3"/>
        <v>45884</v>
      </c>
      <c r="BT22" s="54" t="s">
        <v>200</v>
      </c>
      <c r="BU22" s="264">
        <v>48</v>
      </c>
      <c r="BV22" s="264"/>
      <c r="BW22" s="264"/>
      <c r="BX22" s="264"/>
      <c r="BY22" s="391"/>
      <c r="BZ22" s="390"/>
      <c r="CA22" s="391"/>
      <c r="CB22" s="390"/>
      <c r="CC22" s="264"/>
      <c r="CD22" s="410"/>
      <c r="CE22" s="391"/>
      <c r="CF22" s="434"/>
      <c r="CG22" s="28"/>
      <c r="CH22" s="344" t="s">
        <v>211</v>
      </c>
      <c r="CI22" s="413">
        <v>520</v>
      </c>
      <c r="CJ22" s="412"/>
      <c r="CK22" s="413"/>
      <c r="CL22" s="414"/>
      <c r="CM22" s="416"/>
      <c r="CN22" s="410"/>
      <c r="CO22" s="498"/>
      <c r="CP22" s="363"/>
      <c r="CQ22" s="410"/>
      <c r="CR22" s="410"/>
      <c r="CS22" s="411"/>
      <c r="CT22" s="387">
        <f t="shared" si="29"/>
        <v>568</v>
      </c>
      <c r="CU22" s="118">
        <f t="shared" si="4"/>
        <v>-41</v>
      </c>
      <c r="CV22" s="388">
        <f t="shared" ref="CV22" si="49">BS22</f>
        <v>45884</v>
      </c>
      <c r="CW22" s="178">
        <f t="shared" ref="CW22" si="50">IF(CW21+CG21-DN21-DD21&lt;=0,0,CW21+CG21-DN21-DD21)</f>
        <v>1004</v>
      </c>
      <c r="CX22" s="179">
        <v>770</v>
      </c>
      <c r="CY22" s="179"/>
      <c r="CZ22" s="179"/>
      <c r="DA22" s="179">
        <f t="shared" ref="DA22" si="51">IF(DA21+CO21-DH21-DV21+0.85*CK21&lt;=0,0,DA21+CO21-DH21-DV21+0.85*CK21)</f>
        <v>95</v>
      </c>
      <c r="DB22" s="79"/>
      <c r="DC22" s="79"/>
      <c r="DD22" s="400">
        <v>222</v>
      </c>
      <c r="DE22" s="79">
        <v>314</v>
      </c>
      <c r="DF22" s="79"/>
      <c r="DG22" s="79"/>
      <c r="DH22" s="79">
        <v>222</v>
      </c>
      <c r="DI22" s="79"/>
      <c r="DJ22" s="86"/>
      <c r="DL22" s="64">
        <f t="shared" si="31"/>
        <v>45884</v>
      </c>
      <c r="DM22" s="54" t="s">
        <v>215</v>
      </c>
      <c r="DN22" s="28">
        <v>193</v>
      </c>
      <c r="DO22" s="30"/>
      <c r="DP22" s="28"/>
      <c r="DQ22" s="412"/>
      <c r="DR22" s="413"/>
      <c r="DS22" s="414"/>
      <c r="DT22" s="415"/>
      <c r="DU22" s="410"/>
      <c r="DV22" s="411"/>
      <c r="DW22" s="411"/>
      <c r="DX22" s="411"/>
      <c r="DY22" s="30"/>
      <c r="DZ22" s="28"/>
      <c r="EA22" s="389">
        <f t="shared" si="47"/>
        <v>193</v>
      </c>
      <c r="EB22" s="388">
        <f t="shared" si="48"/>
        <v>45884</v>
      </c>
      <c r="EC22" s="54" t="s">
        <v>214</v>
      </c>
      <c r="ED22" s="28">
        <v>199</v>
      </c>
      <c r="EE22" s="30"/>
      <c r="EF22" s="28"/>
      <c r="EG22" s="412"/>
      <c r="EH22" s="413"/>
      <c r="EI22" s="414"/>
      <c r="EJ22" s="416"/>
      <c r="EK22" s="410"/>
      <c r="EL22" s="411"/>
      <c r="EM22" s="410"/>
      <c r="EN22" s="410"/>
      <c r="EO22" s="410"/>
      <c r="EP22" s="411"/>
      <c r="EQ22" s="389">
        <f t="shared" si="36"/>
        <v>199</v>
      </c>
      <c r="ER22" s="118">
        <f t="shared" si="7"/>
        <v>6</v>
      </c>
      <c r="ES22" s="87">
        <f t="shared" si="8"/>
        <v>45884</v>
      </c>
      <c r="ET22" s="178">
        <f t="shared" si="32"/>
        <v>420</v>
      </c>
      <c r="EU22" s="179">
        <f t="shared" si="17"/>
        <v>878</v>
      </c>
      <c r="EV22" s="79">
        <f t="shared" si="18"/>
        <v>0</v>
      </c>
      <c r="EW22" s="79">
        <f t="shared" si="19"/>
        <v>1009</v>
      </c>
      <c r="EX22" s="79">
        <f t="shared" si="20"/>
        <v>0</v>
      </c>
      <c r="EY22" s="179">
        <f t="shared" si="33"/>
        <v>0</v>
      </c>
      <c r="EZ22" s="179">
        <f t="shared" si="34"/>
        <v>3134</v>
      </c>
      <c r="FA22" s="310">
        <v>204</v>
      </c>
      <c r="FB22" s="311">
        <v>337</v>
      </c>
      <c r="FC22" s="311"/>
      <c r="FD22" s="311"/>
      <c r="FE22" s="311">
        <v>263</v>
      </c>
      <c r="FF22" s="79"/>
      <c r="FG22" s="86"/>
    </row>
    <row r="23" spans="2:163">
      <c r="B23" s="64">
        <f t="shared" si="21"/>
        <v>45885</v>
      </c>
      <c r="C23" s="55"/>
      <c r="D23" s="322"/>
      <c r="E23" s="410">
        <v>16</v>
      </c>
      <c r="F23" s="413">
        <v>270</v>
      </c>
      <c r="G23" s="412"/>
      <c r="H23" s="413"/>
      <c r="I23" s="414"/>
      <c r="J23" s="415"/>
      <c r="K23" s="410"/>
      <c r="L23" s="411"/>
      <c r="M23" s="411"/>
      <c r="N23" s="411"/>
      <c r="O23" s="30"/>
      <c r="P23" s="28"/>
      <c r="Q23" s="389">
        <f t="shared" si="42"/>
        <v>270</v>
      </c>
      <c r="R23" s="388">
        <f t="shared" si="43"/>
        <v>45885</v>
      </c>
      <c r="S23" s="390"/>
      <c r="T23" s="391"/>
      <c r="U23" s="390"/>
      <c r="V23" s="391"/>
      <c r="W23" s="54"/>
      <c r="X23" s="395"/>
      <c r="Y23" s="410">
        <v>16</v>
      </c>
      <c r="Z23" s="413">
        <v>410</v>
      </c>
      <c r="AA23" s="412"/>
      <c r="AB23" s="413"/>
      <c r="AC23" s="414"/>
      <c r="AD23" s="416"/>
      <c r="AE23" s="410"/>
      <c r="AF23" s="411"/>
      <c r="AG23" s="411"/>
      <c r="AH23" s="411"/>
      <c r="AI23" s="412"/>
      <c r="AJ23" s="28"/>
      <c r="AK23" s="387">
        <f t="shared" si="23"/>
        <v>410</v>
      </c>
      <c r="AL23" s="118">
        <f t="shared" si="1"/>
        <v>140</v>
      </c>
      <c r="AM23" s="87">
        <f t="shared" si="24"/>
        <v>45885</v>
      </c>
      <c r="AN23" s="400"/>
      <c r="AO23" s="178">
        <f t="shared" si="9"/>
        <v>1018</v>
      </c>
      <c r="AP23" s="179">
        <f t="shared" si="25"/>
        <v>0</v>
      </c>
      <c r="AQ23" s="179">
        <f t="shared" si="10"/>
        <v>845</v>
      </c>
      <c r="AR23" s="179">
        <f t="shared" si="11"/>
        <v>0</v>
      </c>
      <c r="AS23" s="79">
        <f t="shared" si="26"/>
        <v>0</v>
      </c>
      <c r="AT23" s="79">
        <f t="shared" si="27"/>
        <v>2484</v>
      </c>
      <c r="AU23" s="400">
        <v>200</v>
      </c>
      <c r="AV23" s="79"/>
      <c r="AW23" s="79"/>
      <c r="AX23" s="79">
        <f>PVT!C23</f>
        <v>0</v>
      </c>
      <c r="AY23" s="79"/>
      <c r="AZ23" s="79"/>
      <c r="BA23" s="86"/>
      <c r="BC23" s="64">
        <f t="shared" si="28"/>
        <v>45885</v>
      </c>
      <c r="BD23" s="54" t="s">
        <v>201</v>
      </c>
      <c r="BE23" s="28">
        <v>99</v>
      </c>
      <c r="BF23" s="30" t="s">
        <v>205</v>
      </c>
      <c r="BG23" s="413">
        <v>471</v>
      </c>
      <c r="BH23" s="412"/>
      <c r="BI23" s="413"/>
      <c r="BJ23" s="414"/>
      <c r="BK23" s="415"/>
      <c r="BL23" s="410"/>
      <c r="BM23" s="411"/>
      <c r="BN23" s="411"/>
      <c r="BO23" s="411"/>
      <c r="BP23" s="30"/>
      <c r="BQ23" s="28"/>
      <c r="BR23" s="389">
        <f t="shared" si="35"/>
        <v>570</v>
      </c>
      <c r="BS23" s="388">
        <f t="shared" si="3"/>
        <v>45885</v>
      </c>
      <c r="BT23" s="390"/>
      <c r="BU23" s="264"/>
      <c r="BV23" s="30" t="s">
        <v>205</v>
      </c>
      <c r="BW23" s="264">
        <v>53</v>
      </c>
      <c r="BX23" s="264"/>
      <c r="BY23" s="391"/>
      <c r="BZ23" s="390"/>
      <c r="CA23" s="391"/>
      <c r="CB23" s="390"/>
      <c r="CC23" s="264"/>
      <c r="CD23" s="410"/>
      <c r="CE23" s="391"/>
      <c r="CF23" s="434"/>
      <c r="CG23" s="28"/>
      <c r="CH23" s="344" t="s">
        <v>211</v>
      </c>
      <c r="CI23" s="413">
        <v>227</v>
      </c>
      <c r="CJ23" s="412" t="s">
        <v>208</v>
      </c>
      <c r="CK23" s="413">
        <v>200</v>
      </c>
      <c r="CL23" s="414"/>
      <c r="CM23" s="416"/>
      <c r="CN23" s="410" t="s">
        <v>210</v>
      </c>
      <c r="CO23" s="498">
        <v>124</v>
      </c>
      <c r="CP23" s="495"/>
      <c r="CQ23" s="411"/>
      <c r="CR23" s="412"/>
      <c r="CS23" s="28"/>
      <c r="CT23" s="387">
        <f t="shared" si="29"/>
        <v>604</v>
      </c>
      <c r="CU23" s="118">
        <f t="shared" si="4"/>
        <v>34</v>
      </c>
      <c r="CV23" s="388">
        <f t="shared" ref="CV23:CV24" si="52">BS23</f>
        <v>45885</v>
      </c>
      <c r="CW23" s="178">
        <f t="shared" ref="CW23:CW24" si="53">IF(CW22+CG22-DN22-DD22&lt;=0,0,CW22+CG22-DN22-DD22)</f>
        <v>589</v>
      </c>
      <c r="CX23" s="179">
        <f t="shared" ref="CX23:CX24" si="54">IF(CX22+CI22+0.15*CK22-DE22-DP22&lt;=0,0,CX22+CI22+0.15*CK22-DE22-DP22)</f>
        <v>976</v>
      </c>
      <c r="CY23" s="179"/>
      <c r="CZ23" s="179"/>
      <c r="DA23" s="179">
        <f t="shared" ref="DA23:DA24" si="55">IF(DA22+CO22-DH22-DV22+0.85*CK22&lt;=0,0,DA22+CO22-DH22-DV22+0.85*CK22)</f>
        <v>0</v>
      </c>
      <c r="DB23" s="79"/>
      <c r="DC23" s="79"/>
      <c r="DD23" s="400"/>
      <c r="DE23" s="79">
        <v>250</v>
      </c>
      <c r="DF23" s="79"/>
      <c r="DG23" s="79"/>
      <c r="DH23" s="79">
        <v>141</v>
      </c>
      <c r="DI23" s="79"/>
      <c r="DJ23" s="86"/>
      <c r="DL23" s="64">
        <f t="shared" si="31"/>
        <v>45885</v>
      </c>
      <c r="DM23" s="54"/>
      <c r="DN23" s="28"/>
      <c r="DO23" s="30"/>
      <c r="DP23" s="28"/>
      <c r="DQ23" s="412"/>
      <c r="DR23" s="413"/>
      <c r="DS23" s="414"/>
      <c r="DT23" s="415"/>
      <c r="DU23" s="410"/>
      <c r="DV23" s="411"/>
      <c r="DW23" s="411"/>
      <c r="DX23" s="411"/>
      <c r="DY23" s="30"/>
      <c r="DZ23" s="28"/>
      <c r="EA23" s="389">
        <f t="shared" si="47"/>
        <v>0</v>
      </c>
      <c r="EB23" s="388">
        <f t="shared" si="48"/>
        <v>45885</v>
      </c>
      <c r="EC23" s="54" t="s">
        <v>214</v>
      </c>
      <c r="ED23" s="28">
        <v>36</v>
      </c>
      <c r="EE23" s="30"/>
      <c r="EF23" s="28"/>
      <c r="EG23" s="412"/>
      <c r="EH23" s="413"/>
      <c r="EI23" s="414"/>
      <c r="EJ23" s="416"/>
      <c r="EK23" s="410"/>
      <c r="EL23" s="411"/>
      <c r="EM23" s="411"/>
      <c r="EN23" s="411"/>
      <c r="EO23" s="412"/>
      <c r="EP23" s="28"/>
      <c r="EQ23" s="389">
        <f t="shared" si="36"/>
        <v>36</v>
      </c>
      <c r="ER23" s="118">
        <f t="shared" si="7"/>
        <v>36</v>
      </c>
      <c r="ES23" s="87">
        <f t="shared" si="8"/>
        <v>45885</v>
      </c>
      <c r="ET23" s="178">
        <f t="shared" si="32"/>
        <v>415</v>
      </c>
      <c r="EU23" s="179">
        <f t="shared" si="17"/>
        <v>541</v>
      </c>
      <c r="EV23" s="79">
        <f t="shared" si="18"/>
        <v>0</v>
      </c>
      <c r="EW23" s="79">
        <f t="shared" si="19"/>
        <v>1009</v>
      </c>
      <c r="EX23" s="79">
        <f t="shared" si="20"/>
        <v>0</v>
      </c>
      <c r="EY23" s="179">
        <f t="shared" si="33"/>
        <v>0</v>
      </c>
      <c r="EZ23" s="179">
        <f t="shared" si="34"/>
        <v>3134</v>
      </c>
      <c r="FA23" s="310"/>
      <c r="FB23" s="311">
        <v>126</v>
      </c>
      <c r="FC23" s="311"/>
      <c r="FD23" s="311"/>
      <c r="FE23" s="311">
        <v>43</v>
      </c>
      <c r="FF23" s="79"/>
      <c r="FG23" s="86"/>
    </row>
    <row r="24" spans="2:163">
      <c r="B24" s="64">
        <f t="shared" si="21"/>
        <v>45886</v>
      </c>
      <c r="C24" s="54"/>
      <c r="D24" s="322"/>
      <c r="E24" s="327"/>
      <c r="F24" s="413"/>
      <c r="G24" s="412"/>
      <c r="H24" s="413"/>
      <c r="I24" s="414"/>
      <c r="J24" s="415"/>
      <c r="K24" s="410"/>
      <c r="L24" s="411"/>
      <c r="M24" s="411"/>
      <c r="N24" s="411"/>
      <c r="O24" s="412"/>
      <c r="P24" s="28"/>
      <c r="Q24" s="389">
        <f t="shared" si="42"/>
        <v>0</v>
      </c>
      <c r="R24" s="388">
        <f t="shared" si="43"/>
        <v>45886</v>
      </c>
      <c r="S24" s="390"/>
      <c r="T24" s="391"/>
      <c r="U24" s="390"/>
      <c r="V24" s="391"/>
      <c r="W24" s="55"/>
      <c r="X24" s="395"/>
      <c r="Y24" s="410">
        <v>16</v>
      </c>
      <c r="Z24" s="413">
        <v>34</v>
      </c>
      <c r="AA24" s="412"/>
      <c r="AB24" s="413"/>
      <c r="AC24" s="414"/>
      <c r="AD24" s="416"/>
      <c r="AE24" s="410"/>
      <c r="AF24" s="411"/>
      <c r="AG24" s="410"/>
      <c r="AH24" s="410"/>
      <c r="AI24" s="410"/>
      <c r="AJ24" s="411"/>
      <c r="AK24" s="387">
        <f t="shared" si="23"/>
        <v>34</v>
      </c>
      <c r="AL24" s="118">
        <f t="shared" si="1"/>
        <v>34</v>
      </c>
      <c r="AM24" s="87">
        <f t="shared" si="24"/>
        <v>45886</v>
      </c>
      <c r="AN24" s="400"/>
      <c r="AO24" s="178">
        <f t="shared" si="9"/>
        <v>957</v>
      </c>
      <c r="AP24" s="179">
        <f t="shared" si="25"/>
        <v>0</v>
      </c>
      <c r="AQ24" s="179">
        <f t="shared" si="10"/>
        <v>584</v>
      </c>
      <c r="AR24" s="179">
        <f t="shared" si="11"/>
        <v>0</v>
      </c>
      <c r="AS24" s="79">
        <f t="shared" si="26"/>
        <v>0</v>
      </c>
      <c r="AT24" s="79">
        <f t="shared" si="27"/>
        <v>2484</v>
      </c>
      <c r="AU24" s="400"/>
      <c r="AV24" s="79"/>
      <c r="AW24" s="79">
        <v>30</v>
      </c>
      <c r="AX24" s="79">
        <f>PVT!C24</f>
        <v>0</v>
      </c>
      <c r="AY24" s="79">
        <v>45</v>
      </c>
      <c r="AZ24" s="79"/>
      <c r="BA24" s="537">
        <v>600</v>
      </c>
      <c r="BC24" s="64">
        <f t="shared" si="28"/>
        <v>45886</v>
      </c>
      <c r="BD24" s="54" t="s">
        <v>201</v>
      </c>
      <c r="BE24" s="28">
        <v>633</v>
      </c>
      <c r="BF24" s="30"/>
      <c r="BG24" s="413"/>
      <c r="BH24" s="412"/>
      <c r="BI24" s="413"/>
      <c r="BJ24" s="414"/>
      <c r="BK24" s="415"/>
      <c r="BL24" s="410"/>
      <c r="BM24" s="411"/>
      <c r="BN24" s="411"/>
      <c r="BO24" s="411"/>
      <c r="BP24" s="412"/>
      <c r="BQ24" s="28"/>
      <c r="BR24" s="389">
        <f t="shared" si="35"/>
        <v>633</v>
      </c>
      <c r="BS24" s="388">
        <f t="shared" si="3"/>
        <v>45886</v>
      </c>
      <c r="BT24" s="390"/>
      <c r="BU24" s="264"/>
      <c r="BV24" s="30"/>
      <c r="BW24" s="264"/>
      <c r="BX24" s="264"/>
      <c r="BY24" s="391"/>
      <c r="BZ24" s="390"/>
      <c r="CA24" s="391"/>
      <c r="CB24" s="54" t="s">
        <v>200</v>
      </c>
      <c r="CC24" s="264">
        <v>38</v>
      </c>
      <c r="CD24" s="264"/>
      <c r="CE24" s="391"/>
      <c r="CF24" s="54"/>
      <c r="CG24" s="28"/>
      <c r="CH24" s="412" t="s">
        <v>204</v>
      </c>
      <c r="CI24" s="413">
        <v>114</v>
      </c>
      <c r="CJ24" s="412" t="s">
        <v>209</v>
      </c>
      <c r="CK24" s="413">
        <v>50</v>
      </c>
      <c r="CL24" s="414"/>
      <c r="CM24" s="416"/>
      <c r="CN24" s="410" t="s">
        <v>210</v>
      </c>
      <c r="CO24" s="498">
        <v>435</v>
      </c>
      <c r="CP24" s="363"/>
      <c r="CQ24" s="410"/>
      <c r="CR24" s="410"/>
      <c r="CS24" s="411"/>
      <c r="CT24" s="387">
        <f t="shared" si="29"/>
        <v>637</v>
      </c>
      <c r="CU24" s="118">
        <f t="shared" si="4"/>
        <v>4</v>
      </c>
      <c r="CV24" s="388">
        <f t="shared" si="52"/>
        <v>45886</v>
      </c>
      <c r="CW24" s="178">
        <f t="shared" si="53"/>
        <v>589</v>
      </c>
      <c r="CX24" s="179">
        <f t="shared" si="54"/>
        <v>983</v>
      </c>
      <c r="CY24" s="179"/>
      <c r="CZ24" s="179"/>
      <c r="DA24" s="179">
        <f t="shared" si="55"/>
        <v>153</v>
      </c>
      <c r="DB24" s="79"/>
      <c r="DC24" s="79"/>
      <c r="DD24" s="400"/>
      <c r="DE24" s="79"/>
      <c r="DF24" s="79"/>
      <c r="DG24" s="79"/>
      <c r="DH24" s="79"/>
      <c r="DI24" s="79"/>
      <c r="DJ24" s="86"/>
      <c r="DL24" s="64">
        <f t="shared" si="31"/>
        <v>45886</v>
      </c>
      <c r="DM24" s="54"/>
      <c r="DN24" s="28"/>
      <c r="DO24" s="30"/>
      <c r="DP24" s="28"/>
      <c r="DQ24" s="412"/>
      <c r="DR24" s="413"/>
      <c r="DS24" s="414"/>
      <c r="DT24" s="415"/>
      <c r="DU24" s="410"/>
      <c r="DV24" s="411"/>
      <c r="DW24" s="411"/>
      <c r="DX24" s="411"/>
      <c r="DY24" s="30"/>
      <c r="DZ24" s="28"/>
      <c r="EA24" s="389">
        <f t="shared" si="47"/>
        <v>0</v>
      </c>
      <c r="EB24" s="388">
        <f t="shared" si="48"/>
        <v>45886</v>
      </c>
      <c r="EC24" s="54"/>
      <c r="ED24" s="28"/>
      <c r="EE24" s="30"/>
      <c r="EF24" s="28"/>
      <c r="EG24" s="412"/>
      <c r="EH24" s="413"/>
      <c r="EI24" s="414"/>
      <c r="EJ24" s="416"/>
      <c r="EK24" s="410"/>
      <c r="EL24" s="411"/>
      <c r="EM24" s="410"/>
      <c r="EN24" s="410"/>
      <c r="EO24" s="410"/>
      <c r="EP24" s="411"/>
      <c r="EQ24" s="389">
        <f t="shared" si="36"/>
        <v>0</v>
      </c>
      <c r="ER24" s="118">
        <f t="shared" si="7"/>
        <v>0</v>
      </c>
      <c r="ES24" s="87">
        <f t="shared" si="8"/>
        <v>45886</v>
      </c>
      <c r="ET24" s="178">
        <f t="shared" si="32"/>
        <v>451</v>
      </c>
      <c r="EU24" s="179">
        <f t="shared" si="17"/>
        <v>415</v>
      </c>
      <c r="EV24" s="79">
        <f t="shared" si="18"/>
        <v>0</v>
      </c>
      <c r="EW24" s="79">
        <f t="shared" si="19"/>
        <v>1009</v>
      </c>
      <c r="EX24" s="79">
        <f t="shared" si="20"/>
        <v>0</v>
      </c>
      <c r="EY24" s="79">
        <f t="shared" si="33"/>
        <v>0</v>
      </c>
      <c r="EZ24" s="79">
        <f t="shared" si="34"/>
        <v>3134</v>
      </c>
      <c r="FA24" s="310"/>
      <c r="FB24" s="311"/>
      <c r="FC24" s="311"/>
      <c r="FD24" s="311"/>
      <c r="FE24" s="311"/>
      <c r="FF24" s="79"/>
      <c r="FG24" s="86"/>
    </row>
    <row r="25" spans="2:163">
      <c r="B25" s="64">
        <f t="shared" si="21"/>
        <v>45887</v>
      </c>
      <c r="C25" s="54"/>
      <c r="D25" s="322"/>
      <c r="E25" s="410">
        <v>16</v>
      </c>
      <c r="F25" s="413">
        <v>526</v>
      </c>
      <c r="G25" s="412"/>
      <c r="H25" s="413"/>
      <c r="I25" s="414"/>
      <c r="J25" s="415"/>
      <c r="K25" s="410"/>
      <c r="L25" s="411"/>
      <c r="M25" s="411"/>
      <c r="N25" s="411"/>
      <c r="O25" s="412"/>
      <c r="P25" s="28"/>
      <c r="Q25" s="389">
        <f t="shared" si="42"/>
        <v>526</v>
      </c>
      <c r="R25" s="388">
        <f t="shared" si="43"/>
        <v>45887</v>
      </c>
      <c r="S25" s="390"/>
      <c r="T25" s="391"/>
      <c r="U25" s="390"/>
      <c r="V25" s="391"/>
      <c r="W25" s="54"/>
      <c r="X25" s="395"/>
      <c r="Y25" s="410">
        <v>16</v>
      </c>
      <c r="Z25" s="413">
        <v>392</v>
      </c>
      <c r="AA25" s="412"/>
      <c r="AB25" s="413"/>
      <c r="AC25" s="414"/>
      <c r="AD25" s="415"/>
      <c r="AE25" s="410"/>
      <c r="AF25" s="411"/>
      <c r="AG25" s="410"/>
      <c r="AH25" s="410"/>
      <c r="AI25" s="410"/>
      <c r="AJ25" s="411"/>
      <c r="AK25" s="387">
        <f t="shared" si="23"/>
        <v>392</v>
      </c>
      <c r="AL25" s="118">
        <f t="shared" si="1"/>
        <v>-134</v>
      </c>
      <c r="AM25" s="87">
        <f t="shared" si="24"/>
        <v>45887</v>
      </c>
      <c r="AN25" s="400"/>
      <c r="AO25" s="178">
        <v>900</v>
      </c>
      <c r="AP25" s="179">
        <f t="shared" si="25"/>
        <v>0</v>
      </c>
      <c r="AQ25" s="179">
        <v>698</v>
      </c>
      <c r="AR25" s="179">
        <f t="shared" ref="AR25:AR27" si="56">IF(AR24+AF24-AY24-BM24&lt;0,0,AR24+AF24-AY24-BM24)</f>
        <v>0</v>
      </c>
      <c r="AS25" s="79">
        <f t="shared" si="26"/>
        <v>0</v>
      </c>
      <c r="AT25" s="79">
        <f t="shared" si="27"/>
        <v>1884</v>
      </c>
      <c r="AU25" s="400"/>
      <c r="AV25" s="79"/>
      <c r="AW25" s="79">
        <v>30</v>
      </c>
      <c r="AX25" s="79">
        <f>PVT!C25</f>
        <v>0</v>
      </c>
      <c r="AY25" s="79">
        <v>45</v>
      </c>
      <c r="AZ25" s="79"/>
      <c r="BA25" s="537">
        <v>600</v>
      </c>
      <c r="BC25" s="64">
        <f t="shared" si="28"/>
        <v>45887</v>
      </c>
      <c r="BD25" s="54" t="s">
        <v>201</v>
      </c>
      <c r="BE25" s="28">
        <v>717</v>
      </c>
      <c r="BF25" s="30"/>
      <c r="BG25" s="413"/>
      <c r="BH25" s="412"/>
      <c r="BI25" s="413"/>
      <c r="BJ25" s="414"/>
      <c r="BK25" s="415"/>
      <c r="BL25" s="410"/>
      <c r="BM25" s="411"/>
      <c r="BN25" s="411"/>
      <c r="BO25" s="411"/>
      <c r="BP25" s="412"/>
      <c r="BQ25" s="28"/>
      <c r="BR25" s="389">
        <f t="shared" si="35"/>
        <v>717</v>
      </c>
      <c r="BS25" s="388">
        <f t="shared" si="3"/>
        <v>45887</v>
      </c>
      <c r="BT25" s="390"/>
      <c r="BU25" s="264"/>
      <c r="BV25" s="30" t="s">
        <v>205</v>
      </c>
      <c r="BW25" s="264">
        <v>59</v>
      </c>
      <c r="BX25" s="264"/>
      <c r="BY25" s="391"/>
      <c r="BZ25" s="390"/>
      <c r="CA25" s="391"/>
      <c r="CB25" s="54" t="s">
        <v>200</v>
      </c>
      <c r="CC25" s="264">
        <v>12</v>
      </c>
      <c r="CD25" s="264"/>
      <c r="CE25" s="391"/>
      <c r="CF25" s="54" t="s">
        <v>200</v>
      </c>
      <c r="CG25" s="28">
        <v>107</v>
      </c>
      <c r="CH25" s="412" t="s">
        <v>204</v>
      </c>
      <c r="CI25" s="413">
        <v>536</v>
      </c>
      <c r="CJ25" s="412"/>
      <c r="CK25" s="413"/>
      <c r="CL25" s="414"/>
      <c r="CM25" s="416"/>
      <c r="CN25" s="410"/>
      <c r="CO25" s="498"/>
      <c r="CP25" s="363"/>
      <c r="CQ25" s="410"/>
      <c r="CR25" s="410"/>
      <c r="CS25" s="411"/>
      <c r="CT25" s="387">
        <f t="shared" si="29"/>
        <v>714</v>
      </c>
      <c r="CU25" s="118">
        <f t="shared" si="4"/>
        <v>-3</v>
      </c>
      <c r="CV25" s="388">
        <f t="shared" si="30"/>
        <v>45887</v>
      </c>
      <c r="CW25" s="178">
        <v>596</v>
      </c>
      <c r="CX25" s="179">
        <v>1152</v>
      </c>
      <c r="CY25" s="179"/>
      <c r="CZ25" s="179"/>
      <c r="DA25" s="179">
        <f t="shared" si="14"/>
        <v>630.5</v>
      </c>
      <c r="DB25" s="179"/>
      <c r="DC25" s="179"/>
      <c r="DD25" s="400">
        <v>167</v>
      </c>
      <c r="DE25" s="79">
        <v>292</v>
      </c>
      <c r="DF25" s="79"/>
      <c r="DG25" s="79"/>
      <c r="DH25" s="79">
        <v>210</v>
      </c>
      <c r="DI25" s="79"/>
      <c r="DJ25" s="86"/>
      <c r="DL25" s="64">
        <f t="shared" si="31"/>
        <v>45887</v>
      </c>
      <c r="DM25" s="54" t="s">
        <v>215</v>
      </c>
      <c r="DN25" s="28">
        <v>142</v>
      </c>
      <c r="DO25" s="30"/>
      <c r="DP25" s="28"/>
      <c r="DQ25" s="412"/>
      <c r="DR25" s="413"/>
      <c r="DS25" s="414"/>
      <c r="DT25" s="415"/>
      <c r="DU25" s="410"/>
      <c r="DV25" s="411"/>
      <c r="DW25" s="411"/>
      <c r="DX25" s="411"/>
      <c r="DY25" s="30"/>
      <c r="DZ25" s="28"/>
      <c r="EA25" s="389">
        <f t="shared" si="47"/>
        <v>142</v>
      </c>
      <c r="EB25" s="388">
        <f t="shared" si="48"/>
        <v>45887</v>
      </c>
      <c r="EC25" s="54" t="s">
        <v>215</v>
      </c>
      <c r="ED25" s="28">
        <v>107</v>
      </c>
      <c r="EE25" s="30"/>
      <c r="EF25" s="28"/>
      <c r="EG25" s="412"/>
      <c r="EH25" s="413"/>
      <c r="EI25" s="414"/>
      <c r="EJ25" s="416"/>
      <c r="EK25" s="410"/>
      <c r="EL25" s="411"/>
      <c r="EM25" s="410"/>
      <c r="EN25" s="410"/>
      <c r="EO25" s="410"/>
      <c r="EP25" s="411"/>
      <c r="EQ25" s="389">
        <f t="shared" si="36"/>
        <v>107</v>
      </c>
      <c r="ER25" s="118">
        <f t="shared" si="7"/>
        <v>-35</v>
      </c>
      <c r="ES25" s="87">
        <f t="shared" si="8"/>
        <v>45887</v>
      </c>
      <c r="ET25" s="178">
        <v>493</v>
      </c>
      <c r="EU25" s="179">
        <v>802</v>
      </c>
      <c r="EV25" s="79">
        <f t="shared" ref="EV25:EV27" si="57">EV24+EH24-FC24</f>
        <v>0</v>
      </c>
      <c r="EW25" s="79">
        <f t="shared" ref="EW25:EW27" si="58">EW24+EJ24-FD24</f>
        <v>1009</v>
      </c>
      <c r="EX25" s="79">
        <f t="shared" ref="EX25:EX27" si="59">IF(EX24+EL24-FE24&lt;0,0,EX24+EL24-FE24)</f>
        <v>0</v>
      </c>
      <c r="EY25" s="179">
        <f t="shared" si="33"/>
        <v>0</v>
      </c>
      <c r="EZ25" s="179">
        <f t="shared" si="34"/>
        <v>3134</v>
      </c>
      <c r="FA25" s="310">
        <v>190</v>
      </c>
      <c r="FB25" s="311">
        <v>337</v>
      </c>
      <c r="FC25" s="311"/>
      <c r="FD25" s="311"/>
      <c r="FE25" s="311">
        <v>263</v>
      </c>
      <c r="FF25" s="79"/>
      <c r="FG25" s="86"/>
    </row>
    <row r="26" spans="2:163">
      <c r="B26" s="64">
        <f t="shared" si="21"/>
        <v>45888</v>
      </c>
      <c r="C26" s="54"/>
      <c r="D26" s="322"/>
      <c r="E26" s="410">
        <v>16</v>
      </c>
      <c r="F26" s="413">
        <v>590</v>
      </c>
      <c r="G26" s="412"/>
      <c r="H26" s="413"/>
      <c r="I26" s="414"/>
      <c r="J26" s="415"/>
      <c r="K26" s="410"/>
      <c r="L26" s="411"/>
      <c r="M26" s="411"/>
      <c r="N26" s="411"/>
      <c r="O26" s="412"/>
      <c r="P26" s="28"/>
      <c r="Q26" s="389">
        <f t="shared" si="42"/>
        <v>590</v>
      </c>
      <c r="R26" s="388">
        <f t="shared" si="43"/>
        <v>45888</v>
      </c>
      <c r="S26" s="390"/>
      <c r="T26" s="391"/>
      <c r="U26" s="390"/>
      <c r="V26" s="391"/>
      <c r="W26" s="54"/>
      <c r="X26" s="395"/>
      <c r="Y26" s="410">
        <v>16</v>
      </c>
      <c r="Z26" s="413">
        <v>586</v>
      </c>
      <c r="AA26" s="412"/>
      <c r="AB26" s="413"/>
      <c r="AC26" s="414"/>
      <c r="AD26" s="415"/>
      <c r="AE26" s="410"/>
      <c r="AF26" s="411"/>
      <c r="AG26" s="410"/>
      <c r="AH26" s="410"/>
      <c r="AI26" s="410"/>
      <c r="AJ26" s="411"/>
      <c r="AK26" s="387">
        <f t="shared" ref="AK26:AK34" si="60">AJ26+AH26+AF26+AD26+AB26+Z26+X26+V26+T26</f>
        <v>586</v>
      </c>
      <c r="AL26" s="118">
        <f t="shared" si="1"/>
        <v>-4</v>
      </c>
      <c r="AM26" s="87">
        <f t="shared" si="24"/>
        <v>45888</v>
      </c>
      <c r="AN26" s="400"/>
      <c r="AO26" s="178">
        <f t="shared" ref="AO26" si="61">IF(AO25+Z25-AV25-AW25-BG25&lt;0,0,AO25+Z25-AV25-AW25-BG25)</f>
        <v>1262</v>
      </c>
      <c r="AP26" s="179">
        <f t="shared" si="25"/>
        <v>0</v>
      </c>
      <c r="AQ26" s="179">
        <f t="shared" ref="AQ26" si="62">IF(AQ25+Z25-AU25-AV25-BG25&lt;0,0,AQ25+Z25-AU25-AV25-BG25)</f>
        <v>1090</v>
      </c>
      <c r="AR26" s="179">
        <f t="shared" si="56"/>
        <v>0</v>
      </c>
      <c r="AS26" s="79">
        <f t="shared" si="26"/>
        <v>0</v>
      </c>
      <c r="AT26" s="79">
        <f t="shared" si="27"/>
        <v>1284</v>
      </c>
      <c r="AU26" s="400">
        <v>40</v>
      </c>
      <c r="AV26" s="79"/>
      <c r="AW26" s="79">
        <v>30</v>
      </c>
      <c r="AX26" s="79">
        <f>PVT!C26</f>
        <v>0</v>
      </c>
      <c r="AY26" s="79">
        <v>45</v>
      </c>
      <c r="AZ26" s="79"/>
      <c r="BA26" s="537">
        <v>175</v>
      </c>
      <c r="BC26" s="64">
        <f t="shared" si="28"/>
        <v>45888</v>
      </c>
      <c r="BD26" s="54" t="s">
        <v>201</v>
      </c>
      <c r="BE26" s="28">
        <v>461</v>
      </c>
      <c r="BF26" s="30" t="s">
        <v>206</v>
      </c>
      <c r="BG26" s="413">
        <v>192</v>
      </c>
      <c r="BH26" s="412"/>
      <c r="BI26" s="413"/>
      <c r="BJ26" s="414"/>
      <c r="BK26" s="415"/>
      <c r="BL26" s="410"/>
      <c r="BM26" s="411"/>
      <c r="BN26" s="438"/>
      <c r="BO26" s="438"/>
      <c r="BP26" s="437"/>
      <c r="BQ26" s="328"/>
      <c r="BR26" s="389">
        <f t="shared" si="35"/>
        <v>653</v>
      </c>
      <c r="BS26" s="388">
        <f t="shared" si="3"/>
        <v>45888</v>
      </c>
      <c r="BT26" s="54"/>
      <c r="BU26" s="28"/>
      <c r="BV26" s="264"/>
      <c r="BW26" s="264"/>
      <c r="BX26" s="264"/>
      <c r="BY26" s="391"/>
      <c r="BZ26" s="390"/>
      <c r="CA26" s="391"/>
      <c r="CB26" s="49"/>
      <c r="CC26" s="264"/>
      <c r="CD26" s="264"/>
      <c r="CE26" s="391"/>
      <c r="CF26" s="54" t="s">
        <v>200</v>
      </c>
      <c r="CG26" s="28">
        <v>667</v>
      </c>
      <c r="CH26" s="412"/>
      <c r="CI26" s="413"/>
      <c r="CJ26" s="412"/>
      <c r="CK26" s="413"/>
      <c r="CL26" s="414"/>
      <c r="CM26" s="416"/>
      <c r="CN26" s="410"/>
      <c r="CO26" s="498"/>
      <c r="CP26" s="363"/>
      <c r="CQ26" s="411"/>
      <c r="CR26" s="411"/>
      <c r="CS26" s="411"/>
      <c r="CT26" s="387">
        <f t="shared" si="29"/>
        <v>667</v>
      </c>
      <c r="CU26" s="118">
        <f t="shared" si="4"/>
        <v>14</v>
      </c>
      <c r="CV26" s="388">
        <f t="shared" si="30"/>
        <v>45888</v>
      </c>
      <c r="CW26" s="178">
        <f t="shared" si="37"/>
        <v>394</v>
      </c>
      <c r="CX26" s="179">
        <f>IF(CX25+CI25+0.15*CK25-DE25-DP25&lt;=0,0,CX25+CI25+0.15*CK25-DE25-DP25)</f>
        <v>1396</v>
      </c>
      <c r="CY26" s="179"/>
      <c r="CZ26" s="179"/>
      <c r="DA26" s="179">
        <f t="shared" si="14"/>
        <v>420.5</v>
      </c>
      <c r="DB26" s="179"/>
      <c r="DC26" s="179"/>
      <c r="DD26" s="400">
        <v>163</v>
      </c>
      <c r="DE26" s="79">
        <v>200</v>
      </c>
      <c r="DF26" s="79"/>
      <c r="DG26" s="79"/>
      <c r="DH26" s="79">
        <v>222</v>
      </c>
      <c r="DI26" s="79"/>
      <c r="DJ26" s="86"/>
      <c r="DL26" s="64">
        <f t="shared" si="31"/>
        <v>45888</v>
      </c>
      <c r="DM26" s="54" t="s">
        <v>215</v>
      </c>
      <c r="DN26" s="28">
        <v>164</v>
      </c>
      <c r="DO26" s="30"/>
      <c r="DP26" s="28"/>
      <c r="DQ26" s="412"/>
      <c r="DR26" s="413"/>
      <c r="DS26" s="414"/>
      <c r="DT26" s="415"/>
      <c r="DU26" s="410"/>
      <c r="DV26" s="411"/>
      <c r="DW26" s="411"/>
      <c r="DX26" s="411"/>
      <c r="DY26" s="30"/>
      <c r="DZ26" s="28"/>
      <c r="EA26" s="389">
        <f t="shared" ref="EA26" si="63">DZ26+DX26+DV26+DT26+DR26+DP26+DN26</f>
        <v>164</v>
      </c>
      <c r="EB26" s="388">
        <f t="shared" ref="EB26" si="64">DL26</f>
        <v>45888</v>
      </c>
      <c r="EC26" s="54" t="s">
        <v>215</v>
      </c>
      <c r="ED26" s="28">
        <v>161</v>
      </c>
      <c r="EE26" s="30"/>
      <c r="EF26" s="28"/>
      <c r="EG26" s="412"/>
      <c r="EH26" s="413"/>
      <c r="EI26" s="414"/>
      <c r="EJ26" s="416"/>
      <c r="EK26" s="410"/>
      <c r="EL26" s="411"/>
      <c r="EM26" s="410"/>
      <c r="EN26" s="410"/>
      <c r="EO26" s="410"/>
      <c r="EP26" s="411"/>
      <c r="EQ26" s="389">
        <f>EP26+EN26+EL26+EJ26+EH26+EF26+ED26</f>
        <v>161</v>
      </c>
      <c r="ER26" s="118">
        <f t="shared" si="7"/>
        <v>-3</v>
      </c>
      <c r="ES26" s="87">
        <f t="shared" si="8"/>
        <v>45888</v>
      </c>
      <c r="ET26" s="178">
        <v>406</v>
      </c>
      <c r="EU26" s="179">
        <v>850</v>
      </c>
      <c r="EV26" s="79">
        <f t="shared" si="57"/>
        <v>0</v>
      </c>
      <c r="EW26" s="79">
        <f t="shared" si="58"/>
        <v>1009</v>
      </c>
      <c r="EX26" s="79">
        <f t="shared" si="59"/>
        <v>0</v>
      </c>
      <c r="EY26" s="79">
        <f t="shared" si="33"/>
        <v>0</v>
      </c>
      <c r="EZ26" s="79">
        <f t="shared" si="34"/>
        <v>3134</v>
      </c>
      <c r="FA26" s="310">
        <v>239</v>
      </c>
      <c r="FB26" s="311">
        <v>126</v>
      </c>
      <c r="FC26" s="311"/>
      <c r="FD26" s="311"/>
      <c r="FE26" s="311">
        <v>43</v>
      </c>
      <c r="FF26" s="79"/>
      <c r="FG26" s="86"/>
    </row>
    <row r="27" spans="2:163">
      <c r="B27" s="64">
        <f t="shared" si="21"/>
        <v>45889</v>
      </c>
      <c r="C27" s="54"/>
      <c r="D27" s="322"/>
      <c r="E27" s="410">
        <v>16</v>
      </c>
      <c r="F27" s="413">
        <v>595</v>
      </c>
      <c r="G27" s="412"/>
      <c r="H27" s="413"/>
      <c r="I27" s="414"/>
      <c r="J27" s="415"/>
      <c r="K27" s="410"/>
      <c r="L27" s="411"/>
      <c r="M27" s="411"/>
      <c r="N27" s="411"/>
      <c r="O27" s="412"/>
      <c r="P27" s="28"/>
      <c r="Q27" s="389">
        <f t="shared" si="42"/>
        <v>595</v>
      </c>
      <c r="R27" s="388">
        <f t="shared" si="43"/>
        <v>45889</v>
      </c>
      <c r="S27" s="390"/>
      <c r="T27" s="391"/>
      <c r="U27" s="390"/>
      <c r="V27" s="391"/>
      <c r="W27" s="54"/>
      <c r="X27" s="395"/>
      <c r="Y27" s="410">
        <v>16</v>
      </c>
      <c r="Z27" s="413">
        <v>596</v>
      </c>
      <c r="AA27" s="412"/>
      <c r="AB27" s="413"/>
      <c r="AC27" s="414"/>
      <c r="AD27" s="415"/>
      <c r="AE27" s="410"/>
      <c r="AF27" s="411"/>
      <c r="AG27" s="410"/>
      <c r="AH27" s="410"/>
      <c r="AI27" s="410"/>
      <c r="AJ27" s="411"/>
      <c r="AK27" s="387">
        <f t="shared" si="60"/>
        <v>596</v>
      </c>
      <c r="AL27" s="118">
        <f t="shared" si="1"/>
        <v>1</v>
      </c>
      <c r="AM27" s="87">
        <f t="shared" si="24"/>
        <v>45889</v>
      </c>
      <c r="AN27" s="400"/>
      <c r="AO27" s="178">
        <f t="shared" ref="AO27:AO35" si="65">IF(AO26+Z26-AV26-AW26-BG26&lt;0,0,AO26+Z26-AV26-AW26-BG26)</f>
        <v>1626</v>
      </c>
      <c r="AP27" s="179">
        <f t="shared" si="25"/>
        <v>0</v>
      </c>
      <c r="AQ27" s="179">
        <f t="shared" ref="AQ27:AQ35" si="66">IF(AQ26+Z26-AU26-AV26-BG26&lt;0,0,AQ26+Z26-AU26-AV26-BG26)</f>
        <v>1444</v>
      </c>
      <c r="AR27" s="179">
        <f t="shared" si="56"/>
        <v>0</v>
      </c>
      <c r="AS27" s="79">
        <f t="shared" si="26"/>
        <v>0</v>
      </c>
      <c r="AT27" s="79">
        <f>AT26+AJ26-BA27</f>
        <v>884</v>
      </c>
      <c r="AU27" s="400"/>
      <c r="AV27" s="79"/>
      <c r="AW27" s="79">
        <v>30</v>
      </c>
      <c r="AX27" s="79">
        <f>PVT!C27</f>
        <v>0</v>
      </c>
      <c r="AY27" s="79">
        <v>45</v>
      </c>
      <c r="AZ27" s="79"/>
      <c r="BA27" s="86">
        <v>400</v>
      </c>
      <c r="BC27" s="64">
        <f t="shared" si="28"/>
        <v>45889</v>
      </c>
      <c r="BD27" s="54"/>
      <c r="BE27" s="28"/>
      <c r="BF27" s="30" t="s">
        <v>206</v>
      </c>
      <c r="BG27" s="413">
        <v>492</v>
      </c>
      <c r="BH27" s="412"/>
      <c r="BI27" s="413"/>
      <c r="BJ27" s="414"/>
      <c r="BK27" s="415"/>
      <c r="BL27" s="410"/>
      <c r="BM27" s="411"/>
      <c r="BN27" s="411"/>
      <c r="BO27" s="411"/>
      <c r="BP27" s="412"/>
      <c r="BQ27" s="28"/>
      <c r="BR27" s="389">
        <f t="shared" si="35"/>
        <v>492</v>
      </c>
      <c r="BS27" s="388">
        <f t="shared" si="3"/>
        <v>45889</v>
      </c>
      <c r="BT27" s="54"/>
      <c r="BU27" s="343"/>
      <c r="BV27" s="440"/>
      <c r="BW27" s="440"/>
      <c r="BX27" s="264"/>
      <c r="BY27" s="391"/>
      <c r="BZ27" s="390"/>
      <c r="CA27" s="391"/>
      <c r="CB27" s="49"/>
      <c r="CC27" s="264"/>
      <c r="CD27" s="264"/>
      <c r="CE27" s="391"/>
      <c r="CF27" s="54" t="s">
        <v>200</v>
      </c>
      <c r="CG27" s="28">
        <v>559</v>
      </c>
      <c r="CH27" s="412"/>
      <c r="CI27" s="413"/>
      <c r="CJ27" s="412"/>
      <c r="CK27" s="413"/>
      <c r="CL27" s="414"/>
      <c r="CM27" s="415"/>
      <c r="CN27" s="410"/>
      <c r="CO27" s="498"/>
      <c r="CP27" s="363"/>
      <c r="CQ27" s="410"/>
      <c r="CR27" s="410"/>
      <c r="CS27" s="411"/>
      <c r="CT27" s="387">
        <f t="shared" si="29"/>
        <v>559</v>
      </c>
      <c r="CU27" s="118">
        <f t="shared" si="4"/>
        <v>67</v>
      </c>
      <c r="CV27" s="388">
        <f t="shared" si="30"/>
        <v>45889</v>
      </c>
      <c r="CW27" s="178">
        <v>709</v>
      </c>
      <c r="CX27" s="179">
        <v>1136</v>
      </c>
      <c r="CY27" s="179"/>
      <c r="CZ27" s="179"/>
      <c r="DA27" s="179">
        <f t="shared" si="14"/>
        <v>198.5</v>
      </c>
      <c r="DB27" s="79"/>
      <c r="DC27" s="79"/>
      <c r="DD27" s="400">
        <v>180</v>
      </c>
      <c r="DE27" s="79">
        <v>238</v>
      </c>
      <c r="DF27" s="79"/>
      <c r="DG27" s="79"/>
      <c r="DH27" s="79">
        <v>222</v>
      </c>
      <c r="DI27" s="79"/>
      <c r="DJ27" s="86"/>
      <c r="DL27" s="64">
        <f t="shared" si="31"/>
        <v>45889</v>
      </c>
      <c r="DM27" s="54" t="s">
        <v>215</v>
      </c>
      <c r="DN27" s="28">
        <v>100</v>
      </c>
      <c r="DO27" s="412" t="s">
        <v>248</v>
      </c>
      <c r="DP27" s="28">
        <v>85</v>
      </c>
      <c r="DQ27" s="412"/>
      <c r="DR27" s="413"/>
      <c r="DS27" s="414"/>
      <c r="DT27" s="415"/>
      <c r="DU27" s="410"/>
      <c r="DV27" s="411"/>
      <c r="DW27" s="411"/>
      <c r="DX27" s="411"/>
      <c r="DY27" s="412"/>
      <c r="DZ27" s="28"/>
      <c r="EA27" s="389">
        <f t="shared" ref="EA27:EA30" si="67">DZ27+DX27+DV27+DT27+DR27+DP27+DN27</f>
        <v>185</v>
      </c>
      <c r="EB27" s="388">
        <f t="shared" ref="EB27:EB30" si="68">DL27</f>
        <v>45889</v>
      </c>
      <c r="EC27" s="54" t="s">
        <v>215</v>
      </c>
      <c r="ED27" s="28">
        <v>186</v>
      </c>
      <c r="EE27" s="30"/>
      <c r="EF27" s="28"/>
      <c r="EG27" s="412"/>
      <c r="EH27" s="413"/>
      <c r="EI27" s="414"/>
      <c r="EJ27" s="416"/>
      <c r="EK27" s="410"/>
      <c r="EL27" s="411"/>
      <c r="EM27" s="410"/>
      <c r="EN27" s="410"/>
      <c r="EO27" s="410"/>
      <c r="EP27" s="411"/>
      <c r="EQ27" s="389">
        <f t="shared" si="36"/>
        <v>186</v>
      </c>
      <c r="ER27" s="118">
        <f t="shared" si="7"/>
        <v>1</v>
      </c>
      <c r="ES27" s="87">
        <f t="shared" si="8"/>
        <v>45889</v>
      </c>
      <c r="ET27" s="178">
        <f t="shared" ref="ET27" si="69">IF(ET26+ED26-FA26&lt;0,0,ET26+ED26-FA26)</f>
        <v>328</v>
      </c>
      <c r="EU27" s="179">
        <f>IF(EU26+EF26-FB26&lt;0,0,EU26+EF26-FB26)</f>
        <v>724</v>
      </c>
      <c r="EV27" s="79">
        <f t="shared" si="57"/>
        <v>0</v>
      </c>
      <c r="EW27" s="79">
        <f t="shared" si="58"/>
        <v>1009</v>
      </c>
      <c r="EX27" s="79">
        <f t="shared" si="59"/>
        <v>0</v>
      </c>
      <c r="EY27" s="79">
        <f t="shared" si="33"/>
        <v>0</v>
      </c>
      <c r="EZ27" s="79">
        <f t="shared" si="34"/>
        <v>3134</v>
      </c>
      <c r="FA27" s="310">
        <v>114</v>
      </c>
      <c r="FB27" s="311">
        <v>193</v>
      </c>
      <c r="FC27" s="311"/>
      <c r="FD27" s="311"/>
      <c r="FE27" s="311">
        <v>221</v>
      </c>
      <c r="FF27" s="79"/>
      <c r="FG27" s="86"/>
    </row>
    <row r="28" spans="2:163">
      <c r="B28" s="64">
        <f t="shared" si="21"/>
        <v>45890</v>
      </c>
      <c r="C28" s="54"/>
      <c r="D28" s="322"/>
      <c r="E28" s="410">
        <v>16</v>
      </c>
      <c r="F28" s="422">
        <v>49</v>
      </c>
      <c r="G28" s="370"/>
      <c r="H28" s="422"/>
      <c r="I28" s="435"/>
      <c r="J28" s="436"/>
      <c r="K28" s="271"/>
      <c r="L28" s="272"/>
      <c r="M28" s="272"/>
      <c r="N28" s="272"/>
      <c r="O28" s="370"/>
      <c r="P28" s="343"/>
      <c r="Q28" s="269">
        <f t="shared" ref="Q28:Q31" si="70">P28+N28+L28+J28+H28+F28+D28</f>
        <v>49</v>
      </c>
      <c r="R28" s="87">
        <f t="shared" ref="R28:R31" si="71">B28</f>
        <v>45890</v>
      </c>
      <c r="S28" s="347"/>
      <c r="T28" s="348"/>
      <c r="U28" s="347"/>
      <c r="V28" s="348"/>
      <c r="W28" s="434"/>
      <c r="X28" s="529"/>
      <c r="Y28" s="410">
        <v>16</v>
      </c>
      <c r="Z28" s="422">
        <v>187</v>
      </c>
      <c r="AA28" s="370"/>
      <c r="AB28" s="422"/>
      <c r="AC28" s="435"/>
      <c r="AD28" s="436"/>
      <c r="AE28" s="271"/>
      <c r="AF28" s="272"/>
      <c r="AG28" s="271"/>
      <c r="AH28" s="271"/>
      <c r="AI28" s="271"/>
      <c r="AJ28" s="272"/>
      <c r="AK28" s="270">
        <f t="shared" si="60"/>
        <v>187</v>
      </c>
      <c r="AL28" s="118">
        <f t="shared" si="1"/>
        <v>138</v>
      </c>
      <c r="AM28" s="87">
        <f t="shared" si="24"/>
        <v>45890</v>
      </c>
      <c r="AN28" s="400"/>
      <c r="AO28" s="178">
        <v>1691</v>
      </c>
      <c r="AP28" s="179">
        <f t="shared" si="25"/>
        <v>0</v>
      </c>
      <c r="AQ28" s="179">
        <v>1468</v>
      </c>
      <c r="AR28" s="179">
        <f t="shared" ref="AR28:AR39" si="72">IF(AR27+AF27-AY27-BM27&lt;0,0,AR27+AF27-AY27-BM27)</f>
        <v>0</v>
      </c>
      <c r="AS28" s="79">
        <f t="shared" si="26"/>
        <v>0</v>
      </c>
      <c r="AT28" s="79" t="e">
        <f>AT27+AJ27-#REF!</f>
        <v>#REF!</v>
      </c>
      <c r="AU28" s="400"/>
      <c r="AV28" s="79"/>
      <c r="AW28" s="79">
        <v>30</v>
      </c>
      <c r="AX28" s="79">
        <f>PVT!C28</f>
        <v>30</v>
      </c>
      <c r="AY28" s="79">
        <v>45</v>
      </c>
      <c r="AZ28" s="79"/>
      <c r="BA28" s="86"/>
      <c r="BC28" s="64">
        <f t="shared" si="28"/>
        <v>45890</v>
      </c>
      <c r="BD28" s="434"/>
      <c r="BE28" s="343"/>
      <c r="BF28" s="30" t="s">
        <v>206</v>
      </c>
      <c r="BG28" s="413">
        <v>191</v>
      </c>
      <c r="BH28" s="412"/>
      <c r="BI28" s="413"/>
      <c r="BJ28" s="414"/>
      <c r="BK28" s="415"/>
      <c r="BL28" s="410"/>
      <c r="BM28" s="411"/>
      <c r="BN28" s="411"/>
      <c r="BO28" s="411"/>
      <c r="BP28" s="30"/>
      <c r="BQ28" s="28"/>
      <c r="BR28" s="389">
        <f t="shared" si="35"/>
        <v>191</v>
      </c>
      <c r="BS28" s="388">
        <f t="shared" si="3"/>
        <v>45890</v>
      </c>
      <c r="BT28" s="54" t="s">
        <v>201</v>
      </c>
      <c r="BU28" s="343">
        <v>42</v>
      </c>
      <c r="BV28" s="264"/>
      <c r="BW28" s="264"/>
      <c r="BX28" s="264"/>
      <c r="BY28" s="391"/>
      <c r="BZ28" s="390"/>
      <c r="CA28" s="391"/>
      <c r="CB28" s="454"/>
      <c r="CC28" s="440"/>
      <c r="CD28" s="264"/>
      <c r="CE28" s="391"/>
      <c r="CF28" s="54" t="s">
        <v>200</v>
      </c>
      <c r="CG28" s="28">
        <v>164</v>
      </c>
      <c r="CH28" s="30">
        <v>1970</v>
      </c>
      <c r="CI28" s="422"/>
      <c r="CJ28" s="412"/>
      <c r="CK28" s="413"/>
      <c r="CL28" s="414"/>
      <c r="CM28" s="415"/>
      <c r="CN28" s="410"/>
      <c r="CO28" s="498"/>
      <c r="CP28" s="363"/>
      <c r="CQ28" s="410"/>
      <c r="CR28" s="410"/>
      <c r="CS28" s="411"/>
      <c r="CT28" s="387">
        <f t="shared" si="29"/>
        <v>206</v>
      </c>
      <c r="CU28" s="118">
        <f t="shared" si="4"/>
        <v>15</v>
      </c>
      <c r="CV28" s="388">
        <f t="shared" si="30"/>
        <v>45890</v>
      </c>
      <c r="CW28" s="178">
        <v>1000</v>
      </c>
      <c r="CX28" s="179">
        <v>827</v>
      </c>
      <c r="CY28" s="179"/>
      <c r="CZ28" s="179"/>
      <c r="DA28" s="179">
        <f t="shared" si="14"/>
        <v>0</v>
      </c>
      <c r="DB28" s="79"/>
      <c r="DC28" s="79"/>
      <c r="DD28" s="400">
        <v>161</v>
      </c>
      <c r="DE28" s="79">
        <v>191</v>
      </c>
      <c r="DF28" s="79"/>
      <c r="DG28" s="79"/>
      <c r="DH28" s="79">
        <v>222</v>
      </c>
      <c r="DI28" s="79"/>
      <c r="DJ28" s="86"/>
      <c r="DL28" s="64">
        <f t="shared" si="31"/>
        <v>45890</v>
      </c>
      <c r="DM28" s="54"/>
      <c r="DN28" s="28"/>
      <c r="DO28" s="412" t="s">
        <v>248</v>
      </c>
      <c r="DP28" s="28">
        <v>191</v>
      </c>
      <c r="DQ28" s="412"/>
      <c r="DR28" s="413"/>
      <c r="DS28" s="414"/>
      <c r="DT28" s="415"/>
      <c r="DU28" s="410"/>
      <c r="DV28" s="411"/>
      <c r="DW28" s="411"/>
      <c r="DX28" s="411"/>
      <c r="DY28" s="412"/>
      <c r="DZ28" s="28"/>
      <c r="EA28" s="389">
        <f t="shared" si="67"/>
        <v>191</v>
      </c>
      <c r="EB28" s="388">
        <f t="shared" si="68"/>
        <v>45890</v>
      </c>
      <c r="EC28" s="54" t="s">
        <v>215</v>
      </c>
      <c r="ED28" s="28">
        <v>189</v>
      </c>
      <c r="EE28" s="30"/>
      <c r="EF28" s="28"/>
      <c r="EG28" s="412"/>
      <c r="EH28" s="413"/>
      <c r="EI28" s="414"/>
      <c r="EJ28" s="416"/>
      <c r="EK28" s="410"/>
      <c r="EL28" s="411"/>
      <c r="EM28" s="410"/>
      <c r="EN28" s="410"/>
      <c r="EO28" s="410"/>
      <c r="EP28" s="411"/>
      <c r="EQ28" s="389">
        <f t="shared" si="36"/>
        <v>189</v>
      </c>
      <c r="ER28" s="118">
        <f t="shared" si="7"/>
        <v>-2</v>
      </c>
      <c r="ES28" s="87">
        <f t="shared" si="8"/>
        <v>45890</v>
      </c>
      <c r="ET28" s="178">
        <f t="shared" ref="ET28:ET39" si="73">IF(ET27+ED27-FA27&lt;0,0,ET27+ED27-FA27)</f>
        <v>400</v>
      </c>
      <c r="EU28" s="179">
        <f t="shared" ref="EU28:EU39" si="74">IF(EU27+EF27-FB27&lt;0,0,EU27+EF27-FB27)</f>
        <v>531</v>
      </c>
      <c r="EV28" s="79">
        <f t="shared" ref="EV28:EV38" si="75">EV27+EH27-FC27</f>
        <v>0</v>
      </c>
      <c r="EW28" s="79">
        <f t="shared" ref="EW28:EW38" si="76">EW27+EJ27-FD27</f>
        <v>1009</v>
      </c>
      <c r="EX28" s="79">
        <f t="shared" ref="EX28:EX39" si="77">IF(EX27+EL27-FE27&lt;0,0,EX27+EL27-FE27)</f>
        <v>0</v>
      </c>
      <c r="EY28" s="79">
        <f t="shared" si="33"/>
        <v>0</v>
      </c>
      <c r="EZ28" s="79">
        <f t="shared" si="34"/>
        <v>3134</v>
      </c>
      <c r="FA28" s="310">
        <v>220</v>
      </c>
      <c r="FB28" s="311">
        <v>193</v>
      </c>
      <c r="FC28" s="311"/>
      <c r="FD28" s="311"/>
      <c r="FE28" s="311">
        <v>221</v>
      </c>
      <c r="FF28" s="79"/>
      <c r="FG28" s="86"/>
    </row>
    <row r="29" spans="2:163">
      <c r="B29" s="64">
        <f t="shared" si="21"/>
        <v>45891</v>
      </c>
      <c r="C29" s="54"/>
      <c r="D29" s="322"/>
      <c r="E29" s="271"/>
      <c r="F29" s="422"/>
      <c r="G29" s="370"/>
      <c r="H29" s="422"/>
      <c r="I29" s="435"/>
      <c r="J29" s="436"/>
      <c r="K29" s="271"/>
      <c r="L29" s="272"/>
      <c r="M29" s="272"/>
      <c r="N29" s="272"/>
      <c r="O29" s="344"/>
      <c r="P29" s="343"/>
      <c r="Q29" s="269">
        <f t="shared" si="70"/>
        <v>0</v>
      </c>
      <c r="R29" s="87">
        <f t="shared" si="71"/>
        <v>45891</v>
      </c>
      <c r="S29" s="347"/>
      <c r="T29" s="348"/>
      <c r="U29" s="347"/>
      <c r="V29" s="348"/>
      <c r="W29" s="434"/>
      <c r="X29" s="529"/>
      <c r="Y29" s="271"/>
      <c r="Z29" s="422"/>
      <c r="AA29" s="370"/>
      <c r="AB29" s="422"/>
      <c r="AC29" s="435"/>
      <c r="AD29" s="445"/>
      <c r="AE29" s="271"/>
      <c r="AF29" s="272"/>
      <c r="AG29" s="271"/>
      <c r="AH29" s="271"/>
      <c r="AI29" s="271"/>
      <c r="AJ29" s="272"/>
      <c r="AK29" s="270">
        <f t="shared" si="60"/>
        <v>0</v>
      </c>
      <c r="AL29" s="118">
        <f t="shared" si="1"/>
        <v>0</v>
      </c>
      <c r="AM29" s="87">
        <f t="shared" si="24"/>
        <v>45891</v>
      </c>
      <c r="AN29" s="400"/>
      <c r="AO29" s="178">
        <f t="shared" si="65"/>
        <v>1657</v>
      </c>
      <c r="AP29" s="179">
        <f t="shared" si="25"/>
        <v>0</v>
      </c>
      <c r="AQ29" s="179">
        <v>1464</v>
      </c>
      <c r="AR29" s="179">
        <f t="shared" si="72"/>
        <v>0</v>
      </c>
      <c r="AS29" s="79">
        <f t="shared" si="26"/>
        <v>0</v>
      </c>
      <c r="AT29" s="79" t="e">
        <f t="shared" si="27"/>
        <v>#REF!</v>
      </c>
      <c r="AU29" s="400"/>
      <c r="AV29" s="79"/>
      <c r="AW29" s="79"/>
      <c r="AX29" s="79">
        <f>PVT!C29</f>
        <v>0</v>
      </c>
      <c r="AY29" s="79"/>
      <c r="AZ29" s="79"/>
      <c r="BA29" s="86"/>
      <c r="BC29" s="64">
        <f t="shared" si="28"/>
        <v>45891</v>
      </c>
      <c r="BD29" s="434">
        <v>1850</v>
      </c>
      <c r="BE29" s="343"/>
      <c r="BF29" s="30" t="s">
        <v>206</v>
      </c>
      <c r="BG29" s="413">
        <v>706</v>
      </c>
      <c r="BH29" s="412"/>
      <c r="BI29" s="413"/>
      <c r="BJ29" s="414"/>
      <c r="BK29" s="415"/>
      <c r="BL29" s="410"/>
      <c r="BM29" s="411"/>
      <c r="BN29" s="411"/>
      <c r="BO29" s="411"/>
      <c r="BP29" s="412"/>
      <c r="BQ29" s="28"/>
      <c r="BR29" s="389">
        <f t="shared" si="35"/>
        <v>706</v>
      </c>
      <c r="BS29" s="388">
        <f t="shared" si="3"/>
        <v>45891</v>
      </c>
      <c r="BT29" s="347"/>
      <c r="BU29" s="440"/>
      <c r="BV29" s="440"/>
      <c r="BW29" s="440"/>
      <c r="BX29" s="440"/>
      <c r="BY29" s="348"/>
      <c r="BZ29" s="347"/>
      <c r="CA29" s="348"/>
      <c r="CB29" s="54"/>
      <c r="CC29" s="440"/>
      <c r="CD29" s="440"/>
      <c r="CE29" s="348"/>
      <c r="CF29" s="54" t="s">
        <v>200</v>
      </c>
      <c r="CG29" s="28">
        <v>272</v>
      </c>
      <c r="CH29" s="30" t="s">
        <v>205</v>
      </c>
      <c r="CI29" s="422">
        <v>307</v>
      </c>
      <c r="CJ29" s="412"/>
      <c r="CK29" s="413"/>
      <c r="CL29" s="414"/>
      <c r="CM29" s="415"/>
      <c r="CN29" s="410"/>
      <c r="CO29" s="498"/>
      <c r="CP29" s="363"/>
      <c r="CQ29" s="410"/>
      <c r="CR29" s="410"/>
      <c r="CS29" s="411"/>
      <c r="CT29" s="387">
        <f t="shared" si="29"/>
        <v>579</v>
      </c>
      <c r="CU29" s="118">
        <f t="shared" si="4"/>
        <v>-127</v>
      </c>
      <c r="CV29" s="388">
        <f t="shared" si="30"/>
        <v>45891</v>
      </c>
      <c r="CW29" s="178">
        <v>1007</v>
      </c>
      <c r="CX29" s="179">
        <f t="shared" ref="CX29:CX39" si="78">IF(CX28+CI28+0.15*CK28-DE28-DP28&lt;=0,0,CX28+CI28+0.15*CK28-DE28-DP28)</f>
        <v>445</v>
      </c>
      <c r="CY29" s="179"/>
      <c r="CZ29" s="179"/>
      <c r="DA29" s="179">
        <v>1242</v>
      </c>
      <c r="DB29" s="79"/>
      <c r="DC29" s="79"/>
      <c r="DD29" s="400">
        <v>222</v>
      </c>
      <c r="DE29" s="79">
        <v>314</v>
      </c>
      <c r="DF29" s="79"/>
      <c r="DG29" s="79"/>
      <c r="DH29" s="79">
        <v>222</v>
      </c>
      <c r="DI29" s="79"/>
      <c r="DJ29" s="86"/>
      <c r="DL29" s="64">
        <f t="shared" si="31"/>
        <v>45891</v>
      </c>
      <c r="DM29" s="54"/>
      <c r="DN29" s="28"/>
      <c r="DO29" s="412"/>
      <c r="DP29" s="28"/>
      <c r="DQ29" s="412"/>
      <c r="DR29" s="413"/>
      <c r="DS29" s="414"/>
      <c r="DT29" s="415"/>
      <c r="DU29" s="410"/>
      <c r="DV29" s="411"/>
      <c r="DW29" s="411"/>
      <c r="DX29" s="411"/>
      <c r="DY29" s="412"/>
      <c r="DZ29" s="28"/>
      <c r="EA29" s="389">
        <f t="shared" si="67"/>
        <v>0</v>
      </c>
      <c r="EB29" s="388">
        <f t="shared" si="68"/>
        <v>45891</v>
      </c>
      <c r="EC29" s="54" t="s">
        <v>215</v>
      </c>
      <c r="ED29" s="28">
        <v>25</v>
      </c>
      <c r="EE29" s="30"/>
      <c r="EF29" s="28"/>
      <c r="EG29" s="412"/>
      <c r="EH29" s="413"/>
      <c r="EI29" s="414"/>
      <c r="EJ29" s="416"/>
      <c r="EK29" s="410"/>
      <c r="EL29" s="411"/>
      <c r="EM29" s="410"/>
      <c r="EN29" s="410"/>
      <c r="EO29" s="410"/>
      <c r="EP29" s="411"/>
      <c r="EQ29" s="389">
        <f>EP29+EN29+EL29+EJ29+EH29+EF29+ED29</f>
        <v>25</v>
      </c>
      <c r="ER29" s="118">
        <f t="shared" si="7"/>
        <v>25</v>
      </c>
      <c r="ES29" s="87">
        <f t="shared" si="8"/>
        <v>45891</v>
      </c>
      <c r="ET29" s="178">
        <f t="shared" si="73"/>
        <v>369</v>
      </c>
      <c r="EU29" s="179">
        <f t="shared" si="74"/>
        <v>338</v>
      </c>
      <c r="EV29" s="79">
        <f t="shared" si="75"/>
        <v>0</v>
      </c>
      <c r="EW29" s="79">
        <f t="shared" si="76"/>
        <v>1009</v>
      </c>
      <c r="EX29" s="79">
        <f t="shared" si="77"/>
        <v>0</v>
      </c>
      <c r="EY29" s="79">
        <f t="shared" si="33"/>
        <v>0</v>
      </c>
      <c r="EZ29" s="79">
        <f t="shared" si="34"/>
        <v>3134</v>
      </c>
      <c r="FA29" s="310">
        <v>204</v>
      </c>
      <c r="FB29" s="311">
        <v>215</v>
      </c>
      <c r="FC29" s="311"/>
      <c r="FD29" s="311"/>
      <c r="FE29" s="311">
        <v>181</v>
      </c>
      <c r="FF29" s="79"/>
      <c r="FG29" s="86"/>
    </row>
    <row r="30" spans="2:163">
      <c r="B30" s="64">
        <f t="shared" si="21"/>
        <v>45892</v>
      </c>
      <c r="C30" s="54"/>
      <c r="D30" s="322"/>
      <c r="E30" s="530"/>
      <c r="F30" s="422"/>
      <c r="G30" s="370"/>
      <c r="H30" s="422"/>
      <c r="I30" s="435"/>
      <c r="J30" s="436"/>
      <c r="K30" s="271"/>
      <c r="L30" s="272"/>
      <c r="M30" s="272"/>
      <c r="N30" s="272"/>
      <c r="O30" s="344"/>
      <c r="P30" s="343"/>
      <c r="Q30" s="269">
        <f t="shared" si="70"/>
        <v>0</v>
      </c>
      <c r="R30" s="87">
        <f t="shared" si="71"/>
        <v>45892</v>
      </c>
      <c r="S30" s="347"/>
      <c r="T30" s="348"/>
      <c r="U30" s="347"/>
      <c r="V30" s="348"/>
      <c r="W30" s="434"/>
      <c r="X30" s="529"/>
      <c r="Y30" s="271"/>
      <c r="Z30" s="422"/>
      <c r="AA30" s="370"/>
      <c r="AB30" s="422"/>
      <c r="AC30" s="435"/>
      <c r="AD30" s="445"/>
      <c r="AE30" s="271"/>
      <c r="AF30" s="272"/>
      <c r="AG30" s="271"/>
      <c r="AH30" s="271"/>
      <c r="AI30" s="271"/>
      <c r="AJ30" s="272"/>
      <c r="AK30" s="270">
        <f t="shared" si="60"/>
        <v>0</v>
      </c>
      <c r="AL30" s="118">
        <f t="shared" si="1"/>
        <v>0</v>
      </c>
      <c r="AM30" s="87">
        <f t="shared" si="24"/>
        <v>45892</v>
      </c>
      <c r="AN30" s="400"/>
      <c r="AO30" s="178">
        <f t="shared" si="65"/>
        <v>951</v>
      </c>
      <c r="AP30" s="179">
        <f t="shared" si="25"/>
        <v>0</v>
      </c>
      <c r="AQ30" s="179">
        <f t="shared" si="66"/>
        <v>758</v>
      </c>
      <c r="AR30" s="179">
        <f t="shared" si="72"/>
        <v>0</v>
      </c>
      <c r="AS30" s="79">
        <f t="shared" si="26"/>
        <v>0</v>
      </c>
      <c r="AT30" s="79" t="e">
        <f t="shared" si="27"/>
        <v>#REF!</v>
      </c>
      <c r="AU30" s="400"/>
      <c r="AV30" s="79"/>
      <c r="AW30" s="79"/>
      <c r="AX30" s="79">
        <f>PVT!C30</f>
        <v>0</v>
      </c>
      <c r="AY30" s="79"/>
      <c r="AZ30" s="79"/>
      <c r="BA30" s="86"/>
      <c r="BC30" s="64">
        <f t="shared" si="28"/>
        <v>45892</v>
      </c>
      <c r="BD30" s="434" t="s">
        <v>202</v>
      </c>
      <c r="BE30" s="343">
        <v>655</v>
      </c>
      <c r="BF30" s="30" t="s">
        <v>206</v>
      </c>
      <c r="BG30" s="413">
        <v>18</v>
      </c>
      <c r="BH30" s="412"/>
      <c r="BI30" s="413"/>
      <c r="BJ30" s="414"/>
      <c r="BK30" s="415"/>
      <c r="BL30" s="410"/>
      <c r="BM30" s="411"/>
      <c r="BN30" s="411"/>
      <c r="BO30" s="411"/>
      <c r="BP30" s="30"/>
      <c r="BQ30" s="28"/>
      <c r="BR30" s="389">
        <f t="shared" si="35"/>
        <v>673</v>
      </c>
      <c r="BS30" s="388">
        <f t="shared" si="3"/>
        <v>45892</v>
      </c>
      <c r="BT30" s="455"/>
      <c r="BU30" s="343"/>
      <c r="BV30" s="30" t="s">
        <v>206</v>
      </c>
      <c r="BW30" s="422">
        <v>58</v>
      </c>
      <c r="BX30" s="440"/>
      <c r="BY30" s="348"/>
      <c r="BZ30" s="347"/>
      <c r="CA30" s="348"/>
      <c r="CB30" s="434"/>
      <c r="CC30" s="440"/>
      <c r="CD30" s="440"/>
      <c r="CE30" s="348"/>
      <c r="CF30" s="54"/>
      <c r="CG30" s="28"/>
      <c r="CH30" s="30" t="s">
        <v>205</v>
      </c>
      <c r="CI30" s="422">
        <v>566</v>
      </c>
      <c r="CJ30" s="370"/>
      <c r="CK30" s="422"/>
      <c r="CL30" s="435"/>
      <c r="CM30" s="436"/>
      <c r="CN30" s="271"/>
      <c r="CO30" s="499"/>
      <c r="CP30" s="363"/>
      <c r="CQ30" s="410"/>
      <c r="CR30" s="410"/>
      <c r="CS30" s="411"/>
      <c r="CT30" s="387">
        <f t="shared" si="29"/>
        <v>624</v>
      </c>
      <c r="CU30" s="118">
        <f t="shared" si="4"/>
        <v>-49</v>
      </c>
      <c r="CV30" s="388">
        <f t="shared" si="30"/>
        <v>45892</v>
      </c>
      <c r="CW30" s="178">
        <f t="shared" si="37"/>
        <v>1057</v>
      </c>
      <c r="CX30" s="179">
        <f t="shared" si="78"/>
        <v>438</v>
      </c>
      <c r="CY30" s="179"/>
      <c r="CZ30" s="179"/>
      <c r="DA30" s="179">
        <f t="shared" ref="DA30:DA39" si="79">IF(DA29+CO29-DH29-DV29+0.85*CK29&lt;=0,0,DA29+CO29-DH29-DV29+0.85*CK29)</f>
        <v>1020</v>
      </c>
      <c r="DB30" s="79"/>
      <c r="DC30" s="79"/>
      <c r="DD30" s="400"/>
      <c r="DE30" s="79">
        <v>250</v>
      </c>
      <c r="DF30" s="79"/>
      <c r="DG30" s="79"/>
      <c r="DH30" s="79">
        <v>141</v>
      </c>
      <c r="DI30" s="79"/>
      <c r="DJ30" s="86"/>
      <c r="DL30" s="64">
        <f t="shared" si="31"/>
        <v>45892</v>
      </c>
      <c r="DM30" s="54"/>
      <c r="DN30" s="28"/>
      <c r="DO30" s="412" t="s">
        <v>248</v>
      </c>
      <c r="DP30" s="28">
        <v>68</v>
      </c>
      <c r="DQ30" s="412"/>
      <c r="DR30" s="413"/>
      <c r="DS30" s="414"/>
      <c r="DT30" s="415"/>
      <c r="DU30" s="410"/>
      <c r="DV30" s="411"/>
      <c r="DW30" s="411"/>
      <c r="DX30" s="411"/>
      <c r="DY30" s="412"/>
      <c r="DZ30" s="28"/>
      <c r="EA30" s="389">
        <f t="shared" si="67"/>
        <v>68</v>
      </c>
      <c r="EB30" s="388">
        <f t="shared" si="68"/>
        <v>45892</v>
      </c>
      <c r="EC30" s="54" t="s">
        <v>215</v>
      </c>
      <c r="ED30" s="28">
        <v>62</v>
      </c>
      <c r="EE30" s="412"/>
      <c r="EF30" s="28"/>
      <c r="EG30" s="412"/>
      <c r="EH30" s="413"/>
      <c r="EI30" s="414"/>
      <c r="EJ30" s="416"/>
      <c r="EK30" s="410"/>
      <c r="EL30" s="411"/>
      <c r="EM30" s="410"/>
      <c r="EN30" s="410"/>
      <c r="EO30" s="410"/>
      <c r="EP30" s="411"/>
      <c r="EQ30" s="389">
        <f t="shared" si="36"/>
        <v>62</v>
      </c>
      <c r="ER30" s="118">
        <f t="shared" si="7"/>
        <v>-6</v>
      </c>
      <c r="ES30" s="87">
        <f t="shared" si="8"/>
        <v>45892</v>
      </c>
      <c r="ET30" s="178">
        <f t="shared" si="73"/>
        <v>190</v>
      </c>
      <c r="EU30" s="179">
        <f>IF(EU29+EF29-FB29&lt;0,0,EU29+EF29-FB29)</f>
        <v>123</v>
      </c>
      <c r="EV30" s="79">
        <f t="shared" si="75"/>
        <v>0</v>
      </c>
      <c r="EW30" s="79">
        <f t="shared" si="76"/>
        <v>1009</v>
      </c>
      <c r="EX30" s="79">
        <f t="shared" si="77"/>
        <v>0</v>
      </c>
      <c r="EY30" s="79">
        <f t="shared" si="33"/>
        <v>0</v>
      </c>
      <c r="EZ30" s="79">
        <f t="shared" si="34"/>
        <v>3134</v>
      </c>
      <c r="FA30" s="310"/>
      <c r="FB30" s="311">
        <v>337</v>
      </c>
      <c r="FC30" s="311"/>
      <c r="FD30" s="311"/>
      <c r="FE30" s="311">
        <v>263</v>
      </c>
      <c r="FF30" s="79"/>
      <c r="FG30" s="86"/>
    </row>
    <row r="31" spans="2:163">
      <c r="B31" s="64">
        <f t="shared" si="21"/>
        <v>45893</v>
      </c>
      <c r="C31" s="54"/>
      <c r="D31" s="322"/>
      <c r="E31" s="327"/>
      <c r="F31" s="413"/>
      <c r="G31" s="412"/>
      <c r="H31" s="413"/>
      <c r="I31" s="414"/>
      <c r="J31" s="415"/>
      <c r="K31" s="410"/>
      <c r="L31" s="411"/>
      <c r="M31" s="411"/>
      <c r="N31" s="411"/>
      <c r="O31" s="30"/>
      <c r="P31" s="28"/>
      <c r="Q31" s="389">
        <f t="shared" si="70"/>
        <v>0</v>
      </c>
      <c r="R31" s="388">
        <f t="shared" si="71"/>
        <v>45893</v>
      </c>
      <c r="S31" s="390"/>
      <c r="T31" s="391"/>
      <c r="U31" s="390"/>
      <c r="V31" s="391"/>
      <c r="W31" s="54"/>
      <c r="X31" s="395"/>
      <c r="Y31" s="410"/>
      <c r="Z31" s="413"/>
      <c r="AA31" s="412"/>
      <c r="AB31" s="413"/>
      <c r="AC31" s="414"/>
      <c r="AD31" s="416"/>
      <c r="AE31" s="410"/>
      <c r="AF31" s="411"/>
      <c r="AG31" s="410"/>
      <c r="AH31" s="410"/>
      <c r="AI31" s="410"/>
      <c r="AJ31" s="411"/>
      <c r="AK31" s="387">
        <f t="shared" si="60"/>
        <v>0</v>
      </c>
      <c r="AL31" s="118">
        <f t="shared" si="1"/>
        <v>0</v>
      </c>
      <c r="AM31" s="87">
        <f t="shared" si="24"/>
        <v>45893</v>
      </c>
      <c r="AN31" s="400"/>
      <c r="AO31" s="178">
        <f t="shared" si="65"/>
        <v>933</v>
      </c>
      <c r="AP31" s="179">
        <f t="shared" si="25"/>
        <v>0</v>
      </c>
      <c r="AQ31" s="179">
        <f t="shared" si="66"/>
        <v>740</v>
      </c>
      <c r="AR31" s="179">
        <f t="shared" si="72"/>
        <v>0</v>
      </c>
      <c r="AS31" s="79">
        <f t="shared" si="26"/>
        <v>0</v>
      </c>
      <c r="AT31" s="79" t="e">
        <f t="shared" si="27"/>
        <v>#REF!</v>
      </c>
      <c r="AU31" s="400">
        <v>240</v>
      </c>
      <c r="AV31" s="79"/>
      <c r="AW31" s="79">
        <v>30</v>
      </c>
      <c r="AX31" s="79">
        <f>PVT!C31</f>
        <v>0</v>
      </c>
      <c r="AY31" s="79">
        <v>45</v>
      </c>
      <c r="AZ31" s="79"/>
      <c r="BA31" s="86"/>
      <c r="BC31" s="64">
        <f t="shared" si="28"/>
        <v>45893</v>
      </c>
      <c r="BD31" s="434" t="s">
        <v>202</v>
      </c>
      <c r="BE31" s="343">
        <v>613</v>
      </c>
      <c r="BF31" s="344"/>
      <c r="BG31" s="422"/>
      <c r="BH31" s="412"/>
      <c r="BI31" s="413"/>
      <c r="BJ31" s="414"/>
      <c r="BK31" s="415"/>
      <c r="BL31" s="410"/>
      <c r="BM31" s="411"/>
      <c r="BN31" s="411"/>
      <c r="BO31" s="411"/>
      <c r="BP31" s="30"/>
      <c r="BQ31" s="28"/>
      <c r="BR31" s="389">
        <f>BQ31+BO31+BM31+BK31+BI31+BG31+BE31</f>
        <v>613</v>
      </c>
      <c r="BS31" s="388">
        <f t="shared" si="3"/>
        <v>45893</v>
      </c>
      <c r="BT31" s="347"/>
      <c r="BU31" s="440"/>
      <c r="BV31" s="30" t="s">
        <v>206</v>
      </c>
      <c r="BW31" s="422">
        <v>54</v>
      </c>
      <c r="BX31" s="440"/>
      <c r="BY31" s="348"/>
      <c r="BZ31" s="347"/>
      <c r="CA31" s="348"/>
      <c r="CB31" s="434"/>
      <c r="CC31" s="440"/>
      <c r="CD31" s="440"/>
      <c r="CE31" s="348"/>
      <c r="CF31" s="54">
        <v>1750</v>
      </c>
      <c r="CG31" s="343"/>
      <c r="CH31" s="30" t="s">
        <v>205</v>
      </c>
      <c r="CI31" s="422">
        <v>553</v>
      </c>
      <c r="CJ31" s="370"/>
      <c r="CK31" s="422"/>
      <c r="CL31" s="435"/>
      <c r="CM31" s="436"/>
      <c r="CN31" s="271"/>
      <c r="CO31" s="499"/>
      <c r="CP31" s="363"/>
      <c r="CQ31" s="410"/>
      <c r="CR31" s="410"/>
      <c r="CS31" s="411"/>
      <c r="CT31" s="387">
        <f t="shared" si="29"/>
        <v>607</v>
      </c>
      <c r="CU31" s="118">
        <f t="shared" si="4"/>
        <v>-6</v>
      </c>
      <c r="CV31" s="388">
        <f t="shared" si="30"/>
        <v>45893</v>
      </c>
      <c r="CW31" s="178">
        <v>1090</v>
      </c>
      <c r="CX31" s="179">
        <v>691</v>
      </c>
      <c r="CY31" s="179"/>
      <c r="CZ31" s="179"/>
      <c r="DA31" s="179">
        <f t="shared" si="79"/>
        <v>879</v>
      </c>
      <c r="DB31" s="79"/>
      <c r="DC31" s="79"/>
      <c r="DD31" s="400"/>
      <c r="DE31" s="79"/>
      <c r="DF31" s="79"/>
      <c r="DG31" s="79"/>
      <c r="DH31" s="79"/>
      <c r="DI31" s="79"/>
      <c r="DJ31" s="86"/>
      <c r="DL31" s="64">
        <f t="shared" si="31"/>
        <v>45893</v>
      </c>
      <c r="DM31" s="54" t="s">
        <v>216</v>
      </c>
      <c r="DN31" s="28">
        <v>85</v>
      </c>
      <c r="DO31" s="412" t="s">
        <v>248</v>
      </c>
      <c r="DP31" s="28">
        <v>235</v>
      </c>
      <c r="DQ31" s="412"/>
      <c r="DR31" s="413"/>
      <c r="DS31" s="414"/>
      <c r="DT31" s="415"/>
      <c r="DU31" s="410"/>
      <c r="DV31" s="411"/>
      <c r="DW31" s="411"/>
      <c r="DX31" s="411"/>
      <c r="DY31" s="412"/>
      <c r="DZ31" s="28"/>
      <c r="EA31" s="389">
        <f t="shared" ref="EA31:EA32" si="80">DZ31+DX31+DV31+DT31+DR31+DP31+DN31</f>
        <v>320</v>
      </c>
      <c r="EB31" s="388">
        <f t="shared" ref="EB31:EB32" si="81">DL31</f>
        <v>45893</v>
      </c>
      <c r="EC31" s="54" t="s">
        <v>216</v>
      </c>
      <c r="ED31" s="28">
        <v>190</v>
      </c>
      <c r="EE31" s="412" t="s">
        <v>248</v>
      </c>
      <c r="EF31" s="28">
        <v>99</v>
      </c>
      <c r="EG31" s="412"/>
      <c r="EH31" s="413"/>
      <c r="EI31" s="414"/>
      <c r="EJ31" s="416"/>
      <c r="EK31" s="410"/>
      <c r="EL31" s="411"/>
      <c r="EM31" s="410"/>
      <c r="EN31" s="410"/>
      <c r="EO31" s="410"/>
      <c r="EP31" s="411"/>
      <c r="EQ31" s="389">
        <f t="shared" si="36"/>
        <v>289</v>
      </c>
      <c r="ER31" s="118">
        <f t="shared" si="7"/>
        <v>-31</v>
      </c>
      <c r="ES31" s="87">
        <f t="shared" si="8"/>
        <v>45893</v>
      </c>
      <c r="ET31" s="178">
        <f t="shared" si="73"/>
        <v>252</v>
      </c>
      <c r="EU31" s="179">
        <v>651</v>
      </c>
      <c r="EV31" s="79">
        <f t="shared" si="75"/>
        <v>0</v>
      </c>
      <c r="EW31" s="79">
        <f t="shared" si="76"/>
        <v>1009</v>
      </c>
      <c r="EX31" s="79">
        <f t="shared" si="77"/>
        <v>0</v>
      </c>
      <c r="EY31" s="79">
        <f t="shared" si="33"/>
        <v>0</v>
      </c>
      <c r="EZ31" s="79">
        <f t="shared" si="34"/>
        <v>3134</v>
      </c>
      <c r="FA31" s="310"/>
      <c r="FB31" s="311"/>
      <c r="FC31" s="311"/>
      <c r="FD31" s="311"/>
      <c r="FE31" s="311"/>
      <c r="FF31" s="79"/>
      <c r="FG31" s="86"/>
    </row>
    <row r="32" spans="2:163">
      <c r="B32" s="64">
        <f t="shared" si="21"/>
        <v>45894</v>
      </c>
      <c r="C32" s="54"/>
      <c r="D32" s="322"/>
      <c r="E32" s="410">
        <v>16</v>
      </c>
      <c r="F32" s="413">
        <v>410</v>
      </c>
      <c r="G32" s="412"/>
      <c r="H32" s="413"/>
      <c r="I32" s="414"/>
      <c r="J32" s="415"/>
      <c r="K32" s="410"/>
      <c r="L32" s="411"/>
      <c r="M32" s="411"/>
      <c r="N32" s="411"/>
      <c r="O32" s="30"/>
      <c r="P32" s="28"/>
      <c r="Q32" s="389">
        <f t="shared" si="0"/>
        <v>410</v>
      </c>
      <c r="R32" s="388">
        <f t="shared" si="22"/>
        <v>45894</v>
      </c>
      <c r="S32" s="390"/>
      <c r="T32" s="391"/>
      <c r="U32" s="390"/>
      <c r="V32" s="391"/>
      <c r="W32" s="54"/>
      <c r="X32" s="395"/>
      <c r="Y32" s="410">
        <v>16</v>
      </c>
      <c r="Z32" s="413">
        <v>217</v>
      </c>
      <c r="AA32" s="412"/>
      <c r="AB32" s="413"/>
      <c r="AC32" s="414"/>
      <c r="AD32" s="416"/>
      <c r="AE32" s="410"/>
      <c r="AF32" s="411"/>
      <c r="AG32" s="410"/>
      <c r="AH32" s="410"/>
      <c r="AI32" s="410"/>
      <c r="AJ32" s="411"/>
      <c r="AK32" s="387">
        <f t="shared" si="60"/>
        <v>217</v>
      </c>
      <c r="AL32" s="118">
        <f t="shared" si="1"/>
        <v>-193</v>
      </c>
      <c r="AM32" s="87">
        <f t="shared" si="24"/>
        <v>45894</v>
      </c>
      <c r="AN32" s="400"/>
      <c r="AO32" s="178">
        <v>871</v>
      </c>
      <c r="AP32" s="179">
        <f t="shared" si="25"/>
        <v>0</v>
      </c>
      <c r="AQ32" s="179">
        <v>631</v>
      </c>
      <c r="AR32" s="179">
        <f t="shared" si="72"/>
        <v>0</v>
      </c>
      <c r="AS32" s="79">
        <f t="shared" si="26"/>
        <v>0</v>
      </c>
      <c r="AT32" s="79" t="e">
        <f t="shared" si="27"/>
        <v>#REF!</v>
      </c>
      <c r="AU32" s="400"/>
      <c r="AV32" s="79"/>
      <c r="AW32" s="79">
        <v>30</v>
      </c>
      <c r="AX32" s="79">
        <f>PVT!C32</f>
        <v>0</v>
      </c>
      <c r="AY32" s="79">
        <v>45</v>
      </c>
      <c r="AZ32" s="79"/>
      <c r="BA32" s="336">
        <v>650</v>
      </c>
      <c r="BC32" s="64">
        <f t="shared" si="28"/>
        <v>45894</v>
      </c>
      <c r="BD32" s="434" t="s">
        <v>202</v>
      </c>
      <c r="BE32" s="343">
        <v>520</v>
      </c>
      <c r="BF32" s="344">
        <v>1500</v>
      </c>
      <c r="BG32" s="413"/>
      <c r="BH32" s="29"/>
      <c r="BI32" s="413"/>
      <c r="BJ32" s="414"/>
      <c r="BK32" s="415"/>
      <c r="BL32" s="410"/>
      <c r="BM32" s="411"/>
      <c r="BN32" s="411"/>
      <c r="BO32" s="411"/>
      <c r="BP32" s="30"/>
      <c r="BQ32" s="28"/>
      <c r="BR32" s="389">
        <f t="shared" ref="BR32:BR38" si="82">BQ32+BO32+BM32+BK32+BI32+BG32+BE32</f>
        <v>520</v>
      </c>
      <c r="BS32" s="388">
        <f t="shared" si="3"/>
        <v>45894</v>
      </c>
      <c r="BT32" s="347"/>
      <c r="BU32" s="440"/>
      <c r="BV32" s="30" t="s">
        <v>206</v>
      </c>
      <c r="BW32" s="422">
        <v>22</v>
      </c>
      <c r="BX32" s="264"/>
      <c r="BY32" s="391"/>
      <c r="BZ32" s="390"/>
      <c r="CA32" s="391"/>
      <c r="CB32" s="54" t="s">
        <v>201</v>
      </c>
      <c r="CC32" s="264">
        <v>58</v>
      </c>
      <c r="CD32" s="264"/>
      <c r="CE32" s="391"/>
      <c r="CF32" s="54"/>
      <c r="CG32" s="343"/>
      <c r="CH32" s="30" t="s">
        <v>205</v>
      </c>
      <c r="CI32" s="413">
        <v>491</v>
      </c>
      <c r="CJ32" s="370"/>
      <c r="CK32" s="422"/>
      <c r="CL32" s="435"/>
      <c r="CM32" s="436"/>
      <c r="CN32" s="271"/>
      <c r="CO32" s="499"/>
      <c r="CP32" s="363"/>
      <c r="CQ32" s="410"/>
      <c r="CR32" s="410"/>
      <c r="CS32" s="411"/>
      <c r="CT32" s="387">
        <f t="shared" si="29"/>
        <v>571</v>
      </c>
      <c r="CU32" s="118">
        <f t="shared" si="4"/>
        <v>51</v>
      </c>
      <c r="CV32" s="388">
        <f t="shared" si="30"/>
        <v>45894</v>
      </c>
      <c r="CW32" s="178">
        <f t="shared" ref="CW32:CW39" si="83">IF(CW31+CG31-DN31-DD31&lt;=0,0,CW31+CG31-DN31-DD31)</f>
        <v>1005</v>
      </c>
      <c r="CX32" s="179">
        <f t="shared" si="78"/>
        <v>1009</v>
      </c>
      <c r="CY32" s="179"/>
      <c r="CZ32" s="179"/>
      <c r="DA32" s="179">
        <v>964</v>
      </c>
      <c r="DB32" s="79"/>
      <c r="DC32" s="79"/>
      <c r="DD32" s="400">
        <v>153</v>
      </c>
      <c r="DE32" s="79">
        <v>331</v>
      </c>
      <c r="DF32" s="79"/>
      <c r="DG32" s="79"/>
      <c r="DH32" s="79">
        <v>210</v>
      </c>
      <c r="DI32" s="79"/>
      <c r="DJ32" s="86"/>
      <c r="DL32" s="64">
        <f t="shared" si="31"/>
        <v>45894</v>
      </c>
      <c r="DM32" s="54" t="s">
        <v>216</v>
      </c>
      <c r="DN32" s="28">
        <v>218</v>
      </c>
      <c r="DO32" s="30"/>
      <c r="DP32" s="28"/>
      <c r="DQ32" s="412"/>
      <c r="DR32" s="413"/>
      <c r="DS32" s="414"/>
      <c r="DT32" s="415"/>
      <c r="DU32" s="410"/>
      <c r="DV32" s="411"/>
      <c r="DW32" s="411"/>
      <c r="DX32" s="411"/>
      <c r="DY32" s="412"/>
      <c r="DZ32" s="28"/>
      <c r="EA32" s="389">
        <f t="shared" si="80"/>
        <v>218</v>
      </c>
      <c r="EB32" s="388">
        <f t="shared" si="81"/>
        <v>45894</v>
      </c>
      <c r="EC32" s="54"/>
      <c r="ED32" s="28"/>
      <c r="EE32" s="412" t="s">
        <v>248</v>
      </c>
      <c r="EF32" s="28">
        <v>207</v>
      </c>
      <c r="EG32" s="412"/>
      <c r="EH32" s="413"/>
      <c r="EI32" s="414"/>
      <c r="EJ32" s="416"/>
      <c r="EK32" s="410"/>
      <c r="EL32" s="411"/>
      <c r="EM32" s="410"/>
      <c r="EN32" s="410"/>
      <c r="EO32" s="410"/>
      <c r="EP32" s="411"/>
      <c r="EQ32" s="389">
        <f t="shared" si="36"/>
        <v>207</v>
      </c>
      <c r="ER32" s="118">
        <f t="shared" si="7"/>
        <v>-11</v>
      </c>
      <c r="ES32" s="87">
        <f t="shared" si="8"/>
        <v>45894</v>
      </c>
      <c r="ET32" s="178">
        <f t="shared" si="73"/>
        <v>442</v>
      </c>
      <c r="EU32" s="179">
        <v>535</v>
      </c>
      <c r="EV32" s="79">
        <f t="shared" si="75"/>
        <v>0</v>
      </c>
      <c r="EW32" s="79">
        <f t="shared" si="76"/>
        <v>1009</v>
      </c>
      <c r="EX32" s="79">
        <f t="shared" si="77"/>
        <v>0</v>
      </c>
      <c r="EY32" s="79">
        <f t="shared" si="33"/>
        <v>0</v>
      </c>
      <c r="EZ32" s="79">
        <f t="shared" si="34"/>
        <v>3134</v>
      </c>
      <c r="FA32" s="310">
        <v>241</v>
      </c>
      <c r="FB32" s="311">
        <v>337</v>
      </c>
      <c r="FC32" s="311"/>
      <c r="FD32" s="311"/>
      <c r="FE32" s="311">
        <v>263</v>
      </c>
      <c r="FF32" s="79"/>
      <c r="FG32" s="86"/>
    </row>
    <row r="33" spans="2:163">
      <c r="B33" s="64">
        <f t="shared" si="21"/>
        <v>45895</v>
      </c>
      <c r="C33" s="54"/>
      <c r="D33" s="322"/>
      <c r="E33" s="410">
        <v>16</v>
      </c>
      <c r="F33" s="413">
        <v>589</v>
      </c>
      <c r="G33" s="412"/>
      <c r="H33" s="413"/>
      <c r="I33" s="414"/>
      <c r="J33" s="415"/>
      <c r="K33" s="410"/>
      <c r="L33" s="411"/>
      <c r="M33" s="411"/>
      <c r="N33" s="411"/>
      <c r="O33" s="30"/>
      <c r="P33" s="28"/>
      <c r="Q33" s="389">
        <f t="shared" si="0"/>
        <v>589</v>
      </c>
      <c r="R33" s="388">
        <f t="shared" si="22"/>
        <v>45895</v>
      </c>
      <c r="S33" s="390"/>
      <c r="T33" s="391"/>
      <c r="U33" s="390"/>
      <c r="V33" s="391"/>
      <c r="W33" s="54"/>
      <c r="X33" s="395"/>
      <c r="Y33" s="410">
        <v>16</v>
      </c>
      <c r="Z33" s="413">
        <v>601</v>
      </c>
      <c r="AA33" s="412"/>
      <c r="AB33" s="413"/>
      <c r="AC33" s="414"/>
      <c r="AD33" s="416"/>
      <c r="AE33" s="410"/>
      <c r="AF33" s="411"/>
      <c r="AG33" s="410"/>
      <c r="AH33" s="410"/>
      <c r="AI33" s="410"/>
      <c r="AJ33" s="411"/>
      <c r="AK33" s="387">
        <f t="shared" si="60"/>
        <v>601</v>
      </c>
      <c r="AL33" s="118">
        <f t="shared" si="1"/>
        <v>12</v>
      </c>
      <c r="AM33" s="87">
        <f t="shared" si="24"/>
        <v>45895</v>
      </c>
      <c r="AN33" s="400"/>
      <c r="AO33" s="178">
        <v>1063</v>
      </c>
      <c r="AP33" s="179">
        <f t="shared" si="25"/>
        <v>0</v>
      </c>
      <c r="AQ33" s="179">
        <f t="shared" si="66"/>
        <v>848</v>
      </c>
      <c r="AR33" s="179">
        <f t="shared" si="72"/>
        <v>0</v>
      </c>
      <c r="AS33" s="79">
        <f t="shared" si="26"/>
        <v>0</v>
      </c>
      <c r="AT33" s="79" t="e">
        <f t="shared" si="27"/>
        <v>#REF!</v>
      </c>
      <c r="AU33" s="400"/>
      <c r="AV33" s="79"/>
      <c r="AW33" s="79">
        <v>30</v>
      </c>
      <c r="AX33" s="79">
        <f>PVT!C33</f>
        <v>0</v>
      </c>
      <c r="AY33" s="79">
        <v>45</v>
      </c>
      <c r="AZ33" s="79"/>
      <c r="BA33" s="86"/>
      <c r="BC33" s="64">
        <f t="shared" si="28"/>
        <v>45895</v>
      </c>
      <c r="BD33" s="434" t="s">
        <v>202</v>
      </c>
      <c r="BE33" s="343">
        <v>63</v>
      </c>
      <c r="BF33" s="344" t="s">
        <v>207</v>
      </c>
      <c r="BG33" s="413">
        <v>608</v>
      </c>
      <c r="BH33" s="441"/>
      <c r="BI33" s="422"/>
      <c r="BJ33" s="435"/>
      <c r="BK33" s="436"/>
      <c r="BL33" s="271"/>
      <c r="BM33" s="272"/>
      <c r="BN33" s="272"/>
      <c r="BO33" s="272"/>
      <c r="BP33" s="344"/>
      <c r="BQ33" s="343"/>
      <c r="BR33" s="389">
        <f t="shared" si="82"/>
        <v>671</v>
      </c>
      <c r="BS33" s="87">
        <f t="shared" si="3"/>
        <v>45895</v>
      </c>
      <c r="BT33" s="434" t="s">
        <v>202</v>
      </c>
      <c r="BU33" s="343">
        <v>20</v>
      </c>
      <c r="BV33" s="344"/>
      <c r="BW33" s="440"/>
      <c r="BX33" s="440"/>
      <c r="BY33" s="348"/>
      <c r="BZ33" s="347"/>
      <c r="CA33" s="348"/>
      <c r="CB33" s="375"/>
      <c r="CC33" s="372"/>
      <c r="CD33" s="440"/>
      <c r="CE33" s="348"/>
      <c r="CF33" s="54" t="s">
        <v>201</v>
      </c>
      <c r="CG33" s="343">
        <v>554</v>
      </c>
      <c r="CH33" s="30" t="s">
        <v>205</v>
      </c>
      <c r="CI33" s="413">
        <v>38</v>
      </c>
      <c r="CJ33" s="412"/>
      <c r="CK33" s="413"/>
      <c r="CL33" s="414"/>
      <c r="CM33" s="415"/>
      <c r="CN33" s="410"/>
      <c r="CO33" s="498"/>
      <c r="CP33" s="363"/>
      <c r="CQ33" s="410"/>
      <c r="CR33" s="410"/>
      <c r="CS33" s="411"/>
      <c r="CT33" s="387">
        <f t="shared" si="29"/>
        <v>612</v>
      </c>
      <c r="CU33" s="118">
        <f t="shared" si="4"/>
        <v>-59</v>
      </c>
      <c r="CV33" s="388">
        <f t="shared" si="30"/>
        <v>45895</v>
      </c>
      <c r="CW33" s="178">
        <f t="shared" si="83"/>
        <v>634</v>
      </c>
      <c r="CX33" s="179">
        <f t="shared" si="78"/>
        <v>1169</v>
      </c>
      <c r="CY33" s="179"/>
      <c r="CZ33" s="179"/>
      <c r="DA33" s="179">
        <v>780</v>
      </c>
      <c r="DB33" s="79"/>
      <c r="DC33" s="79"/>
      <c r="DD33" s="400">
        <v>179</v>
      </c>
      <c r="DE33" s="79">
        <v>242</v>
      </c>
      <c r="DF33" s="79"/>
      <c r="DG33" s="79"/>
      <c r="DH33" s="79">
        <v>222</v>
      </c>
      <c r="DI33" s="79"/>
      <c r="DJ33" s="86"/>
      <c r="DL33" s="64">
        <f t="shared" si="31"/>
        <v>45895</v>
      </c>
      <c r="DM33" s="54" t="s">
        <v>216</v>
      </c>
      <c r="DN33" s="28">
        <v>379</v>
      </c>
      <c r="DO33" s="30"/>
      <c r="DP33" s="28"/>
      <c r="DQ33" s="412"/>
      <c r="DR33" s="413"/>
      <c r="DS33" s="414"/>
      <c r="DT33" s="415"/>
      <c r="DU33" s="410"/>
      <c r="DV33" s="411"/>
      <c r="DW33" s="411"/>
      <c r="DX33" s="411"/>
      <c r="DY33" s="412"/>
      <c r="DZ33" s="28"/>
      <c r="EA33" s="389">
        <f t="shared" ref="EA33" si="84">DZ33+DX33+DV33+DT33+DR33+DP33+DN33</f>
        <v>379</v>
      </c>
      <c r="EB33" s="388">
        <f t="shared" ref="EB33" si="85">DL33</f>
        <v>45895</v>
      </c>
      <c r="EC33" s="54" t="s">
        <v>216</v>
      </c>
      <c r="ED33" s="28">
        <v>110</v>
      </c>
      <c r="EE33" s="412" t="s">
        <v>248</v>
      </c>
      <c r="EF33" s="28">
        <v>212</v>
      </c>
      <c r="EG33" s="412"/>
      <c r="EH33" s="413"/>
      <c r="EI33" s="414"/>
      <c r="EJ33" s="416"/>
      <c r="EK33" s="410"/>
      <c r="EL33" s="411"/>
      <c r="EM33" s="410"/>
      <c r="EN33" s="410"/>
      <c r="EO33" s="410"/>
      <c r="EP33" s="411"/>
      <c r="EQ33" s="389">
        <f t="shared" si="36"/>
        <v>322</v>
      </c>
      <c r="ER33" s="118">
        <f t="shared" si="7"/>
        <v>-57</v>
      </c>
      <c r="ES33" s="87">
        <f t="shared" si="8"/>
        <v>45895</v>
      </c>
      <c r="ET33" s="178">
        <v>272</v>
      </c>
      <c r="EU33" s="179">
        <f t="shared" si="74"/>
        <v>405</v>
      </c>
      <c r="EV33" s="79">
        <f t="shared" si="75"/>
        <v>0</v>
      </c>
      <c r="EW33" s="79">
        <f t="shared" si="76"/>
        <v>1009</v>
      </c>
      <c r="EX33" s="79">
        <f t="shared" si="77"/>
        <v>0</v>
      </c>
      <c r="EY33" s="79">
        <f t="shared" si="33"/>
        <v>0</v>
      </c>
      <c r="EZ33" s="79">
        <f t="shared" si="34"/>
        <v>3134</v>
      </c>
      <c r="FA33" s="310">
        <v>161</v>
      </c>
      <c r="FB33" s="311">
        <v>126</v>
      </c>
      <c r="FC33" s="311"/>
      <c r="FD33" s="311"/>
      <c r="FE33" s="311">
        <v>43</v>
      </c>
      <c r="FF33" s="79"/>
      <c r="FG33" s="86"/>
    </row>
    <row r="34" spans="2:163" ht="15" thickBot="1">
      <c r="B34" s="64">
        <f t="shared" si="21"/>
        <v>45896</v>
      </c>
      <c r="C34" s="54"/>
      <c r="D34" s="322"/>
      <c r="E34" s="410">
        <v>16</v>
      </c>
      <c r="F34" s="413">
        <v>621</v>
      </c>
      <c r="G34" s="412"/>
      <c r="H34" s="413"/>
      <c r="I34" s="414"/>
      <c r="J34" s="415"/>
      <c r="K34" s="410"/>
      <c r="L34" s="411"/>
      <c r="M34" s="411"/>
      <c r="N34" s="411"/>
      <c r="O34" s="30"/>
      <c r="P34" s="28"/>
      <c r="Q34" s="389">
        <f t="shared" si="0"/>
        <v>621</v>
      </c>
      <c r="R34" s="388">
        <f t="shared" si="22"/>
        <v>45896</v>
      </c>
      <c r="S34" s="390"/>
      <c r="T34" s="391"/>
      <c r="U34" s="390"/>
      <c r="V34" s="391"/>
      <c r="W34" s="54"/>
      <c r="X34" s="395"/>
      <c r="Y34" s="410">
        <v>16</v>
      </c>
      <c r="Z34" s="413">
        <v>617</v>
      </c>
      <c r="AA34" s="419"/>
      <c r="AB34" s="413"/>
      <c r="AC34" s="414"/>
      <c r="AD34" s="416"/>
      <c r="AE34" s="410"/>
      <c r="AF34" s="411"/>
      <c r="AG34" s="410"/>
      <c r="AH34" s="410"/>
      <c r="AI34" s="410"/>
      <c r="AJ34" s="411"/>
      <c r="AK34" s="387">
        <f t="shared" si="60"/>
        <v>617</v>
      </c>
      <c r="AL34" s="118">
        <f t="shared" si="1"/>
        <v>-4</v>
      </c>
      <c r="AM34" s="87">
        <f t="shared" si="24"/>
        <v>45896</v>
      </c>
      <c r="AN34" s="400"/>
      <c r="AO34" s="178">
        <v>1012</v>
      </c>
      <c r="AP34" s="179">
        <f t="shared" si="25"/>
        <v>0</v>
      </c>
      <c r="AQ34" s="179">
        <v>721</v>
      </c>
      <c r="AR34" s="179">
        <f>IF(AR33+AF33-AY33-BM33&lt;0,0,AR33+AF33-AY33-BM33)</f>
        <v>0</v>
      </c>
      <c r="AS34" s="79">
        <f t="shared" si="26"/>
        <v>0</v>
      </c>
      <c r="AT34" s="79" t="e">
        <f t="shared" si="27"/>
        <v>#REF!</v>
      </c>
      <c r="AU34" s="400"/>
      <c r="AV34" s="79"/>
      <c r="AW34" s="79">
        <v>30</v>
      </c>
      <c r="AX34" s="79">
        <f>PVT!C34</f>
        <v>0</v>
      </c>
      <c r="AY34" s="79">
        <v>45</v>
      </c>
      <c r="AZ34" s="79"/>
      <c r="BA34" s="86"/>
      <c r="BC34" s="64">
        <f t="shared" si="28"/>
        <v>45896</v>
      </c>
      <c r="BD34" s="434"/>
      <c r="BE34" s="343"/>
      <c r="BF34" s="344" t="s">
        <v>207</v>
      </c>
      <c r="BG34" s="413">
        <v>496</v>
      </c>
      <c r="BH34" s="370"/>
      <c r="BI34" s="422"/>
      <c r="BJ34" s="435"/>
      <c r="BK34" s="436"/>
      <c r="BL34" s="271"/>
      <c r="BM34" s="272"/>
      <c r="BN34" s="442"/>
      <c r="BO34" s="442"/>
      <c r="BP34" s="443"/>
      <c r="BQ34" s="444"/>
      <c r="BR34" s="389">
        <f t="shared" si="82"/>
        <v>496</v>
      </c>
      <c r="BS34" s="87">
        <f t="shared" si="3"/>
        <v>45896</v>
      </c>
      <c r="BT34" s="434" t="s">
        <v>202</v>
      </c>
      <c r="BU34" s="343">
        <v>21</v>
      </c>
      <c r="BV34" s="344"/>
      <c r="BW34" s="440"/>
      <c r="BX34" s="271"/>
      <c r="BY34" s="348"/>
      <c r="BZ34" s="271"/>
      <c r="CA34" s="348"/>
      <c r="CB34" s="375"/>
      <c r="CC34" s="372"/>
      <c r="CD34" s="440"/>
      <c r="CE34" s="348"/>
      <c r="CF34" s="54" t="s">
        <v>201</v>
      </c>
      <c r="CG34" s="343">
        <v>538</v>
      </c>
      <c r="CH34" s="30"/>
      <c r="CI34" s="413"/>
      <c r="CJ34" s="412"/>
      <c r="CK34" s="413"/>
      <c r="CL34" s="414"/>
      <c r="CM34" s="415"/>
      <c r="CN34" s="410"/>
      <c r="CO34" s="498"/>
      <c r="CP34" s="363"/>
      <c r="CQ34" s="410"/>
      <c r="CR34" s="410"/>
      <c r="CS34" s="411"/>
      <c r="CT34" s="387">
        <f>CO34+CK34+CI34+CG34+CE34+CC34+CA34+BY34+BW34+BU34</f>
        <v>559</v>
      </c>
      <c r="CU34" s="118">
        <f t="shared" si="4"/>
        <v>63</v>
      </c>
      <c r="CV34" s="388">
        <f t="shared" si="30"/>
        <v>45896</v>
      </c>
      <c r="CW34" s="178">
        <f>IF(CW33+CG33-DN33-DD33&lt;=0,0,CW33+CG33-DN33-DD33)</f>
        <v>630</v>
      </c>
      <c r="CX34" s="179">
        <v>957</v>
      </c>
      <c r="CY34" s="179"/>
      <c r="CZ34" s="179"/>
      <c r="DA34" s="179">
        <v>616</v>
      </c>
      <c r="DB34" s="79"/>
      <c r="DC34" s="79"/>
      <c r="DD34" s="400">
        <v>180</v>
      </c>
      <c r="DE34" s="79">
        <v>238</v>
      </c>
      <c r="DF34" s="79"/>
      <c r="DG34" s="79"/>
      <c r="DH34" s="79">
        <v>222</v>
      </c>
      <c r="DI34" s="79"/>
      <c r="DJ34" s="86"/>
      <c r="DL34" s="64">
        <f t="shared" si="31"/>
        <v>45896</v>
      </c>
      <c r="DM34" s="54" t="s">
        <v>217</v>
      </c>
      <c r="DN34" s="28">
        <v>224</v>
      </c>
      <c r="DO34" s="30"/>
      <c r="DP34" s="28"/>
      <c r="DQ34" s="412"/>
      <c r="DR34" s="413"/>
      <c r="DS34" s="414"/>
      <c r="DT34" s="415"/>
      <c r="DU34" s="410"/>
      <c r="DV34" s="411"/>
      <c r="DW34" s="411"/>
      <c r="DX34" s="411"/>
      <c r="DY34" s="412"/>
      <c r="DZ34" s="28"/>
      <c r="EA34" s="389">
        <f t="shared" ref="EA34" si="86">DZ34+DX34+DV34+DT34+DR34+DP34+DN34</f>
        <v>224</v>
      </c>
      <c r="EB34" s="388">
        <f t="shared" ref="EB34" si="87">DL34</f>
        <v>45896</v>
      </c>
      <c r="EC34" s="54" t="s">
        <v>216</v>
      </c>
      <c r="ED34" s="28">
        <v>244</v>
      </c>
      <c r="EE34" s="412"/>
      <c r="EF34" s="28"/>
      <c r="EG34" s="412"/>
      <c r="EH34" s="413"/>
      <c r="EI34" s="414"/>
      <c r="EJ34" s="416"/>
      <c r="EK34" s="410"/>
      <c r="EL34" s="411"/>
      <c r="EM34" s="410"/>
      <c r="EN34" s="410"/>
      <c r="EO34" s="410"/>
      <c r="EP34" s="411"/>
      <c r="EQ34" s="389">
        <f t="shared" ref="EQ34:EQ38" si="88">EP34+EN34+EL34+EJ34+EH34+EF34+ED34</f>
        <v>244</v>
      </c>
      <c r="ER34" s="118">
        <f t="shared" si="7"/>
        <v>20</v>
      </c>
      <c r="ES34" s="87">
        <f t="shared" si="8"/>
        <v>45896</v>
      </c>
      <c r="ET34" s="178">
        <v>213</v>
      </c>
      <c r="EU34" s="179">
        <v>485</v>
      </c>
      <c r="EV34" s="79">
        <f t="shared" si="75"/>
        <v>0</v>
      </c>
      <c r="EW34" s="79">
        <f t="shared" si="76"/>
        <v>1009</v>
      </c>
      <c r="EX34" s="79">
        <f t="shared" si="77"/>
        <v>0</v>
      </c>
      <c r="EY34" s="79">
        <f t="shared" si="33"/>
        <v>0</v>
      </c>
      <c r="EZ34" s="79">
        <f t="shared" si="34"/>
        <v>3134</v>
      </c>
      <c r="FA34" s="310">
        <v>235</v>
      </c>
      <c r="FB34" s="311">
        <v>193</v>
      </c>
      <c r="FC34" s="311"/>
      <c r="FD34" s="311"/>
      <c r="FE34" s="311">
        <v>221</v>
      </c>
      <c r="FF34" s="79"/>
      <c r="FG34" s="86"/>
    </row>
    <row r="35" spans="2:163" ht="15" thickBot="1">
      <c r="B35" s="64">
        <f t="shared" si="21"/>
        <v>45897</v>
      </c>
      <c r="C35" s="54"/>
      <c r="D35" s="322"/>
      <c r="E35" s="410">
        <v>16</v>
      </c>
      <c r="F35" s="413">
        <v>208</v>
      </c>
      <c r="G35" s="412"/>
      <c r="H35" s="413"/>
      <c r="I35" s="414"/>
      <c r="J35" s="415"/>
      <c r="K35" s="410"/>
      <c r="L35" s="411"/>
      <c r="M35" s="411"/>
      <c r="N35" s="411"/>
      <c r="O35" s="30"/>
      <c r="P35" s="28"/>
      <c r="Q35" s="389">
        <f t="shared" si="0"/>
        <v>208</v>
      </c>
      <c r="R35" s="388">
        <f t="shared" si="22"/>
        <v>45897</v>
      </c>
      <c r="S35" s="390"/>
      <c r="T35" s="391"/>
      <c r="U35" s="390"/>
      <c r="V35" s="391"/>
      <c r="W35" s="54"/>
      <c r="X35" s="395"/>
      <c r="Y35" s="410">
        <v>16</v>
      </c>
      <c r="Z35" s="413">
        <v>300</v>
      </c>
      <c r="AA35" s="419"/>
      <c r="AB35" s="420"/>
      <c r="AC35" s="423"/>
      <c r="AD35" s="383"/>
      <c r="AE35" s="424"/>
      <c r="AF35" s="425"/>
      <c r="AG35" s="410"/>
      <c r="AH35" s="410"/>
      <c r="AI35" s="410"/>
      <c r="AJ35" s="411"/>
      <c r="AK35" s="387">
        <f t="shared" si="23"/>
        <v>300</v>
      </c>
      <c r="AL35" s="118">
        <f t="shared" si="1"/>
        <v>92</v>
      </c>
      <c r="AM35" s="87">
        <f t="shared" si="24"/>
        <v>45897</v>
      </c>
      <c r="AN35" s="400"/>
      <c r="AO35" s="178">
        <f t="shared" si="65"/>
        <v>1103</v>
      </c>
      <c r="AP35" s="179">
        <f t="shared" si="25"/>
        <v>0</v>
      </c>
      <c r="AQ35" s="179">
        <f t="shared" si="66"/>
        <v>842</v>
      </c>
      <c r="AR35" s="179">
        <f t="shared" si="72"/>
        <v>0</v>
      </c>
      <c r="AS35" s="79">
        <f t="shared" si="26"/>
        <v>0</v>
      </c>
      <c r="AT35" s="79" t="e">
        <f t="shared" si="27"/>
        <v>#REF!</v>
      </c>
      <c r="AU35" s="400"/>
      <c r="AV35" s="79"/>
      <c r="AW35" s="79">
        <v>30</v>
      </c>
      <c r="AX35" s="79">
        <f>PVT!C35</f>
        <v>30</v>
      </c>
      <c r="AY35" s="79">
        <v>45</v>
      </c>
      <c r="AZ35" s="79"/>
      <c r="BA35" s="86"/>
      <c r="BC35" s="64">
        <f t="shared" ref="BC35:BC38" si="89">BC34+1</f>
        <v>45897</v>
      </c>
      <c r="BD35" s="536" t="s">
        <v>244</v>
      </c>
      <c r="BE35" s="328"/>
      <c r="BF35" s="329"/>
      <c r="BG35" s="508"/>
      <c r="BH35" s="437"/>
      <c r="BI35" s="508"/>
      <c r="BJ35" s="509"/>
      <c r="BK35" s="510"/>
      <c r="BL35" s="507"/>
      <c r="BM35" s="438"/>
      <c r="BN35" s="518"/>
      <c r="BO35" s="518"/>
      <c r="BP35" s="519"/>
      <c r="BQ35" s="520"/>
      <c r="BR35" s="511">
        <f t="shared" si="82"/>
        <v>0</v>
      </c>
      <c r="BS35" s="87">
        <f t="shared" si="3"/>
        <v>45897</v>
      </c>
      <c r="BT35" s="514"/>
      <c r="BU35" s="328"/>
      <c r="BV35" s="329"/>
      <c r="BW35" s="521"/>
      <c r="BX35" s="507"/>
      <c r="BY35" s="513"/>
      <c r="BZ35" s="507"/>
      <c r="CA35" s="513"/>
      <c r="CB35" s="522"/>
      <c r="CC35" s="523"/>
      <c r="CD35" s="507"/>
      <c r="CE35" s="513"/>
      <c r="CF35" s="514"/>
      <c r="CG35" s="328"/>
      <c r="CH35" s="329"/>
      <c r="CI35" s="508"/>
      <c r="CJ35" s="437"/>
      <c r="CK35" s="508"/>
      <c r="CL35" s="509"/>
      <c r="CM35" s="510"/>
      <c r="CN35" s="507"/>
      <c r="CO35" s="524"/>
      <c r="CP35" s="363"/>
      <c r="CQ35" s="410"/>
      <c r="CR35" s="410"/>
      <c r="CS35" s="411"/>
      <c r="CT35" s="387">
        <f t="shared" si="29"/>
        <v>0</v>
      </c>
      <c r="CU35" s="118">
        <f t="shared" si="4"/>
        <v>0</v>
      </c>
      <c r="CV35" s="388">
        <f t="shared" si="30"/>
        <v>45897</v>
      </c>
      <c r="CW35" s="178">
        <v>793</v>
      </c>
      <c r="CX35" s="179">
        <v>668</v>
      </c>
      <c r="CY35" s="179"/>
      <c r="CZ35" s="179"/>
      <c r="DA35" s="179">
        <f t="shared" si="79"/>
        <v>394</v>
      </c>
      <c r="DB35" s="79"/>
      <c r="DC35" s="79"/>
      <c r="DD35" s="400">
        <v>183</v>
      </c>
      <c r="DE35" s="79">
        <v>147</v>
      </c>
      <c r="DF35" s="79"/>
      <c r="DG35" s="79"/>
      <c r="DH35" s="79">
        <v>222</v>
      </c>
      <c r="DI35" s="79"/>
      <c r="DJ35" s="86"/>
      <c r="DL35" s="64">
        <f t="shared" si="31"/>
        <v>45897</v>
      </c>
      <c r="DM35" s="54" t="s">
        <v>217</v>
      </c>
      <c r="DN35" s="28">
        <v>200</v>
      </c>
      <c r="DO35" s="30"/>
      <c r="DP35" s="28"/>
      <c r="DQ35" s="412"/>
      <c r="DR35" s="413"/>
      <c r="DS35" s="414"/>
      <c r="DT35" s="415"/>
      <c r="DU35" s="410"/>
      <c r="DV35" s="411"/>
      <c r="DW35" s="411"/>
      <c r="DX35" s="411"/>
      <c r="DY35" s="412"/>
      <c r="DZ35" s="28"/>
      <c r="EA35" s="389">
        <f t="shared" ref="EA35" si="90">DZ35+DX35+DV35+DT35+DR35+DP35+DN35</f>
        <v>200</v>
      </c>
      <c r="EB35" s="388">
        <f t="shared" ref="EB35" si="91">DL35</f>
        <v>45897</v>
      </c>
      <c r="EC35" s="54" t="s">
        <v>216</v>
      </c>
      <c r="ED35" s="28">
        <v>200</v>
      </c>
      <c r="EE35" s="30"/>
      <c r="EF35" s="28"/>
      <c r="EG35" s="412"/>
      <c r="EH35" s="413"/>
      <c r="EI35" s="414"/>
      <c r="EJ35" s="416"/>
      <c r="EK35" s="410"/>
      <c r="EL35" s="411"/>
      <c r="EM35" s="410"/>
      <c r="EN35" s="410"/>
      <c r="EO35" s="410"/>
      <c r="EP35" s="411"/>
      <c r="EQ35" s="389">
        <f t="shared" si="88"/>
        <v>200</v>
      </c>
      <c r="ER35" s="118">
        <f t="shared" si="7"/>
        <v>0</v>
      </c>
      <c r="ES35" s="87">
        <f t="shared" si="8"/>
        <v>45897</v>
      </c>
      <c r="ET35" s="178">
        <v>268</v>
      </c>
      <c r="EU35" s="179">
        <v>456</v>
      </c>
      <c r="EV35" s="79">
        <f t="shared" si="75"/>
        <v>0</v>
      </c>
      <c r="EW35" s="79">
        <f t="shared" si="76"/>
        <v>1009</v>
      </c>
      <c r="EX35" s="79">
        <f t="shared" si="77"/>
        <v>0</v>
      </c>
      <c r="EY35" s="79">
        <f t="shared" si="33"/>
        <v>0</v>
      </c>
      <c r="EZ35" s="79">
        <f t="shared" si="34"/>
        <v>3134</v>
      </c>
      <c r="FA35" s="310">
        <v>161</v>
      </c>
      <c r="FB35" s="311">
        <v>193</v>
      </c>
      <c r="FC35" s="311"/>
      <c r="FD35" s="311"/>
      <c r="FE35" s="311">
        <v>221</v>
      </c>
      <c r="FF35" s="79"/>
      <c r="FG35" s="86"/>
    </row>
    <row r="36" spans="2:163" ht="15" thickBot="1">
      <c r="B36" s="384">
        <f t="shared" si="21"/>
        <v>45898</v>
      </c>
      <c r="C36" s="377"/>
      <c r="D36" s="487"/>
      <c r="E36" s="534" t="s">
        <v>243</v>
      </c>
      <c r="F36" s="508"/>
      <c r="G36" s="437"/>
      <c r="H36" s="508"/>
      <c r="I36" s="509"/>
      <c r="J36" s="510"/>
      <c r="K36" s="507"/>
      <c r="L36" s="438"/>
      <c r="M36" s="438"/>
      <c r="N36" s="438"/>
      <c r="O36" s="329"/>
      <c r="P36" s="328"/>
      <c r="Q36" s="511">
        <f t="shared" si="0"/>
        <v>0</v>
      </c>
      <c r="R36" s="388">
        <f t="shared" si="22"/>
        <v>45898</v>
      </c>
      <c r="S36" s="512"/>
      <c r="T36" s="513"/>
      <c r="U36" s="512"/>
      <c r="V36" s="513"/>
      <c r="W36" s="514"/>
      <c r="X36" s="515"/>
      <c r="Y36" s="534" t="s">
        <v>243</v>
      </c>
      <c r="Z36" s="508"/>
      <c r="AA36" s="437"/>
      <c r="AB36" s="508"/>
      <c r="AC36" s="509"/>
      <c r="AD36" s="516"/>
      <c r="AE36" s="507"/>
      <c r="AF36" s="438"/>
      <c r="AG36" s="531"/>
      <c r="AH36" s="531"/>
      <c r="AI36" s="531"/>
      <c r="AJ36" s="532"/>
      <c r="AK36" s="533">
        <f t="shared" si="23"/>
        <v>0</v>
      </c>
      <c r="AL36" s="118">
        <f t="shared" si="1"/>
        <v>0</v>
      </c>
      <c r="AM36" s="87">
        <f t="shared" si="24"/>
        <v>45898</v>
      </c>
      <c r="AN36" s="400"/>
      <c r="AO36" s="400">
        <f t="shared" ref="AO36:AO39" si="92">IF(AO35+Z35-AV35-AW35-BG35&lt;0,0,AO35+Z35-AV35-AW35-BG35)</f>
        <v>1373</v>
      </c>
      <c r="AP36" s="79">
        <f t="shared" si="25"/>
        <v>0</v>
      </c>
      <c r="AQ36" s="79">
        <f t="shared" ref="AQ36:AQ39" si="93">IF(AQ35+Z35-AU35-AV35-BG35&lt;0,0,AQ35+Z35-AU35-AV35-BG35)</f>
        <v>1142</v>
      </c>
      <c r="AR36" s="79">
        <f t="shared" si="72"/>
        <v>0</v>
      </c>
      <c r="AS36" s="79">
        <f t="shared" si="26"/>
        <v>0</v>
      </c>
      <c r="AT36" s="79" t="e">
        <f t="shared" si="27"/>
        <v>#REF!</v>
      </c>
      <c r="AU36" s="400">
        <v>160</v>
      </c>
      <c r="AV36" s="296"/>
      <c r="AW36" s="296"/>
      <c r="AX36" s="79">
        <f>PVT!C36</f>
        <v>0</v>
      </c>
      <c r="AY36" s="296"/>
      <c r="AZ36" s="296"/>
      <c r="BA36" s="86"/>
      <c r="BC36" s="64">
        <f t="shared" si="89"/>
        <v>45898</v>
      </c>
      <c r="BD36" s="434" t="s">
        <v>203</v>
      </c>
      <c r="BE36" s="343">
        <v>100</v>
      </c>
      <c r="BF36" s="344" t="s">
        <v>207</v>
      </c>
      <c r="BG36" s="413">
        <v>480</v>
      </c>
      <c r="BH36" s="370"/>
      <c r="BI36" s="422"/>
      <c r="BJ36" s="435"/>
      <c r="BK36" s="436"/>
      <c r="BL36" s="271"/>
      <c r="BM36" s="272"/>
      <c r="BN36" s="442"/>
      <c r="BO36" s="442"/>
      <c r="BP36" s="443"/>
      <c r="BQ36" s="444"/>
      <c r="BR36" s="269">
        <f t="shared" si="82"/>
        <v>580</v>
      </c>
      <c r="BS36" s="87">
        <f t="shared" si="3"/>
        <v>45898</v>
      </c>
      <c r="BT36" s="434"/>
      <c r="BU36" s="343"/>
      <c r="BV36" s="344" t="s">
        <v>207</v>
      </c>
      <c r="BW36" s="413">
        <v>50</v>
      </c>
      <c r="BX36" s="440"/>
      <c r="BY36" s="348"/>
      <c r="BZ36" s="271"/>
      <c r="CA36" s="348"/>
      <c r="CB36" s="375"/>
      <c r="CC36" s="372"/>
      <c r="CD36" s="271"/>
      <c r="CE36" s="348"/>
      <c r="CF36" s="54" t="s">
        <v>201</v>
      </c>
      <c r="CG36" s="343">
        <v>530</v>
      </c>
      <c r="CH36" s="30"/>
      <c r="CI36" s="413"/>
      <c r="CJ36" s="412"/>
      <c r="CK36" s="413"/>
      <c r="CL36" s="435"/>
      <c r="CM36" s="436"/>
      <c r="CN36" s="271"/>
      <c r="CO36" s="499"/>
      <c r="CP36" s="363"/>
      <c r="CQ36" s="410"/>
      <c r="CR36" s="410"/>
      <c r="CS36" s="411"/>
      <c r="CT36" s="387">
        <f t="shared" si="29"/>
        <v>580</v>
      </c>
      <c r="CU36" s="118">
        <f t="shared" si="4"/>
        <v>0</v>
      </c>
      <c r="CV36" s="388">
        <f t="shared" si="30"/>
        <v>45898</v>
      </c>
      <c r="CW36" s="400">
        <f t="shared" si="83"/>
        <v>410</v>
      </c>
      <c r="CX36" s="79">
        <f t="shared" si="78"/>
        <v>521</v>
      </c>
      <c r="CY36" s="79"/>
      <c r="CZ36" s="79"/>
      <c r="DA36" s="79">
        <f t="shared" si="79"/>
        <v>172</v>
      </c>
      <c r="DB36" s="79"/>
      <c r="DC36" s="79"/>
      <c r="DD36" s="400">
        <v>222</v>
      </c>
      <c r="DE36" s="79">
        <v>314</v>
      </c>
      <c r="DF36" s="79"/>
      <c r="DG36" s="79"/>
      <c r="DH36" s="79">
        <v>222</v>
      </c>
      <c r="DI36" s="79"/>
      <c r="DJ36" s="86"/>
      <c r="DL36" s="64">
        <f t="shared" si="31"/>
        <v>45898</v>
      </c>
      <c r="DM36" s="54" t="s">
        <v>217</v>
      </c>
      <c r="DN36" s="28">
        <v>200</v>
      </c>
      <c r="DO36" s="30"/>
      <c r="DP36" s="28"/>
      <c r="DQ36" s="412"/>
      <c r="DR36" s="413"/>
      <c r="DS36" s="414"/>
      <c r="DT36" s="415"/>
      <c r="DU36" s="410"/>
      <c r="DV36" s="411"/>
      <c r="DW36" s="411"/>
      <c r="DX36" s="411"/>
      <c r="DY36" s="412"/>
      <c r="DZ36" s="28"/>
      <c r="EA36" s="389">
        <f t="shared" ref="EA36:EA38" si="94">DZ36+DX36+DV36+DT36+DR36+DP36+DN36</f>
        <v>200</v>
      </c>
      <c r="EB36" s="388">
        <f t="shared" ref="EB36:EB38" si="95">DL36</f>
        <v>45898</v>
      </c>
      <c r="EC36" s="54" t="s">
        <v>217</v>
      </c>
      <c r="ED36" s="28">
        <v>200</v>
      </c>
      <c r="EE36" s="30"/>
      <c r="EF36" s="28"/>
      <c r="EG36" s="412"/>
      <c r="EH36" s="413"/>
      <c r="EI36" s="414"/>
      <c r="EJ36" s="416"/>
      <c r="EK36" s="410"/>
      <c r="EL36" s="411"/>
      <c r="EM36" s="410"/>
      <c r="EN36" s="410"/>
      <c r="EO36" s="410"/>
      <c r="EP36" s="411"/>
      <c r="EQ36" s="389">
        <f t="shared" si="88"/>
        <v>200</v>
      </c>
      <c r="ER36" s="118">
        <f t="shared" si="7"/>
        <v>0</v>
      </c>
      <c r="ES36" s="87">
        <f t="shared" si="8"/>
        <v>45898</v>
      </c>
      <c r="ET36" s="400">
        <f t="shared" si="73"/>
        <v>307</v>
      </c>
      <c r="EU36" s="79">
        <f t="shared" si="74"/>
        <v>263</v>
      </c>
      <c r="EV36" s="79">
        <f t="shared" si="75"/>
        <v>0</v>
      </c>
      <c r="EW36" s="79">
        <f t="shared" si="76"/>
        <v>1009</v>
      </c>
      <c r="EX36" s="79">
        <f t="shared" si="77"/>
        <v>0</v>
      </c>
      <c r="EY36" s="79">
        <f t="shared" si="33"/>
        <v>0</v>
      </c>
      <c r="EZ36" s="79">
        <f t="shared" si="34"/>
        <v>3134</v>
      </c>
      <c r="FA36" s="310">
        <v>204</v>
      </c>
      <c r="FB36" s="311">
        <v>215</v>
      </c>
      <c r="FC36" s="311"/>
      <c r="FD36" s="311"/>
      <c r="FE36" s="311">
        <v>181</v>
      </c>
      <c r="FF36" s="79"/>
      <c r="FG36" s="86"/>
    </row>
    <row r="37" spans="2:163">
      <c r="B37" s="64">
        <f t="shared" si="21"/>
        <v>45899</v>
      </c>
      <c r="C37" s="54"/>
      <c r="D37" s="322"/>
      <c r="E37" s="327"/>
      <c r="F37" s="413"/>
      <c r="G37" s="412"/>
      <c r="H37" s="413"/>
      <c r="I37" s="414"/>
      <c r="J37" s="415"/>
      <c r="K37" s="410"/>
      <c r="L37" s="411"/>
      <c r="M37" s="411"/>
      <c r="N37" s="411"/>
      <c r="O37" s="30"/>
      <c r="P37" s="28"/>
      <c r="Q37" s="389">
        <f t="shared" ref="Q37" si="96">P37+N37+L37+J37+H37+F37+D37</f>
        <v>0</v>
      </c>
      <c r="R37" s="388">
        <f t="shared" ref="R37" si="97">B37</f>
        <v>45899</v>
      </c>
      <c r="S37" s="390"/>
      <c r="T37" s="391"/>
      <c r="U37" s="390"/>
      <c r="V37" s="391"/>
      <c r="W37" s="54"/>
      <c r="X37" s="395"/>
      <c r="Y37" s="410"/>
      <c r="Z37" s="413"/>
      <c r="AA37" s="412"/>
      <c r="AB37" s="413"/>
      <c r="AC37" s="414"/>
      <c r="AD37" s="416"/>
      <c r="AE37" s="410"/>
      <c r="AF37" s="411"/>
      <c r="AG37" s="410"/>
      <c r="AH37" s="410"/>
      <c r="AI37" s="410"/>
      <c r="AJ37" s="411"/>
      <c r="AK37" s="387">
        <f t="shared" si="23"/>
        <v>0</v>
      </c>
      <c r="AL37" s="118">
        <f t="shared" si="1"/>
        <v>0</v>
      </c>
      <c r="AM37" s="87">
        <f t="shared" si="24"/>
        <v>45899</v>
      </c>
      <c r="AN37" s="400"/>
      <c r="AO37" s="400">
        <f t="shared" si="92"/>
        <v>893</v>
      </c>
      <c r="AP37" s="79">
        <f t="shared" si="25"/>
        <v>0</v>
      </c>
      <c r="AQ37" s="79">
        <f t="shared" si="93"/>
        <v>502</v>
      </c>
      <c r="AR37" s="79">
        <f t="shared" si="72"/>
        <v>0</v>
      </c>
      <c r="AS37" s="79">
        <f t="shared" si="26"/>
        <v>0</v>
      </c>
      <c r="AT37" s="79" t="e">
        <f t="shared" si="27"/>
        <v>#REF!</v>
      </c>
      <c r="AU37" s="400"/>
      <c r="AV37" s="79"/>
      <c r="AW37" s="79"/>
      <c r="AX37" s="79">
        <f>PVT!C37</f>
        <v>0</v>
      </c>
      <c r="AY37" s="79"/>
      <c r="AZ37" s="79"/>
      <c r="BA37" s="86"/>
      <c r="BC37" s="64">
        <f t="shared" si="89"/>
        <v>45899</v>
      </c>
      <c r="BD37" s="434" t="s">
        <v>203</v>
      </c>
      <c r="BE37" s="343">
        <v>590</v>
      </c>
      <c r="BF37" s="344"/>
      <c r="BG37" s="413"/>
      <c r="BH37" s="446"/>
      <c r="BI37" s="422"/>
      <c r="BJ37" s="435"/>
      <c r="BK37" s="436"/>
      <c r="BL37" s="271"/>
      <c r="BM37" s="272"/>
      <c r="BN37" s="425"/>
      <c r="BO37" s="425"/>
      <c r="BP37" s="378"/>
      <c r="BQ37" s="341"/>
      <c r="BR37" s="373">
        <f>BQ37+BO37+BM37+BK37+BI37+BG37+BE37</f>
        <v>590</v>
      </c>
      <c r="BS37" s="116">
        <f t="shared" si="3"/>
        <v>45899</v>
      </c>
      <c r="BT37" s="434"/>
      <c r="BU37" s="343"/>
      <c r="BV37" s="344"/>
      <c r="BW37" s="440"/>
      <c r="BX37" s="264"/>
      <c r="BY37" s="391"/>
      <c r="BZ37" s="375"/>
      <c r="CA37" s="374"/>
      <c r="CB37" s="434" t="s">
        <v>202</v>
      </c>
      <c r="CC37" s="440">
        <v>20</v>
      </c>
      <c r="CD37" s="424"/>
      <c r="CE37" s="374"/>
      <c r="CF37" s="54" t="s">
        <v>201</v>
      </c>
      <c r="CG37" s="343">
        <v>130</v>
      </c>
      <c r="CH37" s="30" t="s">
        <v>206</v>
      </c>
      <c r="CI37" s="413">
        <v>440</v>
      </c>
      <c r="CJ37" s="370"/>
      <c r="CK37" s="422"/>
      <c r="CL37" s="435"/>
      <c r="CM37" s="445"/>
      <c r="CN37" s="271"/>
      <c r="CO37" s="499"/>
      <c r="CP37" s="363"/>
      <c r="CQ37" s="410"/>
      <c r="CR37" s="410"/>
      <c r="CS37" s="411"/>
      <c r="CT37" s="387">
        <f t="shared" si="29"/>
        <v>590</v>
      </c>
      <c r="CU37" s="118">
        <f t="shared" si="4"/>
        <v>0</v>
      </c>
      <c r="CV37" s="388">
        <f t="shared" si="30"/>
        <v>45899</v>
      </c>
      <c r="CW37" s="400">
        <f t="shared" si="83"/>
        <v>518</v>
      </c>
      <c r="CX37" s="79">
        <f t="shared" si="78"/>
        <v>207</v>
      </c>
      <c r="CY37" s="79"/>
      <c r="CZ37" s="79"/>
      <c r="DA37" s="79">
        <f t="shared" si="79"/>
        <v>0</v>
      </c>
      <c r="DB37" s="79"/>
      <c r="DC37" s="79"/>
      <c r="DD37" s="400"/>
      <c r="DE37" s="79">
        <v>250</v>
      </c>
      <c r="DF37" s="79"/>
      <c r="DG37" s="79"/>
      <c r="DH37" s="79">
        <v>141</v>
      </c>
      <c r="DI37" s="79"/>
      <c r="DJ37" s="86"/>
      <c r="DL37" s="64">
        <f t="shared" si="31"/>
        <v>45899</v>
      </c>
      <c r="DM37" s="54" t="s">
        <v>217</v>
      </c>
      <c r="DN37" s="28">
        <v>100</v>
      </c>
      <c r="DO37" s="30"/>
      <c r="DP37" s="28"/>
      <c r="DQ37" s="412"/>
      <c r="DR37" s="413"/>
      <c r="DS37" s="414"/>
      <c r="DT37" s="415"/>
      <c r="DU37" s="410"/>
      <c r="DV37" s="411"/>
      <c r="DW37" s="411"/>
      <c r="DX37" s="411"/>
      <c r="DY37" s="412"/>
      <c r="DZ37" s="28"/>
      <c r="EA37" s="389">
        <f t="shared" si="94"/>
        <v>100</v>
      </c>
      <c r="EB37" s="388">
        <f t="shared" si="95"/>
        <v>45899</v>
      </c>
      <c r="EC37" s="54" t="s">
        <v>217</v>
      </c>
      <c r="ED37" s="28">
        <v>100</v>
      </c>
      <c r="EE37" s="30"/>
      <c r="EF37" s="28"/>
      <c r="EG37" s="412"/>
      <c r="EH37" s="413"/>
      <c r="EI37" s="414"/>
      <c r="EJ37" s="416"/>
      <c r="EK37" s="410"/>
      <c r="EL37" s="411"/>
      <c r="EM37" s="410"/>
      <c r="EN37" s="410"/>
      <c r="EO37" s="410"/>
      <c r="EP37" s="411"/>
      <c r="EQ37" s="389">
        <f t="shared" si="88"/>
        <v>100</v>
      </c>
      <c r="ER37" s="118">
        <f t="shared" si="7"/>
        <v>0</v>
      </c>
      <c r="ES37" s="87">
        <f t="shared" si="8"/>
        <v>45899</v>
      </c>
      <c r="ET37" s="400">
        <f t="shared" si="73"/>
        <v>303</v>
      </c>
      <c r="EU37" s="79">
        <f t="shared" si="74"/>
        <v>48</v>
      </c>
      <c r="EV37" s="79">
        <f t="shared" si="75"/>
        <v>0</v>
      </c>
      <c r="EW37" s="79">
        <f t="shared" si="76"/>
        <v>1009</v>
      </c>
      <c r="EX37" s="79">
        <f t="shared" si="77"/>
        <v>0</v>
      </c>
      <c r="EY37" s="79">
        <f t="shared" si="33"/>
        <v>0</v>
      </c>
      <c r="EZ37" s="79">
        <f t="shared" si="34"/>
        <v>3134</v>
      </c>
      <c r="FA37" s="310"/>
      <c r="FB37" s="311">
        <v>337</v>
      </c>
      <c r="FC37" s="311"/>
      <c r="FD37" s="311"/>
      <c r="FE37" s="311">
        <v>263</v>
      </c>
      <c r="FF37" s="79"/>
      <c r="FG37" s="86"/>
    </row>
    <row r="38" spans="2:163" ht="15" thickBot="1">
      <c r="B38" s="68">
        <f t="shared" si="21"/>
        <v>45900</v>
      </c>
      <c r="C38" s="123"/>
      <c r="D38" s="488"/>
      <c r="E38" s="490"/>
      <c r="F38" s="58"/>
      <c r="G38" s="57"/>
      <c r="H38" s="58"/>
      <c r="I38" s="59"/>
      <c r="J38" s="60"/>
      <c r="K38" s="61"/>
      <c r="L38" s="62"/>
      <c r="M38" s="62"/>
      <c r="N38" s="62"/>
      <c r="O38" s="120"/>
      <c r="P38" s="56"/>
      <c r="Q38" s="126">
        <f t="shared" ref="Q38" si="98">P38+N38+L38+J38+H38+F38+D38</f>
        <v>0</v>
      </c>
      <c r="R38" s="318">
        <f t="shared" ref="R38" si="99">B38</f>
        <v>45900</v>
      </c>
      <c r="S38" s="151"/>
      <c r="T38" s="156"/>
      <c r="U38" s="151"/>
      <c r="V38" s="156"/>
      <c r="W38" s="123"/>
      <c r="X38" s="396"/>
      <c r="Y38" s="61"/>
      <c r="Z38" s="58"/>
      <c r="AA38" s="57"/>
      <c r="AB38" s="58"/>
      <c r="AC38" s="59"/>
      <c r="AD38" s="124"/>
      <c r="AE38" s="61"/>
      <c r="AF38" s="62"/>
      <c r="AG38" s="61"/>
      <c r="AH38" s="61"/>
      <c r="AI38" s="61"/>
      <c r="AJ38" s="62"/>
      <c r="AK38" s="121">
        <f t="shared" si="23"/>
        <v>0</v>
      </c>
      <c r="AL38" s="118">
        <f t="shared" si="1"/>
        <v>0</v>
      </c>
      <c r="AM38" s="87">
        <f t="shared" si="24"/>
        <v>45900</v>
      </c>
      <c r="AN38" s="400"/>
      <c r="AO38" s="400">
        <f t="shared" si="92"/>
        <v>893</v>
      </c>
      <c r="AP38" s="79">
        <f t="shared" si="25"/>
        <v>0</v>
      </c>
      <c r="AQ38" s="79">
        <f t="shared" si="93"/>
        <v>502</v>
      </c>
      <c r="AR38" s="79">
        <f t="shared" si="72"/>
        <v>0</v>
      </c>
      <c r="AS38" s="79">
        <f t="shared" si="26"/>
        <v>0</v>
      </c>
      <c r="AT38" s="79" t="e">
        <f t="shared" si="27"/>
        <v>#REF!</v>
      </c>
      <c r="AU38" s="80"/>
      <c r="AV38" s="81"/>
      <c r="AW38" s="81"/>
      <c r="AX38" s="79">
        <f>PVT!C38</f>
        <v>0</v>
      </c>
      <c r="AY38" s="81"/>
      <c r="AZ38" s="81"/>
      <c r="BA38" s="86"/>
      <c r="BC38" s="68">
        <f t="shared" si="89"/>
        <v>45900</v>
      </c>
      <c r="BD38" s="450" t="s">
        <v>203</v>
      </c>
      <c r="BE38" s="350">
        <v>590</v>
      </c>
      <c r="BF38" s="349"/>
      <c r="BG38" s="447"/>
      <c r="BH38" s="448"/>
      <c r="BI38" s="367"/>
      <c r="BJ38" s="368"/>
      <c r="BK38" s="449"/>
      <c r="BL38" s="355"/>
      <c r="BM38" s="335"/>
      <c r="BN38" s="335"/>
      <c r="BO38" s="335"/>
      <c r="BP38" s="338"/>
      <c r="BQ38" s="339"/>
      <c r="BR38" s="340">
        <f t="shared" si="82"/>
        <v>590</v>
      </c>
      <c r="BS38" s="429">
        <f t="shared" si="3"/>
        <v>45900</v>
      </c>
      <c r="BT38" s="450"/>
      <c r="BU38" s="350"/>
      <c r="BV38" s="120"/>
      <c r="BW38" s="447"/>
      <c r="BX38" s="430"/>
      <c r="BY38" s="156"/>
      <c r="BZ38" s="431"/>
      <c r="CA38" s="432"/>
      <c r="CB38" s="450"/>
      <c r="CC38" s="350"/>
      <c r="CD38" s="355"/>
      <c r="CE38" s="432"/>
      <c r="CF38" s="123"/>
      <c r="CG38" s="350"/>
      <c r="CH38" s="120" t="s">
        <v>206</v>
      </c>
      <c r="CI38" s="58">
        <v>590</v>
      </c>
      <c r="CJ38" s="57"/>
      <c r="CK38" s="58"/>
      <c r="CL38" s="59"/>
      <c r="CM38" s="124"/>
      <c r="CN38" s="61"/>
      <c r="CO38" s="500"/>
      <c r="CP38" s="496"/>
      <c r="CQ38" s="61"/>
      <c r="CR38" s="61"/>
      <c r="CS38" s="62"/>
      <c r="CT38" s="121">
        <f t="shared" si="29"/>
        <v>590</v>
      </c>
      <c r="CU38" s="321">
        <f t="shared" si="4"/>
        <v>0</v>
      </c>
      <c r="CV38" s="87">
        <f t="shared" si="30"/>
        <v>45900</v>
      </c>
      <c r="CW38" s="400">
        <f t="shared" si="83"/>
        <v>548</v>
      </c>
      <c r="CX38" s="79">
        <f t="shared" si="78"/>
        <v>397</v>
      </c>
      <c r="CY38" s="79"/>
      <c r="CZ38" s="79"/>
      <c r="DA38" s="79">
        <f t="shared" si="79"/>
        <v>0</v>
      </c>
      <c r="DB38" s="79"/>
      <c r="DC38" s="79"/>
      <c r="DD38" s="400"/>
      <c r="DE38" s="79"/>
      <c r="DF38" s="79"/>
      <c r="DG38" s="79"/>
      <c r="DH38" s="79"/>
      <c r="DI38" s="81"/>
      <c r="DJ38" s="82"/>
      <c r="DL38" s="64">
        <f t="shared" si="31"/>
        <v>45900</v>
      </c>
      <c r="DM38" s="123"/>
      <c r="DN38" s="56"/>
      <c r="DO38" s="120"/>
      <c r="DP38" s="56"/>
      <c r="DQ38" s="57"/>
      <c r="DR38" s="58"/>
      <c r="DS38" s="59"/>
      <c r="DT38" s="60"/>
      <c r="DU38" s="61"/>
      <c r="DV38" s="62"/>
      <c r="DW38" s="62"/>
      <c r="DX38" s="62"/>
      <c r="DY38" s="57"/>
      <c r="DZ38" s="56"/>
      <c r="EA38" s="126">
        <f t="shared" si="94"/>
        <v>0</v>
      </c>
      <c r="EB38" s="318">
        <f t="shared" si="95"/>
        <v>45900</v>
      </c>
      <c r="EC38" s="123"/>
      <c r="ED38" s="56"/>
      <c r="EE38" s="120"/>
      <c r="EF38" s="56"/>
      <c r="EG38" s="366"/>
      <c r="EH38" s="367"/>
      <c r="EI38" s="368"/>
      <c r="EJ38" s="369"/>
      <c r="EK38" s="355"/>
      <c r="EL38" s="335"/>
      <c r="EM38" s="355"/>
      <c r="EN38" s="355"/>
      <c r="EO38" s="355"/>
      <c r="EP38" s="335"/>
      <c r="EQ38" s="340">
        <f t="shared" si="88"/>
        <v>0</v>
      </c>
      <c r="ER38" s="118">
        <f t="shared" si="7"/>
        <v>0</v>
      </c>
      <c r="ES38" s="87">
        <f t="shared" si="8"/>
        <v>45900</v>
      </c>
      <c r="ET38" s="400">
        <f t="shared" si="73"/>
        <v>403</v>
      </c>
      <c r="EU38" s="79">
        <f t="shared" si="74"/>
        <v>0</v>
      </c>
      <c r="EV38" s="79">
        <f t="shared" si="75"/>
        <v>0</v>
      </c>
      <c r="EW38" s="79">
        <f t="shared" si="76"/>
        <v>1009</v>
      </c>
      <c r="EX38" s="79">
        <f t="shared" si="77"/>
        <v>0</v>
      </c>
      <c r="EY38" s="79">
        <f t="shared" si="33"/>
        <v>0</v>
      </c>
      <c r="EZ38" s="79">
        <f t="shared" si="34"/>
        <v>3134</v>
      </c>
      <c r="FA38" s="310"/>
      <c r="FB38" s="311"/>
      <c r="FC38" s="311"/>
      <c r="FD38" s="311"/>
      <c r="FE38" s="311"/>
      <c r="FF38" s="81"/>
      <c r="FG38" s="82"/>
    </row>
    <row r="39" spans="2:163" ht="15" thickBot="1">
      <c r="B39" s="67" t="s">
        <v>78</v>
      </c>
      <c r="C39" s="315"/>
      <c r="D39" s="158">
        <f>SUM(D8:D38)</f>
        <v>0</v>
      </c>
      <c r="E39" s="158"/>
      <c r="F39" s="158">
        <f>SUM(F8:F38)</f>
        <v>9340</v>
      </c>
      <c r="G39" s="158"/>
      <c r="H39" s="158">
        <f>SUM(H8:H38)</f>
        <v>250</v>
      </c>
      <c r="I39" s="158"/>
      <c r="J39" s="158">
        <f>SUM(J8:J38)</f>
        <v>0</v>
      </c>
      <c r="K39" s="158"/>
      <c r="L39" s="158">
        <f>SUM(L8:L38)</f>
        <v>832</v>
      </c>
      <c r="M39" s="158"/>
      <c r="N39" s="158">
        <f>SUM(N8:N38)</f>
        <v>0</v>
      </c>
      <c r="O39" s="158"/>
      <c r="P39" s="158">
        <f>SUM(P8:P38)</f>
        <v>0</v>
      </c>
      <c r="Q39" s="159">
        <f>SUM(Q8:Q38)</f>
        <v>10422</v>
      </c>
      <c r="R39" s="67" t="s">
        <v>78</v>
      </c>
      <c r="S39" s="316"/>
      <c r="T39" s="159">
        <f>SUM(T8:T38)</f>
        <v>5</v>
      </c>
      <c r="U39" s="316"/>
      <c r="V39" s="159">
        <f>SUM(V8:V38)</f>
        <v>11</v>
      </c>
      <c r="W39" s="315"/>
      <c r="X39" s="159">
        <f>SUM(X8:X38)</f>
        <v>0</v>
      </c>
      <c r="Y39" s="158"/>
      <c r="Z39" s="158">
        <f>SUM(Z8:Z38)</f>
        <v>9274</v>
      </c>
      <c r="AA39" s="158"/>
      <c r="AB39" s="158">
        <f>SUM(AB8:AB38)</f>
        <v>238</v>
      </c>
      <c r="AC39" s="158"/>
      <c r="AD39" s="158">
        <f>SUM(AD8:AD38)</f>
        <v>0</v>
      </c>
      <c r="AE39" s="158"/>
      <c r="AF39" s="158">
        <f>SUM(AF8:AF38)</f>
        <v>816</v>
      </c>
      <c r="AG39" s="158"/>
      <c r="AH39" s="158">
        <f>SUM(AH8:AH38)</f>
        <v>0</v>
      </c>
      <c r="AI39" s="158"/>
      <c r="AJ39" s="158">
        <f>SUM(AJ8:AJ38)</f>
        <v>0</v>
      </c>
      <c r="AK39" s="159">
        <f>SUM(AK8:AK38)</f>
        <v>10344</v>
      </c>
      <c r="AL39" s="102"/>
      <c r="AM39" s="102"/>
      <c r="AN39" s="80"/>
      <c r="AO39" s="80">
        <f t="shared" si="92"/>
        <v>893</v>
      </c>
      <c r="AP39" s="79">
        <f t="shared" si="25"/>
        <v>0</v>
      </c>
      <c r="AQ39" s="79">
        <f t="shared" si="93"/>
        <v>502</v>
      </c>
      <c r="AR39" s="79">
        <f t="shared" si="72"/>
        <v>0</v>
      </c>
      <c r="AS39" s="81">
        <f>AS38+AH38-AZ38</f>
        <v>0</v>
      </c>
      <c r="AT39" s="82" t="e">
        <f>AT38+AJ38-BA38</f>
        <v>#REF!</v>
      </c>
      <c r="AU39" s="157">
        <f>SUM(AU8:AU38)</f>
        <v>1000</v>
      </c>
      <c r="AV39" s="158">
        <f t="shared" ref="AV39:BA39" si="100">SUM(AV8:AV38)</f>
        <v>0</v>
      </c>
      <c r="AW39" s="158">
        <f t="shared" si="100"/>
        <v>600</v>
      </c>
      <c r="AX39" s="158">
        <f t="shared" si="100"/>
        <v>90</v>
      </c>
      <c r="AY39" s="158">
        <f t="shared" si="100"/>
        <v>900</v>
      </c>
      <c r="AZ39" s="158">
        <f t="shared" si="100"/>
        <v>0</v>
      </c>
      <c r="BA39" s="159">
        <f t="shared" si="100"/>
        <v>3075</v>
      </c>
      <c r="BC39" s="67" t="s">
        <v>78</v>
      </c>
      <c r="BD39" s="315"/>
      <c r="BE39" s="158">
        <f>SUM(BE8:BE38)</f>
        <v>8541</v>
      </c>
      <c r="BF39" s="158"/>
      <c r="BG39" s="158">
        <f>SUM(BG8:BG38)</f>
        <v>8309</v>
      </c>
      <c r="BH39" s="158"/>
      <c r="BI39" s="158">
        <f>SUM(BI8:BI38)</f>
        <v>240</v>
      </c>
      <c r="BJ39" s="158"/>
      <c r="BK39" s="158">
        <f>SUM(BK8:BK38)</f>
        <v>0</v>
      </c>
      <c r="BL39" s="158"/>
      <c r="BM39" s="158">
        <f>SUM(BM8:BM38)</f>
        <v>800</v>
      </c>
      <c r="BN39" s="158"/>
      <c r="BO39" s="158">
        <f>SUM(BO8:BO38)</f>
        <v>0</v>
      </c>
      <c r="BP39" s="158"/>
      <c r="BQ39" s="158">
        <f>SUM(BQ8:BQ38)</f>
        <v>0</v>
      </c>
      <c r="BR39" s="159">
        <f>BM39+BI39+BG39+BE39</f>
        <v>17890</v>
      </c>
      <c r="BS39" s="67" t="s">
        <v>78</v>
      </c>
      <c r="BT39" s="319"/>
      <c r="BU39" s="158">
        <f>SUM(BU8:BU38)</f>
        <v>280</v>
      </c>
      <c r="BV39" s="158"/>
      <c r="BW39" s="158">
        <f>SUM(BW8:BW38)</f>
        <v>503</v>
      </c>
      <c r="BX39" s="158"/>
      <c r="BY39" s="158">
        <f>SUM(BY8:BY38)</f>
        <v>208</v>
      </c>
      <c r="BZ39" s="157"/>
      <c r="CA39" s="159">
        <f>SUM(CA8:CA38)</f>
        <v>15</v>
      </c>
      <c r="CB39" s="316"/>
      <c r="CC39" s="319">
        <f>SUM(CC8:CC38)</f>
        <v>212</v>
      </c>
      <c r="CD39" s="319"/>
      <c r="CE39" s="159">
        <f>SUM(CE8:CE38)</f>
        <v>16</v>
      </c>
      <c r="CF39" s="315"/>
      <c r="CG39" s="158">
        <f>SUM(CG8:CG38)</f>
        <v>7300</v>
      </c>
      <c r="CH39" s="158"/>
      <c r="CI39" s="158">
        <f>SUM(CI8:CI38)</f>
        <v>8401</v>
      </c>
      <c r="CJ39" s="158"/>
      <c r="CK39" s="158">
        <f>SUM(CK8:CK38)</f>
        <v>250</v>
      </c>
      <c r="CL39" s="158"/>
      <c r="CM39" s="158">
        <f>SUM(CM8:CM38)</f>
        <v>0</v>
      </c>
      <c r="CN39" s="158"/>
      <c r="CO39" s="158">
        <f>SUM(CO8:CO38)</f>
        <v>559</v>
      </c>
      <c r="CP39" s="158"/>
      <c r="CQ39" s="158">
        <f>SUM(CQ8:CQ38)</f>
        <v>0</v>
      </c>
      <c r="CR39" s="158"/>
      <c r="CS39" s="158">
        <f>SUM(CS8:CS38)</f>
        <v>0</v>
      </c>
      <c r="CT39" s="159">
        <f>CO39+CK39+CI39+CG39+CE39+CC39+CA39+BY39+BW39+BU39</f>
        <v>17744</v>
      </c>
      <c r="CU39" s="320"/>
      <c r="CV39" s="102"/>
      <c r="CW39" s="400">
        <f t="shared" si="83"/>
        <v>548</v>
      </c>
      <c r="CX39" s="79">
        <f t="shared" si="78"/>
        <v>987</v>
      </c>
      <c r="CY39" s="79"/>
      <c r="CZ39" s="79"/>
      <c r="DA39" s="79">
        <f t="shared" si="79"/>
        <v>0</v>
      </c>
      <c r="DB39" s="81"/>
      <c r="DC39" s="82"/>
      <c r="DD39" s="157">
        <f>SUM(DD8:DD38)</f>
        <v>3525</v>
      </c>
      <c r="DE39" s="158">
        <f>SUM(DE8:DE38)</f>
        <v>6582</v>
      </c>
      <c r="DF39" s="158">
        <f>SUM(DF8:DF38)</f>
        <v>0</v>
      </c>
      <c r="DG39" s="158">
        <f>SUM(DG8:DG38)</f>
        <v>0</v>
      </c>
      <c r="DH39" s="158">
        <f>SUM(DH8:DH38)</f>
        <v>4875</v>
      </c>
      <c r="DI39" s="158">
        <f t="shared" ref="DI39:DJ39" si="101">SUM(DI8:DI38)</f>
        <v>0</v>
      </c>
      <c r="DJ39" s="159">
        <f t="shared" si="101"/>
        <v>0</v>
      </c>
      <c r="DL39" s="67" t="s">
        <v>78</v>
      </c>
      <c r="DM39" s="69"/>
      <c r="DN39" s="70">
        <f>SUM(DN8:DN38)</f>
        <v>3962</v>
      </c>
      <c r="DO39" s="70"/>
      <c r="DP39" s="70">
        <f>SUM(DP8:DP38)</f>
        <v>1274</v>
      </c>
      <c r="DQ39" s="70"/>
      <c r="DR39" s="70">
        <f>SUM(DR8:DR38)</f>
        <v>0</v>
      </c>
      <c r="DS39" s="70"/>
      <c r="DT39" s="70">
        <f>SUM(DT8:DT38)</f>
        <v>0</v>
      </c>
      <c r="DU39" s="70"/>
      <c r="DV39" s="70">
        <f>SUM(DV8:DV38)</f>
        <v>0</v>
      </c>
      <c r="DW39" s="70"/>
      <c r="DX39" s="70">
        <f>SUM(DX8:DX38)</f>
        <v>0</v>
      </c>
      <c r="DY39" s="70"/>
      <c r="DZ39" s="70">
        <f>SUM(DZ8:DZ38)</f>
        <v>0</v>
      </c>
      <c r="EA39" s="71">
        <f>DP39+DN39</f>
        <v>5236</v>
      </c>
      <c r="EB39" s="97" t="s">
        <v>78</v>
      </c>
      <c r="EC39" s="69"/>
      <c r="ED39" s="70">
        <f>SUM(ED8:ED38)</f>
        <v>3726</v>
      </c>
      <c r="EE39" s="70"/>
      <c r="EF39" s="70">
        <f>SUM(EF8:EF38)</f>
        <v>1419</v>
      </c>
      <c r="EG39" s="70"/>
      <c r="EH39" s="70">
        <f>SUM(EH8:EH38)</f>
        <v>0</v>
      </c>
      <c r="EI39" s="70"/>
      <c r="EJ39" s="70">
        <f>SUM(EJ8:EJ38)</f>
        <v>0</v>
      </c>
      <c r="EK39" s="70"/>
      <c r="EL39" s="70">
        <f>SUM(EL8:EL38)</f>
        <v>0</v>
      </c>
      <c r="EM39" s="70"/>
      <c r="EN39" s="70">
        <f>SUM(EN8:EN38)</f>
        <v>0</v>
      </c>
      <c r="EO39" s="70"/>
      <c r="EP39" s="70">
        <f>SUM(EP8:EP38)</f>
        <v>0</v>
      </c>
      <c r="EQ39" s="71">
        <f>EF39+ED39</f>
        <v>5145</v>
      </c>
      <c r="ER39" s="102"/>
      <c r="ES39" s="102"/>
      <c r="ET39" s="400">
        <f t="shared" si="73"/>
        <v>403</v>
      </c>
      <c r="EU39" s="79">
        <f t="shared" si="74"/>
        <v>0</v>
      </c>
      <c r="EV39" s="81">
        <f>EV38+EH38-FC38</f>
        <v>0</v>
      </c>
      <c r="EW39" s="81">
        <f>EW38+EJ38-FD38</f>
        <v>1009</v>
      </c>
      <c r="EX39" s="79">
        <f t="shared" si="77"/>
        <v>0</v>
      </c>
      <c r="EY39" s="81">
        <f>EY38+EN38-FF38</f>
        <v>0</v>
      </c>
      <c r="EZ39" s="82">
        <f>EZ38+EP38-FG38</f>
        <v>3134</v>
      </c>
      <c r="FA39" s="70">
        <f>SUM(FA8:FA38)</f>
        <v>3935</v>
      </c>
      <c r="FB39" s="158"/>
      <c r="FC39" s="158"/>
      <c r="FD39" s="158"/>
      <c r="FE39" s="158"/>
      <c r="FF39" s="158">
        <f t="shared" ref="FF39:FG39" si="102">SUM(FF8:FF38)</f>
        <v>0</v>
      </c>
      <c r="FG39" s="159">
        <f t="shared" si="102"/>
        <v>0</v>
      </c>
    </row>
    <row r="40" spans="2:163">
      <c r="B40" s="65" t="s">
        <v>79</v>
      </c>
      <c r="C40" s="72"/>
      <c r="D40" s="73"/>
      <c r="E40" s="73"/>
      <c r="F40" s="73">
        <f>NOMINACIÓN!D31</f>
        <v>9750</v>
      </c>
      <c r="G40" s="73"/>
      <c r="H40" s="73"/>
      <c r="I40" s="73"/>
      <c r="J40" s="73">
        <v>0</v>
      </c>
      <c r="K40" s="73"/>
      <c r="L40" s="73">
        <f>NOMINACIÓN!G31</f>
        <v>777</v>
      </c>
      <c r="M40" s="73"/>
      <c r="N40" s="73">
        <v>0</v>
      </c>
      <c r="O40" s="73"/>
      <c r="P40" s="73">
        <v>5000</v>
      </c>
      <c r="Q40" s="75">
        <f>L40+H40+F40</f>
        <v>10527</v>
      </c>
      <c r="R40" s="65" t="s">
        <v>79</v>
      </c>
      <c r="S40" s="99"/>
      <c r="T40" s="100">
        <v>10</v>
      </c>
      <c r="U40" s="99"/>
      <c r="V40" s="100">
        <f>NOMINACIÓN!G12</f>
        <v>15</v>
      </c>
      <c r="W40" s="72"/>
      <c r="X40" s="100">
        <v>4</v>
      </c>
      <c r="Y40" s="73"/>
      <c r="Z40" s="73">
        <f>NOMINACIÓN!D32</f>
        <v>9750</v>
      </c>
      <c r="AA40" s="73"/>
      <c r="AB40" s="73"/>
      <c r="AC40" s="73"/>
      <c r="AD40" s="73">
        <f>J40</f>
        <v>0</v>
      </c>
      <c r="AE40" s="73"/>
      <c r="AF40" s="73">
        <f>NOMINACIÓN!G32</f>
        <v>752</v>
      </c>
      <c r="AG40" s="73"/>
      <c r="AH40" s="73">
        <f>N40</f>
        <v>0</v>
      </c>
      <c r="AI40" s="73"/>
      <c r="AJ40" s="73">
        <f>P40</f>
        <v>5000</v>
      </c>
      <c r="AK40" s="75">
        <f>AF40+AB40+Z40</f>
        <v>10502</v>
      </c>
      <c r="AL40" s="103"/>
      <c r="AM40" s="103"/>
      <c r="AN40" s="127"/>
      <c r="AO40" s="128"/>
      <c r="AP40" s="128"/>
      <c r="AQ40" s="128"/>
      <c r="AR40" s="128"/>
      <c r="AS40" s="128"/>
      <c r="AT40" s="129"/>
      <c r="AU40" s="134">
        <f>NOMINACIÓN!D13</f>
        <v>1000</v>
      </c>
      <c r="AV40" s="73">
        <v>1000</v>
      </c>
      <c r="AW40" s="73">
        <f>NOMINACIÓN!D13-Z1PCSPSP!AV39</f>
        <v>1000</v>
      </c>
      <c r="AX40" s="73">
        <f>AD39</f>
        <v>0</v>
      </c>
      <c r="AY40" s="73">
        <f>NOMINACIÓN!G13</f>
        <v>0</v>
      </c>
      <c r="AZ40" s="135">
        <f>AH39</f>
        <v>0</v>
      </c>
      <c r="BA40" s="136">
        <f>AJ39</f>
        <v>0</v>
      </c>
      <c r="BC40" s="65" t="s">
        <v>79</v>
      </c>
      <c r="BD40" s="72"/>
      <c r="BE40" s="73">
        <f>NOMINACIÓN!C33</f>
        <v>8224</v>
      </c>
      <c r="BF40" s="73"/>
      <c r="BG40" s="73">
        <f>NOMINACIÓN!D33</f>
        <v>8750</v>
      </c>
      <c r="BH40" s="73"/>
      <c r="BI40" s="73">
        <f>NOMINACIÓN!E33</f>
        <v>0</v>
      </c>
      <c r="BJ40" s="73"/>
      <c r="BK40" s="73">
        <v>0</v>
      </c>
      <c r="BL40" s="73"/>
      <c r="BM40" s="73">
        <f>NOMINACIÓN!G33</f>
        <v>752</v>
      </c>
      <c r="BN40" s="73"/>
      <c r="BO40" s="73">
        <v>0</v>
      </c>
      <c r="BP40" s="73"/>
      <c r="BQ40" s="73">
        <v>5000</v>
      </c>
      <c r="BR40" s="75">
        <f>BM40+BI40+BG40+BE40</f>
        <v>17726</v>
      </c>
      <c r="BS40" s="65" t="s">
        <v>79</v>
      </c>
      <c r="BT40" s="163"/>
      <c r="BU40" s="73">
        <f>NOMINACIÓN!C17</f>
        <v>310</v>
      </c>
      <c r="BV40" s="73"/>
      <c r="BW40" s="73">
        <f>NOMINACIÓN!D17</f>
        <v>550</v>
      </c>
      <c r="BX40" s="73"/>
      <c r="BY40" s="73">
        <f>NOMINACIÓN!G14+NOMINACIÓN!G17</f>
        <v>218</v>
      </c>
      <c r="BZ40" s="134"/>
      <c r="CA40" s="100">
        <f>NOMINACIÓN!G15</f>
        <v>17</v>
      </c>
      <c r="CB40" s="99"/>
      <c r="CC40" s="175">
        <f>NOMINACIÓN!C18</f>
        <v>161</v>
      </c>
      <c r="CD40" s="163"/>
      <c r="CE40" s="100">
        <f>NOMINACIÓN!G16</f>
        <v>17</v>
      </c>
      <c r="CF40" s="72"/>
      <c r="CG40" s="73">
        <f>NOMINACIÓN!C34</f>
        <v>7753</v>
      </c>
      <c r="CH40" s="73"/>
      <c r="CI40" s="73">
        <f>NOMINACIÓN!D34</f>
        <v>8200</v>
      </c>
      <c r="CJ40" s="73"/>
      <c r="CK40" s="73">
        <f>NOMINACIÓN!E34</f>
        <v>0</v>
      </c>
      <c r="CL40" s="73"/>
      <c r="CM40" s="73">
        <f>BK40</f>
        <v>0</v>
      </c>
      <c r="CN40" s="73"/>
      <c r="CO40" s="73">
        <f>NOMINACIÓN!G34</f>
        <v>500</v>
      </c>
      <c r="CP40" s="73"/>
      <c r="CQ40" s="73"/>
      <c r="CR40" s="73"/>
      <c r="CS40" s="73"/>
      <c r="CT40" s="75">
        <f>CO40+CK40+CI40+CG40+CE40+CC40+CA40+BY40+BW40+BU40</f>
        <v>17726</v>
      </c>
      <c r="CU40" s="103"/>
      <c r="CV40" s="103"/>
      <c r="CW40" s="127"/>
      <c r="CX40" s="128"/>
      <c r="CY40" s="128"/>
      <c r="CZ40" s="128"/>
      <c r="DA40" s="128"/>
      <c r="DB40" s="128"/>
      <c r="DC40" s="129"/>
      <c r="DD40" s="134">
        <f>CG39</f>
        <v>7300</v>
      </c>
      <c r="DE40" s="73">
        <f>CI39</f>
        <v>8401</v>
      </c>
      <c r="DF40" s="73">
        <f>CK39</f>
        <v>250</v>
      </c>
      <c r="DG40" s="73">
        <f>CM39</f>
        <v>0</v>
      </c>
      <c r="DH40" s="73">
        <f>CO39</f>
        <v>559</v>
      </c>
      <c r="DI40" s="135">
        <f>CQ39</f>
        <v>0</v>
      </c>
      <c r="DJ40" s="136">
        <f>CS39</f>
        <v>0</v>
      </c>
      <c r="DL40" s="65" t="s">
        <v>79</v>
      </c>
      <c r="DM40" s="72"/>
      <c r="DN40" s="73">
        <f>NOMINACIÓN!C35</f>
        <v>4559</v>
      </c>
      <c r="DO40" s="73"/>
      <c r="DP40" s="73">
        <f>NOMINACIÓN!D35</f>
        <v>1200</v>
      </c>
      <c r="DQ40" s="73"/>
      <c r="DR40" s="73">
        <v>2500</v>
      </c>
      <c r="DS40" s="73"/>
      <c r="DT40" s="73">
        <v>0</v>
      </c>
      <c r="DU40" s="73"/>
      <c r="DV40" s="73">
        <f>NOMINACIÓN!G35</f>
        <v>0</v>
      </c>
      <c r="DW40" s="73"/>
      <c r="DX40" s="73">
        <v>0</v>
      </c>
      <c r="DY40" s="73"/>
      <c r="DZ40" s="73">
        <v>5000</v>
      </c>
      <c r="EA40" s="75">
        <f>DP40+DN40</f>
        <v>5759</v>
      </c>
      <c r="EB40" s="65" t="s">
        <v>79</v>
      </c>
      <c r="EC40" s="72"/>
      <c r="ED40" s="73">
        <f>DN40</f>
        <v>4559</v>
      </c>
      <c r="EE40" s="73"/>
      <c r="EF40" s="73">
        <f>DP40</f>
        <v>1200</v>
      </c>
      <c r="EG40" s="73"/>
      <c r="EH40" s="73">
        <f>DR40</f>
        <v>2500</v>
      </c>
      <c r="EI40" s="73"/>
      <c r="EJ40" s="73">
        <f>DT40</f>
        <v>0</v>
      </c>
      <c r="EK40" s="73"/>
      <c r="EL40" s="73">
        <f>DV40</f>
        <v>0</v>
      </c>
      <c r="EM40" s="73"/>
      <c r="EN40" s="73">
        <f>DX40</f>
        <v>0</v>
      </c>
      <c r="EO40" s="73"/>
      <c r="EP40" s="73">
        <f>DZ40</f>
        <v>5000</v>
      </c>
      <c r="EQ40" s="75">
        <f>EF40+ED40</f>
        <v>5759</v>
      </c>
      <c r="ER40" s="103"/>
      <c r="ES40" s="103"/>
      <c r="ET40" s="127"/>
      <c r="EU40" s="128"/>
      <c r="EV40" s="128"/>
      <c r="EW40" s="128"/>
      <c r="EX40" s="128"/>
      <c r="EY40" s="128"/>
      <c r="EZ40" s="129"/>
      <c r="FA40" s="134">
        <f>ED40</f>
        <v>4559</v>
      </c>
      <c r="FB40" s="73">
        <f>EF39</f>
        <v>1419</v>
      </c>
      <c r="FC40" s="73">
        <f>EH39</f>
        <v>0</v>
      </c>
      <c r="FD40" s="73">
        <f>EJ39</f>
        <v>0</v>
      </c>
      <c r="FE40" s="73">
        <f>EL39</f>
        <v>0</v>
      </c>
      <c r="FF40" s="135">
        <f>EN39</f>
        <v>0</v>
      </c>
      <c r="FG40" s="136">
        <f>EP39</f>
        <v>0</v>
      </c>
    </row>
    <row r="41" spans="2:163" ht="15" thickBot="1">
      <c r="B41" s="66" t="s">
        <v>80</v>
      </c>
      <c r="C41" s="74"/>
      <c r="D41" s="76">
        <f>D39-D40</f>
        <v>0</v>
      </c>
      <c r="E41" s="76"/>
      <c r="F41" s="76">
        <f>F39-F40</f>
        <v>-410</v>
      </c>
      <c r="G41" s="76"/>
      <c r="H41" s="76">
        <f>H39-H40</f>
        <v>250</v>
      </c>
      <c r="I41" s="76"/>
      <c r="J41" s="76">
        <f>J39-J40</f>
        <v>0</v>
      </c>
      <c r="K41" s="76"/>
      <c r="L41" s="76">
        <f>L39-L40</f>
        <v>55</v>
      </c>
      <c r="M41" s="76"/>
      <c r="N41" s="76">
        <f>N39-N40</f>
        <v>0</v>
      </c>
      <c r="O41" s="76"/>
      <c r="P41" s="76">
        <f>P39-P40</f>
        <v>-5000</v>
      </c>
      <c r="Q41" s="77">
        <f>Q39-Q40</f>
        <v>-105</v>
      </c>
      <c r="R41" s="66" t="s">
        <v>80</v>
      </c>
      <c r="S41" s="101"/>
      <c r="T41" s="77">
        <f>T39-T40</f>
        <v>-5</v>
      </c>
      <c r="U41" s="101"/>
      <c r="V41" s="77">
        <f>V39-V40</f>
        <v>-4</v>
      </c>
      <c r="W41" s="78"/>
      <c r="X41" s="77">
        <f>X39-X40</f>
        <v>-4</v>
      </c>
      <c r="Y41" s="76"/>
      <c r="Z41" s="76">
        <f>Z39-Z40</f>
        <v>-476</v>
      </c>
      <c r="AA41" s="76"/>
      <c r="AB41" s="76">
        <f>AB39-AB40</f>
        <v>238</v>
      </c>
      <c r="AC41" s="76"/>
      <c r="AD41" s="76">
        <f>AD39-AD40</f>
        <v>0</v>
      </c>
      <c r="AE41" s="76"/>
      <c r="AF41" s="76">
        <f>AF39-AF40</f>
        <v>64</v>
      </c>
      <c r="AG41" s="76"/>
      <c r="AH41" s="76">
        <f>AH39-AH40</f>
        <v>0</v>
      </c>
      <c r="AI41" s="76"/>
      <c r="AJ41" s="76">
        <f>AJ39-AJ40</f>
        <v>-5000</v>
      </c>
      <c r="AK41" s="77">
        <f>AK39-AK40</f>
        <v>-158</v>
      </c>
      <c r="AL41" s="104"/>
      <c r="AM41" s="104"/>
      <c r="AN41" s="130"/>
      <c r="AO41" s="131"/>
      <c r="AP41" s="131"/>
      <c r="AQ41" s="131"/>
      <c r="AR41" s="131"/>
      <c r="AS41" s="131"/>
      <c r="AT41" s="132"/>
      <c r="AU41" s="78">
        <f t="shared" ref="AU41:BA41" si="103">AU39-AU40</f>
        <v>0</v>
      </c>
      <c r="AV41" s="76">
        <f t="shared" si="103"/>
        <v>-1000</v>
      </c>
      <c r="AW41" s="76">
        <f t="shared" si="103"/>
        <v>-400</v>
      </c>
      <c r="AX41" s="76">
        <f t="shared" si="103"/>
        <v>90</v>
      </c>
      <c r="AY41" s="76">
        <f t="shared" si="103"/>
        <v>900</v>
      </c>
      <c r="AZ41" s="76">
        <f t="shared" si="103"/>
        <v>0</v>
      </c>
      <c r="BA41" s="77">
        <f t="shared" si="103"/>
        <v>3075</v>
      </c>
      <c r="BC41" s="66" t="s">
        <v>80</v>
      </c>
      <c r="BD41" s="74"/>
      <c r="BE41" s="76">
        <f>BE39-BE40</f>
        <v>317</v>
      </c>
      <c r="BF41" s="76"/>
      <c r="BG41" s="76">
        <f>BG39-BG40</f>
        <v>-441</v>
      </c>
      <c r="BH41" s="76"/>
      <c r="BI41" s="76">
        <f>BI39-BI40</f>
        <v>240</v>
      </c>
      <c r="BJ41" s="76"/>
      <c r="BK41" s="76">
        <f>BK39-BK40</f>
        <v>0</v>
      </c>
      <c r="BL41" s="76"/>
      <c r="BM41" s="76">
        <f>BM39-BM40</f>
        <v>48</v>
      </c>
      <c r="BN41" s="76"/>
      <c r="BO41" s="76">
        <f>BO39-BO40</f>
        <v>0</v>
      </c>
      <c r="BP41" s="76"/>
      <c r="BQ41" s="76">
        <f>BQ39-BQ40</f>
        <v>-5000</v>
      </c>
      <c r="BR41" s="77">
        <f>BR39-BR40</f>
        <v>164</v>
      </c>
      <c r="BS41" s="66" t="s">
        <v>80</v>
      </c>
      <c r="BT41" s="164"/>
      <c r="BU41" s="76">
        <f>BU39-BU40</f>
        <v>-30</v>
      </c>
      <c r="BV41" s="76"/>
      <c r="BW41" s="76">
        <f>BW39-BW40</f>
        <v>-47</v>
      </c>
      <c r="BX41" s="76"/>
      <c r="BY41" s="76">
        <f>BY39-BY40</f>
        <v>-10</v>
      </c>
      <c r="BZ41" s="78"/>
      <c r="CA41" s="77">
        <f>CA39-CA40</f>
        <v>-2</v>
      </c>
      <c r="CB41" s="101"/>
      <c r="CC41" s="164">
        <f>CC39-CC40</f>
        <v>51</v>
      </c>
      <c r="CD41" s="164"/>
      <c r="CE41" s="77">
        <f>CE39-CE40</f>
        <v>-1</v>
      </c>
      <c r="CF41" s="78"/>
      <c r="CG41" s="76">
        <f>CG39-CG40</f>
        <v>-453</v>
      </c>
      <c r="CH41" s="76"/>
      <c r="CI41" s="76">
        <f>CI39-CI40</f>
        <v>201</v>
      </c>
      <c r="CJ41" s="76"/>
      <c r="CK41" s="76">
        <f>CK39-CK40</f>
        <v>250</v>
      </c>
      <c r="CL41" s="76"/>
      <c r="CM41" s="76">
        <f>CM39-CM40</f>
        <v>0</v>
      </c>
      <c r="CN41" s="76"/>
      <c r="CO41" s="76">
        <f>CO39-CO40</f>
        <v>59</v>
      </c>
      <c r="CP41" s="76"/>
      <c r="CQ41" s="76">
        <f>CQ39-CQ40</f>
        <v>0</v>
      </c>
      <c r="CR41" s="76"/>
      <c r="CS41" s="76">
        <f>CS39-CS40</f>
        <v>0</v>
      </c>
      <c r="CT41" s="77">
        <f>CT39-CT40</f>
        <v>18</v>
      </c>
      <c r="CU41" s="104"/>
      <c r="CV41" s="104"/>
      <c r="CW41" s="130"/>
      <c r="CX41" s="131"/>
      <c r="CY41" s="131"/>
      <c r="CZ41" s="131"/>
      <c r="DA41" s="131"/>
      <c r="DB41" s="131"/>
      <c r="DC41" s="132"/>
      <c r="DD41" s="78">
        <f t="shared" ref="DD41:DJ41" si="104">DD39-DD40</f>
        <v>-3775</v>
      </c>
      <c r="DE41" s="76">
        <f t="shared" si="104"/>
        <v>-1819</v>
      </c>
      <c r="DF41" s="76">
        <f t="shared" si="104"/>
        <v>-250</v>
      </c>
      <c r="DG41" s="76">
        <f t="shared" si="104"/>
        <v>0</v>
      </c>
      <c r="DH41" s="76">
        <f t="shared" si="104"/>
        <v>4316</v>
      </c>
      <c r="DI41" s="76">
        <f t="shared" si="104"/>
        <v>0</v>
      </c>
      <c r="DJ41" s="77">
        <f t="shared" si="104"/>
        <v>0</v>
      </c>
      <c r="DL41" s="66" t="s">
        <v>80</v>
      </c>
      <c r="DM41" s="74"/>
      <c r="DN41" s="76">
        <f>DN39-DN40</f>
        <v>-597</v>
      </c>
      <c r="DO41" s="76"/>
      <c r="DP41" s="76">
        <f>DP39-DP40</f>
        <v>74</v>
      </c>
      <c r="DQ41" s="76"/>
      <c r="DR41" s="76">
        <f>DR39-DR40</f>
        <v>-2500</v>
      </c>
      <c r="DS41" s="76"/>
      <c r="DT41" s="76">
        <f>DT39-DT40</f>
        <v>0</v>
      </c>
      <c r="DU41" s="76"/>
      <c r="DV41" s="76">
        <f>DV39-DV40</f>
        <v>0</v>
      </c>
      <c r="DW41" s="76"/>
      <c r="DX41" s="76">
        <f>DX39-DX40</f>
        <v>0</v>
      </c>
      <c r="DY41" s="76"/>
      <c r="DZ41" s="76">
        <f>DZ39-DZ40</f>
        <v>-5000</v>
      </c>
      <c r="EA41" s="77">
        <f>EA39-EA40</f>
        <v>-523</v>
      </c>
      <c r="EB41" s="66" t="s">
        <v>80</v>
      </c>
      <c r="EC41" s="78"/>
      <c r="ED41" s="76">
        <f>ED39-ED40</f>
        <v>-833</v>
      </c>
      <c r="EE41" s="76"/>
      <c r="EF41" s="76">
        <f>EF39-EF40</f>
        <v>219</v>
      </c>
      <c r="EG41" s="76"/>
      <c r="EH41" s="76">
        <f>EH39-EH40</f>
        <v>-2500</v>
      </c>
      <c r="EI41" s="76"/>
      <c r="EJ41" s="76">
        <f>EJ39-EJ40</f>
        <v>0</v>
      </c>
      <c r="EK41" s="76"/>
      <c r="EL41" s="76">
        <f>EL39-EL40</f>
        <v>0</v>
      </c>
      <c r="EM41" s="76"/>
      <c r="EN41" s="76">
        <f>EN39-EN40</f>
        <v>0</v>
      </c>
      <c r="EO41" s="76"/>
      <c r="EP41" s="76">
        <f>EP39-EP40</f>
        <v>-5000</v>
      </c>
      <c r="EQ41" s="77">
        <f>EQ39-EQ40</f>
        <v>-614</v>
      </c>
      <c r="ER41" s="104"/>
      <c r="ES41" s="104"/>
      <c r="ET41" s="130"/>
      <c r="EU41" s="131"/>
      <c r="EV41" s="131"/>
      <c r="EW41" s="131"/>
      <c r="EX41" s="131"/>
      <c r="EY41" s="131"/>
      <c r="EZ41" s="132"/>
      <c r="FA41" s="78">
        <f t="shared" ref="FA41:FG41" si="105">FA39-FA40</f>
        <v>-624</v>
      </c>
      <c r="FB41" s="76">
        <f t="shared" si="105"/>
        <v>-1419</v>
      </c>
      <c r="FC41" s="76">
        <f t="shared" si="105"/>
        <v>0</v>
      </c>
      <c r="FD41" s="76">
        <f t="shared" si="105"/>
        <v>0</v>
      </c>
      <c r="FE41" s="76">
        <f t="shared" si="105"/>
        <v>0</v>
      </c>
      <c r="FF41" s="76">
        <f t="shared" si="105"/>
        <v>0</v>
      </c>
      <c r="FG41" s="77">
        <f t="shared" si="105"/>
        <v>0</v>
      </c>
    </row>
    <row r="42" spans="2:163" ht="40.200000000000003" customHeight="1">
      <c r="B42" s="1"/>
      <c r="C42" s="31"/>
      <c r="D42" s="1"/>
      <c r="E42" s="1"/>
      <c r="F42" s="2"/>
      <c r="G42" s="2"/>
      <c r="H42" s="2"/>
      <c r="I42" s="32"/>
      <c r="J42" s="32"/>
      <c r="K42" s="32"/>
      <c r="L42" s="32"/>
      <c r="M42" s="32"/>
      <c r="N42" s="32"/>
      <c r="O42" s="32"/>
      <c r="P42" s="2"/>
      <c r="Q42" s="3"/>
      <c r="R42" s="33"/>
      <c r="S42" s="33"/>
      <c r="T42" s="33"/>
      <c r="U42" s="33"/>
      <c r="V42" s="33"/>
      <c r="W42" s="34"/>
      <c r="X42" s="34"/>
      <c r="Y42" s="33"/>
      <c r="Z42" s="34"/>
      <c r="AA42" s="33"/>
      <c r="AB42" s="33"/>
      <c r="AC42" s="35"/>
      <c r="AD42" s="35"/>
      <c r="AE42" s="35"/>
      <c r="AF42" s="35"/>
      <c r="AG42" s="35"/>
      <c r="AH42" s="35"/>
      <c r="AI42" s="35"/>
      <c r="AJ42" s="34"/>
      <c r="AK42" s="34"/>
      <c r="AL42" s="34"/>
      <c r="AM42" s="7"/>
      <c r="AN42" s="9"/>
      <c r="AO42" s="9"/>
      <c r="AP42" s="9"/>
      <c r="AQ42" s="5"/>
      <c r="AR42" s="5"/>
      <c r="AS42" s="5"/>
      <c r="AT42" s="10"/>
      <c r="AU42" s="5"/>
      <c r="AV42" s="5"/>
      <c r="AW42" s="5"/>
      <c r="AX42" s="5"/>
      <c r="AY42" s="5"/>
      <c r="AZ42" s="5"/>
      <c r="BA42" s="5"/>
    </row>
    <row r="43" spans="2:163">
      <c r="B43" s="36"/>
      <c r="C43" s="37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9"/>
      <c r="Q43" s="39"/>
      <c r="R43" s="34"/>
      <c r="S43" s="34"/>
      <c r="T43" s="34"/>
      <c r="U43" s="34"/>
      <c r="V43" s="34"/>
      <c r="W43" s="34"/>
      <c r="X43" s="33"/>
      <c r="Y43" s="33"/>
      <c r="Z43" s="33"/>
      <c r="AA43" s="35"/>
      <c r="AB43" s="35"/>
      <c r="AC43" s="35"/>
      <c r="AD43" s="35"/>
      <c r="AE43" s="35"/>
      <c r="AF43" s="35"/>
      <c r="AG43" s="35"/>
      <c r="AH43" s="35"/>
      <c r="AI43" s="35"/>
      <c r="AJ43" s="33"/>
      <c r="AK43" s="33"/>
      <c r="AL43" s="33"/>
      <c r="AM43" s="38"/>
      <c r="AN43" s="40"/>
      <c r="AO43" s="40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CW43" s="208"/>
    </row>
    <row r="44" spans="2:163">
      <c r="B44" s="44" t="s">
        <v>81</v>
      </c>
      <c r="C44" s="2"/>
      <c r="D44" s="2"/>
      <c r="E44" s="2"/>
      <c r="F44" s="2"/>
      <c r="G44" s="42"/>
      <c r="H44" s="42"/>
      <c r="I44" s="2"/>
      <c r="J44" s="2"/>
      <c r="K44" s="2"/>
      <c r="L44" s="2"/>
      <c r="M44" s="2"/>
      <c r="N44" s="2"/>
      <c r="O44" s="2"/>
      <c r="P44" s="41"/>
      <c r="Q44" s="41"/>
      <c r="R44" s="41"/>
      <c r="S44" s="43"/>
      <c r="T44" s="42"/>
      <c r="U44" s="33"/>
      <c r="V44" s="42"/>
      <c r="W44" s="42"/>
      <c r="X44" s="33"/>
      <c r="Y44" s="42"/>
      <c r="Z44" s="33"/>
      <c r="AA44" s="42" t="s">
        <v>82</v>
      </c>
      <c r="AB44" s="33"/>
      <c r="AC44" s="35"/>
      <c r="AD44" s="35"/>
      <c r="AE44" s="35"/>
      <c r="AF44" s="35"/>
      <c r="AG44" s="35"/>
      <c r="AH44" s="35"/>
      <c r="AI44" s="35"/>
      <c r="AJ44" s="33"/>
      <c r="AK44" s="33"/>
      <c r="AL44" s="33"/>
      <c r="AM44" s="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C44" s="44" t="s">
        <v>81</v>
      </c>
      <c r="BD44" s="2"/>
      <c r="BE44" s="2"/>
      <c r="BF44" s="2"/>
      <c r="BG44" s="2"/>
      <c r="BH44" s="42"/>
      <c r="BI44" s="42"/>
      <c r="BJ44" s="2"/>
      <c r="BK44" s="2"/>
      <c r="BL44" s="2"/>
      <c r="BM44" s="2"/>
      <c r="BN44" s="2"/>
      <c r="BO44" s="2"/>
      <c r="BP44" s="2"/>
      <c r="BQ44" s="41"/>
      <c r="BR44" s="41"/>
      <c r="BS44" s="41" t="s">
        <v>83</v>
      </c>
      <c r="BT44" s="43"/>
      <c r="BU44" s="42"/>
      <c r="BV44" s="33"/>
      <c r="BW44" s="42"/>
      <c r="BX44" s="42"/>
      <c r="BY44" s="33"/>
      <c r="BZ44" s="42"/>
      <c r="CA44" s="42" t="s">
        <v>82</v>
      </c>
      <c r="CB44" s="42"/>
      <c r="CC44" s="33"/>
      <c r="CD44" s="35"/>
      <c r="CE44" s="35"/>
      <c r="CF44" s="35"/>
      <c r="CG44" s="35"/>
      <c r="DM44" s="44" t="s">
        <v>81</v>
      </c>
      <c r="DN44" s="2"/>
      <c r="DO44" s="2"/>
      <c r="DP44" s="2"/>
      <c r="DQ44" s="2"/>
      <c r="DR44" s="42"/>
      <c r="DS44" s="42" t="s">
        <v>82</v>
      </c>
      <c r="DT44" s="2"/>
      <c r="DU44" s="42"/>
      <c r="DV44" s="42"/>
      <c r="DW44" s="2"/>
      <c r="DX44" s="2"/>
      <c r="DY44" s="2"/>
      <c r="DZ44" s="2"/>
      <c r="EA44" s="41"/>
      <c r="EB44" s="41"/>
      <c r="EC44" s="41" t="s">
        <v>83</v>
      </c>
      <c r="ED44" s="43"/>
      <c r="EE44" s="42"/>
      <c r="EF44" s="33"/>
      <c r="EG44" s="42"/>
      <c r="EH44" s="42"/>
      <c r="EI44" s="33"/>
      <c r="EJ44" s="42"/>
      <c r="EK44" s="33"/>
      <c r="EL44" s="42" t="s">
        <v>82</v>
      </c>
      <c r="EM44" s="33"/>
      <c r="EN44" s="35"/>
      <c r="EO44" s="35"/>
      <c r="EP44" s="35"/>
      <c r="EQ44" s="35"/>
    </row>
    <row r="45" spans="2:163">
      <c r="B45" s="46" t="s">
        <v>84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47"/>
      <c r="V45" s="21"/>
      <c r="W45" s="2"/>
      <c r="X45" s="47"/>
      <c r="Y45" s="2"/>
      <c r="Z45" s="47"/>
      <c r="AA45" s="2" t="s">
        <v>85</v>
      </c>
      <c r="AB45" s="43"/>
      <c r="AC45" s="43"/>
      <c r="AD45" s="43"/>
      <c r="AE45" s="47"/>
      <c r="AF45" s="43"/>
      <c r="AG45" s="43"/>
      <c r="AH45" s="43"/>
      <c r="AI45" s="34"/>
      <c r="AJ45" s="13"/>
      <c r="AK45" s="45"/>
      <c r="AL45" s="45"/>
      <c r="AM45" s="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C45" s="46" t="s">
        <v>84</v>
      </c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 t="s">
        <v>86</v>
      </c>
      <c r="BT45" s="2"/>
      <c r="BU45" s="2"/>
      <c r="BV45" s="47"/>
      <c r="BW45" s="21"/>
      <c r="BX45" s="2"/>
      <c r="BY45" s="47"/>
      <c r="BZ45" s="2"/>
      <c r="CA45" s="2" t="s">
        <v>85</v>
      </c>
      <c r="CB45" s="21"/>
      <c r="CC45" s="43"/>
      <c r="CD45" s="43"/>
      <c r="CE45" s="43"/>
      <c r="CF45" s="47"/>
      <c r="CG45" s="43"/>
      <c r="DM45" s="46" t="s">
        <v>84</v>
      </c>
      <c r="DN45" s="2"/>
      <c r="DO45" s="2"/>
      <c r="DP45" s="2"/>
      <c r="DQ45" s="2"/>
      <c r="DR45" s="2"/>
      <c r="DS45" s="2" t="s">
        <v>85</v>
      </c>
      <c r="DT45" s="2"/>
      <c r="DU45" s="2"/>
      <c r="DV45" s="2"/>
      <c r="DW45" s="2"/>
      <c r="DX45" s="2"/>
      <c r="DY45" s="2"/>
      <c r="DZ45" s="2"/>
      <c r="EA45" s="2"/>
      <c r="EB45" s="2"/>
      <c r="EC45" s="2" t="s">
        <v>86</v>
      </c>
      <c r="ED45" s="2"/>
      <c r="EE45" s="2"/>
      <c r="EF45" s="47"/>
      <c r="EG45" s="21"/>
      <c r="EH45" s="2"/>
      <c r="EI45" s="47"/>
      <c r="EJ45" s="2"/>
      <c r="EK45" s="47"/>
      <c r="EL45" s="2" t="s">
        <v>85</v>
      </c>
      <c r="EM45" s="43"/>
      <c r="EN45" s="43"/>
      <c r="EO45" s="43"/>
      <c r="EP45" s="47"/>
      <c r="EQ45" s="47"/>
    </row>
    <row r="46" spans="2:163">
      <c r="B46" s="46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1"/>
      <c r="R46" s="2"/>
      <c r="S46" s="47"/>
      <c r="T46" s="21"/>
      <c r="U46" s="47"/>
      <c r="V46" s="47"/>
      <c r="W46" s="47"/>
      <c r="X46" s="47"/>
      <c r="Y46" s="21"/>
      <c r="Z46" s="21"/>
      <c r="AA46" s="21"/>
      <c r="AB46" s="47"/>
      <c r="AC46" s="47"/>
      <c r="AD46" s="21"/>
      <c r="AE46" s="21"/>
      <c r="AF46" s="21"/>
      <c r="AG46" s="21"/>
      <c r="AH46" s="21"/>
      <c r="AI46" s="48" t="s">
        <v>87</v>
      </c>
      <c r="AJ46" s="5"/>
      <c r="AK46" s="5"/>
      <c r="AL46" s="5"/>
      <c r="AM46" s="5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</row>
    <row r="47" spans="2:163">
      <c r="AU47" s="51"/>
    </row>
  </sheetData>
  <mergeCells count="92">
    <mergeCell ref="B5:B7"/>
    <mergeCell ref="C5:Q5"/>
    <mergeCell ref="R5:R7"/>
    <mergeCell ref="U6:V6"/>
    <mergeCell ref="W6:X6"/>
    <mergeCell ref="C6:D6"/>
    <mergeCell ref="E6:F6"/>
    <mergeCell ref="W5:X5"/>
    <mergeCell ref="G3:H3"/>
    <mergeCell ref="L3:M3"/>
    <mergeCell ref="AU5:BA6"/>
    <mergeCell ref="G6:H6"/>
    <mergeCell ref="I6:J6"/>
    <mergeCell ref="K6:L6"/>
    <mergeCell ref="M6:N6"/>
    <mergeCell ref="O6:P6"/>
    <mergeCell ref="Q6:Q7"/>
    <mergeCell ref="S6:T6"/>
    <mergeCell ref="S5:T5"/>
    <mergeCell ref="U5:V5"/>
    <mergeCell ref="AL5:AL7"/>
    <mergeCell ref="AM5:AM7"/>
    <mergeCell ref="AN5:AT6"/>
    <mergeCell ref="AC6:AD6"/>
    <mergeCell ref="AE6:AF6"/>
    <mergeCell ref="AG6:AH6"/>
    <mergeCell ref="AI6:AJ6"/>
    <mergeCell ref="AK6:AK7"/>
    <mergeCell ref="Y5:AK5"/>
    <mergeCell ref="Y6:Z6"/>
    <mergeCell ref="AA6:AB6"/>
    <mergeCell ref="CH6:CI6"/>
    <mergeCell ref="CJ6:CK6"/>
    <mergeCell ref="CL6:CM6"/>
    <mergeCell ref="BM3:BN3"/>
    <mergeCell ref="BC5:BC7"/>
    <mergeCell ref="BD5:BR5"/>
    <mergeCell ref="BS5:BS7"/>
    <mergeCell ref="BD6:BE6"/>
    <mergeCell ref="BF6:BG6"/>
    <mergeCell ref="BH6:BI6"/>
    <mergeCell ref="BJ6:BK6"/>
    <mergeCell ref="BH3:BI3"/>
    <mergeCell ref="BL6:BM6"/>
    <mergeCell ref="BN6:BO6"/>
    <mergeCell ref="BP6:BQ6"/>
    <mergeCell ref="BR6:BR7"/>
    <mergeCell ref="DQ3:DR3"/>
    <mergeCell ref="DV3:DW3"/>
    <mergeCell ref="DL5:DL7"/>
    <mergeCell ref="DM5:EA5"/>
    <mergeCell ref="DM6:DN6"/>
    <mergeCell ref="DO6:DP6"/>
    <mergeCell ref="DY6:DZ6"/>
    <mergeCell ref="EA6:EA7"/>
    <mergeCell ref="ER5:ER7"/>
    <mergeCell ref="ES5:ES7"/>
    <mergeCell ref="ET5:EZ6"/>
    <mergeCell ref="FA5:FG6"/>
    <mergeCell ref="EC6:ED6"/>
    <mergeCell ref="EE6:EF6"/>
    <mergeCell ref="EG6:EH6"/>
    <mergeCell ref="EI6:EJ6"/>
    <mergeCell ref="EK6:EL6"/>
    <mergeCell ref="EM6:EN6"/>
    <mergeCell ref="EO6:EP6"/>
    <mergeCell ref="EQ6:EQ7"/>
    <mergeCell ref="EB5:EB7"/>
    <mergeCell ref="EC5:EQ5"/>
    <mergeCell ref="CN6:CO6"/>
    <mergeCell ref="CP6:CQ6"/>
    <mergeCell ref="DQ6:DR6"/>
    <mergeCell ref="DS6:DT6"/>
    <mergeCell ref="DU6:DV6"/>
    <mergeCell ref="DW6:DX6"/>
    <mergeCell ref="CR6:CS6"/>
    <mergeCell ref="CT6:CT7"/>
    <mergeCell ref="CF5:CT5"/>
    <mergeCell ref="CU5:CU7"/>
    <mergeCell ref="CV5:CV7"/>
    <mergeCell ref="CW5:DC6"/>
    <mergeCell ref="DD5:DJ6"/>
    <mergeCell ref="CF6:CG6"/>
    <mergeCell ref="BT5:BY5"/>
    <mergeCell ref="BZ5:CA5"/>
    <mergeCell ref="BZ6:CA6"/>
    <mergeCell ref="CB6:CC6"/>
    <mergeCell ref="CD6:CE6"/>
    <mergeCell ref="CB5:CE5"/>
    <mergeCell ref="BX6:BY6"/>
    <mergeCell ref="BT6:BU6"/>
    <mergeCell ref="BV6:BW6"/>
  </mergeCells>
  <conditionalFormatting sqref="AT4">
    <cfRule type="cellIs" dxfId="113" priority="45" stopIfTrue="1" operator="lessThan">
      <formula>100</formula>
    </cfRule>
    <cfRule type="cellIs" dxfId="112" priority="46" stopIfTrue="1" operator="between">
      <formula>100</formula>
      <formula>2070</formula>
    </cfRule>
    <cfRule type="cellIs" dxfId="111" priority="47" stopIfTrue="1" operator="greaterThan">
      <formula>2070</formula>
    </cfRule>
  </conditionalFormatting>
  <conditionalFormatting sqref="AN4:AP4">
    <cfRule type="cellIs" dxfId="110" priority="42" stopIfTrue="1" operator="greaterThan">
      <formula>573</formula>
    </cfRule>
    <cfRule type="cellIs" dxfId="109" priority="43" stopIfTrue="1" operator="lessThan">
      <formula>30</formula>
    </cfRule>
    <cfRule type="cellIs" dxfId="108" priority="44" stopIfTrue="1" operator="between">
      <formula>30</formula>
      <formula>573</formula>
    </cfRule>
  </conditionalFormatting>
  <conditionalFormatting sqref="AQ4:AS4">
    <cfRule type="cellIs" dxfId="107" priority="39" stopIfTrue="1" operator="between">
      <formula>100</formula>
      <formula>1280</formula>
    </cfRule>
    <cfRule type="cellIs" dxfId="106" priority="40" stopIfTrue="1" operator="greaterThan">
      <formula>1280</formula>
    </cfRule>
    <cfRule type="cellIs" dxfId="105" priority="41" stopIfTrue="1" operator="lessThan">
      <formula>100</formula>
    </cfRule>
  </conditionalFormatting>
  <conditionalFormatting sqref="AT40:AT41">
    <cfRule type="cellIs" dxfId="104" priority="36" stopIfTrue="1" operator="between">
      <formula>55</formula>
      <formula>1468</formula>
    </cfRule>
    <cfRule type="cellIs" dxfId="103" priority="37" stopIfTrue="1" operator="greaterThan">
      <formula>1775</formula>
    </cfRule>
    <cfRule type="cellIs" dxfId="102" priority="38" stopIfTrue="1" operator="lessThan">
      <formula>55</formula>
    </cfRule>
  </conditionalFormatting>
  <conditionalFormatting sqref="AQ40:AS41">
    <cfRule type="cellIs" dxfId="101" priority="33" stopIfTrue="1" operator="between">
      <formula>55</formula>
      <formula>1004</formula>
    </cfRule>
    <cfRule type="cellIs" dxfId="100" priority="34" stopIfTrue="1" operator="greaterThan">
      <formula>1468</formula>
    </cfRule>
    <cfRule type="cellIs" dxfId="99" priority="35" stopIfTrue="1" operator="lessThan">
      <formula>55</formula>
    </cfRule>
  </conditionalFormatting>
  <conditionalFormatting sqref="DC4">
    <cfRule type="cellIs" dxfId="98" priority="30" stopIfTrue="1" operator="lessThan">
      <formula>100</formula>
    </cfRule>
    <cfRule type="cellIs" dxfId="97" priority="31" stopIfTrue="1" operator="between">
      <formula>100</formula>
      <formula>2070</formula>
    </cfRule>
    <cfRule type="cellIs" dxfId="96" priority="32" stopIfTrue="1" operator="greaterThan">
      <formula>2070</formula>
    </cfRule>
  </conditionalFormatting>
  <conditionalFormatting sqref="CW4:CY4">
    <cfRule type="cellIs" dxfId="95" priority="27" stopIfTrue="1" operator="greaterThan">
      <formula>573</formula>
    </cfRule>
    <cfRule type="cellIs" dxfId="94" priority="28" stopIfTrue="1" operator="lessThan">
      <formula>30</formula>
    </cfRule>
    <cfRule type="cellIs" dxfId="93" priority="29" stopIfTrue="1" operator="between">
      <formula>30</formula>
      <formula>573</formula>
    </cfRule>
  </conditionalFormatting>
  <conditionalFormatting sqref="CZ4:DB4">
    <cfRule type="cellIs" dxfId="92" priority="24" stopIfTrue="1" operator="between">
      <formula>100</formula>
      <formula>1280</formula>
    </cfRule>
    <cfRule type="cellIs" dxfId="91" priority="25" stopIfTrue="1" operator="greaterThan">
      <formula>1280</formula>
    </cfRule>
    <cfRule type="cellIs" dxfId="90" priority="26" stopIfTrue="1" operator="lessThan">
      <formula>100</formula>
    </cfRule>
  </conditionalFormatting>
  <conditionalFormatting sqref="DC40:DC41">
    <cfRule type="cellIs" dxfId="89" priority="21" stopIfTrue="1" operator="between">
      <formula>55</formula>
      <formula>1468</formula>
    </cfRule>
    <cfRule type="cellIs" dxfId="88" priority="22" stopIfTrue="1" operator="greaterThan">
      <formula>1775</formula>
    </cfRule>
    <cfRule type="cellIs" dxfId="87" priority="23" stopIfTrue="1" operator="lessThan">
      <formula>55</formula>
    </cfRule>
  </conditionalFormatting>
  <conditionalFormatting sqref="CZ40:DB41">
    <cfRule type="cellIs" dxfId="86" priority="18" stopIfTrue="1" operator="between">
      <formula>55</formula>
      <formula>1004</formula>
    </cfRule>
    <cfRule type="cellIs" dxfId="85" priority="19" stopIfTrue="1" operator="greaterThan">
      <formula>1468</formula>
    </cfRule>
    <cfRule type="cellIs" dxfId="84" priority="20" stopIfTrue="1" operator="lessThan">
      <formula>55</formula>
    </cfRule>
  </conditionalFormatting>
  <conditionalFormatting sqref="EZ4">
    <cfRule type="cellIs" dxfId="83" priority="15" stopIfTrue="1" operator="lessThan">
      <formula>100</formula>
    </cfRule>
    <cfRule type="cellIs" dxfId="82" priority="16" stopIfTrue="1" operator="between">
      <formula>100</formula>
      <formula>2070</formula>
    </cfRule>
    <cfRule type="cellIs" dxfId="81" priority="17" stopIfTrue="1" operator="greaterThan">
      <formula>2070</formula>
    </cfRule>
  </conditionalFormatting>
  <conditionalFormatting sqref="ET4:EV4">
    <cfRule type="cellIs" dxfId="80" priority="12" stopIfTrue="1" operator="greaterThan">
      <formula>573</formula>
    </cfRule>
    <cfRule type="cellIs" dxfId="79" priority="13" stopIfTrue="1" operator="lessThan">
      <formula>30</formula>
    </cfRule>
    <cfRule type="cellIs" dxfId="78" priority="14" stopIfTrue="1" operator="between">
      <formula>30</formula>
      <formula>573</formula>
    </cfRule>
  </conditionalFormatting>
  <conditionalFormatting sqref="EW4:EY4">
    <cfRule type="cellIs" dxfId="77" priority="9" stopIfTrue="1" operator="between">
      <formula>100</formula>
      <formula>1280</formula>
    </cfRule>
    <cfRule type="cellIs" dxfId="76" priority="10" stopIfTrue="1" operator="greaterThan">
      <formula>1280</formula>
    </cfRule>
    <cfRule type="cellIs" dxfId="75" priority="11" stopIfTrue="1" operator="lessThan">
      <formula>100</formula>
    </cfRule>
  </conditionalFormatting>
  <conditionalFormatting sqref="EZ40:EZ41">
    <cfRule type="cellIs" dxfId="74" priority="6" stopIfTrue="1" operator="between">
      <formula>55</formula>
      <formula>1468</formula>
    </cfRule>
    <cfRule type="cellIs" dxfId="73" priority="7" stopIfTrue="1" operator="greaterThan">
      <formula>1775</formula>
    </cfRule>
    <cfRule type="cellIs" dxfId="72" priority="8" stopIfTrue="1" operator="lessThan">
      <formula>55</formula>
    </cfRule>
  </conditionalFormatting>
  <conditionalFormatting sqref="EW40:EY41">
    <cfRule type="cellIs" dxfId="71" priority="3" stopIfTrue="1" operator="between">
      <formula>55</formula>
      <formula>1004</formula>
    </cfRule>
    <cfRule type="cellIs" dxfId="70" priority="4" stopIfTrue="1" operator="greaterThan">
      <formula>1468</formula>
    </cfRule>
    <cfRule type="cellIs" dxfId="69" priority="5" stopIfTrue="1" operator="lessThan">
      <formula>55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6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A47"/>
  <sheetViews>
    <sheetView topLeftCell="A16" zoomScaleNormal="100" workbookViewId="0">
      <selection activeCell="Y36" sqref="Y36"/>
    </sheetView>
  </sheetViews>
  <sheetFormatPr baseColWidth="10" defaultColWidth="11.44140625" defaultRowHeight="14.4"/>
  <cols>
    <col min="1" max="1" width="2.6640625" customWidth="1"/>
    <col min="2" max="2" width="5.5546875" hidden="1" customWidth="1"/>
    <col min="3" max="3" width="7.5546875" hidden="1" customWidth="1"/>
    <col min="4" max="4" width="8.33203125" customWidth="1"/>
    <col min="5" max="8" width="5.44140625" customWidth="1"/>
    <col min="9" max="9" width="6.5546875" customWidth="1"/>
    <col min="10" max="10" width="5.44140625" customWidth="1"/>
    <col min="11" max="12" width="5.44140625" hidden="1" customWidth="1"/>
    <col min="13" max="13" width="5.6640625" customWidth="1"/>
    <col min="14" max="14" width="7.5546875" customWidth="1"/>
    <col min="15" max="18" width="5.44140625" hidden="1" customWidth="1"/>
    <col min="19" max="19" width="7.5546875" customWidth="1"/>
    <col min="20" max="20" width="8.6640625" customWidth="1"/>
    <col min="21" max="26" width="7.33203125" customWidth="1"/>
    <col min="27" max="28" width="7.33203125" hidden="1" customWidth="1"/>
    <col min="29" max="30" width="7.33203125" customWidth="1"/>
    <col min="31" max="34" width="7.33203125" hidden="1" customWidth="1"/>
    <col min="35" max="35" width="8.5546875" customWidth="1"/>
    <col min="36" max="36" width="5.5546875" customWidth="1"/>
    <col min="37" max="37" width="7.44140625" customWidth="1"/>
    <col min="38" max="39" width="7.33203125" customWidth="1"/>
    <col min="40" max="41" width="7.33203125" hidden="1" customWidth="1"/>
    <col min="42" max="42" width="7.33203125" customWidth="1"/>
    <col min="43" max="44" width="7.33203125" hidden="1" customWidth="1"/>
    <col min="45" max="46" width="7.33203125" customWidth="1"/>
    <col min="47" max="48" width="7.33203125" hidden="1" customWidth="1"/>
    <col min="49" max="49" width="7.33203125" customWidth="1"/>
    <col min="50" max="51" width="7.33203125" hidden="1" customWidth="1"/>
    <col min="52" max="52" width="0.5546875" customWidth="1"/>
  </cols>
  <sheetData>
    <row r="1" spans="2:52">
      <c r="D1" s="1"/>
      <c r="E1" s="1"/>
      <c r="F1" s="1"/>
      <c r="G1" s="2"/>
      <c r="H1" s="106"/>
      <c r="I1" s="1"/>
      <c r="J1" s="1"/>
      <c r="K1" s="3"/>
      <c r="L1" s="3"/>
      <c r="M1" s="106" t="s">
        <v>43</v>
      </c>
      <c r="N1" s="3"/>
      <c r="O1" s="3"/>
      <c r="P1" s="3"/>
      <c r="Q1" s="3"/>
      <c r="R1" s="1"/>
      <c r="S1" s="3"/>
      <c r="T1" s="4"/>
      <c r="U1" s="5"/>
      <c r="V1" s="6"/>
      <c r="W1" s="7"/>
      <c r="X1" s="1"/>
      <c r="Y1" s="1"/>
      <c r="Z1" s="1"/>
      <c r="AA1" s="8"/>
      <c r="AB1" s="8"/>
      <c r="AC1" s="8"/>
      <c r="AD1" s="8"/>
      <c r="AE1" s="8"/>
      <c r="AF1" s="8"/>
      <c r="AG1" s="8"/>
      <c r="AH1" s="1"/>
      <c r="AI1" s="7"/>
      <c r="AJ1" s="7"/>
      <c r="AK1" s="7"/>
      <c r="AL1" s="9"/>
      <c r="AM1" s="9"/>
      <c r="AN1" s="9"/>
      <c r="AO1" s="5"/>
      <c r="AP1" s="5"/>
      <c r="AQ1" s="5"/>
      <c r="AR1" s="10"/>
      <c r="AS1" s="5"/>
      <c r="AT1" s="5"/>
      <c r="AU1" s="5"/>
      <c r="AV1" s="5"/>
      <c r="AW1" s="5"/>
      <c r="AX1" s="5"/>
      <c r="AY1" s="5"/>
    </row>
    <row r="2" spans="2:52">
      <c r="D2" s="11"/>
      <c r="E2" s="1"/>
      <c r="F2" s="1"/>
      <c r="G2" s="11"/>
      <c r="H2" s="107"/>
      <c r="I2" s="1"/>
      <c r="J2" s="5"/>
      <c r="K2" s="12"/>
      <c r="L2" s="12"/>
      <c r="M2" s="107" t="s">
        <v>88</v>
      </c>
      <c r="N2" s="13"/>
      <c r="O2" s="13"/>
      <c r="P2" s="13"/>
      <c r="Q2" s="13"/>
      <c r="R2" s="14"/>
      <c r="S2" s="1"/>
      <c r="T2" s="12"/>
      <c r="U2" s="12"/>
      <c r="V2" s="13"/>
      <c r="W2" s="15"/>
      <c r="X2" s="15"/>
      <c r="Y2" s="15"/>
      <c r="Z2" s="15"/>
      <c r="AA2" s="15"/>
      <c r="AB2" s="16"/>
      <c r="AC2" s="16"/>
      <c r="AD2" s="16"/>
      <c r="AE2" s="16"/>
      <c r="AF2" s="16"/>
      <c r="AG2" s="451"/>
      <c r="AH2" s="451"/>
      <c r="AI2" s="451"/>
      <c r="AJ2" s="451"/>
      <c r="AK2" s="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</row>
    <row r="3" spans="2:52" ht="15.6">
      <c r="D3" s="11"/>
      <c r="E3" s="1"/>
      <c r="F3" s="1"/>
      <c r="G3" s="11"/>
      <c r="H3" s="108"/>
      <c r="I3" s="559"/>
      <c r="J3" s="560"/>
      <c r="K3" s="12"/>
      <c r="L3" s="12"/>
      <c r="M3" s="108" t="s">
        <v>47</v>
      </c>
      <c r="N3" s="559">
        <f>'PCOLP I'!G3</f>
        <v>45870</v>
      </c>
      <c r="O3" s="560"/>
      <c r="P3" s="13"/>
      <c r="Q3" s="13"/>
      <c r="R3" s="11"/>
      <c r="S3" s="1"/>
      <c r="T3" s="18"/>
      <c r="U3" s="12"/>
      <c r="V3" s="12"/>
      <c r="W3" s="19"/>
      <c r="X3" s="19"/>
      <c r="Y3" s="19"/>
      <c r="Z3" s="19"/>
      <c r="AA3" s="19"/>
      <c r="AB3" s="16"/>
      <c r="AC3" s="16"/>
      <c r="AD3" s="16"/>
      <c r="AE3" s="16"/>
      <c r="AF3" s="16"/>
      <c r="AG3" s="451"/>
      <c r="AH3" s="451"/>
      <c r="AI3" s="50" t="s">
        <v>48</v>
      </c>
      <c r="AJ3" s="50"/>
      <c r="AK3" s="20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</row>
    <row r="4" spans="2:52" ht="15" thickBot="1">
      <c r="D4" s="11"/>
      <c r="E4" s="1"/>
      <c r="F4" s="1"/>
      <c r="G4" s="11"/>
      <c r="H4" s="109"/>
      <c r="I4" s="52"/>
      <c r="J4" s="53"/>
      <c r="K4" s="12"/>
      <c r="L4" s="22"/>
      <c r="M4" s="109" t="s">
        <v>250</v>
      </c>
      <c r="N4" s="3"/>
      <c r="O4" s="21"/>
      <c r="P4" s="3"/>
      <c r="Q4" s="12"/>
      <c r="R4" s="11"/>
      <c r="S4" s="1"/>
      <c r="T4" s="21"/>
      <c r="U4" s="12"/>
      <c r="V4" s="22"/>
      <c r="W4" s="23"/>
      <c r="X4" s="24"/>
      <c r="Y4" s="24"/>
      <c r="Z4" s="24"/>
      <c r="AA4" s="24"/>
      <c r="AB4" s="16"/>
      <c r="AC4" s="16"/>
      <c r="AD4" s="16"/>
      <c r="AE4" s="16"/>
      <c r="AF4" s="16"/>
      <c r="AG4" s="451"/>
      <c r="AH4" s="451"/>
      <c r="AI4" s="451"/>
      <c r="AJ4" s="451"/>
      <c r="AK4" s="20"/>
      <c r="AL4" s="25"/>
      <c r="AM4" s="25"/>
      <c r="AN4" s="25"/>
      <c r="AO4" s="26"/>
      <c r="AP4" s="26"/>
      <c r="AQ4" s="26"/>
      <c r="AR4" s="27"/>
      <c r="AS4" s="26"/>
      <c r="AT4" s="26"/>
      <c r="AU4" s="26"/>
      <c r="AV4" s="26"/>
      <c r="AW4" s="26"/>
      <c r="AX4" s="26"/>
      <c r="AY4" s="26"/>
    </row>
    <row r="5" spans="2:52" ht="15.6" customHeight="1" thickBot="1">
      <c r="B5" s="613" t="s">
        <v>89</v>
      </c>
      <c r="C5" s="614"/>
      <c r="D5" s="583" t="s">
        <v>49</v>
      </c>
      <c r="E5" s="594" t="s">
        <v>90</v>
      </c>
      <c r="F5" s="595"/>
      <c r="G5" s="595"/>
      <c r="H5" s="595"/>
      <c r="I5" s="595"/>
      <c r="J5" s="595"/>
      <c r="K5" s="595"/>
      <c r="L5" s="595"/>
      <c r="M5" s="595"/>
      <c r="N5" s="595"/>
      <c r="O5" s="595"/>
      <c r="P5" s="595"/>
      <c r="Q5" s="595"/>
      <c r="R5" s="595"/>
      <c r="S5" s="596"/>
      <c r="T5" s="574" t="s">
        <v>49</v>
      </c>
      <c r="U5" s="577" t="s">
        <v>91</v>
      </c>
      <c r="V5" s="578"/>
      <c r="W5" s="578"/>
      <c r="X5" s="578"/>
      <c r="Y5" s="578"/>
      <c r="Z5" s="578"/>
      <c r="AA5" s="578"/>
      <c r="AB5" s="578"/>
      <c r="AC5" s="578"/>
      <c r="AD5" s="578"/>
      <c r="AE5" s="578"/>
      <c r="AF5" s="578"/>
      <c r="AG5" s="578"/>
      <c r="AH5" s="578"/>
      <c r="AI5" s="579"/>
      <c r="AJ5" s="583"/>
      <c r="AK5" s="583" t="s">
        <v>49</v>
      </c>
      <c r="AL5" s="607" t="s">
        <v>92</v>
      </c>
      <c r="AM5" s="608"/>
      <c r="AN5" s="608"/>
      <c r="AO5" s="609"/>
      <c r="AP5" s="609"/>
      <c r="AQ5" s="609"/>
      <c r="AR5" s="610"/>
      <c r="AS5" s="586" t="s">
        <v>93</v>
      </c>
      <c r="AT5" s="587"/>
      <c r="AU5" s="587"/>
      <c r="AV5" s="587"/>
      <c r="AW5" s="587"/>
      <c r="AX5" s="588"/>
      <c r="AY5" s="589"/>
      <c r="AZ5" s="160"/>
    </row>
    <row r="6" spans="2:52" ht="26.1" customHeight="1" thickBot="1">
      <c r="B6" s="572" t="s">
        <v>69</v>
      </c>
      <c r="C6" s="615"/>
      <c r="D6" s="584"/>
      <c r="E6" s="593" t="s">
        <v>2</v>
      </c>
      <c r="F6" s="567"/>
      <c r="G6" s="566" t="s">
        <v>68</v>
      </c>
      <c r="H6" s="567"/>
      <c r="I6" s="566" t="s">
        <v>69</v>
      </c>
      <c r="J6" s="566"/>
      <c r="K6" s="566" t="s">
        <v>70</v>
      </c>
      <c r="L6" s="567"/>
      <c r="M6" s="566" t="s">
        <v>71</v>
      </c>
      <c r="N6" s="567"/>
      <c r="O6" s="566" t="s">
        <v>27</v>
      </c>
      <c r="P6" s="567"/>
      <c r="Q6" s="566" t="s">
        <v>8</v>
      </c>
      <c r="R6" s="580"/>
      <c r="S6" s="581" t="s">
        <v>72</v>
      </c>
      <c r="T6" s="616"/>
      <c r="U6" s="593" t="s">
        <v>2</v>
      </c>
      <c r="V6" s="567"/>
      <c r="W6" s="566" t="s">
        <v>68</v>
      </c>
      <c r="X6" s="567"/>
      <c r="Y6" s="566" t="s">
        <v>69</v>
      </c>
      <c r="Z6" s="566"/>
      <c r="AA6" s="566" t="s">
        <v>70</v>
      </c>
      <c r="AB6" s="567"/>
      <c r="AC6" s="566" t="s">
        <v>71</v>
      </c>
      <c r="AD6" s="567"/>
      <c r="AE6" s="566" t="s">
        <v>27</v>
      </c>
      <c r="AF6" s="567"/>
      <c r="AG6" s="566" t="s">
        <v>8</v>
      </c>
      <c r="AH6" s="598"/>
      <c r="AI6" s="581" t="s">
        <v>72</v>
      </c>
      <c r="AJ6" s="584"/>
      <c r="AK6" s="584"/>
      <c r="AL6" s="611"/>
      <c r="AM6" s="612"/>
      <c r="AN6" s="612"/>
      <c r="AO6" s="612"/>
      <c r="AP6" s="612"/>
      <c r="AQ6" s="612"/>
      <c r="AR6" s="600"/>
      <c r="AS6" s="590"/>
      <c r="AT6" s="591"/>
      <c r="AU6" s="591"/>
      <c r="AV6" s="591"/>
      <c r="AW6" s="591"/>
      <c r="AX6" s="591"/>
      <c r="AY6" s="592"/>
      <c r="AZ6" s="161"/>
    </row>
    <row r="7" spans="2:52" ht="15" thickBot="1">
      <c r="B7" s="140" t="s">
        <v>74</v>
      </c>
      <c r="C7" s="141" t="s">
        <v>75</v>
      </c>
      <c r="D7" s="585"/>
      <c r="E7" s="140" t="s">
        <v>74</v>
      </c>
      <c r="F7" s="141" t="s">
        <v>75</v>
      </c>
      <c r="G7" s="141" t="s">
        <v>74</v>
      </c>
      <c r="H7" s="141" t="s">
        <v>75</v>
      </c>
      <c r="I7" s="141" t="s">
        <v>74</v>
      </c>
      <c r="J7" s="141" t="s">
        <v>75</v>
      </c>
      <c r="K7" s="141" t="s">
        <v>74</v>
      </c>
      <c r="L7" s="141" t="s">
        <v>75</v>
      </c>
      <c r="M7" s="141" t="s">
        <v>74</v>
      </c>
      <c r="N7" s="141" t="s">
        <v>75</v>
      </c>
      <c r="O7" s="141" t="s">
        <v>74</v>
      </c>
      <c r="P7" s="141" t="s">
        <v>75</v>
      </c>
      <c r="Q7" s="141" t="s">
        <v>74</v>
      </c>
      <c r="R7" s="152" t="s">
        <v>75</v>
      </c>
      <c r="S7" s="585"/>
      <c r="T7" s="617"/>
      <c r="U7" s="140" t="s">
        <v>74</v>
      </c>
      <c r="V7" s="141" t="s">
        <v>75</v>
      </c>
      <c r="W7" s="141" t="s">
        <v>74</v>
      </c>
      <c r="X7" s="141" t="s">
        <v>75</v>
      </c>
      <c r="Y7" s="141" t="s">
        <v>74</v>
      </c>
      <c r="Z7" s="141" t="s">
        <v>75</v>
      </c>
      <c r="AA7" s="141" t="s">
        <v>74</v>
      </c>
      <c r="AB7" s="141" t="s">
        <v>75</v>
      </c>
      <c r="AC7" s="141" t="s">
        <v>74</v>
      </c>
      <c r="AD7" s="141" t="s">
        <v>75</v>
      </c>
      <c r="AE7" s="141" t="s">
        <v>74</v>
      </c>
      <c r="AF7" s="141" t="s">
        <v>75</v>
      </c>
      <c r="AG7" s="141" t="s">
        <v>74</v>
      </c>
      <c r="AH7" s="141" t="s">
        <v>75</v>
      </c>
      <c r="AI7" s="585"/>
      <c r="AJ7" s="585"/>
      <c r="AK7" s="585"/>
      <c r="AL7" s="312" t="s">
        <v>73</v>
      </c>
      <c r="AM7" s="268" t="s">
        <v>3</v>
      </c>
      <c r="AN7" s="268" t="s">
        <v>4</v>
      </c>
      <c r="AO7" s="268" t="s">
        <v>5</v>
      </c>
      <c r="AP7" s="268" t="s">
        <v>6</v>
      </c>
      <c r="AQ7" s="147" t="s">
        <v>27</v>
      </c>
      <c r="AR7" s="148" t="s">
        <v>8</v>
      </c>
      <c r="AS7" s="146" t="s">
        <v>73</v>
      </c>
      <c r="AT7" s="147" t="s">
        <v>3</v>
      </c>
      <c r="AU7" s="147" t="s">
        <v>4</v>
      </c>
      <c r="AV7" s="147" t="s">
        <v>5</v>
      </c>
      <c r="AW7" s="147" t="s">
        <v>6</v>
      </c>
      <c r="AX7" s="147" t="s">
        <v>27</v>
      </c>
      <c r="AY7" s="148" t="s">
        <v>8</v>
      </c>
      <c r="AZ7" s="162"/>
    </row>
    <row r="8" spans="2:52">
      <c r="B8" s="150"/>
      <c r="C8" s="391">
        <v>30</v>
      </c>
      <c r="D8" s="63">
        <f>N3</f>
        <v>45870</v>
      </c>
      <c r="E8" s="54" t="s">
        <v>194</v>
      </c>
      <c r="F8" s="28">
        <v>160</v>
      </c>
      <c r="G8" s="412"/>
      <c r="H8" s="413"/>
      <c r="I8" s="412"/>
      <c r="J8" s="413"/>
      <c r="K8" s="414"/>
      <c r="L8" s="415"/>
      <c r="M8" s="410"/>
      <c r="N8" s="411"/>
      <c r="O8" s="115"/>
      <c r="P8" s="115"/>
      <c r="Q8" s="417"/>
      <c r="R8" s="111"/>
      <c r="S8" s="125">
        <f>R8+P8+N8+L8+J8+H8+F8</f>
        <v>160</v>
      </c>
      <c r="T8" s="388">
        <f t="shared" ref="T8:T35" si="0">D8</f>
        <v>45870</v>
      </c>
      <c r="U8" s="54" t="s">
        <v>189</v>
      </c>
      <c r="V8" s="28">
        <v>97</v>
      </c>
      <c r="W8" s="412"/>
      <c r="X8" s="413"/>
      <c r="Y8" s="412"/>
      <c r="Z8" s="413"/>
      <c r="AA8" s="414"/>
      <c r="AB8" s="415"/>
      <c r="AC8" s="410"/>
      <c r="AD8" s="411"/>
      <c r="AE8" s="114"/>
      <c r="AF8" s="114"/>
      <c r="AG8" s="114"/>
      <c r="AH8" s="115"/>
      <c r="AI8" s="105">
        <f>AH8+AF8+AD8+AB8+Z8+X8+V8</f>
        <v>97</v>
      </c>
      <c r="AJ8" s="117">
        <f t="shared" ref="AJ8:AJ38" si="1">AI8-S8</f>
        <v>-63</v>
      </c>
      <c r="AK8" s="309">
        <f t="shared" ref="AK8:AK38" si="2">T8</f>
        <v>45870</v>
      </c>
      <c r="AL8" s="538">
        <f>[1]PVT!AL39</f>
        <v>342</v>
      </c>
      <c r="AM8" s="538">
        <f>[1]PVT!AM39</f>
        <v>558</v>
      </c>
      <c r="AN8" s="538">
        <f>[3]PVT!AN39</f>
        <v>0</v>
      </c>
      <c r="AO8" s="538">
        <f>[3]PVT!AO39</f>
        <v>0</v>
      </c>
      <c r="AP8" s="538">
        <f>[1]PVT!AP39</f>
        <v>307</v>
      </c>
      <c r="AQ8" s="84"/>
      <c r="AR8" s="84"/>
      <c r="AS8" s="400">
        <v>168.66666666666666</v>
      </c>
      <c r="AT8" s="79">
        <v>100</v>
      </c>
      <c r="AU8" s="79"/>
      <c r="AV8" s="79"/>
      <c r="AW8" s="79">
        <v>154</v>
      </c>
      <c r="AX8" s="84"/>
      <c r="AY8" s="85"/>
      <c r="AZ8" s="160"/>
    </row>
    <row r="9" spans="2:52">
      <c r="B9" s="390"/>
      <c r="C9" s="391"/>
      <c r="D9" s="64">
        <f>D8+1</f>
        <v>45871</v>
      </c>
      <c r="E9" s="54" t="s">
        <v>194</v>
      </c>
      <c r="F9" s="28">
        <v>288</v>
      </c>
      <c r="G9" s="412"/>
      <c r="H9" s="413"/>
      <c r="I9" s="412"/>
      <c r="J9" s="413"/>
      <c r="K9" s="414"/>
      <c r="L9" s="415"/>
      <c r="M9" s="410"/>
      <c r="N9" s="411"/>
      <c r="O9" s="411"/>
      <c r="P9" s="411"/>
      <c r="Q9" s="412"/>
      <c r="R9" s="28"/>
      <c r="S9" s="389">
        <f>R9+P9+N9+L9+J9+H9+F9</f>
        <v>288</v>
      </c>
      <c r="T9" s="388">
        <f t="shared" ref="T9" si="3">D9</f>
        <v>45871</v>
      </c>
      <c r="U9" s="54"/>
      <c r="V9" s="28"/>
      <c r="W9" s="412" t="s">
        <v>218</v>
      </c>
      <c r="X9" s="413">
        <v>283</v>
      </c>
      <c r="Y9" s="412"/>
      <c r="Z9" s="413"/>
      <c r="AA9" s="414"/>
      <c r="AB9" s="415"/>
      <c r="AC9" s="410"/>
      <c r="AD9" s="411"/>
      <c r="AE9" s="410"/>
      <c r="AF9" s="410"/>
      <c r="AG9" s="410"/>
      <c r="AH9" s="411"/>
      <c r="AI9" s="387">
        <f>AH9+AF9+AD9+AB9+Z9+X9+V9</f>
        <v>283</v>
      </c>
      <c r="AJ9" s="118">
        <f t="shared" si="1"/>
        <v>-5</v>
      </c>
      <c r="AK9" s="87">
        <f t="shared" si="2"/>
        <v>45871</v>
      </c>
      <c r="AL9" s="539">
        <f t="shared" ref="AL9:AL24" si="4">IF(AL8+V8-AS8&lt;0,0,AL8+V8-AS8)</f>
        <v>270.33333333333337</v>
      </c>
      <c r="AM9" s="540">
        <f t="shared" ref="AM9:AM24" si="5">IF(AM8+X8-AT8&lt;0,0,AM8+X8-AT8)</f>
        <v>458</v>
      </c>
      <c r="AN9" s="540"/>
      <c r="AO9" s="540"/>
      <c r="AP9" s="342">
        <f t="shared" ref="AP9:AP24" si="6">IF(AP8+AD8-AW8&lt;0,0,AP8+AD8-AW8)</f>
        <v>153</v>
      </c>
      <c r="AQ9" s="79"/>
      <c r="AR9" s="79"/>
      <c r="AS9" s="400"/>
      <c r="AT9" s="79">
        <v>91</v>
      </c>
      <c r="AU9" s="79"/>
      <c r="AV9" s="79"/>
      <c r="AW9" s="79">
        <v>175</v>
      </c>
      <c r="AX9" s="79"/>
      <c r="AY9" s="86"/>
      <c r="AZ9" s="161"/>
    </row>
    <row r="10" spans="2:52">
      <c r="B10" s="390"/>
      <c r="C10" s="391"/>
      <c r="D10" s="64">
        <f t="shared" ref="D10:D38" si="7">D9+1</f>
        <v>45872</v>
      </c>
      <c r="E10" s="54" t="s">
        <v>194</v>
      </c>
      <c r="F10" s="28">
        <v>103</v>
      </c>
      <c r="G10" s="412" t="s">
        <v>228</v>
      </c>
      <c r="H10" s="413">
        <v>231</v>
      </c>
      <c r="I10" s="412"/>
      <c r="J10" s="413"/>
      <c r="K10" s="414"/>
      <c r="L10" s="415"/>
      <c r="M10" s="410"/>
      <c r="N10" s="411"/>
      <c r="O10" s="411"/>
      <c r="P10" s="411"/>
      <c r="Q10" s="412"/>
      <c r="R10" s="28"/>
      <c r="S10" s="389">
        <f>R10+P10+N10+L10+J10+H10+F10</f>
        <v>334</v>
      </c>
      <c r="T10" s="388">
        <f t="shared" si="0"/>
        <v>45872</v>
      </c>
      <c r="U10" s="54"/>
      <c r="V10" s="28"/>
      <c r="W10" s="412" t="s">
        <v>218</v>
      </c>
      <c r="X10" s="413">
        <v>17</v>
      </c>
      <c r="Y10" s="412" t="s">
        <v>190</v>
      </c>
      <c r="Z10" s="413">
        <v>20</v>
      </c>
      <c r="AA10" s="414"/>
      <c r="AB10" s="415"/>
      <c r="AC10" s="410" t="s">
        <v>191</v>
      </c>
      <c r="AD10" s="411">
        <v>295</v>
      </c>
      <c r="AE10" s="410"/>
      <c r="AF10" s="410"/>
      <c r="AG10" s="410"/>
      <c r="AH10" s="411"/>
      <c r="AI10" s="387">
        <f t="shared" ref="AI10:AI36" si="8">AH10+AF10+AD10+AB10+Z10+X10+V10</f>
        <v>332</v>
      </c>
      <c r="AJ10" s="118">
        <f t="shared" si="1"/>
        <v>-2</v>
      </c>
      <c r="AK10" s="87">
        <f t="shared" si="2"/>
        <v>45872</v>
      </c>
      <c r="AL10" s="178">
        <f t="shared" si="4"/>
        <v>270.33333333333337</v>
      </c>
      <c r="AM10" s="179">
        <f t="shared" si="5"/>
        <v>650</v>
      </c>
      <c r="AN10" s="179"/>
      <c r="AO10" s="179"/>
      <c r="AP10" s="336">
        <f t="shared" si="6"/>
        <v>0</v>
      </c>
      <c r="AQ10" s="79"/>
      <c r="AR10" s="79"/>
      <c r="AS10" s="400"/>
      <c r="AT10" s="79"/>
      <c r="AU10" s="79"/>
      <c r="AV10" s="79"/>
      <c r="AW10" s="79"/>
      <c r="AX10" s="79"/>
      <c r="AY10" s="86"/>
      <c r="AZ10" s="161"/>
    </row>
    <row r="11" spans="2:52">
      <c r="B11" s="390"/>
      <c r="C11" s="391"/>
      <c r="D11" s="64">
        <f t="shared" si="7"/>
        <v>45873</v>
      </c>
      <c r="E11" s="54"/>
      <c r="F11" s="28"/>
      <c r="G11" s="412" t="s">
        <v>228</v>
      </c>
      <c r="H11" s="413">
        <v>70</v>
      </c>
      <c r="I11" s="412" t="s">
        <v>223</v>
      </c>
      <c r="J11" s="413">
        <v>20</v>
      </c>
      <c r="K11" s="414"/>
      <c r="L11" s="415"/>
      <c r="M11" s="410" t="s">
        <v>220</v>
      </c>
      <c r="N11" s="411">
        <v>221</v>
      </c>
      <c r="O11" s="411"/>
      <c r="P11" s="411"/>
      <c r="Q11" s="412"/>
      <c r="R11" s="28"/>
      <c r="S11" s="389">
        <f t="shared" ref="S11:S35" si="9">R11+P11+N11+L11+J11+H11+F11</f>
        <v>311</v>
      </c>
      <c r="T11" s="388">
        <f t="shared" si="0"/>
        <v>45873</v>
      </c>
      <c r="U11" s="54"/>
      <c r="V11" s="28"/>
      <c r="W11" s="370"/>
      <c r="X11" s="413"/>
      <c r="Y11" s="412"/>
      <c r="Z11" s="413"/>
      <c r="AA11" s="414"/>
      <c r="AB11" s="415"/>
      <c r="AC11" s="410" t="s">
        <v>191</v>
      </c>
      <c r="AD11" s="411">
        <v>307</v>
      </c>
      <c r="AE11" s="410"/>
      <c r="AF11" s="410"/>
      <c r="AG11" s="410"/>
      <c r="AH11" s="411"/>
      <c r="AI11" s="387">
        <f t="shared" si="8"/>
        <v>307</v>
      </c>
      <c r="AJ11" s="118">
        <f t="shared" si="1"/>
        <v>-4</v>
      </c>
      <c r="AK11" s="87">
        <f t="shared" si="2"/>
        <v>45873</v>
      </c>
      <c r="AL11" s="178">
        <v>356</v>
      </c>
      <c r="AM11" s="179">
        <v>682</v>
      </c>
      <c r="AN11" s="179"/>
      <c r="AO11" s="179"/>
      <c r="AP11" s="336">
        <v>594</v>
      </c>
      <c r="AQ11" s="179"/>
      <c r="AR11" s="179"/>
      <c r="AS11" s="400">
        <v>136</v>
      </c>
      <c r="AT11" s="79">
        <v>100</v>
      </c>
      <c r="AU11" s="79"/>
      <c r="AV11" s="79"/>
      <c r="AW11" s="79">
        <v>144</v>
      </c>
      <c r="AX11" s="79"/>
      <c r="AY11" s="86"/>
      <c r="AZ11" s="161"/>
    </row>
    <row r="12" spans="2:52">
      <c r="B12" s="390"/>
      <c r="C12" s="391"/>
      <c r="D12" s="64">
        <f t="shared" si="7"/>
        <v>45874</v>
      </c>
      <c r="E12" s="54"/>
      <c r="F12" s="28"/>
      <c r="G12" s="412"/>
      <c r="H12" s="413"/>
      <c r="I12" s="412"/>
      <c r="J12" s="413"/>
      <c r="K12" s="414"/>
      <c r="L12" s="415"/>
      <c r="M12" s="410" t="s">
        <v>220</v>
      </c>
      <c r="N12" s="411">
        <v>294</v>
      </c>
      <c r="O12" s="411"/>
      <c r="P12" s="411"/>
      <c r="Q12" s="412"/>
      <c r="R12" s="28"/>
      <c r="S12" s="389">
        <f t="shared" si="9"/>
        <v>294</v>
      </c>
      <c r="T12" s="388">
        <f t="shared" si="0"/>
        <v>45874</v>
      </c>
      <c r="U12" s="54"/>
      <c r="V12" s="28"/>
      <c r="W12" s="412" t="s">
        <v>219</v>
      </c>
      <c r="X12" s="413">
        <v>181</v>
      </c>
      <c r="Y12" s="412" t="s">
        <v>192</v>
      </c>
      <c r="Z12" s="413">
        <v>10</v>
      </c>
      <c r="AA12" s="435"/>
      <c r="AB12" s="436"/>
      <c r="AC12" s="410" t="s">
        <v>191</v>
      </c>
      <c r="AD12" s="411">
        <v>99</v>
      </c>
      <c r="AE12" s="410"/>
      <c r="AF12" s="410"/>
      <c r="AG12" s="410"/>
      <c r="AH12" s="411"/>
      <c r="AI12" s="387">
        <f t="shared" si="8"/>
        <v>290</v>
      </c>
      <c r="AJ12" s="118">
        <f t="shared" si="1"/>
        <v>-4</v>
      </c>
      <c r="AK12" s="87">
        <f t="shared" si="2"/>
        <v>45874</v>
      </c>
      <c r="AL12" s="178">
        <v>219</v>
      </c>
      <c r="AM12" s="179">
        <v>599</v>
      </c>
      <c r="AN12" s="179"/>
      <c r="AO12" s="179"/>
      <c r="AP12" s="336">
        <f t="shared" si="6"/>
        <v>757</v>
      </c>
      <c r="AQ12" s="179"/>
      <c r="AR12" s="179"/>
      <c r="AS12" s="400">
        <v>179</v>
      </c>
      <c r="AT12" s="79">
        <v>100</v>
      </c>
      <c r="AU12" s="79"/>
      <c r="AV12" s="79"/>
      <c r="AW12" s="79">
        <v>123</v>
      </c>
      <c r="AX12" s="79"/>
      <c r="AY12" s="86"/>
      <c r="AZ12" s="161"/>
    </row>
    <row r="13" spans="2:52">
      <c r="B13" s="390"/>
      <c r="C13" s="391"/>
      <c r="D13" s="64">
        <f t="shared" si="7"/>
        <v>45875</v>
      </c>
      <c r="E13" s="54"/>
      <c r="F13" s="28"/>
      <c r="G13" s="412" t="s">
        <v>229</v>
      </c>
      <c r="H13" s="413">
        <v>85</v>
      </c>
      <c r="I13" s="412" t="s">
        <v>224</v>
      </c>
      <c r="J13" s="413">
        <v>10</v>
      </c>
      <c r="K13" s="414"/>
      <c r="L13" s="415"/>
      <c r="M13" s="410" t="s">
        <v>220</v>
      </c>
      <c r="N13" s="411">
        <v>185</v>
      </c>
      <c r="O13" s="411"/>
      <c r="P13" s="411"/>
      <c r="Q13" s="30"/>
      <c r="R13" s="28"/>
      <c r="S13" s="389">
        <f t="shared" si="9"/>
        <v>280</v>
      </c>
      <c r="T13" s="388">
        <f t="shared" si="0"/>
        <v>45875</v>
      </c>
      <c r="U13" s="54" t="s">
        <v>194</v>
      </c>
      <c r="V13" s="28">
        <v>153</v>
      </c>
      <c r="W13" s="412" t="s">
        <v>219</v>
      </c>
      <c r="X13" s="413">
        <v>120</v>
      </c>
      <c r="Y13" s="412"/>
      <c r="Z13" s="413"/>
      <c r="AA13" s="414"/>
      <c r="AB13" s="415"/>
      <c r="AC13" s="410"/>
      <c r="AD13" s="411"/>
      <c r="AE13" s="410"/>
      <c r="AF13" s="410"/>
      <c r="AG13" s="410"/>
      <c r="AH13" s="411"/>
      <c r="AI13" s="387">
        <f t="shared" si="8"/>
        <v>273</v>
      </c>
      <c r="AJ13" s="118">
        <f t="shared" si="1"/>
        <v>-7</v>
      </c>
      <c r="AK13" s="87">
        <f t="shared" si="2"/>
        <v>45875</v>
      </c>
      <c r="AL13" s="178">
        <f t="shared" si="4"/>
        <v>40</v>
      </c>
      <c r="AM13" s="179">
        <f t="shared" si="5"/>
        <v>680</v>
      </c>
      <c r="AN13" s="179"/>
      <c r="AO13" s="179"/>
      <c r="AP13" s="336">
        <f t="shared" si="6"/>
        <v>733</v>
      </c>
      <c r="AQ13" s="179"/>
      <c r="AR13" s="179"/>
      <c r="AS13" s="178"/>
      <c r="AT13" s="179"/>
      <c r="AU13" s="179"/>
      <c r="AV13" s="179"/>
      <c r="AW13" s="179"/>
      <c r="AX13" s="79"/>
      <c r="AY13" s="86"/>
      <c r="AZ13" s="161"/>
    </row>
    <row r="14" spans="2:52">
      <c r="B14" s="390"/>
      <c r="C14" s="391"/>
      <c r="D14" s="64">
        <f t="shared" si="7"/>
        <v>45876</v>
      </c>
      <c r="E14" s="54" t="s">
        <v>234</v>
      </c>
      <c r="F14" s="28">
        <v>85</v>
      </c>
      <c r="G14" s="412" t="s">
        <v>229</v>
      </c>
      <c r="H14" s="413">
        <v>216</v>
      </c>
      <c r="I14" s="412"/>
      <c r="J14" s="413"/>
      <c r="K14" s="414"/>
      <c r="L14" s="415"/>
      <c r="M14" s="410"/>
      <c r="N14" s="411"/>
      <c r="O14" s="411"/>
      <c r="P14" s="411"/>
      <c r="Q14" s="30"/>
      <c r="R14" s="28"/>
      <c r="S14" s="389">
        <f t="shared" si="9"/>
        <v>301</v>
      </c>
      <c r="T14" s="388">
        <f t="shared" si="0"/>
        <v>45876</v>
      </c>
      <c r="U14" s="54" t="s">
        <v>194</v>
      </c>
      <c r="V14" s="28">
        <v>333</v>
      </c>
      <c r="W14" s="412"/>
      <c r="X14" s="413"/>
      <c r="Y14" s="412"/>
      <c r="Z14" s="413"/>
      <c r="AA14" s="414"/>
      <c r="AB14" s="415"/>
      <c r="AC14" s="410"/>
      <c r="AD14" s="411"/>
      <c r="AE14" s="410"/>
      <c r="AF14" s="410"/>
      <c r="AG14" s="410"/>
      <c r="AH14" s="411"/>
      <c r="AI14" s="387">
        <f t="shared" si="8"/>
        <v>333</v>
      </c>
      <c r="AJ14" s="118">
        <f t="shared" si="1"/>
        <v>32</v>
      </c>
      <c r="AK14" s="87">
        <f t="shared" si="2"/>
        <v>45876</v>
      </c>
      <c r="AL14" s="178">
        <f t="shared" si="4"/>
        <v>193</v>
      </c>
      <c r="AM14" s="179">
        <f t="shared" si="5"/>
        <v>800</v>
      </c>
      <c r="AN14" s="179"/>
      <c r="AO14" s="179"/>
      <c r="AP14" s="336">
        <f t="shared" si="6"/>
        <v>733</v>
      </c>
      <c r="AQ14" s="79"/>
      <c r="AR14" s="79"/>
      <c r="AS14" s="400"/>
      <c r="AT14" s="79">
        <v>100</v>
      </c>
      <c r="AU14" s="79"/>
      <c r="AV14" s="79"/>
      <c r="AW14" s="79">
        <v>140</v>
      </c>
      <c r="AX14" s="79"/>
      <c r="AY14" s="86"/>
      <c r="AZ14" s="161"/>
    </row>
    <row r="15" spans="2:52">
      <c r="B15" s="390"/>
      <c r="C15" s="391">
        <v>30</v>
      </c>
      <c r="D15" s="64">
        <f t="shared" si="7"/>
        <v>45877</v>
      </c>
      <c r="E15" s="54" t="s">
        <v>234</v>
      </c>
      <c r="F15" s="28">
        <v>303</v>
      </c>
      <c r="G15" s="370"/>
      <c r="H15" s="413"/>
      <c r="I15" s="412"/>
      <c r="J15" s="413"/>
      <c r="K15" s="414"/>
      <c r="L15" s="415"/>
      <c r="M15" s="410"/>
      <c r="N15" s="411"/>
      <c r="O15" s="411"/>
      <c r="P15" s="411"/>
      <c r="Q15" s="30"/>
      <c r="R15" s="28"/>
      <c r="S15" s="389">
        <f t="shared" si="9"/>
        <v>303</v>
      </c>
      <c r="T15" s="388">
        <f t="shared" si="0"/>
        <v>45877</v>
      </c>
      <c r="U15" s="54" t="s">
        <v>194</v>
      </c>
      <c r="V15" s="28">
        <v>66</v>
      </c>
      <c r="W15" s="412" t="s">
        <v>228</v>
      </c>
      <c r="X15" s="413">
        <v>225</v>
      </c>
      <c r="Y15" s="412"/>
      <c r="Z15" s="413"/>
      <c r="AA15" s="414"/>
      <c r="AB15" s="415"/>
      <c r="AC15" s="410"/>
      <c r="AD15" s="411"/>
      <c r="AE15" s="410"/>
      <c r="AF15" s="410"/>
      <c r="AG15" s="410"/>
      <c r="AH15" s="411"/>
      <c r="AI15" s="387">
        <f t="shared" si="8"/>
        <v>291</v>
      </c>
      <c r="AJ15" s="118">
        <f t="shared" si="1"/>
        <v>-12</v>
      </c>
      <c r="AK15" s="87">
        <f t="shared" si="2"/>
        <v>45877</v>
      </c>
      <c r="AL15" s="178">
        <v>494</v>
      </c>
      <c r="AM15" s="179">
        <v>639</v>
      </c>
      <c r="AN15" s="179"/>
      <c r="AO15" s="179"/>
      <c r="AP15" s="336">
        <v>547</v>
      </c>
      <c r="AQ15" s="179"/>
      <c r="AR15" s="179"/>
      <c r="AS15" s="400">
        <v>120</v>
      </c>
      <c r="AT15" s="79">
        <v>100</v>
      </c>
      <c r="AU15" s="79"/>
      <c r="AV15" s="79"/>
      <c r="AW15" s="79">
        <v>167</v>
      </c>
      <c r="AX15" s="79"/>
      <c r="AY15" s="86"/>
      <c r="AZ15" s="161"/>
    </row>
    <row r="16" spans="2:52">
      <c r="B16" s="390"/>
      <c r="C16" s="391"/>
      <c r="D16" s="64">
        <f t="shared" si="7"/>
        <v>45878</v>
      </c>
      <c r="E16" s="54" t="s">
        <v>234</v>
      </c>
      <c r="F16" s="28">
        <v>320</v>
      </c>
      <c r="G16" s="370"/>
      <c r="H16" s="422"/>
      <c r="I16" s="370"/>
      <c r="J16" s="422"/>
      <c r="K16" s="414"/>
      <c r="L16" s="415"/>
      <c r="M16" s="410"/>
      <c r="N16" s="411"/>
      <c r="O16" s="411"/>
      <c r="P16" s="411"/>
      <c r="Q16" s="30"/>
      <c r="R16" s="28"/>
      <c r="S16" s="389">
        <f t="shared" si="9"/>
        <v>320</v>
      </c>
      <c r="T16" s="388">
        <f t="shared" si="0"/>
        <v>45878</v>
      </c>
      <c r="U16" s="54"/>
      <c r="V16" s="28"/>
      <c r="W16" s="412" t="s">
        <v>228</v>
      </c>
      <c r="X16" s="413">
        <v>75</v>
      </c>
      <c r="Y16" s="412" t="s">
        <v>223</v>
      </c>
      <c r="Z16" s="413">
        <v>20</v>
      </c>
      <c r="AA16" s="414"/>
      <c r="AB16" s="415"/>
      <c r="AC16" s="410" t="s">
        <v>220</v>
      </c>
      <c r="AD16" s="411">
        <v>228</v>
      </c>
      <c r="AE16" s="410"/>
      <c r="AF16" s="410"/>
      <c r="AG16" s="410"/>
      <c r="AH16" s="411"/>
      <c r="AI16" s="387">
        <f t="shared" si="8"/>
        <v>323</v>
      </c>
      <c r="AJ16" s="118">
        <f t="shared" si="1"/>
        <v>3</v>
      </c>
      <c r="AK16" s="87">
        <f t="shared" si="2"/>
        <v>45878</v>
      </c>
      <c r="AL16" s="178">
        <v>441</v>
      </c>
      <c r="AM16" s="179">
        <f t="shared" si="5"/>
        <v>764</v>
      </c>
      <c r="AN16" s="179"/>
      <c r="AO16" s="179"/>
      <c r="AP16" s="336">
        <f t="shared" si="6"/>
        <v>380</v>
      </c>
      <c r="AQ16" s="179"/>
      <c r="AR16" s="179"/>
      <c r="AS16" s="400">
        <v>85</v>
      </c>
      <c r="AT16" s="79">
        <v>91</v>
      </c>
      <c r="AU16" s="79"/>
      <c r="AV16" s="79"/>
      <c r="AW16" s="79">
        <v>175</v>
      </c>
      <c r="AX16" s="79"/>
      <c r="AY16" s="86"/>
      <c r="AZ16" s="161"/>
    </row>
    <row r="17" spans="2:53">
      <c r="B17" s="390"/>
      <c r="C17" s="391"/>
      <c r="D17" s="64">
        <f t="shared" si="7"/>
        <v>45879</v>
      </c>
      <c r="E17" s="54" t="s">
        <v>234</v>
      </c>
      <c r="F17" s="28">
        <v>42</v>
      </c>
      <c r="G17" s="370" t="s">
        <v>230</v>
      </c>
      <c r="H17" s="422">
        <v>266</v>
      </c>
      <c r="I17" s="370"/>
      <c r="J17" s="422"/>
      <c r="K17" s="414"/>
      <c r="L17" s="415"/>
      <c r="M17" s="410"/>
      <c r="N17" s="411"/>
      <c r="O17" s="411"/>
      <c r="P17" s="411"/>
      <c r="Q17" s="30"/>
      <c r="R17" s="28"/>
      <c r="S17" s="389">
        <f t="shared" si="9"/>
        <v>308</v>
      </c>
      <c r="T17" s="388">
        <f t="shared" si="0"/>
        <v>45879</v>
      </c>
      <c r="U17" s="54"/>
      <c r="V17" s="28"/>
      <c r="W17" s="412"/>
      <c r="X17" s="413"/>
      <c r="Y17" s="412"/>
      <c r="Z17" s="413"/>
      <c r="AA17" s="414"/>
      <c r="AB17" s="415"/>
      <c r="AC17" s="410" t="s">
        <v>220</v>
      </c>
      <c r="AD17" s="411">
        <v>305</v>
      </c>
      <c r="AE17" s="410"/>
      <c r="AF17" s="410"/>
      <c r="AG17" s="410"/>
      <c r="AH17" s="411"/>
      <c r="AI17" s="387">
        <f t="shared" si="8"/>
        <v>305</v>
      </c>
      <c r="AJ17" s="118">
        <f t="shared" si="1"/>
        <v>-3</v>
      </c>
      <c r="AK17" s="87">
        <f t="shared" si="2"/>
        <v>45879</v>
      </c>
      <c r="AL17" s="178">
        <f t="shared" si="4"/>
        <v>356</v>
      </c>
      <c r="AM17" s="179">
        <f t="shared" si="5"/>
        <v>748</v>
      </c>
      <c r="AN17" s="179"/>
      <c r="AO17" s="179"/>
      <c r="AP17" s="336">
        <f t="shared" si="6"/>
        <v>433</v>
      </c>
      <c r="AQ17" s="179"/>
      <c r="AR17" s="179"/>
      <c r="AS17" s="400"/>
      <c r="AT17" s="79"/>
      <c r="AU17" s="79"/>
      <c r="AV17" s="79"/>
      <c r="AW17" s="79"/>
      <c r="AX17" s="79"/>
      <c r="AY17" s="86"/>
      <c r="AZ17" s="161"/>
    </row>
    <row r="18" spans="2:53">
      <c r="B18" s="390"/>
      <c r="C18" s="391"/>
      <c r="D18" s="64">
        <f t="shared" si="7"/>
        <v>45880</v>
      </c>
      <c r="E18" s="55"/>
      <c r="F18" s="28"/>
      <c r="G18" s="370" t="s">
        <v>230</v>
      </c>
      <c r="H18" s="422">
        <v>35</v>
      </c>
      <c r="I18" s="370" t="s">
        <v>225</v>
      </c>
      <c r="J18" s="422">
        <v>20</v>
      </c>
      <c r="K18" s="414"/>
      <c r="L18" s="415"/>
      <c r="M18" s="271" t="s">
        <v>221</v>
      </c>
      <c r="N18" s="272">
        <v>262</v>
      </c>
      <c r="O18" s="411"/>
      <c r="P18" s="411"/>
      <c r="Q18" s="30"/>
      <c r="R18" s="28"/>
      <c r="S18" s="389">
        <f t="shared" si="9"/>
        <v>317</v>
      </c>
      <c r="T18" s="388">
        <f t="shared" si="0"/>
        <v>45880</v>
      </c>
      <c r="U18" s="54"/>
      <c r="V18" s="28"/>
      <c r="W18" s="412" t="s">
        <v>229</v>
      </c>
      <c r="X18" s="413">
        <v>136</v>
      </c>
      <c r="Y18" s="412" t="s">
        <v>224</v>
      </c>
      <c r="Z18" s="413">
        <v>10</v>
      </c>
      <c r="AA18" s="414"/>
      <c r="AB18" s="415"/>
      <c r="AC18" s="410" t="s">
        <v>220</v>
      </c>
      <c r="AD18" s="411">
        <v>169</v>
      </c>
      <c r="AE18" s="410"/>
      <c r="AF18" s="410"/>
      <c r="AG18" s="410"/>
      <c r="AH18" s="411"/>
      <c r="AI18" s="387">
        <f t="shared" si="8"/>
        <v>315</v>
      </c>
      <c r="AJ18" s="118">
        <f t="shared" si="1"/>
        <v>-2</v>
      </c>
      <c r="AK18" s="87">
        <f t="shared" si="2"/>
        <v>45880</v>
      </c>
      <c r="AL18" s="178">
        <v>386</v>
      </c>
      <c r="AM18" s="179">
        <f t="shared" si="5"/>
        <v>748</v>
      </c>
      <c r="AN18" s="179"/>
      <c r="AO18" s="179"/>
      <c r="AP18" s="336">
        <f t="shared" si="6"/>
        <v>738</v>
      </c>
      <c r="AQ18" s="179"/>
      <c r="AR18" s="179"/>
      <c r="AS18" s="400">
        <v>125</v>
      </c>
      <c r="AT18" s="79">
        <v>100</v>
      </c>
      <c r="AU18" s="79"/>
      <c r="AV18" s="79"/>
      <c r="AW18" s="79">
        <v>144</v>
      </c>
      <c r="AX18" s="79"/>
      <c r="AY18" s="86"/>
      <c r="AZ18" s="298"/>
      <c r="BA18" s="283"/>
    </row>
    <row r="19" spans="2:53">
      <c r="B19" s="390"/>
      <c r="C19" s="391"/>
      <c r="D19" s="64">
        <f t="shared" si="7"/>
        <v>45881</v>
      </c>
      <c r="E19" s="54"/>
      <c r="F19" s="28"/>
      <c r="G19" s="370"/>
      <c r="H19" s="413"/>
      <c r="I19" s="412"/>
      <c r="J19" s="413"/>
      <c r="K19" s="435"/>
      <c r="L19" s="436"/>
      <c r="M19" s="271" t="s">
        <v>221</v>
      </c>
      <c r="N19" s="272">
        <v>314</v>
      </c>
      <c r="O19" s="411"/>
      <c r="P19" s="411"/>
      <c r="Q19" s="412"/>
      <c r="R19" s="28"/>
      <c r="S19" s="389">
        <f t="shared" si="9"/>
        <v>314</v>
      </c>
      <c r="T19" s="388">
        <f t="shared" si="0"/>
        <v>45881</v>
      </c>
      <c r="U19" s="54" t="s">
        <v>234</v>
      </c>
      <c r="V19" s="28">
        <v>138</v>
      </c>
      <c r="W19" s="412" t="s">
        <v>229</v>
      </c>
      <c r="X19" s="413">
        <v>166</v>
      </c>
      <c r="Y19" s="412"/>
      <c r="Z19" s="413"/>
      <c r="AA19" s="414"/>
      <c r="AB19" s="415"/>
      <c r="AC19" s="410"/>
      <c r="AD19" s="411"/>
      <c r="AE19" s="410"/>
      <c r="AF19" s="410"/>
      <c r="AG19" s="410"/>
      <c r="AH19" s="411"/>
      <c r="AI19" s="387">
        <f t="shared" si="8"/>
        <v>304</v>
      </c>
      <c r="AJ19" s="118">
        <f t="shared" si="1"/>
        <v>-10</v>
      </c>
      <c r="AK19" s="87">
        <f t="shared" si="2"/>
        <v>45881</v>
      </c>
      <c r="AL19" s="178">
        <v>250</v>
      </c>
      <c r="AM19" s="179">
        <f t="shared" si="5"/>
        <v>784</v>
      </c>
      <c r="AN19" s="179"/>
      <c r="AO19" s="179"/>
      <c r="AP19" s="336">
        <f t="shared" si="6"/>
        <v>763</v>
      </c>
      <c r="AQ19" s="179"/>
      <c r="AR19" s="179"/>
      <c r="AS19" s="400">
        <v>145</v>
      </c>
      <c r="AT19" s="79">
        <v>100</v>
      </c>
      <c r="AU19" s="79"/>
      <c r="AV19" s="79"/>
      <c r="AW19" s="79">
        <v>123</v>
      </c>
      <c r="AX19" s="79"/>
      <c r="AY19" s="86"/>
      <c r="AZ19" s="298"/>
      <c r="BA19" s="283"/>
    </row>
    <row r="20" spans="2:53">
      <c r="B20" s="390"/>
      <c r="C20" s="391"/>
      <c r="D20" s="64">
        <f t="shared" si="7"/>
        <v>45882</v>
      </c>
      <c r="E20" s="54"/>
      <c r="F20" s="28"/>
      <c r="G20" s="370" t="s">
        <v>238</v>
      </c>
      <c r="H20" s="413">
        <v>135</v>
      </c>
      <c r="I20" s="412" t="s">
        <v>227</v>
      </c>
      <c r="J20" s="413">
        <v>10</v>
      </c>
      <c r="K20" s="435"/>
      <c r="L20" s="436"/>
      <c r="M20" s="271" t="s">
        <v>221</v>
      </c>
      <c r="N20" s="272">
        <v>125</v>
      </c>
      <c r="O20" s="411"/>
      <c r="P20" s="411"/>
      <c r="Q20" s="30"/>
      <c r="R20" s="28"/>
      <c r="S20" s="389">
        <f t="shared" si="9"/>
        <v>270</v>
      </c>
      <c r="T20" s="388">
        <f t="shared" si="0"/>
        <v>45882</v>
      </c>
      <c r="U20" s="54" t="s">
        <v>234</v>
      </c>
      <c r="V20" s="28">
        <v>285</v>
      </c>
      <c r="W20" s="412"/>
      <c r="X20" s="413"/>
      <c r="Y20" s="412"/>
      <c r="Z20" s="413"/>
      <c r="AA20" s="414"/>
      <c r="AB20" s="415"/>
      <c r="AC20" s="410"/>
      <c r="AD20" s="411"/>
      <c r="AE20" s="410"/>
      <c r="AF20" s="410"/>
      <c r="AG20" s="410"/>
      <c r="AH20" s="411"/>
      <c r="AI20" s="387">
        <f t="shared" si="8"/>
        <v>285</v>
      </c>
      <c r="AJ20" s="118">
        <f t="shared" si="1"/>
        <v>15</v>
      </c>
      <c r="AK20" s="87">
        <f t="shared" si="2"/>
        <v>45882</v>
      </c>
      <c r="AL20" s="178">
        <v>270</v>
      </c>
      <c r="AM20" s="179">
        <v>821</v>
      </c>
      <c r="AN20" s="179"/>
      <c r="AO20" s="179"/>
      <c r="AP20" s="336">
        <f t="shared" si="6"/>
        <v>640</v>
      </c>
      <c r="AQ20" s="179"/>
      <c r="AR20" s="179"/>
      <c r="AS20" s="400">
        <v>114</v>
      </c>
      <c r="AT20" s="79">
        <v>100</v>
      </c>
      <c r="AU20" s="79"/>
      <c r="AV20" s="79"/>
      <c r="AW20" s="79">
        <v>167</v>
      </c>
      <c r="AX20" s="79"/>
      <c r="AY20" s="86"/>
      <c r="AZ20" s="298"/>
      <c r="BA20" s="283"/>
    </row>
    <row r="21" spans="2:53">
      <c r="B21" s="390"/>
      <c r="C21" s="391">
        <v>30</v>
      </c>
      <c r="D21" s="64">
        <f t="shared" si="7"/>
        <v>45883</v>
      </c>
      <c r="E21" s="54" t="s">
        <v>235</v>
      </c>
      <c r="F21" s="28">
        <v>110</v>
      </c>
      <c r="G21" s="370" t="s">
        <v>238</v>
      </c>
      <c r="H21" s="413">
        <v>166</v>
      </c>
      <c r="I21" s="412"/>
      <c r="J21" s="413"/>
      <c r="K21" s="435"/>
      <c r="L21" s="436"/>
      <c r="M21" s="271"/>
      <c r="N21" s="272"/>
      <c r="O21" s="411"/>
      <c r="P21" s="411"/>
      <c r="Q21" s="412"/>
      <c r="R21" s="28"/>
      <c r="S21" s="389">
        <f t="shared" si="9"/>
        <v>276</v>
      </c>
      <c r="T21" s="388">
        <f t="shared" si="0"/>
        <v>45883</v>
      </c>
      <c r="U21" s="54" t="s">
        <v>234</v>
      </c>
      <c r="V21" s="28">
        <v>303</v>
      </c>
      <c r="W21" s="370"/>
      <c r="X21" s="422"/>
      <c r="Y21" s="370"/>
      <c r="Z21" s="422"/>
      <c r="AA21" s="414"/>
      <c r="AB21" s="415"/>
      <c r="AC21" s="410"/>
      <c r="AD21" s="411"/>
      <c r="AE21" s="410"/>
      <c r="AF21" s="410"/>
      <c r="AG21" s="410"/>
      <c r="AH21" s="411"/>
      <c r="AI21" s="387">
        <f t="shared" si="8"/>
        <v>303</v>
      </c>
      <c r="AJ21" s="118">
        <f t="shared" si="1"/>
        <v>27</v>
      </c>
      <c r="AK21" s="87">
        <f t="shared" si="2"/>
        <v>45883</v>
      </c>
      <c r="AL21" s="178">
        <v>393</v>
      </c>
      <c r="AM21" s="179">
        <v>730</v>
      </c>
      <c r="AN21" s="179"/>
      <c r="AO21" s="179"/>
      <c r="AP21" s="336">
        <v>943</v>
      </c>
      <c r="AQ21" s="179"/>
      <c r="AR21" s="179"/>
      <c r="AS21" s="400">
        <v>126</v>
      </c>
      <c r="AT21" s="79">
        <v>81</v>
      </c>
      <c r="AU21" s="79"/>
      <c r="AV21" s="79"/>
      <c r="AW21" s="79">
        <v>140</v>
      </c>
      <c r="AX21" s="79"/>
      <c r="AY21" s="86"/>
      <c r="AZ21" s="298"/>
      <c r="BA21" s="283"/>
    </row>
    <row r="22" spans="2:53">
      <c r="B22" s="390"/>
      <c r="C22" s="391"/>
      <c r="D22" s="64">
        <f t="shared" si="7"/>
        <v>45884</v>
      </c>
      <c r="E22" s="54" t="s">
        <v>235</v>
      </c>
      <c r="F22" s="28">
        <v>168</v>
      </c>
      <c r="G22" s="412"/>
      <c r="H22" s="413"/>
      <c r="I22" s="412"/>
      <c r="J22" s="413"/>
      <c r="K22" s="414"/>
      <c r="L22" s="415"/>
      <c r="M22" s="410"/>
      <c r="N22" s="411"/>
      <c r="O22" s="411"/>
      <c r="P22" s="411"/>
      <c r="Q22" s="412"/>
      <c r="R22" s="28"/>
      <c r="S22" s="389">
        <f t="shared" si="9"/>
        <v>168</v>
      </c>
      <c r="T22" s="388">
        <f t="shared" si="0"/>
        <v>45884</v>
      </c>
      <c r="U22" s="54" t="s">
        <v>234</v>
      </c>
      <c r="V22" s="28">
        <v>26</v>
      </c>
      <c r="W22" s="370" t="s">
        <v>230</v>
      </c>
      <c r="X22" s="422">
        <v>114</v>
      </c>
      <c r="Y22" s="370"/>
      <c r="Z22" s="422"/>
      <c r="AA22" s="414"/>
      <c r="AB22" s="415"/>
      <c r="AC22" s="410"/>
      <c r="AD22" s="411"/>
      <c r="AE22" s="410"/>
      <c r="AF22" s="410"/>
      <c r="AG22" s="410"/>
      <c r="AH22" s="411"/>
      <c r="AI22" s="387">
        <f t="shared" si="8"/>
        <v>140</v>
      </c>
      <c r="AJ22" s="118">
        <f t="shared" si="1"/>
        <v>-28</v>
      </c>
      <c r="AK22" s="87">
        <f t="shared" si="2"/>
        <v>45884</v>
      </c>
      <c r="AL22" s="178">
        <v>569</v>
      </c>
      <c r="AM22" s="179">
        <v>640</v>
      </c>
      <c r="AN22" s="179"/>
      <c r="AO22" s="179"/>
      <c r="AP22" s="336">
        <f t="shared" si="6"/>
        <v>803</v>
      </c>
      <c r="AQ22" s="179"/>
      <c r="AR22" s="179"/>
      <c r="AS22" s="400">
        <v>130</v>
      </c>
      <c r="AT22" s="79">
        <v>100</v>
      </c>
      <c r="AU22" s="79"/>
      <c r="AV22" s="79"/>
      <c r="AW22" s="79">
        <v>154</v>
      </c>
      <c r="AX22" s="79"/>
      <c r="AY22" s="86"/>
      <c r="AZ22" s="161"/>
    </row>
    <row r="23" spans="2:53">
      <c r="B23" s="390"/>
      <c r="C23" s="391"/>
      <c r="D23" s="64">
        <f t="shared" si="7"/>
        <v>45885</v>
      </c>
      <c r="E23" s="54" t="s">
        <v>235</v>
      </c>
      <c r="F23" s="28">
        <v>307</v>
      </c>
      <c r="G23" s="370"/>
      <c r="H23" s="413"/>
      <c r="I23" s="370"/>
      <c r="J23" s="413"/>
      <c r="K23" s="414"/>
      <c r="L23" s="415"/>
      <c r="M23" s="271"/>
      <c r="N23" s="411"/>
      <c r="O23" s="411"/>
      <c r="P23" s="411"/>
      <c r="Q23" s="412"/>
      <c r="R23" s="28"/>
      <c r="S23" s="389">
        <f>R23+P23+N23+L23+J23+H23+F23</f>
        <v>307</v>
      </c>
      <c r="T23" s="388">
        <f t="shared" si="0"/>
        <v>45885</v>
      </c>
      <c r="U23" s="55"/>
      <c r="V23" s="28"/>
      <c r="W23" s="370" t="s">
        <v>230</v>
      </c>
      <c r="X23" s="422">
        <v>187</v>
      </c>
      <c r="Y23" s="370" t="s">
        <v>225</v>
      </c>
      <c r="Z23" s="422">
        <v>20</v>
      </c>
      <c r="AA23" s="435"/>
      <c r="AB23" s="436"/>
      <c r="AC23" s="271" t="s">
        <v>221</v>
      </c>
      <c r="AD23" s="272">
        <v>98</v>
      </c>
      <c r="AE23" s="411"/>
      <c r="AF23" s="411"/>
      <c r="AG23" s="412"/>
      <c r="AH23" s="28"/>
      <c r="AI23" s="387">
        <f t="shared" si="8"/>
        <v>305</v>
      </c>
      <c r="AJ23" s="118">
        <f t="shared" si="1"/>
        <v>-2</v>
      </c>
      <c r="AK23" s="87">
        <f t="shared" si="2"/>
        <v>45885</v>
      </c>
      <c r="AL23" s="178">
        <f t="shared" si="4"/>
        <v>465</v>
      </c>
      <c r="AM23" s="179">
        <f t="shared" si="5"/>
        <v>654</v>
      </c>
      <c r="AN23" s="179"/>
      <c r="AO23" s="179"/>
      <c r="AP23" s="336">
        <f t="shared" si="6"/>
        <v>649</v>
      </c>
      <c r="AQ23" s="79"/>
      <c r="AR23" s="79"/>
      <c r="AS23" s="400"/>
      <c r="AT23" s="79">
        <v>91</v>
      </c>
      <c r="AU23" s="79"/>
      <c r="AV23" s="79"/>
      <c r="AW23" s="79">
        <v>175</v>
      </c>
      <c r="AX23" s="79"/>
      <c r="AY23" s="86"/>
      <c r="AZ23" s="161"/>
    </row>
    <row r="24" spans="2:53">
      <c r="B24" s="390"/>
      <c r="D24" s="64">
        <f t="shared" si="7"/>
        <v>45886</v>
      </c>
      <c r="E24" s="54" t="s">
        <v>235</v>
      </c>
      <c r="F24" s="28">
        <v>135</v>
      </c>
      <c r="G24" s="370" t="s">
        <v>231</v>
      </c>
      <c r="H24" s="413">
        <v>144</v>
      </c>
      <c r="I24" s="370"/>
      <c r="J24" s="413"/>
      <c r="K24" s="414"/>
      <c r="L24" s="415"/>
      <c r="M24" s="410"/>
      <c r="N24" s="411"/>
      <c r="O24" s="411"/>
      <c r="P24" s="411"/>
      <c r="Q24" s="412"/>
      <c r="R24" s="28"/>
      <c r="S24" s="389">
        <f>R24+P24+N24+L24+J24+H24+F24</f>
        <v>279</v>
      </c>
      <c r="T24" s="388">
        <f t="shared" si="0"/>
        <v>45886</v>
      </c>
      <c r="U24" s="54"/>
      <c r="V24" s="28"/>
      <c r="W24" s="370"/>
      <c r="X24" s="413"/>
      <c r="Y24" s="412"/>
      <c r="Z24" s="413"/>
      <c r="AA24" s="435"/>
      <c r="AB24" s="436"/>
      <c r="AC24" s="271" t="s">
        <v>221</v>
      </c>
      <c r="AD24" s="272">
        <v>265</v>
      </c>
      <c r="AE24" s="410"/>
      <c r="AF24" s="410"/>
      <c r="AG24" s="410"/>
      <c r="AH24" s="411"/>
      <c r="AI24" s="387">
        <f t="shared" si="8"/>
        <v>265</v>
      </c>
      <c r="AJ24" s="118">
        <f t="shared" si="1"/>
        <v>-14</v>
      </c>
      <c r="AK24" s="87">
        <f t="shared" si="2"/>
        <v>45886</v>
      </c>
      <c r="AL24" s="178">
        <f t="shared" si="4"/>
        <v>465</v>
      </c>
      <c r="AM24" s="179">
        <f t="shared" si="5"/>
        <v>750</v>
      </c>
      <c r="AN24" s="179"/>
      <c r="AO24" s="179"/>
      <c r="AP24" s="336">
        <f t="shared" si="6"/>
        <v>572</v>
      </c>
      <c r="AQ24" s="79"/>
      <c r="AR24" s="79"/>
      <c r="AS24" s="400"/>
      <c r="AT24" s="79"/>
      <c r="AU24" s="79"/>
      <c r="AV24" s="79"/>
      <c r="AW24" s="79"/>
      <c r="AX24" s="79"/>
      <c r="AY24" s="86"/>
      <c r="AZ24" s="161"/>
    </row>
    <row r="25" spans="2:53">
      <c r="B25" s="390"/>
      <c r="C25" s="391"/>
      <c r="D25" s="64">
        <f t="shared" si="7"/>
        <v>45887</v>
      </c>
      <c r="E25" s="54"/>
      <c r="F25" s="28"/>
      <c r="G25" s="370" t="s">
        <v>231</v>
      </c>
      <c r="H25" s="413">
        <v>156</v>
      </c>
      <c r="I25" s="412" t="s">
        <v>226</v>
      </c>
      <c r="J25" s="413">
        <v>20</v>
      </c>
      <c r="K25" s="414"/>
      <c r="L25" s="415"/>
      <c r="M25" s="410" t="s">
        <v>222</v>
      </c>
      <c r="N25" s="411">
        <v>162</v>
      </c>
      <c r="O25" s="411"/>
      <c r="P25" s="411"/>
      <c r="Q25" s="412"/>
      <c r="R25" s="28"/>
      <c r="S25" s="389">
        <f>R25+P25+N25+L25+J25+H25+F25</f>
        <v>338</v>
      </c>
      <c r="T25" s="388">
        <f t="shared" si="0"/>
        <v>45887</v>
      </c>
      <c r="U25" s="54"/>
      <c r="V25" s="28"/>
      <c r="W25" s="370"/>
      <c r="X25" s="413"/>
      <c r="Y25" s="412"/>
      <c r="Z25" s="413"/>
      <c r="AA25" s="435"/>
      <c r="AB25" s="436"/>
      <c r="AC25" s="271" t="s">
        <v>221</v>
      </c>
      <c r="AD25" s="272">
        <v>330</v>
      </c>
      <c r="AE25" s="410"/>
      <c r="AF25" s="410"/>
      <c r="AG25" s="410"/>
      <c r="AH25" s="411"/>
      <c r="AI25" s="387">
        <f t="shared" si="8"/>
        <v>330</v>
      </c>
      <c r="AJ25" s="118">
        <f t="shared" si="1"/>
        <v>-8</v>
      </c>
      <c r="AK25" s="87">
        <f t="shared" si="2"/>
        <v>45887</v>
      </c>
      <c r="AL25" s="178">
        <v>425</v>
      </c>
      <c r="AM25" s="179">
        <v>745</v>
      </c>
      <c r="AN25" s="179"/>
      <c r="AO25" s="179"/>
      <c r="AP25" s="336">
        <v>842</v>
      </c>
      <c r="AQ25" s="79"/>
      <c r="AR25" s="79"/>
      <c r="AS25" s="400">
        <v>98</v>
      </c>
      <c r="AT25" s="79">
        <v>83</v>
      </c>
      <c r="AU25" s="79"/>
      <c r="AV25" s="79"/>
      <c r="AW25" s="79">
        <v>144</v>
      </c>
      <c r="AX25" s="79"/>
      <c r="AY25" s="86"/>
      <c r="AZ25" s="161"/>
    </row>
    <row r="26" spans="2:53">
      <c r="B26" s="390"/>
      <c r="D26" s="64">
        <f t="shared" si="7"/>
        <v>45888</v>
      </c>
      <c r="E26" s="54"/>
      <c r="F26" s="28"/>
      <c r="G26" s="370"/>
      <c r="H26" s="413"/>
      <c r="I26" s="412"/>
      <c r="J26" s="413"/>
      <c r="K26" s="414"/>
      <c r="L26" s="415"/>
      <c r="M26" s="410" t="s">
        <v>222</v>
      </c>
      <c r="N26" s="411">
        <v>307</v>
      </c>
      <c r="O26" s="411"/>
      <c r="P26" s="411"/>
      <c r="Q26" s="412"/>
      <c r="R26" s="28"/>
      <c r="S26" s="389">
        <f t="shared" si="9"/>
        <v>307</v>
      </c>
      <c r="T26" s="388">
        <f t="shared" si="0"/>
        <v>45888</v>
      </c>
      <c r="U26" s="54"/>
      <c r="V26" s="28"/>
      <c r="W26" s="370" t="s">
        <v>238</v>
      </c>
      <c r="X26" s="413">
        <v>287</v>
      </c>
      <c r="Y26" s="412" t="s">
        <v>227</v>
      </c>
      <c r="Z26" s="413">
        <v>10</v>
      </c>
      <c r="AA26" s="435"/>
      <c r="AB26" s="436"/>
      <c r="AC26" s="271" t="s">
        <v>221</v>
      </c>
      <c r="AD26" s="272">
        <v>8</v>
      </c>
      <c r="AE26" s="410"/>
      <c r="AF26" s="410"/>
      <c r="AG26" s="410"/>
      <c r="AH26" s="411"/>
      <c r="AI26" s="387">
        <f t="shared" si="8"/>
        <v>305</v>
      </c>
      <c r="AJ26" s="118">
        <f t="shared" si="1"/>
        <v>-2</v>
      </c>
      <c r="AK26" s="87">
        <f t="shared" si="2"/>
        <v>45888</v>
      </c>
      <c r="AL26" s="178">
        <f t="shared" ref="AL26" si="10">IF(AL25+V25-AS25&lt;0,0,AL25+V25-AS25)</f>
        <v>327</v>
      </c>
      <c r="AM26" s="179">
        <f t="shared" ref="AM26:AM27" si="11">IF(AM25+X25-AT25&lt;0,0,AM25+X25-AT25)</f>
        <v>662</v>
      </c>
      <c r="AN26" s="179"/>
      <c r="AO26" s="179"/>
      <c r="AP26" s="336">
        <f t="shared" ref="AP26:AP27" si="12">IF(AP25+AD25-AW25&lt;0,0,AP25+AD25-AW25)</f>
        <v>1028</v>
      </c>
      <c r="AQ26" s="79"/>
      <c r="AR26" s="79"/>
      <c r="AS26" s="400">
        <v>117</v>
      </c>
      <c r="AT26" s="79">
        <v>100</v>
      </c>
      <c r="AU26" s="79"/>
      <c r="AV26" s="79"/>
      <c r="AW26" s="79">
        <v>123</v>
      </c>
      <c r="AX26" s="79"/>
      <c r="AY26" s="86"/>
      <c r="AZ26" s="161"/>
    </row>
    <row r="27" spans="2:53">
      <c r="B27" s="390"/>
      <c r="C27" s="391"/>
      <c r="D27" s="64">
        <f t="shared" si="7"/>
        <v>45889</v>
      </c>
      <c r="E27" s="434"/>
      <c r="F27" s="28"/>
      <c r="G27" s="412" t="s">
        <v>232</v>
      </c>
      <c r="H27" s="413">
        <v>42</v>
      </c>
      <c r="I27" s="412" t="s">
        <v>226</v>
      </c>
      <c r="J27" s="413">
        <v>10</v>
      </c>
      <c r="K27" s="414"/>
      <c r="L27" s="415"/>
      <c r="M27" s="410" t="s">
        <v>222</v>
      </c>
      <c r="N27" s="411">
        <v>231</v>
      </c>
      <c r="O27" s="411"/>
      <c r="P27" s="411"/>
      <c r="Q27" s="30"/>
      <c r="R27" s="28"/>
      <c r="S27" s="389">
        <f t="shared" si="9"/>
        <v>283</v>
      </c>
      <c r="T27" s="388">
        <f t="shared" si="0"/>
        <v>45889</v>
      </c>
      <c r="U27" s="54" t="s">
        <v>235</v>
      </c>
      <c r="V27" s="28">
        <v>264</v>
      </c>
      <c r="W27" s="370" t="s">
        <v>238</v>
      </c>
      <c r="X27" s="413">
        <v>15</v>
      </c>
      <c r="Y27" s="412"/>
      <c r="Z27" s="413"/>
      <c r="AA27" s="414"/>
      <c r="AB27" s="415"/>
      <c r="AC27" s="410"/>
      <c r="AD27" s="411"/>
      <c r="AE27" s="410"/>
      <c r="AF27" s="410"/>
      <c r="AG27" s="410"/>
      <c r="AH27" s="411"/>
      <c r="AI27" s="387">
        <f t="shared" si="8"/>
        <v>279</v>
      </c>
      <c r="AJ27" s="118">
        <f t="shared" si="1"/>
        <v>-4</v>
      </c>
      <c r="AK27" s="87">
        <f t="shared" si="2"/>
        <v>45889</v>
      </c>
      <c r="AL27" s="178">
        <v>209</v>
      </c>
      <c r="AM27" s="179">
        <f t="shared" si="11"/>
        <v>849</v>
      </c>
      <c r="AN27" s="179"/>
      <c r="AO27" s="179"/>
      <c r="AP27" s="336">
        <f t="shared" si="12"/>
        <v>913</v>
      </c>
      <c r="AQ27" s="79"/>
      <c r="AR27" s="79"/>
      <c r="AS27" s="400">
        <v>154</v>
      </c>
      <c r="AT27" s="79">
        <v>100</v>
      </c>
      <c r="AU27" s="79"/>
      <c r="AV27" s="79"/>
      <c r="AW27" s="79">
        <v>167</v>
      </c>
      <c r="AX27" s="79"/>
      <c r="AY27" s="86"/>
      <c r="AZ27" s="161"/>
    </row>
    <row r="28" spans="2:53">
      <c r="B28" s="390"/>
      <c r="C28" s="391">
        <v>30</v>
      </c>
      <c r="D28" s="64">
        <f t="shared" si="7"/>
        <v>45890</v>
      </c>
      <c r="E28" s="434"/>
      <c r="F28" s="343"/>
      <c r="G28" s="412" t="s">
        <v>232</v>
      </c>
      <c r="H28" s="422">
        <v>262</v>
      </c>
      <c r="I28" s="412"/>
      <c r="J28" s="422"/>
      <c r="K28" s="435"/>
      <c r="L28" s="436"/>
      <c r="M28" s="410"/>
      <c r="N28" s="272"/>
      <c r="O28" s="272"/>
      <c r="P28" s="272"/>
      <c r="Q28" s="344"/>
      <c r="R28" s="343"/>
      <c r="S28" s="269">
        <f t="shared" si="9"/>
        <v>262</v>
      </c>
      <c r="T28" s="87">
        <f t="shared" si="0"/>
        <v>45890</v>
      </c>
      <c r="U28" s="54" t="s">
        <v>235</v>
      </c>
      <c r="V28" s="343">
        <v>296</v>
      </c>
      <c r="W28" s="370"/>
      <c r="X28" s="422"/>
      <c r="Y28" s="370"/>
      <c r="Z28" s="422"/>
      <c r="AA28" s="435"/>
      <c r="AB28" s="436"/>
      <c r="AC28" s="271"/>
      <c r="AD28" s="272"/>
      <c r="AE28" s="271"/>
      <c r="AF28" s="271"/>
      <c r="AG28" s="271"/>
      <c r="AH28" s="272"/>
      <c r="AI28" s="270">
        <f t="shared" si="8"/>
        <v>296</v>
      </c>
      <c r="AJ28" s="525">
        <f t="shared" si="1"/>
        <v>34</v>
      </c>
      <c r="AK28" s="87">
        <f t="shared" si="2"/>
        <v>45890</v>
      </c>
      <c r="AL28" s="178">
        <v>263</v>
      </c>
      <c r="AM28" s="179">
        <v>758</v>
      </c>
      <c r="AN28" s="179"/>
      <c r="AO28" s="179"/>
      <c r="AP28" s="336">
        <v>860</v>
      </c>
      <c r="AQ28" s="311"/>
      <c r="AR28" s="311"/>
      <c r="AS28" s="310">
        <v>115</v>
      </c>
      <c r="AT28" s="311">
        <v>100</v>
      </c>
      <c r="AU28" s="311"/>
      <c r="AV28" s="311"/>
      <c r="AW28" s="311">
        <v>140</v>
      </c>
      <c r="AX28" s="311"/>
      <c r="AY28" s="526"/>
      <c r="AZ28" s="527"/>
      <c r="BA28" s="528"/>
    </row>
    <row r="29" spans="2:53">
      <c r="B29" s="390"/>
      <c r="C29" s="391"/>
      <c r="D29" s="64">
        <f t="shared" si="7"/>
        <v>45891</v>
      </c>
      <c r="E29" s="535" t="s">
        <v>249</v>
      </c>
      <c r="F29" s="328"/>
      <c r="G29" s="437"/>
      <c r="H29" s="508"/>
      <c r="I29" s="437"/>
      <c r="J29" s="508"/>
      <c r="K29" s="509"/>
      <c r="L29" s="510"/>
      <c r="M29" s="507"/>
      <c r="N29" s="438"/>
      <c r="O29" s="438"/>
      <c r="P29" s="438"/>
      <c r="Q29" s="329"/>
      <c r="R29" s="328"/>
      <c r="S29" s="511">
        <f t="shared" si="9"/>
        <v>0</v>
      </c>
      <c r="T29" s="87">
        <f t="shared" si="0"/>
        <v>45891</v>
      </c>
      <c r="U29" s="535" t="s">
        <v>249</v>
      </c>
      <c r="V29" s="328">
        <v>28</v>
      </c>
      <c r="W29" s="437"/>
      <c r="X29" s="508"/>
      <c r="Y29" s="437"/>
      <c r="Z29" s="508"/>
      <c r="AA29" s="509"/>
      <c r="AB29" s="510"/>
      <c r="AC29" s="507"/>
      <c r="AD29" s="438"/>
      <c r="AE29" s="507"/>
      <c r="AF29" s="507"/>
      <c r="AG29" s="507"/>
      <c r="AH29" s="438"/>
      <c r="AI29" s="517">
        <f t="shared" si="8"/>
        <v>28</v>
      </c>
      <c r="AJ29" s="525">
        <f t="shared" si="1"/>
        <v>28</v>
      </c>
      <c r="AK29" s="87">
        <f t="shared" si="2"/>
        <v>45891</v>
      </c>
      <c r="AL29" s="178">
        <v>500</v>
      </c>
      <c r="AM29" s="179">
        <v>689</v>
      </c>
      <c r="AN29" s="179"/>
      <c r="AO29" s="179"/>
      <c r="AP29" s="336">
        <v>797</v>
      </c>
      <c r="AQ29" s="311"/>
      <c r="AR29" s="311"/>
      <c r="AS29" s="310">
        <v>130</v>
      </c>
      <c r="AT29" s="311">
        <v>100</v>
      </c>
      <c r="AU29" s="311"/>
      <c r="AV29" s="311"/>
      <c r="AW29" s="311">
        <v>167</v>
      </c>
      <c r="AX29" s="311"/>
      <c r="AY29" s="526"/>
      <c r="AZ29" s="527"/>
      <c r="BA29" s="528"/>
    </row>
    <row r="30" spans="2:53">
      <c r="B30" s="390"/>
      <c r="C30" s="391"/>
      <c r="D30" s="64">
        <f t="shared" si="7"/>
        <v>45892</v>
      </c>
      <c r="E30" s="434" t="s">
        <v>236</v>
      </c>
      <c r="F30" s="343">
        <v>247</v>
      </c>
      <c r="G30" s="412"/>
      <c r="H30" s="422"/>
      <c r="I30" s="370"/>
      <c r="J30" s="422"/>
      <c r="K30" s="435"/>
      <c r="L30" s="436"/>
      <c r="M30" s="271"/>
      <c r="N30" s="272"/>
      <c r="O30" s="272"/>
      <c r="P30" s="272"/>
      <c r="Q30" s="370"/>
      <c r="R30" s="343"/>
      <c r="S30" s="269">
        <f t="shared" si="9"/>
        <v>247</v>
      </c>
      <c r="T30" s="87">
        <f t="shared" si="0"/>
        <v>45892</v>
      </c>
      <c r="U30" s="54" t="s">
        <v>235</v>
      </c>
      <c r="V30" s="343">
        <v>128</v>
      </c>
      <c r="W30" s="370" t="s">
        <v>231</v>
      </c>
      <c r="X30" s="422">
        <v>99</v>
      </c>
      <c r="Y30" s="370"/>
      <c r="Z30" s="422"/>
      <c r="AA30" s="435"/>
      <c r="AB30" s="436"/>
      <c r="AC30" s="271"/>
      <c r="AD30" s="272"/>
      <c r="AE30" s="271"/>
      <c r="AF30" s="271"/>
      <c r="AG30" s="271"/>
      <c r="AH30" s="272"/>
      <c r="AI30" s="270">
        <f t="shared" si="8"/>
        <v>227</v>
      </c>
      <c r="AJ30" s="525">
        <f t="shared" si="1"/>
        <v>-20</v>
      </c>
      <c r="AK30" s="87">
        <f t="shared" si="2"/>
        <v>45892</v>
      </c>
      <c r="AL30" s="178">
        <f t="shared" ref="AL30:AL38" si="13">IF(AL29+V29-AS29&lt;0,0,AL29+V29-AS29)</f>
        <v>398</v>
      </c>
      <c r="AM30" s="179">
        <f t="shared" ref="AM30:AM39" si="14">IF(AM29+X29-AT29&lt;0,0,AM29+X29-AT29)</f>
        <v>589</v>
      </c>
      <c r="AN30" s="179"/>
      <c r="AO30" s="179"/>
      <c r="AP30" s="336">
        <f t="shared" ref="AP30:AP39" si="15">IF(AP29+AD29-AW29&lt;0,0,AP29+AD29-AW29)</f>
        <v>630</v>
      </c>
      <c r="AQ30" s="311"/>
      <c r="AR30" s="311"/>
      <c r="AS30" s="310"/>
      <c r="AT30" s="311">
        <v>91</v>
      </c>
      <c r="AU30" s="311"/>
      <c r="AV30" s="311"/>
      <c r="AW30" s="311">
        <v>175</v>
      </c>
      <c r="AX30" s="311"/>
      <c r="AY30" s="526"/>
      <c r="AZ30" s="527"/>
      <c r="BA30" s="528"/>
    </row>
    <row r="31" spans="2:53">
      <c r="B31" s="390"/>
      <c r="C31" s="391"/>
      <c r="D31" s="64">
        <f t="shared" si="7"/>
        <v>45893</v>
      </c>
      <c r="E31" s="54" t="s">
        <v>236</v>
      </c>
      <c r="F31" s="343">
        <v>314</v>
      </c>
      <c r="G31" s="412"/>
      <c r="H31" s="422"/>
      <c r="I31" s="370"/>
      <c r="J31" s="422"/>
      <c r="K31" s="435"/>
      <c r="L31" s="436"/>
      <c r="M31" s="410"/>
      <c r="N31" s="272"/>
      <c r="O31" s="411"/>
      <c r="P31" s="411"/>
      <c r="Q31" s="30"/>
      <c r="R31" s="28"/>
      <c r="S31" s="389">
        <f t="shared" ref="S31" si="16">R31+P31+N31+L31+J31+H31+F31</f>
        <v>314</v>
      </c>
      <c r="T31" s="388">
        <f t="shared" ref="T31:T33" si="17">D31</f>
        <v>45893</v>
      </c>
      <c r="U31" s="54"/>
      <c r="V31" s="28"/>
      <c r="W31" s="370" t="s">
        <v>231</v>
      </c>
      <c r="X31" s="413">
        <v>201</v>
      </c>
      <c r="Y31" s="412" t="s">
        <v>226</v>
      </c>
      <c r="Z31" s="413">
        <v>20</v>
      </c>
      <c r="AA31" s="414"/>
      <c r="AB31" s="415"/>
      <c r="AC31" s="410" t="s">
        <v>222</v>
      </c>
      <c r="AD31" s="411">
        <v>81</v>
      </c>
      <c r="AE31" s="410"/>
      <c r="AF31" s="410"/>
      <c r="AG31" s="410"/>
      <c r="AH31" s="411"/>
      <c r="AI31" s="387">
        <f t="shared" si="8"/>
        <v>302</v>
      </c>
      <c r="AJ31" s="118">
        <f t="shared" si="1"/>
        <v>-12</v>
      </c>
      <c r="AK31" s="87">
        <f t="shared" si="2"/>
        <v>45893</v>
      </c>
      <c r="AL31" s="178">
        <v>502</v>
      </c>
      <c r="AM31" s="179">
        <v>545</v>
      </c>
      <c r="AN31" s="179"/>
      <c r="AO31" s="179"/>
      <c r="AP31" s="336">
        <f t="shared" si="15"/>
        <v>455</v>
      </c>
      <c r="AQ31" s="79"/>
      <c r="AR31" s="79"/>
      <c r="AS31" s="400"/>
      <c r="AT31" s="79"/>
      <c r="AU31" s="79"/>
      <c r="AV31" s="79"/>
      <c r="AW31" s="79"/>
      <c r="AX31" s="79"/>
      <c r="AY31" s="86"/>
      <c r="AZ31" s="161"/>
    </row>
    <row r="32" spans="2:53">
      <c r="B32" s="390"/>
      <c r="C32" s="391"/>
      <c r="D32" s="64">
        <f t="shared" si="7"/>
        <v>45894</v>
      </c>
      <c r="E32" s="54" t="s">
        <v>236</v>
      </c>
      <c r="F32" s="343">
        <v>89</v>
      </c>
      <c r="G32" s="412" t="s">
        <v>233</v>
      </c>
      <c r="H32" s="422">
        <v>217</v>
      </c>
      <c r="I32" s="370"/>
      <c r="J32" s="422"/>
      <c r="K32" s="435"/>
      <c r="L32" s="436"/>
      <c r="M32" s="410"/>
      <c r="N32" s="272"/>
      <c r="O32" s="411"/>
      <c r="P32" s="411"/>
      <c r="Q32" s="30"/>
      <c r="R32" s="28"/>
      <c r="S32" s="389">
        <f>R32+P32+N32+L32+J32+H32+F32</f>
        <v>306</v>
      </c>
      <c r="T32" s="388">
        <f t="shared" si="17"/>
        <v>45894</v>
      </c>
      <c r="U32" s="54"/>
      <c r="V32" s="28"/>
      <c r="W32" s="412"/>
      <c r="X32" s="413"/>
      <c r="Y32" s="412"/>
      <c r="Z32" s="413"/>
      <c r="AA32" s="414"/>
      <c r="AB32" s="415"/>
      <c r="AC32" s="410" t="s">
        <v>222</v>
      </c>
      <c r="AD32" s="411">
        <v>297</v>
      </c>
      <c r="AE32" s="410"/>
      <c r="AF32" s="410"/>
      <c r="AG32" s="410"/>
      <c r="AH32" s="411"/>
      <c r="AI32" s="387">
        <f t="shared" si="8"/>
        <v>297</v>
      </c>
      <c r="AJ32" s="118">
        <f t="shared" si="1"/>
        <v>-9</v>
      </c>
      <c r="AK32" s="87">
        <f t="shared" si="2"/>
        <v>45894</v>
      </c>
      <c r="AL32" s="178">
        <v>505</v>
      </c>
      <c r="AM32" s="179">
        <v>748</v>
      </c>
      <c r="AN32" s="179"/>
      <c r="AO32" s="179"/>
      <c r="AP32" s="336">
        <v>744</v>
      </c>
      <c r="AQ32" s="79"/>
      <c r="AR32" s="79"/>
      <c r="AS32" s="400">
        <v>125</v>
      </c>
      <c r="AT32" s="79">
        <v>100</v>
      </c>
      <c r="AU32" s="79"/>
      <c r="AV32" s="79"/>
      <c r="AW32" s="79">
        <v>144</v>
      </c>
      <c r="AX32" s="79"/>
      <c r="AY32" s="86"/>
      <c r="AZ32" s="161"/>
    </row>
    <row r="33" spans="2:52">
      <c r="B33" s="390"/>
      <c r="C33" s="391"/>
      <c r="D33" s="64">
        <f t="shared" si="7"/>
        <v>45895</v>
      </c>
      <c r="E33" s="54"/>
      <c r="F33" s="28"/>
      <c r="G33" s="412" t="s">
        <v>233</v>
      </c>
      <c r="H33" s="413">
        <v>93</v>
      </c>
      <c r="I33" s="412" t="s">
        <v>240</v>
      </c>
      <c r="J33" s="413">
        <v>20</v>
      </c>
      <c r="K33" s="414"/>
      <c r="L33" s="415"/>
      <c r="M33" s="410" t="s">
        <v>242</v>
      </c>
      <c r="N33" s="411">
        <v>194</v>
      </c>
      <c r="O33" s="411"/>
      <c r="P33" s="411"/>
      <c r="Q33" s="30"/>
      <c r="R33" s="28"/>
      <c r="S33" s="389">
        <f t="shared" ref="S33" si="18">R33+P33+N33+L33+J33+H33+F33</f>
        <v>307</v>
      </c>
      <c r="T33" s="388">
        <f t="shared" si="17"/>
        <v>45895</v>
      </c>
      <c r="U33" s="434"/>
      <c r="V33" s="28"/>
      <c r="W33" s="412"/>
      <c r="X33" s="413"/>
      <c r="Y33" s="412"/>
      <c r="Z33" s="413"/>
      <c r="AA33" s="414"/>
      <c r="AB33" s="415"/>
      <c r="AC33" s="410" t="s">
        <v>222</v>
      </c>
      <c r="AD33" s="411">
        <v>309</v>
      </c>
      <c r="AE33" s="410"/>
      <c r="AF33" s="410"/>
      <c r="AG33" s="410"/>
      <c r="AH33" s="411"/>
      <c r="AI33" s="387">
        <f t="shared" si="8"/>
        <v>309</v>
      </c>
      <c r="AJ33" s="118">
        <f t="shared" si="1"/>
        <v>2</v>
      </c>
      <c r="AK33" s="87">
        <f t="shared" si="2"/>
        <v>45895</v>
      </c>
      <c r="AL33" s="178">
        <v>398</v>
      </c>
      <c r="AM33" s="179">
        <v>653</v>
      </c>
      <c r="AN33" s="179"/>
      <c r="AO33" s="179"/>
      <c r="AP33" s="336">
        <v>864</v>
      </c>
      <c r="AQ33" s="79"/>
      <c r="AR33" s="79"/>
      <c r="AS33" s="400">
        <v>94</v>
      </c>
      <c r="AT33" s="79">
        <v>100</v>
      </c>
      <c r="AU33" s="79"/>
      <c r="AV33" s="79"/>
      <c r="AW33" s="79">
        <v>123</v>
      </c>
      <c r="AX33" s="79"/>
      <c r="AY33" s="86"/>
      <c r="AZ33" s="161"/>
    </row>
    <row r="34" spans="2:52">
      <c r="B34" s="390"/>
      <c r="C34" s="391"/>
      <c r="D34" s="64">
        <f t="shared" si="7"/>
        <v>45896</v>
      </c>
      <c r="E34" s="54"/>
      <c r="F34" s="28"/>
      <c r="G34" s="412"/>
      <c r="H34" s="413"/>
      <c r="I34" s="412"/>
      <c r="J34" s="413"/>
      <c r="K34" s="414"/>
      <c r="L34" s="415"/>
      <c r="M34" s="410" t="s">
        <v>242</v>
      </c>
      <c r="N34" s="411">
        <v>300</v>
      </c>
      <c r="O34" s="272"/>
      <c r="P34" s="272"/>
      <c r="Q34" s="344"/>
      <c r="R34" s="343"/>
      <c r="S34" s="269">
        <f t="shared" si="9"/>
        <v>300</v>
      </c>
      <c r="T34" s="87">
        <f t="shared" si="0"/>
        <v>45896</v>
      </c>
      <c r="U34" s="54"/>
      <c r="V34" s="28"/>
      <c r="W34" s="412" t="s">
        <v>232</v>
      </c>
      <c r="X34" s="413">
        <v>270</v>
      </c>
      <c r="Y34" s="412" t="s">
        <v>226</v>
      </c>
      <c r="Z34" s="413">
        <v>10</v>
      </c>
      <c r="AA34" s="435"/>
      <c r="AB34" s="436"/>
      <c r="AC34" s="410" t="s">
        <v>222</v>
      </c>
      <c r="AD34" s="411">
        <v>13</v>
      </c>
      <c r="AE34" s="410"/>
      <c r="AF34" s="410"/>
      <c r="AG34" s="410"/>
      <c r="AH34" s="411"/>
      <c r="AI34" s="387">
        <f t="shared" si="8"/>
        <v>293</v>
      </c>
      <c r="AJ34" s="118">
        <f t="shared" si="1"/>
        <v>-7</v>
      </c>
      <c r="AK34" s="87">
        <f t="shared" si="2"/>
        <v>45896</v>
      </c>
      <c r="AL34" s="178">
        <f t="shared" si="13"/>
        <v>304</v>
      </c>
      <c r="AM34" s="179">
        <f t="shared" si="14"/>
        <v>553</v>
      </c>
      <c r="AN34" s="179"/>
      <c r="AO34" s="179"/>
      <c r="AP34" s="336">
        <v>1000</v>
      </c>
      <c r="AQ34" s="79"/>
      <c r="AR34" s="79"/>
      <c r="AS34" s="400">
        <v>114</v>
      </c>
      <c r="AT34" s="79">
        <v>100</v>
      </c>
      <c r="AU34" s="79"/>
      <c r="AV34" s="79"/>
      <c r="AW34" s="79">
        <v>167</v>
      </c>
      <c r="AX34" s="79"/>
      <c r="AY34" s="86"/>
      <c r="AZ34" s="161"/>
    </row>
    <row r="35" spans="2:52">
      <c r="B35" s="390"/>
      <c r="C35" s="391">
        <v>30</v>
      </c>
      <c r="D35" s="64">
        <f t="shared" si="7"/>
        <v>45897</v>
      </c>
      <c r="E35" s="54"/>
      <c r="F35" s="28"/>
      <c r="G35" s="412" t="s">
        <v>239</v>
      </c>
      <c r="H35" s="413">
        <v>80</v>
      </c>
      <c r="I35" s="412" t="s">
        <v>241</v>
      </c>
      <c r="J35" s="413">
        <v>10</v>
      </c>
      <c r="K35" s="414"/>
      <c r="L35" s="415"/>
      <c r="M35" s="410" t="s">
        <v>242</v>
      </c>
      <c r="N35" s="411">
        <v>210</v>
      </c>
      <c r="O35" s="272"/>
      <c r="P35" s="272"/>
      <c r="Q35" s="344"/>
      <c r="R35" s="343"/>
      <c r="S35" s="269">
        <f t="shared" si="9"/>
        <v>300</v>
      </c>
      <c r="T35" s="87">
        <f t="shared" si="0"/>
        <v>45897</v>
      </c>
      <c r="U35" s="54" t="s">
        <v>236</v>
      </c>
      <c r="V35" s="343">
        <v>270</v>
      </c>
      <c r="W35" s="412" t="s">
        <v>232</v>
      </c>
      <c r="X35" s="413">
        <v>30</v>
      </c>
      <c r="Y35" s="370"/>
      <c r="Z35" s="422"/>
      <c r="AA35" s="435"/>
      <c r="AB35" s="436"/>
      <c r="AC35" s="410"/>
      <c r="AD35" s="272"/>
      <c r="AE35" s="410"/>
      <c r="AF35" s="410"/>
      <c r="AG35" s="410"/>
      <c r="AH35" s="411"/>
      <c r="AI35" s="387">
        <f t="shared" si="8"/>
        <v>300</v>
      </c>
      <c r="AJ35" s="118">
        <f t="shared" si="1"/>
        <v>0</v>
      </c>
      <c r="AK35" s="87">
        <f t="shared" si="2"/>
        <v>45897</v>
      </c>
      <c r="AL35" s="400">
        <f t="shared" si="13"/>
        <v>190</v>
      </c>
      <c r="AM35" s="79">
        <f t="shared" si="14"/>
        <v>723</v>
      </c>
      <c r="AN35" s="79"/>
      <c r="AO35" s="79"/>
      <c r="AP35" s="86">
        <f t="shared" si="15"/>
        <v>846</v>
      </c>
      <c r="AQ35" s="79"/>
      <c r="AR35" s="79"/>
      <c r="AS35" s="400">
        <v>144</v>
      </c>
      <c r="AT35" s="79">
        <v>100</v>
      </c>
      <c r="AU35" s="79"/>
      <c r="AV35" s="79"/>
      <c r="AW35" s="79">
        <v>140</v>
      </c>
      <c r="AX35" s="79"/>
      <c r="AY35" s="86"/>
      <c r="AZ35" s="161"/>
    </row>
    <row r="36" spans="2:52">
      <c r="B36" s="390"/>
      <c r="C36" s="391"/>
      <c r="D36" s="64">
        <f t="shared" si="7"/>
        <v>45898</v>
      </c>
      <c r="E36" s="54" t="s">
        <v>237</v>
      </c>
      <c r="F36" s="343">
        <v>80</v>
      </c>
      <c r="G36" s="412" t="s">
        <v>239</v>
      </c>
      <c r="H36" s="413">
        <v>220</v>
      </c>
      <c r="I36" s="370"/>
      <c r="J36" s="422"/>
      <c r="K36" s="414"/>
      <c r="L36" s="415"/>
      <c r="M36" s="410"/>
      <c r="N36" s="411"/>
      <c r="O36" s="272"/>
      <c r="P36" s="272"/>
      <c r="Q36" s="344"/>
      <c r="R36" s="343"/>
      <c r="S36" s="269">
        <f t="shared" ref="S36:S38" si="19">R36+P36+N36+L36+J36+H36+F36</f>
        <v>300</v>
      </c>
      <c r="T36" s="87">
        <f t="shared" ref="T36:T38" si="20">D36</f>
        <v>45898</v>
      </c>
      <c r="U36" s="54" t="s">
        <v>236</v>
      </c>
      <c r="V36" s="343">
        <v>300</v>
      </c>
      <c r="W36" s="412"/>
      <c r="X36" s="422"/>
      <c r="Y36" s="370"/>
      <c r="Z36" s="422"/>
      <c r="AA36" s="435"/>
      <c r="AB36" s="436"/>
      <c r="AC36" s="410"/>
      <c r="AD36" s="272"/>
      <c r="AE36" s="410"/>
      <c r="AF36" s="410"/>
      <c r="AG36" s="410"/>
      <c r="AH36" s="411"/>
      <c r="AI36" s="387">
        <f t="shared" si="8"/>
        <v>300</v>
      </c>
      <c r="AJ36" s="118">
        <f t="shared" si="1"/>
        <v>0</v>
      </c>
      <c r="AK36" s="87">
        <f t="shared" si="2"/>
        <v>45898</v>
      </c>
      <c r="AL36" s="400">
        <f t="shared" si="13"/>
        <v>316</v>
      </c>
      <c r="AM36" s="79">
        <f t="shared" si="14"/>
        <v>653</v>
      </c>
      <c r="AN36" s="79"/>
      <c r="AO36" s="79"/>
      <c r="AP36" s="86">
        <f t="shared" si="15"/>
        <v>706</v>
      </c>
      <c r="AQ36" s="79"/>
      <c r="AR36" s="79"/>
      <c r="AS36" s="400">
        <v>130</v>
      </c>
      <c r="AT36" s="79">
        <v>100</v>
      </c>
      <c r="AU36" s="79"/>
      <c r="AV36" s="79"/>
      <c r="AW36" s="79">
        <v>167</v>
      </c>
      <c r="AX36" s="79"/>
      <c r="AY36" s="86"/>
      <c r="AZ36" s="161"/>
    </row>
    <row r="37" spans="2:52">
      <c r="B37" s="390"/>
      <c r="C37" s="391"/>
      <c r="D37" s="64">
        <f t="shared" si="7"/>
        <v>45899</v>
      </c>
      <c r="E37" s="54" t="s">
        <v>237</v>
      </c>
      <c r="F37" s="343">
        <v>280</v>
      </c>
      <c r="G37" s="412"/>
      <c r="H37" s="413"/>
      <c r="I37" s="370"/>
      <c r="J37" s="422"/>
      <c r="K37" s="435"/>
      <c r="L37" s="436"/>
      <c r="M37" s="410"/>
      <c r="N37" s="272"/>
      <c r="O37" s="411"/>
      <c r="P37" s="411"/>
      <c r="Q37" s="30"/>
      <c r="R37" s="28"/>
      <c r="S37" s="389">
        <f t="shared" si="19"/>
        <v>280</v>
      </c>
      <c r="T37" s="388">
        <f t="shared" si="20"/>
        <v>45899</v>
      </c>
      <c r="U37" s="54" t="s">
        <v>236</v>
      </c>
      <c r="V37" s="343">
        <v>80</v>
      </c>
      <c r="W37" s="412" t="s">
        <v>233</v>
      </c>
      <c r="X37" s="422">
        <v>200</v>
      </c>
      <c r="Y37" s="370"/>
      <c r="Z37" s="422"/>
      <c r="AA37" s="435"/>
      <c r="AB37" s="436"/>
      <c r="AC37" s="410"/>
      <c r="AD37" s="272"/>
      <c r="AE37" s="410"/>
      <c r="AF37" s="410"/>
      <c r="AG37" s="410"/>
      <c r="AH37" s="411"/>
      <c r="AI37" s="387">
        <f t="shared" ref="AI37:AI38" si="21">AH37+AF37+AD37+AB37+Z37+X37+V37</f>
        <v>280</v>
      </c>
      <c r="AJ37" s="118">
        <f t="shared" si="1"/>
        <v>0</v>
      </c>
      <c r="AK37" s="87">
        <f t="shared" si="2"/>
        <v>45899</v>
      </c>
      <c r="AL37" s="400">
        <f t="shared" si="13"/>
        <v>486</v>
      </c>
      <c r="AM37" s="79">
        <f t="shared" si="14"/>
        <v>553</v>
      </c>
      <c r="AN37" s="79"/>
      <c r="AO37" s="79"/>
      <c r="AP37" s="86">
        <f t="shared" si="15"/>
        <v>539</v>
      </c>
      <c r="AQ37" s="79"/>
      <c r="AR37" s="79"/>
      <c r="AS37" s="400"/>
      <c r="AT37" s="79">
        <v>91</v>
      </c>
      <c r="AU37" s="79"/>
      <c r="AV37" s="79"/>
      <c r="AW37" s="79">
        <v>175</v>
      </c>
      <c r="AX37" s="79"/>
      <c r="AY37" s="86"/>
      <c r="AZ37" s="161"/>
    </row>
    <row r="38" spans="2:52" ht="15" thickBot="1">
      <c r="B38" s="151"/>
      <c r="C38" s="391"/>
      <c r="D38" s="68">
        <f t="shared" si="7"/>
        <v>45900</v>
      </c>
      <c r="E38" s="54"/>
      <c r="F38" s="343"/>
      <c r="G38" s="412"/>
      <c r="H38" s="413"/>
      <c r="I38" s="370"/>
      <c r="J38" s="422"/>
      <c r="K38" s="435"/>
      <c r="L38" s="436"/>
      <c r="M38" s="410"/>
      <c r="N38" s="272"/>
      <c r="O38" s="62"/>
      <c r="P38" s="62"/>
      <c r="Q38" s="120"/>
      <c r="R38" s="56"/>
      <c r="S38" s="126">
        <f t="shared" si="19"/>
        <v>0</v>
      </c>
      <c r="T38" s="122">
        <f t="shared" si="20"/>
        <v>45900</v>
      </c>
      <c r="U38" s="54"/>
      <c r="V38" s="343"/>
      <c r="W38" s="412"/>
      <c r="X38" s="422"/>
      <c r="Y38" s="370"/>
      <c r="Z38" s="422"/>
      <c r="AA38" s="435"/>
      <c r="AB38" s="436"/>
      <c r="AC38" s="410"/>
      <c r="AD38" s="272"/>
      <c r="AE38" s="410"/>
      <c r="AF38" s="410"/>
      <c r="AG38" s="410"/>
      <c r="AH38" s="411"/>
      <c r="AI38" s="387">
        <f t="shared" si="21"/>
        <v>0</v>
      </c>
      <c r="AJ38" s="118">
        <f t="shared" si="1"/>
        <v>0</v>
      </c>
      <c r="AK38" s="87">
        <f t="shared" si="2"/>
        <v>45900</v>
      </c>
      <c r="AL38" s="400">
        <f t="shared" si="13"/>
        <v>566</v>
      </c>
      <c r="AM38" s="79">
        <f t="shared" si="14"/>
        <v>662</v>
      </c>
      <c r="AN38" s="79"/>
      <c r="AO38" s="79"/>
      <c r="AP38" s="86">
        <f t="shared" si="15"/>
        <v>364</v>
      </c>
      <c r="AQ38" s="79"/>
      <c r="AR38" s="79"/>
      <c r="AS38" s="400"/>
      <c r="AT38" s="79"/>
      <c r="AU38" s="79"/>
      <c r="AV38" s="79"/>
      <c r="AW38" s="79"/>
      <c r="AX38" s="79"/>
      <c r="AY38" s="86"/>
      <c r="AZ38" s="161"/>
    </row>
    <row r="39" spans="2:52" ht="15" thickBot="1">
      <c r="B39" s="98"/>
      <c r="C39" s="71">
        <f>SUM(C8:C38)</f>
        <v>150</v>
      </c>
      <c r="D39" s="67" t="s">
        <v>78</v>
      </c>
      <c r="E39" s="69"/>
      <c r="F39" s="70">
        <f>SUM(F8:F38)</f>
        <v>3031</v>
      </c>
      <c r="G39" s="70"/>
      <c r="H39" s="70">
        <f>SUM(H8:H38)</f>
        <v>2418</v>
      </c>
      <c r="I39" s="70"/>
      <c r="J39" s="70">
        <f>SUM(J8:J38)</f>
        <v>120</v>
      </c>
      <c r="K39" s="70"/>
      <c r="L39" s="70">
        <f>SUM(L8:L38)</f>
        <v>0</v>
      </c>
      <c r="M39" s="70"/>
      <c r="N39" s="70">
        <f>SUM(N8:N38)</f>
        <v>2805</v>
      </c>
      <c r="O39" s="70"/>
      <c r="P39" s="70">
        <f>SUM(P8:P38)</f>
        <v>0</v>
      </c>
      <c r="Q39" s="70"/>
      <c r="R39" s="70">
        <f>SUM(R8:R38)</f>
        <v>0</v>
      </c>
      <c r="S39" s="71">
        <f>SUM(S8:S38)</f>
        <v>8374</v>
      </c>
      <c r="T39" s="97" t="s">
        <v>78</v>
      </c>
      <c r="U39" s="69"/>
      <c r="V39" s="70">
        <f>SUM(V8:V38)</f>
        <v>2767</v>
      </c>
      <c r="W39" s="70"/>
      <c r="X39" s="70">
        <f>SUM(X8:X38)</f>
        <v>2606</v>
      </c>
      <c r="Y39" s="70"/>
      <c r="Z39" s="70"/>
      <c r="AA39" s="70"/>
      <c r="AB39" s="70">
        <f>SUM(AB8:AB38)</f>
        <v>0</v>
      </c>
      <c r="AC39" s="70"/>
      <c r="AD39" s="70">
        <f>SUM(AD8:AD38)</f>
        <v>2804</v>
      </c>
      <c r="AE39" s="70"/>
      <c r="AF39" s="70">
        <f>SUM(AF8:AF38)</f>
        <v>0</v>
      </c>
      <c r="AG39" s="70"/>
      <c r="AH39" s="70">
        <f>SUM(AH8:AH38)</f>
        <v>0</v>
      </c>
      <c r="AI39" s="71">
        <f>SUM(AI8:AI38)</f>
        <v>8297</v>
      </c>
      <c r="AJ39" s="102"/>
      <c r="AK39" s="313"/>
      <c r="AL39" s="80">
        <f>IF(AL38+V38-AS38&lt;0,0,AL38+V38-AS38)</f>
        <v>566</v>
      </c>
      <c r="AM39" s="81">
        <f t="shared" si="14"/>
        <v>662</v>
      </c>
      <c r="AN39" s="81"/>
      <c r="AO39" s="81"/>
      <c r="AP39" s="82">
        <f t="shared" si="15"/>
        <v>364</v>
      </c>
      <c r="AQ39" s="81"/>
      <c r="AR39" s="82"/>
      <c r="AS39" s="133">
        <f>SUM(AS8:AS38)</f>
        <v>2549.6666666666665</v>
      </c>
      <c r="AT39" s="70">
        <f t="shared" ref="AT39:AW39" si="22">SUM(AT8:AT38)</f>
        <v>2419</v>
      </c>
      <c r="AU39" s="70">
        <f t="shared" si="22"/>
        <v>0</v>
      </c>
      <c r="AV39" s="70">
        <f t="shared" si="22"/>
        <v>0</v>
      </c>
      <c r="AW39" s="70">
        <f t="shared" si="22"/>
        <v>3813</v>
      </c>
      <c r="AX39" s="70">
        <f t="shared" ref="AX39:AY39" si="23">SUM(AX8:AX38)</f>
        <v>0</v>
      </c>
      <c r="AY39" s="71">
        <f t="shared" si="23"/>
        <v>0</v>
      </c>
      <c r="AZ39" s="160"/>
    </row>
    <row r="40" spans="2:52">
      <c r="B40" s="99"/>
      <c r="C40" s="100">
        <v>5000</v>
      </c>
      <c r="D40" s="65" t="s">
        <v>79</v>
      </c>
      <c r="E40" s="72"/>
      <c r="F40" s="73">
        <f>NOMINACIÓN!C36</f>
        <v>3153</v>
      </c>
      <c r="G40" s="73"/>
      <c r="H40" s="73">
        <f>NOMINACIÓN!D36</f>
        <v>2500</v>
      </c>
      <c r="I40" s="73"/>
      <c r="J40" s="73">
        <f>NOMINACIÓN!E36</f>
        <v>0</v>
      </c>
      <c r="K40" s="73"/>
      <c r="L40" s="73">
        <v>0</v>
      </c>
      <c r="M40" s="73"/>
      <c r="N40" s="73">
        <f>NOMINACIÓN!G36</f>
        <v>2800</v>
      </c>
      <c r="O40" s="73"/>
      <c r="P40" s="73">
        <v>0</v>
      </c>
      <c r="Q40" s="73"/>
      <c r="R40" s="73">
        <v>5000</v>
      </c>
      <c r="S40" s="75">
        <f>N40+J40+H40+F40</f>
        <v>8453</v>
      </c>
      <c r="T40" s="65" t="s">
        <v>79</v>
      </c>
      <c r="U40" s="72"/>
      <c r="V40" s="73">
        <f>F40</f>
        <v>3153</v>
      </c>
      <c r="W40" s="73"/>
      <c r="X40" s="73">
        <f>H40</f>
        <v>2500</v>
      </c>
      <c r="Y40" s="73"/>
      <c r="Z40" s="73">
        <f>J40</f>
        <v>0</v>
      </c>
      <c r="AA40" s="73"/>
      <c r="AB40" s="73">
        <f>L40</f>
        <v>0</v>
      </c>
      <c r="AC40" s="73"/>
      <c r="AD40" s="73">
        <f>N40</f>
        <v>2800</v>
      </c>
      <c r="AE40" s="73"/>
      <c r="AF40" s="73">
        <f>P40</f>
        <v>0</v>
      </c>
      <c r="AG40" s="73"/>
      <c r="AH40" s="73">
        <f>R40</f>
        <v>5000</v>
      </c>
      <c r="AI40" s="75">
        <f>AD40+Z40+X40+V40</f>
        <v>8453</v>
      </c>
      <c r="AJ40" s="103"/>
      <c r="AK40" s="103"/>
      <c r="AL40" s="127"/>
      <c r="AM40" s="128"/>
      <c r="AN40" s="128"/>
      <c r="AO40" s="128"/>
      <c r="AP40" s="128"/>
      <c r="AQ40" s="128"/>
      <c r="AR40" s="129"/>
      <c r="AS40" s="134">
        <f>V39</f>
        <v>2767</v>
      </c>
      <c r="AT40" s="73">
        <f>X39</f>
        <v>2606</v>
      </c>
      <c r="AU40" s="73">
        <f>Z39</f>
        <v>0</v>
      </c>
      <c r="AV40" s="73">
        <f>AB39</f>
        <v>0</v>
      </c>
      <c r="AW40" s="73">
        <f>AD39</f>
        <v>2804</v>
      </c>
      <c r="AX40" s="135">
        <f>AF39</f>
        <v>0</v>
      </c>
      <c r="AY40" s="136">
        <f>AH39</f>
        <v>0</v>
      </c>
      <c r="AZ40" s="161"/>
    </row>
    <row r="41" spans="2:52" ht="15" thickBot="1">
      <c r="B41" s="101"/>
      <c r="C41" s="77">
        <f>C39-C40</f>
        <v>-4850</v>
      </c>
      <c r="D41" s="66" t="s">
        <v>80</v>
      </c>
      <c r="E41" s="74"/>
      <c r="F41" s="76">
        <f>F39-F40</f>
        <v>-122</v>
      </c>
      <c r="G41" s="76"/>
      <c r="H41" s="76">
        <f>H39-H40</f>
        <v>-82</v>
      </c>
      <c r="I41" s="76"/>
      <c r="J41" s="76">
        <f>J39-J40</f>
        <v>120</v>
      </c>
      <c r="K41" s="76"/>
      <c r="L41" s="76">
        <f>L39-L40</f>
        <v>0</v>
      </c>
      <c r="M41" s="76"/>
      <c r="N41" s="76">
        <f>N39-N40</f>
        <v>5</v>
      </c>
      <c r="O41" s="76"/>
      <c r="P41" s="76">
        <f>P39-P40</f>
        <v>0</v>
      </c>
      <c r="Q41" s="76"/>
      <c r="R41" s="76">
        <f>R39-R40</f>
        <v>-5000</v>
      </c>
      <c r="S41" s="77">
        <f>S39-S40</f>
        <v>-79</v>
      </c>
      <c r="T41" s="66" t="s">
        <v>80</v>
      </c>
      <c r="U41" s="78"/>
      <c r="V41" s="76">
        <f>V39-V40</f>
        <v>-386</v>
      </c>
      <c r="W41" s="76"/>
      <c r="X41" s="76">
        <f>X39-X40</f>
        <v>106</v>
      </c>
      <c r="Y41" s="76"/>
      <c r="Z41" s="76">
        <f>Z39-Z40</f>
        <v>0</v>
      </c>
      <c r="AA41" s="76"/>
      <c r="AB41" s="76">
        <f>AB39-AB40</f>
        <v>0</v>
      </c>
      <c r="AC41" s="76"/>
      <c r="AD41" s="76">
        <f>AD39-AD40</f>
        <v>4</v>
      </c>
      <c r="AE41" s="76"/>
      <c r="AF41" s="76">
        <f>AF39-AF40</f>
        <v>0</v>
      </c>
      <c r="AG41" s="76"/>
      <c r="AH41" s="76">
        <f>AH39-AH40</f>
        <v>-5000</v>
      </c>
      <c r="AI41" s="77">
        <f>AI39-AI40</f>
        <v>-156</v>
      </c>
      <c r="AJ41" s="104"/>
      <c r="AK41" s="104"/>
      <c r="AL41" s="130"/>
      <c r="AM41" s="131"/>
      <c r="AN41" s="131"/>
      <c r="AO41" s="131"/>
      <c r="AP41" s="131"/>
      <c r="AQ41" s="131"/>
      <c r="AR41" s="132"/>
      <c r="AS41" s="78">
        <f t="shared" ref="AS41:AY41" si="24">AS39-AS40</f>
        <v>-217.33333333333348</v>
      </c>
      <c r="AT41" s="76">
        <f t="shared" si="24"/>
        <v>-187</v>
      </c>
      <c r="AU41" s="76">
        <f t="shared" si="24"/>
        <v>0</v>
      </c>
      <c r="AV41" s="76">
        <f t="shared" si="24"/>
        <v>0</v>
      </c>
      <c r="AW41" s="76">
        <f t="shared" si="24"/>
        <v>1009</v>
      </c>
      <c r="AX41" s="76">
        <f t="shared" si="24"/>
        <v>0</v>
      </c>
      <c r="AY41" s="77">
        <f t="shared" si="24"/>
        <v>0</v>
      </c>
      <c r="AZ41" s="162"/>
    </row>
    <row r="42" spans="2:52" ht="32.700000000000003" customHeight="1">
      <c r="D42" s="1"/>
      <c r="E42" s="31"/>
      <c r="F42" s="1"/>
      <c r="G42" s="1"/>
      <c r="H42" s="2"/>
      <c r="I42" s="2"/>
      <c r="J42" s="2"/>
      <c r="K42" s="32"/>
      <c r="L42" s="32"/>
      <c r="M42" s="32"/>
      <c r="N42" s="32"/>
      <c r="O42" s="32"/>
      <c r="P42" s="32"/>
      <c r="Q42" s="32"/>
      <c r="R42" s="2"/>
      <c r="S42" s="3"/>
      <c r="T42" s="33"/>
      <c r="U42" s="34"/>
      <c r="V42" s="34"/>
      <c r="W42" s="33"/>
      <c r="X42" s="34"/>
      <c r="Y42" s="33"/>
      <c r="Z42" s="33"/>
      <c r="AA42" s="35"/>
      <c r="AB42" s="35"/>
      <c r="AC42" s="35"/>
      <c r="AD42" s="35"/>
      <c r="AE42" s="35"/>
      <c r="AF42" s="35"/>
      <c r="AG42" s="35"/>
      <c r="AH42" s="34"/>
      <c r="AI42" s="34"/>
      <c r="AJ42" s="34"/>
      <c r="AK42" s="7"/>
      <c r="AL42" s="9"/>
      <c r="AM42" s="9"/>
      <c r="AN42" s="9"/>
      <c r="AO42" s="5"/>
      <c r="AP42" s="5"/>
      <c r="AQ42" s="5"/>
      <c r="AR42" s="10"/>
      <c r="AS42" s="5"/>
      <c r="AT42" s="5"/>
      <c r="AU42" s="5"/>
      <c r="AV42" s="5"/>
      <c r="AW42" s="5"/>
      <c r="AX42" s="5"/>
      <c r="AY42" s="5"/>
    </row>
    <row r="43" spans="2:52">
      <c r="D43" s="36"/>
      <c r="E43" s="37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9"/>
      <c r="S43" s="39"/>
      <c r="T43" s="34"/>
      <c r="U43" s="34"/>
      <c r="V43" s="33"/>
      <c r="W43" s="33"/>
      <c r="X43" s="33"/>
      <c r="Y43" s="35"/>
      <c r="Z43" s="35"/>
      <c r="AA43" s="35"/>
      <c r="AB43" s="35"/>
      <c r="AC43" s="35"/>
      <c r="AD43" s="35"/>
      <c r="AE43" s="35"/>
      <c r="AF43" s="35"/>
      <c r="AG43" s="35"/>
      <c r="AH43" s="33"/>
      <c r="AI43" s="33"/>
      <c r="AJ43" s="33"/>
      <c r="AK43" s="38"/>
      <c r="AL43" s="40"/>
      <c r="AM43" s="40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</row>
    <row r="44" spans="2:52">
      <c r="D44" s="1"/>
      <c r="E44" s="44" t="s">
        <v>81</v>
      </c>
      <c r="F44" s="2"/>
      <c r="G44" s="2"/>
      <c r="H44" s="2"/>
      <c r="I44" s="2"/>
      <c r="J44" s="42"/>
      <c r="K44" s="42" t="s">
        <v>82</v>
      </c>
      <c r="L44" s="2"/>
      <c r="M44" s="2"/>
      <c r="N44" s="2"/>
      <c r="O44" s="2"/>
      <c r="P44" s="2"/>
      <c r="Q44" s="2"/>
      <c r="R44" s="2"/>
      <c r="S44" s="41"/>
      <c r="T44" s="41" t="s">
        <v>83</v>
      </c>
      <c r="U44" s="42"/>
      <c r="V44" s="43"/>
      <c r="W44" s="42"/>
      <c r="X44" s="33"/>
      <c r="Y44" s="42" t="s">
        <v>82</v>
      </c>
      <c r="Z44" s="42"/>
      <c r="AA44" s="33"/>
      <c r="AB44" s="42"/>
      <c r="AC44" s="42"/>
      <c r="AD44" s="33"/>
      <c r="AE44" s="43"/>
      <c r="AF44" s="43"/>
      <c r="AG44" s="43"/>
      <c r="AH44" s="33"/>
      <c r="AI44" s="43"/>
      <c r="AJ44" s="43"/>
      <c r="AK44" s="43"/>
      <c r="AL44" s="34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</row>
    <row r="45" spans="2:52">
      <c r="D45" s="11"/>
      <c r="E45" s="46" t="s">
        <v>84</v>
      </c>
      <c r="F45" s="2"/>
      <c r="G45" s="2"/>
      <c r="H45" s="2"/>
      <c r="I45" s="2"/>
      <c r="J45" s="2"/>
      <c r="K45" s="2" t="s">
        <v>85</v>
      </c>
      <c r="L45" s="2"/>
      <c r="M45" s="2"/>
      <c r="N45" s="2"/>
      <c r="O45" s="2"/>
      <c r="P45" s="2"/>
      <c r="Q45" s="2"/>
      <c r="R45" s="2"/>
      <c r="S45" s="2"/>
      <c r="T45" s="2" t="s">
        <v>86</v>
      </c>
      <c r="U45" s="2"/>
      <c r="V45" s="2"/>
      <c r="W45" s="2"/>
      <c r="X45" s="47"/>
      <c r="Y45" s="2" t="s">
        <v>85</v>
      </c>
      <c r="Z45" s="2"/>
      <c r="AA45" s="47"/>
      <c r="AB45" s="21"/>
      <c r="AC45" s="2"/>
      <c r="AD45" s="47"/>
      <c r="AE45" s="47"/>
      <c r="AF45" s="47"/>
      <c r="AG45" s="21"/>
      <c r="AH45" s="21"/>
      <c r="AI45" s="21"/>
      <c r="AJ45" s="21"/>
      <c r="AK45" s="21"/>
      <c r="AL45" s="48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</row>
    <row r="46" spans="2:52">
      <c r="D46" s="5"/>
      <c r="E46" s="4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1"/>
      <c r="U46" s="2"/>
      <c r="V46" s="47"/>
      <c r="W46" s="21"/>
      <c r="X46" s="47"/>
      <c r="Y46" s="47"/>
      <c r="Z46" s="47"/>
      <c r="AA46" s="47"/>
      <c r="AB46" s="21"/>
      <c r="AC46" s="21"/>
      <c r="AD46" s="21"/>
      <c r="AE46" s="21"/>
      <c r="AF46" s="21"/>
      <c r="AG46" s="48"/>
      <c r="AH46" s="5"/>
      <c r="AI46" s="5"/>
      <c r="AJ46" s="5"/>
      <c r="AK46" s="5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</row>
    <row r="47" spans="2:52">
      <c r="AS47" s="51"/>
    </row>
  </sheetData>
  <mergeCells count="28">
    <mergeCell ref="W6:X6"/>
    <mergeCell ref="Y6:Z6"/>
    <mergeCell ref="I3:J3"/>
    <mergeCell ref="N3:O3"/>
    <mergeCell ref="D5:D7"/>
    <mergeCell ref="E5:S5"/>
    <mergeCell ref="T5:T7"/>
    <mergeCell ref="B5:C5"/>
    <mergeCell ref="B6:C6"/>
    <mergeCell ref="AS5:AY6"/>
    <mergeCell ref="E6:F6"/>
    <mergeCell ref="G6:H6"/>
    <mergeCell ref="I6:J6"/>
    <mergeCell ref="K6:L6"/>
    <mergeCell ref="M6:N6"/>
    <mergeCell ref="O6:P6"/>
    <mergeCell ref="Q6:R6"/>
    <mergeCell ref="S6:S7"/>
    <mergeCell ref="U5:AI5"/>
    <mergeCell ref="AJ5:AJ7"/>
    <mergeCell ref="AK5:AK7"/>
    <mergeCell ref="AL5:AR6"/>
    <mergeCell ref="U6:V6"/>
    <mergeCell ref="AA6:AB6"/>
    <mergeCell ref="AC6:AD6"/>
    <mergeCell ref="AE6:AF6"/>
    <mergeCell ref="AG6:AH6"/>
    <mergeCell ref="AI6:AI7"/>
  </mergeCells>
  <conditionalFormatting sqref="AR4">
    <cfRule type="cellIs" dxfId="68" priority="13" stopIfTrue="1" operator="lessThan">
      <formula>100</formula>
    </cfRule>
    <cfRule type="cellIs" dxfId="67" priority="14" stopIfTrue="1" operator="between">
      <formula>100</formula>
      <formula>2070</formula>
    </cfRule>
    <cfRule type="cellIs" dxfId="66" priority="15" stopIfTrue="1" operator="greaterThan">
      <formula>2070</formula>
    </cfRule>
  </conditionalFormatting>
  <conditionalFormatting sqref="AL4:AN4">
    <cfRule type="cellIs" dxfId="65" priority="10" stopIfTrue="1" operator="greaterThan">
      <formula>573</formula>
    </cfRule>
    <cfRule type="cellIs" dxfId="64" priority="11" stopIfTrue="1" operator="lessThan">
      <formula>30</formula>
    </cfRule>
    <cfRule type="cellIs" dxfId="63" priority="12" stopIfTrue="1" operator="between">
      <formula>30</formula>
      <formula>573</formula>
    </cfRule>
  </conditionalFormatting>
  <conditionalFormatting sqref="AO4:AQ4">
    <cfRule type="cellIs" dxfId="62" priority="7" stopIfTrue="1" operator="between">
      <formula>100</formula>
      <formula>1280</formula>
    </cfRule>
    <cfRule type="cellIs" dxfId="61" priority="8" stopIfTrue="1" operator="greaterThan">
      <formula>1280</formula>
    </cfRule>
    <cfRule type="cellIs" dxfId="60" priority="9" stopIfTrue="1" operator="lessThan">
      <formula>100</formula>
    </cfRule>
  </conditionalFormatting>
  <conditionalFormatting sqref="AR40:AR41">
    <cfRule type="cellIs" dxfId="59" priority="4" stopIfTrue="1" operator="between">
      <formula>55</formula>
      <formula>1468</formula>
    </cfRule>
    <cfRule type="cellIs" dxfId="58" priority="5" stopIfTrue="1" operator="greaterThan">
      <formula>1775</formula>
    </cfRule>
    <cfRule type="cellIs" dxfId="57" priority="6" stopIfTrue="1" operator="lessThan">
      <formula>55</formula>
    </cfRule>
  </conditionalFormatting>
  <conditionalFormatting sqref="AO40:AQ41">
    <cfRule type="cellIs" dxfId="56" priority="1" stopIfTrue="1" operator="between">
      <formula>55</formula>
      <formula>1004</formula>
    </cfRule>
    <cfRule type="cellIs" dxfId="55" priority="2" stopIfTrue="1" operator="greaterThan">
      <formula>1468</formula>
    </cfRule>
    <cfRule type="cellIs" dxfId="54" priority="3" stopIfTrue="1" operator="lessThan">
      <formula>55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BB47"/>
  <sheetViews>
    <sheetView topLeftCell="A29" zoomScale="94" zoomScaleNormal="90" workbookViewId="0">
      <selection activeCell="K37" sqref="K37"/>
    </sheetView>
  </sheetViews>
  <sheetFormatPr baseColWidth="10" defaultColWidth="11.44140625" defaultRowHeight="14.4"/>
  <cols>
    <col min="1" max="1" width="4" customWidth="1"/>
    <col min="2" max="2" width="10.5546875" customWidth="1"/>
    <col min="3" max="3" width="4.5546875" customWidth="1"/>
    <col min="4" max="4" width="7.44140625" customWidth="1"/>
    <col min="5" max="5" width="4.5546875" customWidth="1"/>
    <col min="6" max="6" width="7.44140625" customWidth="1"/>
    <col min="7" max="7" width="5" customWidth="1"/>
    <col min="8" max="8" width="5.44140625" customWidth="1"/>
    <col min="9" max="9" width="4.5546875" customWidth="1"/>
    <col min="10" max="10" width="6.5546875" customWidth="1"/>
    <col min="11" max="11" width="4.5546875" customWidth="1"/>
    <col min="12" max="12" width="5.44140625" customWidth="1"/>
    <col min="13" max="13" width="4.5546875" customWidth="1"/>
    <col min="14" max="14" width="6.6640625" customWidth="1"/>
    <col min="15" max="15" width="4.5546875" hidden="1" customWidth="1"/>
    <col min="16" max="16" width="6.44140625" hidden="1" customWidth="1"/>
    <col min="17" max="17" width="7.5546875" customWidth="1"/>
    <col min="18" max="18" width="8.44140625" customWidth="1"/>
    <col min="19" max="19" width="7.5546875" customWidth="1"/>
    <col min="20" max="20" width="7.44140625" customWidth="1"/>
    <col min="21" max="21" width="10.33203125" customWidth="1"/>
    <col min="22" max="22" width="4.5546875" hidden="1" customWidth="1"/>
    <col min="23" max="23" width="7.44140625" hidden="1" customWidth="1"/>
    <col min="24" max="24" width="4.5546875" customWidth="1"/>
    <col min="25" max="25" width="7.33203125" customWidth="1"/>
    <col min="26" max="26" width="4.5546875" customWidth="1"/>
    <col min="27" max="27" width="7.33203125" customWidth="1"/>
    <col min="28" max="28" width="4.5546875" customWidth="1"/>
    <col min="29" max="29" width="7.33203125" customWidth="1"/>
    <col min="30" max="30" width="4.5546875" customWidth="1"/>
    <col min="31" max="31" width="6.33203125" customWidth="1"/>
    <col min="32" max="32" width="4.5546875" customWidth="1"/>
    <col min="33" max="33" width="7.33203125" customWidth="1"/>
    <col min="34" max="34" width="4.5546875" customWidth="1"/>
    <col min="35" max="35" width="7.33203125" customWidth="1"/>
    <col min="36" max="36" width="4.5546875" hidden="1" customWidth="1"/>
    <col min="37" max="37" width="7.33203125" hidden="1" customWidth="1"/>
    <col min="38" max="38" width="8.5546875" customWidth="1"/>
    <col min="39" max="39" width="5.5546875" customWidth="1"/>
    <col min="40" max="40" width="7.44140625" customWidth="1"/>
    <col min="41" max="42" width="7.33203125" customWidth="1"/>
    <col min="43" max="47" width="7.33203125" hidden="1" customWidth="1"/>
    <col min="48" max="49" width="7.33203125" customWidth="1"/>
    <col min="50" max="54" width="7.33203125" hidden="1" customWidth="1"/>
  </cols>
  <sheetData>
    <row r="1" spans="2:54">
      <c r="B1" s="1"/>
      <c r="C1" s="1"/>
      <c r="D1" s="1"/>
      <c r="E1" s="2"/>
      <c r="F1" s="106" t="s">
        <v>43</v>
      </c>
      <c r="G1" s="1"/>
      <c r="H1" s="1"/>
      <c r="I1" s="3"/>
      <c r="J1" s="3"/>
      <c r="K1" s="3"/>
      <c r="L1" s="3"/>
      <c r="M1" s="3"/>
      <c r="N1" s="3"/>
      <c r="O1" s="3"/>
      <c r="P1" s="1"/>
      <c r="Q1" s="3"/>
      <c r="R1" s="3"/>
      <c r="S1" s="3"/>
      <c r="T1" s="3"/>
      <c r="U1" s="4"/>
      <c r="V1" s="4"/>
      <c r="W1" s="4"/>
      <c r="X1" s="5"/>
      <c r="Y1" s="6"/>
      <c r="Z1" s="7"/>
      <c r="AA1" s="1"/>
      <c r="AB1" s="1"/>
      <c r="AC1" s="1"/>
      <c r="AD1" s="8"/>
      <c r="AE1" s="8"/>
      <c r="AF1" s="8"/>
      <c r="AG1" s="8"/>
      <c r="AH1" s="8"/>
      <c r="AI1" s="8"/>
      <c r="AJ1" s="8"/>
      <c r="AK1" s="1"/>
      <c r="AL1" s="7"/>
      <c r="AM1" s="7"/>
      <c r="AN1" s="7"/>
      <c r="AO1" s="9"/>
      <c r="AP1" s="9"/>
      <c r="AQ1" s="9"/>
      <c r="AR1" s="5"/>
      <c r="AS1" s="5"/>
      <c r="AT1" s="5"/>
      <c r="AU1" s="10"/>
      <c r="AV1" s="5"/>
      <c r="AW1" s="5"/>
      <c r="AX1" s="5"/>
      <c r="AY1" s="5"/>
      <c r="AZ1" s="5"/>
      <c r="BA1" s="5"/>
      <c r="BB1" s="5"/>
    </row>
    <row r="2" spans="2:54">
      <c r="B2" s="11"/>
      <c r="C2" s="1"/>
      <c r="D2" s="1"/>
      <c r="E2" s="11"/>
      <c r="F2" s="107" t="s">
        <v>94</v>
      </c>
      <c r="G2" s="1"/>
      <c r="H2" s="5"/>
      <c r="I2" s="12"/>
      <c r="J2" s="12"/>
      <c r="K2" s="13"/>
      <c r="L2" s="13"/>
      <c r="M2" s="13"/>
      <c r="N2" s="13"/>
      <c r="O2" s="13"/>
      <c r="P2" s="14"/>
      <c r="Q2" s="1"/>
      <c r="R2" s="1"/>
      <c r="S2" s="1"/>
      <c r="T2" s="5"/>
      <c r="U2" s="12"/>
      <c r="V2" s="12"/>
      <c r="W2" s="12"/>
      <c r="X2" s="12"/>
      <c r="Y2" s="13"/>
      <c r="Z2" s="15"/>
      <c r="AA2" s="15"/>
      <c r="AB2" s="15"/>
      <c r="AC2" s="15"/>
      <c r="AD2" s="15"/>
      <c r="AE2" s="16"/>
      <c r="AF2" s="16"/>
      <c r="AG2" s="16"/>
      <c r="AH2" s="16"/>
      <c r="AI2" s="16"/>
      <c r="AJ2" s="451"/>
      <c r="AK2" s="451"/>
      <c r="AL2" s="451"/>
      <c r="AM2" s="451"/>
      <c r="AN2" s="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</row>
    <row r="3" spans="2:54" ht="15.6">
      <c r="B3" s="11"/>
      <c r="C3" s="1"/>
      <c r="D3" s="1"/>
      <c r="E3" s="11"/>
      <c r="F3" s="108" t="s">
        <v>47</v>
      </c>
      <c r="G3" s="559">
        <f>NOMINACIÓN!E1</f>
        <v>45870</v>
      </c>
      <c r="H3" s="560"/>
      <c r="I3" s="12"/>
      <c r="J3" s="12"/>
      <c r="K3" s="13"/>
      <c r="L3" s="13"/>
      <c r="M3" s="18"/>
      <c r="N3" s="13"/>
      <c r="O3" s="13"/>
      <c r="P3" s="11"/>
      <c r="Q3" s="1"/>
      <c r="R3" s="1"/>
      <c r="S3" s="1"/>
      <c r="T3" s="18"/>
      <c r="U3" s="18"/>
      <c r="V3" s="18"/>
      <c r="W3" s="18"/>
      <c r="X3" s="12"/>
      <c r="Y3" s="12"/>
      <c r="Z3" s="19"/>
      <c r="AA3" s="19"/>
      <c r="AB3" s="19"/>
      <c r="AC3" s="19"/>
      <c r="AD3" s="19"/>
      <c r="AE3" s="16"/>
      <c r="AF3" s="16"/>
      <c r="AG3" s="16"/>
      <c r="AH3" s="16"/>
      <c r="AI3" s="16"/>
      <c r="AJ3" s="451"/>
      <c r="AK3" s="451"/>
      <c r="AL3" s="50" t="s">
        <v>48</v>
      </c>
      <c r="AM3" s="50"/>
      <c r="AN3" s="20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</row>
    <row r="4" spans="2:54" ht="15" thickBot="1">
      <c r="B4" s="11"/>
      <c r="C4" s="1"/>
      <c r="D4" s="1"/>
      <c r="E4" s="11"/>
      <c r="F4" s="109" t="s">
        <v>250</v>
      </c>
      <c r="G4" s="52"/>
      <c r="H4" s="53"/>
      <c r="I4" s="12"/>
      <c r="J4" s="22"/>
      <c r="K4" s="3"/>
      <c r="L4" s="3"/>
      <c r="M4" s="21"/>
      <c r="N4" s="3"/>
      <c r="O4" s="12"/>
      <c r="P4" s="11"/>
      <c r="Q4" s="1"/>
      <c r="R4" s="1"/>
      <c r="S4" s="1"/>
      <c r="T4" s="21"/>
      <c r="U4" s="21"/>
      <c r="V4" s="21"/>
      <c r="W4" s="21"/>
      <c r="X4" s="12"/>
      <c r="Y4" s="22"/>
      <c r="Z4" s="23"/>
      <c r="AA4" s="24"/>
      <c r="AB4" s="24"/>
      <c r="AC4" s="24"/>
      <c r="AD4" s="24"/>
      <c r="AE4" s="16"/>
      <c r="AF4" s="16"/>
      <c r="AG4" s="16"/>
      <c r="AH4" s="16"/>
      <c r="AI4" s="16"/>
      <c r="AJ4" s="451"/>
      <c r="AK4" s="451"/>
      <c r="AL4" s="451"/>
      <c r="AM4" s="451"/>
      <c r="AN4" s="20"/>
      <c r="AO4" s="25"/>
      <c r="AP4" s="25"/>
      <c r="AQ4" s="25"/>
      <c r="AR4" s="26"/>
      <c r="AS4" s="26"/>
      <c r="AT4" s="26"/>
      <c r="AU4" s="27"/>
      <c r="AV4" s="26"/>
      <c r="AW4" s="26"/>
      <c r="AX4" s="26"/>
      <c r="AY4" s="26"/>
      <c r="AZ4" s="26"/>
      <c r="BA4" s="26"/>
      <c r="BB4" s="26"/>
    </row>
    <row r="5" spans="2:54" ht="26.7" customHeight="1" thickBot="1">
      <c r="B5" s="583" t="s">
        <v>49</v>
      </c>
      <c r="C5" s="594" t="s">
        <v>95</v>
      </c>
      <c r="D5" s="595"/>
      <c r="E5" s="595"/>
      <c r="F5" s="595"/>
      <c r="G5" s="595"/>
      <c r="H5" s="595"/>
      <c r="I5" s="595"/>
      <c r="J5" s="595"/>
      <c r="K5" s="595"/>
      <c r="L5" s="595"/>
      <c r="M5" s="595"/>
      <c r="N5" s="595"/>
      <c r="O5" s="595"/>
      <c r="P5" s="595"/>
      <c r="Q5" s="596"/>
      <c r="R5" s="622" t="s">
        <v>96</v>
      </c>
      <c r="S5" s="595"/>
      <c r="T5" s="596"/>
      <c r="U5" s="574" t="s">
        <v>49</v>
      </c>
      <c r="V5" s="569" t="s">
        <v>97</v>
      </c>
      <c r="W5" s="571"/>
      <c r="X5" s="577" t="s">
        <v>98</v>
      </c>
      <c r="Y5" s="578"/>
      <c r="Z5" s="578"/>
      <c r="AA5" s="578"/>
      <c r="AB5" s="578"/>
      <c r="AC5" s="578"/>
      <c r="AD5" s="578"/>
      <c r="AE5" s="578"/>
      <c r="AF5" s="578"/>
      <c r="AG5" s="578"/>
      <c r="AH5" s="578"/>
      <c r="AI5" s="578"/>
      <c r="AJ5" s="578"/>
      <c r="AK5" s="578"/>
      <c r="AL5" s="579"/>
      <c r="AM5" s="583"/>
      <c r="AN5" s="583" t="s">
        <v>49</v>
      </c>
      <c r="AO5" s="586" t="s">
        <v>99</v>
      </c>
      <c r="AP5" s="587"/>
      <c r="AQ5" s="587"/>
      <c r="AR5" s="588"/>
      <c r="AS5" s="588"/>
      <c r="AT5" s="588"/>
      <c r="AU5" s="589"/>
      <c r="AV5" s="618" t="s">
        <v>100</v>
      </c>
      <c r="AW5" s="587"/>
      <c r="AX5" s="587"/>
      <c r="AY5" s="587"/>
      <c r="AZ5" s="587"/>
      <c r="BA5" s="588"/>
      <c r="BB5" s="589"/>
    </row>
    <row r="6" spans="2:54" ht="26.1" customHeight="1" thickBot="1">
      <c r="B6" s="584"/>
      <c r="C6" s="593" t="s">
        <v>2</v>
      </c>
      <c r="D6" s="567"/>
      <c r="E6" s="566" t="s">
        <v>68</v>
      </c>
      <c r="F6" s="567"/>
      <c r="G6" s="566" t="s">
        <v>69</v>
      </c>
      <c r="H6" s="566"/>
      <c r="I6" s="566" t="s">
        <v>70</v>
      </c>
      <c r="J6" s="567"/>
      <c r="K6" s="566" t="s">
        <v>71</v>
      </c>
      <c r="L6" s="567"/>
      <c r="M6" s="566" t="s">
        <v>183</v>
      </c>
      <c r="N6" s="567"/>
      <c r="O6" s="566" t="s">
        <v>8</v>
      </c>
      <c r="P6" s="580"/>
      <c r="Q6" s="581" t="s">
        <v>72</v>
      </c>
      <c r="R6" s="137" t="s">
        <v>101</v>
      </c>
      <c r="S6" s="138" t="s">
        <v>102</v>
      </c>
      <c r="T6" s="139"/>
      <c r="U6" s="575"/>
      <c r="V6" s="620" t="s">
        <v>103</v>
      </c>
      <c r="W6" s="621"/>
      <c r="X6" s="593" t="s">
        <v>2</v>
      </c>
      <c r="Y6" s="567"/>
      <c r="Z6" s="566" t="s">
        <v>68</v>
      </c>
      <c r="AA6" s="567"/>
      <c r="AB6" s="566" t="s">
        <v>69</v>
      </c>
      <c r="AC6" s="566"/>
      <c r="AD6" s="566" t="s">
        <v>70</v>
      </c>
      <c r="AE6" s="567"/>
      <c r="AF6" s="566" t="s">
        <v>71</v>
      </c>
      <c r="AG6" s="567"/>
      <c r="AH6" s="566" t="s">
        <v>183</v>
      </c>
      <c r="AI6" s="567"/>
      <c r="AJ6" s="566" t="s">
        <v>8</v>
      </c>
      <c r="AK6" s="580"/>
      <c r="AL6" s="581" t="s">
        <v>72</v>
      </c>
      <c r="AM6" s="584"/>
      <c r="AN6" s="584"/>
      <c r="AO6" s="590"/>
      <c r="AP6" s="591"/>
      <c r="AQ6" s="591"/>
      <c r="AR6" s="591"/>
      <c r="AS6" s="591"/>
      <c r="AT6" s="591"/>
      <c r="AU6" s="592"/>
      <c r="AV6" s="619"/>
      <c r="AW6" s="591"/>
      <c r="AX6" s="591"/>
      <c r="AY6" s="591"/>
      <c r="AZ6" s="591"/>
      <c r="BA6" s="591"/>
      <c r="BB6" s="592"/>
    </row>
    <row r="7" spans="2:54" ht="15" thickBot="1">
      <c r="B7" s="585"/>
      <c r="C7" s="140" t="s">
        <v>74</v>
      </c>
      <c r="D7" s="141" t="s">
        <v>75</v>
      </c>
      <c r="E7" s="141" t="s">
        <v>74</v>
      </c>
      <c r="F7" s="141" t="s">
        <v>75</v>
      </c>
      <c r="G7" s="141" t="s">
        <v>74</v>
      </c>
      <c r="H7" s="141" t="s">
        <v>75</v>
      </c>
      <c r="I7" s="141" t="s">
        <v>74</v>
      </c>
      <c r="J7" s="141" t="s">
        <v>75</v>
      </c>
      <c r="K7" s="141" t="s">
        <v>74</v>
      </c>
      <c r="L7" s="141" t="s">
        <v>75</v>
      </c>
      <c r="M7" s="141" t="s">
        <v>74</v>
      </c>
      <c r="N7" s="141" t="s">
        <v>75</v>
      </c>
      <c r="O7" s="141" t="s">
        <v>74</v>
      </c>
      <c r="P7" s="152" t="s">
        <v>75</v>
      </c>
      <c r="Q7" s="585"/>
      <c r="R7" s="143" t="s">
        <v>104</v>
      </c>
      <c r="S7" s="144" t="s">
        <v>105</v>
      </c>
      <c r="T7" s="145" t="s">
        <v>106</v>
      </c>
      <c r="U7" s="576"/>
      <c r="V7" s="140" t="s">
        <v>74</v>
      </c>
      <c r="W7" s="141" t="s">
        <v>75</v>
      </c>
      <c r="X7" s="140" t="s">
        <v>74</v>
      </c>
      <c r="Y7" s="141" t="s">
        <v>75</v>
      </c>
      <c r="Z7" s="141" t="s">
        <v>74</v>
      </c>
      <c r="AA7" s="141" t="s">
        <v>75</v>
      </c>
      <c r="AB7" s="141" t="s">
        <v>74</v>
      </c>
      <c r="AC7" s="141" t="s">
        <v>75</v>
      </c>
      <c r="AD7" s="141" t="s">
        <v>74</v>
      </c>
      <c r="AE7" s="141" t="s">
        <v>75</v>
      </c>
      <c r="AF7" s="141" t="s">
        <v>74</v>
      </c>
      <c r="AG7" s="141" t="s">
        <v>75</v>
      </c>
      <c r="AH7" s="141" t="s">
        <v>74</v>
      </c>
      <c r="AI7" s="141" t="s">
        <v>75</v>
      </c>
      <c r="AJ7" s="141" t="s">
        <v>74</v>
      </c>
      <c r="AK7" s="152" t="s">
        <v>75</v>
      </c>
      <c r="AL7" s="585"/>
      <c r="AM7" s="585"/>
      <c r="AN7" s="585"/>
      <c r="AO7" s="146" t="s">
        <v>73</v>
      </c>
      <c r="AP7" s="147" t="s">
        <v>3</v>
      </c>
      <c r="AQ7" s="147" t="s">
        <v>4</v>
      </c>
      <c r="AR7" s="147" t="s">
        <v>5</v>
      </c>
      <c r="AS7" s="147" t="s">
        <v>6</v>
      </c>
      <c r="AT7" s="147" t="s">
        <v>183</v>
      </c>
      <c r="AU7" s="148" t="s">
        <v>8</v>
      </c>
      <c r="AV7" s="149" t="s">
        <v>73</v>
      </c>
      <c r="AW7" s="147" t="s">
        <v>3</v>
      </c>
      <c r="AX7" s="147" t="s">
        <v>4</v>
      </c>
      <c r="AY7" s="147" t="s">
        <v>5</v>
      </c>
      <c r="AZ7" s="147" t="s">
        <v>6</v>
      </c>
      <c r="BA7" s="147" t="s">
        <v>27</v>
      </c>
      <c r="BB7" s="148" t="s">
        <v>8</v>
      </c>
    </row>
    <row r="8" spans="2:54">
      <c r="B8" s="456">
        <f>G3</f>
        <v>45870</v>
      </c>
      <c r="C8" s="54">
        <v>38</v>
      </c>
      <c r="D8" s="28">
        <v>1564</v>
      </c>
      <c r="E8" s="410"/>
      <c r="F8" s="413"/>
      <c r="G8" s="412"/>
      <c r="H8" s="413"/>
      <c r="I8" s="410"/>
      <c r="J8" s="411"/>
      <c r="K8" s="410"/>
      <c r="L8" s="411"/>
      <c r="M8" s="410"/>
      <c r="N8" s="413"/>
      <c r="O8" s="112"/>
      <c r="P8" s="111"/>
      <c r="Q8" s="125">
        <f t="shared" ref="Q8:Q9" si="0">P8+N8+L8+J8+H8+F8+D8</f>
        <v>1564</v>
      </c>
      <c r="R8" s="548">
        <f>'PCOLP II'!D8</f>
        <v>0</v>
      </c>
      <c r="S8" s="549">
        <f>'GLP CBBA'!B6</f>
        <v>0</v>
      </c>
      <c r="T8" s="517">
        <f>'GLP CBBA'!I6</f>
        <v>2266</v>
      </c>
      <c r="U8" s="116">
        <f>B8</f>
        <v>45870</v>
      </c>
      <c r="V8" s="150"/>
      <c r="W8" s="153"/>
      <c r="X8" s="54"/>
      <c r="Y8" s="28"/>
      <c r="Z8" s="419">
        <v>56</v>
      </c>
      <c r="AA8" s="420">
        <v>426</v>
      </c>
      <c r="AB8" s="419">
        <v>48</v>
      </c>
      <c r="AC8" s="420">
        <v>102</v>
      </c>
      <c r="AD8" s="414"/>
      <c r="AE8" s="416">
        <v>964</v>
      </c>
      <c r="AF8" s="410"/>
      <c r="AG8" s="411">
        <v>116</v>
      </c>
      <c r="AH8" s="410"/>
      <c r="AI8" s="411"/>
      <c r="AJ8" s="114"/>
      <c r="AK8" s="115"/>
      <c r="AL8" s="105">
        <f>AK8+AI8+AG8+AE8+AC8+AA8+Y8+W8</f>
        <v>1608</v>
      </c>
      <c r="AM8" s="117">
        <f>AL8-Q8</f>
        <v>44</v>
      </c>
      <c r="AN8" s="63">
        <f>U8</f>
        <v>45870</v>
      </c>
      <c r="AO8" s="176">
        <v>2504</v>
      </c>
      <c r="AP8" s="176">
        <f>'[4]PCOLP I'!AP39</f>
        <v>0</v>
      </c>
      <c r="AQ8" s="83">
        <f>'[3]PCOLP I'!AQ39</f>
        <v>0</v>
      </c>
      <c r="AR8" s="83">
        <f>'[3]PCOLP I'!AR39</f>
        <v>0</v>
      </c>
      <c r="AS8" s="83">
        <f>'[3]PCOLP I'!AS39</f>
        <v>0</v>
      </c>
      <c r="AT8" s="83">
        <f>'[4]PCOLP I'!AT39</f>
        <v>0</v>
      </c>
      <c r="AU8" s="177"/>
      <c r="AV8" s="400">
        <v>1000</v>
      </c>
      <c r="AW8" s="79">
        <v>1618</v>
      </c>
      <c r="AX8" s="79"/>
      <c r="AY8" s="79"/>
      <c r="AZ8" s="79"/>
      <c r="BA8" s="79">
        <v>894</v>
      </c>
      <c r="BB8" s="86"/>
    </row>
    <row r="9" spans="2:54">
      <c r="B9" s="393">
        <f t="shared" ref="B9:B26" si="1">B8+1</f>
        <v>45871</v>
      </c>
      <c r="C9" s="54">
        <v>38</v>
      </c>
      <c r="D9" s="28">
        <v>392</v>
      </c>
      <c r="E9" s="410">
        <v>57</v>
      </c>
      <c r="F9" s="413">
        <v>1006</v>
      </c>
      <c r="G9" s="412"/>
      <c r="H9" s="413"/>
      <c r="I9" s="410"/>
      <c r="J9" s="411"/>
      <c r="K9" s="410"/>
      <c r="L9" s="411"/>
      <c r="M9" s="410"/>
      <c r="N9" s="413"/>
      <c r="O9" s="30"/>
      <c r="P9" s="28"/>
      <c r="Q9" s="389">
        <f t="shared" si="0"/>
        <v>1398</v>
      </c>
      <c r="R9" s="550">
        <f>'PCOLP II'!D9</f>
        <v>0</v>
      </c>
      <c r="S9" s="551">
        <f>'GLP CBBA'!B7</f>
        <v>0</v>
      </c>
      <c r="T9" s="517">
        <f>'GLP CBBA'!I7</f>
        <v>702</v>
      </c>
      <c r="U9" s="388">
        <f>B9</f>
        <v>45871</v>
      </c>
      <c r="V9" s="390"/>
      <c r="W9" s="391"/>
      <c r="X9" s="54">
        <v>38</v>
      </c>
      <c r="Y9" s="28">
        <v>889</v>
      </c>
      <c r="Z9" s="410">
        <v>56</v>
      </c>
      <c r="AA9" s="420">
        <v>540</v>
      </c>
      <c r="AB9" s="412"/>
      <c r="AC9" s="413"/>
      <c r="AD9" s="414"/>
      <c r="AE9" s="416"/>
      <c r="AF9" s="410"/>
      <c r="AG9" s="415"/>
      <c r="AH9" s="410"/>
      <c r="AI9" s="421"/>
      <c r="AJ9" s="410"/>
      <c r="AK9" s="411"/>
      <c r="AL9" s="387">
        <f>AK9+AI9+AG9+AE9+AC9+AA9+Y9+W9</f>
        <v>1429</v>
      </c>
      <c r="AM9" s="118">
        <f>AL9-Q9</f>
        <v>31</v>
      </c>
      <c r="AN9" s="87">
        <f>U9</f>
        <v>45871</v>
      </c>
      <c r="AO9" s="178">
        <f t="shared" ref="AO9:AO24" si="2">IF(AO8+Y8-AV8&lt;0,0,AO8+Y8-AV8)</f>
        <v>1504</v>
      </c>
      <c r="AP9" s="179">
        <f t="shared" ref="AP9:AP24" si="3">IF(AP8+AA8-AW8&lt;0,0,AP8+AA8-AW8)</f>
        <v>0</v>
      </c>
      <c r="AQ9" s="79"/>
      <c r="AR9" s="79"/>
      <c r="AS9" s="79"/>
      <c r="AT9" s="79">
        <f t="shared" ref="AT9:AT24" si="4">IF(AT8+AI8-BA8&lt;0,0,AT8+AI8-BA8)</f>
        <v>0</v>
      </c>
      <c r="AU9" s="179"/>
      <c r="AV9" s="400">
        <v>700</v>
      </c>
      <c r="AW9" s="79">
        <v>1473</v>
      </c>
      <c r="AX9" s="79"/>
      <c r="AY9" s="79"/>
      <c r="AZ9" s="79"/>
      <c r="BA9" s="79"/>
      <c r="BB9" s="86"/>
    </row>
    <row r="10" spans="2:54">
      <c r="B10" s="393">
        <f t="shared" si="1"/>
        <v>45872</v>
      </c>
      <c r="C10" s="54">
        <v>600</v>
      </c>
      <c r="D10" s="28"/>
      <c r="E10" s="410"/>
      <c r="F10" s="413"/>
      <c r="G10" s="412"/>
      <c r="H10" s="413"/>
      <c r="I10" s="410"/>
      <c r="J10" s="411"/>
      <c r="K10" s="410"/>
      <c r="L10" s="411"/>
      <c r="M10" s="410"/>
      <c r="N10" s="420"/>
      <c r="O10" s="412"/>
      <c r="P10" s="28"/>
      <c r="Q10" s="389">
        <f t="shared" ref="Q10:Q15" si="5">P10+N10+L10+J10+H10+F10+D10</f>
        <v>0</v>
      </c>
      <c r="R10" s="550">
        <f>'PCOLP II'!D10</f>
        <v>0</v>
      </c>
      <c r="S10" s="551">
        <f>'GLP CBBA'!B8</f>
        <v>0</v>
      </c>
      <c r="T10" s="517">
        <f>'GLP CBBA'!I8</f>
        <v>0</v>
      </c>
      <c r="U10" s="388">
        <f t="shared" ref="U10:U38" si="6">B10</f>
        <v>45872</v>
      </c>
      <c r="V10" s="390"/>
      <c r="W10" s="391"/>
      <c r="X10" s="54">
        <v>38</v>
      </c>
      <c r="Y10" s="28">
        <v>257</v>
      </c>
      <c r="Z10" s="410"/>
      <c r="AA10" s="413"/>
      <c r="AB10" s="412"/>
      <c r="AC10" s="413"/>
      <c r="AD10" s="423"/>
      <c r="AE10" s="415"/>
      <c r="AF10" s="410"/>
      <c r="AG10" s="415"/>
      <c r="AH10" s="410"/>
      <c r="AI10" s="421"/>
      <c r="AJ10" s="410"/>
      <c r="AK10" s="411"/>
      <c r="AL10" s="387">
        <f t="shared" ref="AL10:AL38" si="7">AK10+AI10+AG10+AE10+AC10+AA10+Y10+W10</f>
        <v>257</v>
      </c>
      <c r="AM10" s="118">
        <f t="shared" ref="AM10:AM38" si="8">AL10-Q10</f>
        <v>257</v>
      </c>
      <c r="AN10" s="87">
        <f t="shared" ref="AN10:AN38" si="9">U10</f>
        <v>45872</v>
      </c>
      <c r="AO10" s="178">
        <f t="shared" si="2"/>
        <v>1693</v>
      </c>
      <c r="AP10" s="179">
        <f t="shared" si="3"/>
        <v>0</v>
      </c>
      <c r="AQ10" s="79"/>
      <c r="AR10" s="79"/>
      <c r="AS10" s="79"/>
      <c r="AT10" s="79">
        <f t="shared" si="4"/>
        <v>0</v>
      </c>
      <c r="AU10" s="179"/>
      <c r="AV10" s="400"/>
      <c r="AW10" s="79"/>
      <c r="AX10" s="79"/>
      <c r="AY10" s="79"/>
      <c r="AZ10" s="79"/>
      <c r="BA10" s="79"/>
      <c r="BB10" s="86"/>
    </row>
    <row r="11" spans="2:54">
      <c r="B11" s="393">
        <f t="shared" si="1"/>
        <v>45873</v>
      </c>
      <c r="C11" s="54"/>
      <c r="D11" s="28"/>
      <c r="E11" s="410"/>
      <c r="F11" s="413"/>
      <c r="G11" s="412">
        <v>47</v>
      </c>
      <c r="H11" s="413">
        <v>101</v>
      </c>
      <c r="I11" s="410"/>
      <c r="J11" s="411"/>
      <c r="K11" s="410">
        <v>15</v>
      </c>
      <c r="L11" s="411">
        <v>1212</v>
      </c>
      <c r="M11" s="410"/>
      <c r="N11" s="413"/>
      <c r="O11" s="412"/>
      <c r="P11" s="28"/>
      <c r="Q11" s="389">
        <f t="shared" si="5"/>
        <v>1313</v>
      </c>
      <c r="R11" s="550">
        <f>'PCOLP II'!D11</f>
        <v>0</v>
      </c>
      <c r="S11" s="551">
        <f>'GLP CBBA'!B9</f>
        <v>0</v>
      </c>
      <c r="T11" s="517">
        <f>'GLP CBBA'!I9</f>
        <v>0</v>
      </c>
      <c r="U11" s="388">
        <f t="shared" si="6"/>
        <v>45873</v>
      </c>
      <c r="V11" s="390"/>
      <c r="W11" s="391"/>
      <c r="X11" s="54">
        <v>38</v>
      </c>
      <c r="Y11" s="28">
        <v>1074</v>
      </c>
      <c r="Z11" s="410"/>
      <c r="AA11" s="413"/>
      <c r="AB11" s="412"/>
      <c r="AC11" s="413"/>
      <c r="AD11" s="423"/>
      <c r="AE11" s="415"/>
      <c r="AF11" s="410"/>
      <c r="AG11" s="411"/>
      <c r="AH11" s="410"/>
      <c r="AI11" s="421"/>
      <c r="AJ11" s="410"/>
      <c r="AK11" s="411"/>
      <c r="AL11" s="387">
        <f t="shared" si="7"/>
        <v>1074</v>
      </c>
      <c r="AM11" s="118">
        <f t="shared" si="8"/>
        <v>-239</v>
      </c>
      <c r="AN11" s="87">
        <f t="shared" si="9"/>
        <v>45873</v>
      </c>
      <c r="AO11" s="178">
        <v>2250</v>
      </c>
      <c r="AP11" s="179">
        <f t="shared" si="3"/>
        <v>0</v>
      </c>
      <c r="AQ11" s="79"/>
      <c r="AR11" s="79"/>
      <c r="AS11" s="79"/>
      <c r="AT11" s="79">
        <f t="shared" si="4"/>
        <v>0</v>
      </c>
      <c r="AU11" s="179"/>
      <c r="AV11" s="400">
        <v>1072</v>
      </c>
      <c r="AW11" s="79">
        <v>405</v>
      </c>
      <c r="AX11" s="79"/>
      <c r="AY11" s="79"/>
      <c r="AZ11" s="79"/>
      <c r="BA11" s="79">
        <v>0</v>
      </c>
      <c r="BB11" s="86"/>
    </row>
    <row r="12" spans="2:54">
      <c r="B12" s="394">
        <f t="shared" si="1"/>
        <v>45874</v>
      </c>
      <c r="C12" s="54">
        <v>360</v>
      </c>
      <c r="D12" s="28"/>
      <c r="E12" s="410"/>
      <c r="F12" s="413"/>
      <c r="G12" s="412">
        <v>48</v>
      </c>
      <c r="H12" s="413">
        <v>80</v>
      </c>
      <c r="I12" s="410"/>
      <c r="J12" s="411"/>
      <c r="K12" s="410">
        <v>15</v>
      </c>
      <c r="L12" s="411">
        <v>390</v>
      </c>
      <c r="M12" s="410">
        <v>11</v>
      </c>
      <c r="N12" s="413">
        <v>605</v>
      </c>
      <c r="O12" s="412"/>
      <c r="P12" s="28"/>
      <c r="Q12" s="389">
        <f t="shared" si="5"/>
        <v>1075</v>
      </c>
      <c r="R12" s="550">
        <f>'PCOLP II'!D12</f>
        <v>0</v>
      </c>
      <c r="S12" s="551">
        <f>'GLP CBBA'!B10</f>
        <v>165.625</v>
      </c>
      <c r="T12" s="517">
        <f>'GLP CBBA'!I10</f>
        <v>0</v>
      </c>
      <c r="U12" s="388">
        <f t="shared" si="6"/>
        <v>45874</v>
      </c>
      <c r="V12" s="390"/>
      <c r="W12" s="391"/>
      <c r="X12" s="54">
        <v>38</v>
      </c>
      <c r="Y12" s="341">
        <v>1188</v>
      </c>
      <c r="Z12" s="412"/>
      <c r="AA12" s="413"/>
      <c r="AB12" s="412"/>
      <c r="AC12" s="413"/>
      <c r="AD12" s="414"/>
      <c r="AE12" s="416"/>
      <c r="AF12" s="410"/>
      <c r="AG12" s="411"/>
      <c r="AH12" s="410"/>
      <c r="AI12" s="421"/>
      <c r="AJ12" s="410"/>
      <c r="AK12" s="411"/>
      <c r="AL12" s="387">
        <f t="shared" si="7"/>
        <v>1188</v>
      </c>
      <c r="AM12" s="118">
        <f t="shared" si="8"/>
        <v>113</v>
      </c>
      <c r="AN12" s="87">
        <f t="shared" si="9"/>
        <v>45874</v>
      </c>
      <c r="AO12" s="178">
        <f t="shared" si="2"/>
        <v>2252</v>
      </c>
      <c r="AP12" s="179">
        <f t="shared" si="3"/>
        <v>0</v>
      </c>
      <c r="AQ12" s="79"/>
      <c r="AR12" s="79"/>
      <c r="AS12" s="79"/>
      <c r="AT12" s="79">
        <f t="shared" si="4"/>
        <v>0</v>
      </c>
      <c r="AU12" s="179"/>
      <c r="AV12" s="400">
        <v>1084</v>
      </c>
      <c r="AW12" s="79">
        <v>1462</v>
      </c>
      <c r="AX12" s="79"/>
      <c r="AY12" s="79"/>
      <c r="AZ12" s="79"/>
      <c r="BA12" s="79">
        <v>0</v>
      </c>
      <c r="BB12" s="86"/>
    </row>
    <row r="13" spans="2:54">
      <c r="B13" s="393">
        <f t="shared" si="1"/>
        <v>45875</v>
      </c>
      <c r="C13" s="54"/>
      <c r="D13" s="28"/>
      <c r="E13" s="410"/>
      <c r="F13" s="413"/>
      <c r="G13" s="412"/>
      <c r="H13" s="413"/>
      <c r="I13" s="410"/>
      <c r="J13" s="411"/>
      <c r="K13" s="410"/>
      <c r="L13" s="411"/>
      <c r="M13" s="410"/>
      <c r="N13" s="413"/>
      <c r="O13" s="30"/>
      <c r="P13" s="28"/>
      <c r="Q13" s="389">
        <f t="shared" si="5"/>
        <v>0</v>
      </c>
      <c r="R13" s="550">
        <f>'PCOLP II'!D13</f>
        <v>801</v>
      </c>
      <c r="S13" s="551">
        <f>'GLP CBBA'!B11</f>
        <v>2304.5990000000002</v>
      </c>
      <c r="T13" s="517">
        <f>'GLP CBBA'!I11</f>
        <v>165.625</v>
      </c>
      <c r="U13" s="388">
        <f t="shared" si="6"/>
        <v>45875</v>
      </c>
      <c r="V13" s="390"/>
      <c r="W13" s="391"/>
      <c r="X13" s="54">
        <v>38</v>
      </c>
      <c r="Y13" s="28">
        <v>167</v>
      </c>
      <c r="Z13" s="412"/>
      <c r="AA13" s="413"/>
      <c r="AB13" s="412"/>
      <c r="AC13" s="413"/>
      <c r="AD13" s="423"/>
      <c r="AE13" s="415"/>
      <c r="AF13" s="410"/>
      <c r="AG13" s="415"/>
      <c r="AH13" s="412"/>
      <c r="AI13" s="413"/>
      <c r="AJ13" s="410"/>
      <c r="AK13" s="411"/>
      <c r="AL13" s="387">
        <f t="shared" si="7"/>
        <v>167</v>
      </c>
      <c r="AM13" s="118">
        <f t="shared" si="8"/>
        <v>167</v>
      </c>
      <c r="AN13" s="87">
        <f t="shared" si="9"/>
        <v>45875</v>
      </c>
      <c r="AO13" s="178">
        <f t="shared" si="2"/>
        <v>2356</v>
      </c>
      <c r="AP13" s="179">
        <f t="shared" si="3"/>
        <v>0</v>
      </c>
      <c r="AQ13" s="79"/>
      <c r="AR13" s="79"/>
      <c r="AS13" s="79"/>
      <c r="AT13" s="79">
        <f t="shared" si="4"/>
        <v>0</v>
      </c>
      <c r="AU13" s="179"/>
      <c r="AV13" s="178"/>
      <c r="AW13" s="179"/>
      <c r="AX13" s="179"/>
      <c r="AY13" s="179"/>
      <c r="AZ13" s="179"/>
      <c r="BA13" s="179"/>
      <c r="BB13" s="336"/>
    </row>
    <row r="14" spans="2:54">
      <c r="B14" s="393">
        <f t="shared" si="1"/>
        <v>45876</v>
      </c>
      <c r="C14" s="54"/>
      <c r="D14" s="28"/>
      <c r="E14" s="410"/>
      <c r="F14" s="413"/>
      <c r="G14" s="412"/>
      <c r="H14" s="413"/>
      <c r="I14" s="410"/>
      <c r="J14" s="411"/>
      <c r="K14" s="410"/>
      <c r="L14" s="411"/>
      <c r="M14" s="410"/>
      <c r="N14" s="413"/>
      <c r="O14" s="30"/>
      <c r="P14" s="28"/>
      <c r="Q14" s="389">
        <f t="shared" si="5"/>
        <v>0</v>
      </c>
      <c r="R14" s="550">
        <f>'PCOLP II'!D14</f>
        <v>0</v>
      </c>
      <c r="S14" s="551">
        <f>'GLP CBBA'!B12</f>
        <v>0</v>
      </c>
      <c r="T14" s="517">
        <f>'GLP CBBA'!I12</f>
        <v>1669.2240000000002</v>
      </c>
      <c r="U14" s="388">
        <f t="shared" si="6"/>
        <v>45876</v>
      </c>
      <c r="V14" s="390"/>
      <c r="W14" s="391"/>
      <c r="X14" s="54"/>
      <c r="Y14" s="28"/>
      <c r="Z14" s="412"/>
      <c r="AA14" s="413"/>
      <c r="AB14" s="412"/>
      <c r="AC14" s="413"/>
      <c r="AD14" s="423"/>
      <c r="AE14" s="415"/>
      <c r="AF14" s="410"/>
      <c r="AG14" s="411"/>
      <c r="AH14" s="412"/>
      <c r="AI14" s="413"/>
      <c r="AJ14" s="410"/>
      <c r="AK14" s="411"/>
      <c r="AL14" s="387">
        <f t="shared" si="7"/>
        <v>0</v>
      </c>
      <c r="AM14" s="118">
        <f t="shared" si="8"/>
        <v>0</v>
      </c>
      <c r="AN14" s="87">
        <f t="shared" si="9"/>
        <v>45876</v>
      </c>
      <c r="AO14" s="178">
        <f t="shared" si="2"/>
        <v>2523</v>
      </c>
      <c r="AP14" s="179">
        <f t="shared" si="3"/>
        <v>0</v>
      </c>
      <c r="AQ14" s="79"/>
      <c r="AR14" s="79"/>
      <c r="AS14" s="79"/>
      <c r="AT14" s="79">
        <f t="shared" si="4"/>
        <v>0</v>
      </c>
      <c r="AU14" s="179"/>
      <c r="AV14" s="400"/>
      <c r="AW14" s="79">
        <v>1358</v>
      </c>
      <c r="AX14" s="79"/>
      <c r="AY14" s="79"/>
      <c r="AZ14" s="79"/>
      <c r="BA14" s="79">
        <v>1136</v>
      </c>
      <c r="BB14" s="86"/>
    </row>
    <row r="15" spans="2:54">
      <c r="B15" s="393">
        <f t="shared" si="1"/>
        <v>45877</v>
      </c>
      <c r="C15" s="54">
        <v>39</v>
      </c>
      <c r="D15" s="28">
        <v>274</v>
      </c>
      <c r="E15" s="410"/>
      <c r="F15" s="413"/>
      <c r="G15" s="412"/>
      <c r="H15" s="413"/>
      <c r="I15" s="410"/>
      <c r="J15" s="411"/>
      <c r="K15" s="410"/>
      <c r="L15" s="411"/>
      <c r="M15" s="410"/>
      <c r="N15" s="413"/>
      <c r="O15" s="30"/>
      <c r="P15" s="28"/>
      <c r="Q15" s="389">
        <f t="shared" si="5"/>
        <v>274</v>
      </c>
      <c r="R15" s="550">
        <f>'PCOLP II'!D15</f>
        <v>0</v>
      </c>
      <c r="S15" s="551">
        <f>'GLP CBBA'!B13</f>
        <v>0</v>
      </c>
      <c r="T15" s="517">
        <f>'GLP CBBA'!I13</f>
        <v>1798</v>
      </c>
      <c r="U15" s="388">
        <f t="shared" ref="U15:U16" si="10">B15</f>
        <v>45877</v>
      </c>
      <c r="V15" s="390"/>
      <c r="W15" s="391"/>
      <c r="X15" s="54">
        <v>38</v>
      </c>
      <c r="Y15" s="28">
        <v>30</v>
      </c>
      <c r="Z15" s="412"/>
      <c r="AA15" s="413"/>
      <c r="AB15" s="412"/>
      <c r="AC15" s="413"/>
      <c r="AD15" s="414"/>
      <c r="AE15" s="416"/>
      <c r="AF15" s="410"/>
      <c r="AG15" s="411"/>
      <c r="AH15" s="412"/>
      <c r="AI15" s="413"/>
      <c r="AJ15" s="410"/>
      <c r="AK15" s="411"/>
      <c r="AL15" s="387">
        <f t="shared" si="7"/>
        <v>30</v>
      </c>
      <c r="AM15" s="118">
        <f t="shared" si="8"/>
        <v>-244</v>
      </c>
      <c r="AN15" s="87">
        <f t="shared" si="9"/>
        <v>45877</v>
      </c>
      <c r="AO15" s="178">
        <v>2501</v>
      </c>
      <c r="AP15" s="179">
        <f t="shared" si="3"/>
        <v>0</v>
      </c>
      <c r="AQ15" s="79"/>
      <c r="AR15" s="79"/>
      <c r="AS15" s="79"/>
      <c r="AT15" s="79">
        <f t="shared" si="4"/>
        <v>0</v>
      </c>
      <c r="AU15" s="179"/>
      <c r="AV15" s="400">
        <v>1135</v>
      </c>
      <c r="AW15" s="79">
        <v>1618</v>
      </c>
      <c r="AX15" s="79"/>
      <c r="AY15" s="79"/>
      <c r="AZ15" s="79"/>
      <c r="BA15" s="79">
        <v>894</v>
      </c>
      <c r="BB15" s="297"/>
    </row>
    <row r="16" spans="2:54">
      <c r="B16" s="394">
        <f t="shared" si="1"/>
        <v>45878</v>
      </c>
      <c r="C16" s="54">
        <v>39</v>
      </c>
      <c r="D16" s="28">
        <v>1421</v>
      </c>
      <c r="E16" s="410"/>
      <c r="F16" s="413"/>
      <c r="G16" s="419"/>
      <c r="H16" s="420"/>
      <c r="I16" s="423"/>
      <c r="J16" s="426"/>
      <c r="K16" s="410"/>
      <c r="L16" s="411"/>
      <c r="M16" s="410"/>
      <c r="N16" s="413"/>
      <c r="O16" s="30"/>
      <c r="P16" s="28"/>
      <c r="Q16" s="389">
        <f t="shared" ref="Q16" si="11">P16+N16+L16+J16+H16+F16+D16</f>
        <v>1421</v>
      </c>
      <c r="R16" s="550">
        <f>'PCOLP II'!D16</f>
        <v>0</v>
      </c>
      <c r="S16" s="551">
        <f>'GLP CBBA'!B14</f>
        <v>987.072</v>
      </c>
      <c r="T16" s="517">
        <f>'GLP CBBA'!I14</f>
        <v>1300</v>
      </c>
      <c r="U16" s="388">
        <f t="shared" si="10"/>
        <v>45878</v>
      </c>
      <c r="V16" s="390"/>
      <c r="W16" s="391"/>
      <c r="X16" s="54">
        <v>38</v>
      </c>
      <c r="Y16" s="28">
        <v>1520</v>
      </c>
      <c r="Z16" s="412"/>
      <c r="AA16" s="413"/>
      <c r="AB16" s="412"/>
      <c r="AC16" s="413"/>
      <c r="AD16" s="414"/>
      <c r="AE16" s="416"/>
      <c r="AF16" s="410"/>
      <c r="AG16" s="411"/>
      <c r="AH16" s="412"/>
      <c r="AI16" s="422"/>
      <c r="AJ16" s="410"/>
      <c r="AK16" s="411"/>
      <c r="AL16" s="387">
        <f t="shared" si="7"/>
        <v>1520</v>
      </c>
      <c r="AM16" s="118">
        <f t="shared" si="8"/>
        <v>99</v>
      </c>
      <c r="AN16" s="87">
        <f t="shared" si="9"/>
        <v>45878</v>
      </c>
      <c r="AO16" s="178">
        <v>1399</v>
      </c>
      <c r="AP16" s="179">
        <f t="shared" si="3"/>
        <v>0</v>
      </c>
      <c r="AQ16" s="79"/>
      <c r="AR16" s="79"/>
      <c r="AS16" s="79"/>
      <c r="AT16" s="79">
        <f t="shared" si="4"/>
        <v>0</v>
      </c>
      <c r="AU16" s="179"/>
      <c r="AV16" s="400">
        <v>600</v>
      </c>
      <c r="AW16" s="79">
        <v>1618</v>
      </c>
      <c r="AX16" s="79"/>
      <c r="AY16" s="79"/>
      <c r="AZ16" s="79"/>
      <c r="BA16" s="79"/>
      <c r="BB16" s="86"/>
    </row>
    <row r="17" spans="2:54">
      <c r="B17" s="394">
        <f t="shared" si="1"/>
        <v>45879</v>
      </c>
      <c r="C17" s="54">
        <v>39</v>
      </c>
      <c r="D17" s="28">
        <v>500</v>
      </c>
      <c r="E17" s="410"/>
      <c r="F17" s="413"/>
      <c r="G17" s="412"/>
      <c r="H17" s="413"/>
      <c r="I17" s="423"/>
      <c r="J17" s="426"/>
      <c r="K17" s="410"/>
      <c r="L17" s="410"/>
      <c r="M17" s="410"/>
      <c r="N17" s="413"/>
      <c r="O17" s="30"/>
      <c r="P17" s="28"/>
      <c r="Q17" s="389">
        <f t="shared" ref="Q17:Q26" si="12">P17+N17+L17+J17+H17+F17+D17</f>
        <v>500</v>
      </c>
      <c r="R17" s="550">
        <f>'PCOLP II'!D17</f>
        <v>0</v>
      </c>
      <c r="S17" s="551">
        <f>'GLP CBBA'!B15</f>
        <v>2440.1729999999998</v>
      </c>
      <c r="T17" s="517">
        <f>'GLP CBBA'!I15</f>
        <v>866.07200000000012</v>
      </c>
      <c r="U17" s="388">
        <f t="shared" si="6"/>
        <v>45879</v>
      </c>
      <c r="V17" s="390"/>
      <c r="W17" s="391"/>
      <c r="X17" s="54">
        <v>38</v>
      </c>
      <c r="Y17" s="28">
        <v>529</v>
      </c>
      <c r="Z17" s="412"/>
      <c r="AA17" s="413"/>
      <c r="AB17" s="412"/>
      <c r="AC17" s="413"/>
      <c r="AD17" s="414"/>
      <c r="AE17" s="416"/>
      <c r="AF17" s="410"/>
      <c r="AG17" s="411"/>
      <c r="AH17" s="410"/>
      <c r="AI17" s="421"/>
      <c r="AJ17" s="410"/>
      <c r="AK17" s="411"/>
      <c r="AL17" s="387">
        <f t="shared" si="7"/>
        <v>529</v>
      </c>
      <c r="AM17" s="118">
        <f t="shared" si="8"/>
        <v>29</v>
      </c>
      <c r="AN17" s="87">
        <f t="shared" si="9"/>
        <v>45879</v>
      </c>
      <c r="AO17" s="178">
        <f t="shared" si="2"/>
        <v>2319</v>
      </c>
      <c r="AP17" s="179">
        <f t="shared" si="3"/>
        <v>0</v>
      </c>
      <c r="AQ17" s="79"/>
      <c r="AR17" s="79"/>
      <c r="AS17" s="79"/>
      <c r="AT17" s="79">
        <f t="shared" si="4"/>
        <v>0</v>
      </c>
      <c r="AU17" s="179"/>
      <c r="AV17" s="400"/>
      <c r="AW17" s="79"/>
      <c r="AX17" s="79"/>
      <c r="AY17" s="79"/>
      <c r="AZ17" s="79"/>
      <c r="BA17" s="79"/>
      <c r="BB17" s="86"/>
    </row>
    <row r="18" spans="2:54">
      <c r="B18" s="393">
        <f t="shared" si="1"/>
        <v>45880</v>
      </c>
      <c r="C18" s="54">
        <v>39</v>
      </c>
      <c r="D18" s="28">
        <v>1066</v>
      </c>
      <c r="E18" s="410"/>
      <c r="F18" s="413"/>
      <c r="G18" s="412"/>
      <c r="H18" s="413"/>
      <c r="I18" s="423"/>
      <c r="J18" s="415"/>
      <c r="K18" s="410"/>
      <c r="L18" s="411"/>
      <c r="M18" s="410"/>
      <c r="N18" s="413"/>
      <c r="O18" s="30"/>
      <c r="P18" s="28"/>
      <c r="Q18" s="389">
        <f t="shared" si="12"/>
        <v>1066</v>
      </c>
      <c r="R18" s="550">
        <f>'PCOLP II'!D18</f>
        <v>0</v>
      </c>
      <c r="S18" s="551">
        <f>'GLP CBBA'!B16</f>
        <v>0</v>
      </c>
      <c r="T18" s="517">
        <f>'GLP CBBA'!I16</f>
        <v>2628</v>
      </c>
      <c r="U18" s="388">
        <f t="shared" si="6"/>
        <v>45880</v>
      </c>
      <c r="V18" s="390"/>
      <c r="W18" s="391"/>
      <c r="X18" s="54">
        <v>38</v>
      </c>
      <c r="Y18" s="28">
        <v>584</v>
      </c>
      <c r="Z18" s="412">
        <v>57</v>
      </c>
      <c r="AA18" s="422">
        <v>523</v>
      </c>
      <c r="AB18" s="412"/>
      <c r="AC18" s="413"/>
      <c r="AD18" s="414"/>
      <c r="AE18" s="416"/>
      <c r="AF18" s="410"/>
      <c r="AG18" s="411"/>
      <c r="AH18" s="410"/>
      <c r="AI18" s="421"/>
      <c r="AJ18" s="410"/>
      <c r="AK18" s="411"/>
      <c r="AL18" s="387">
        <f t="shared" si="7"/>
        <v>1107</v>
      </c>
      <c r="AM18" s="118">
        <f t="shared" si="8"/>
        <v>41</v>
      </c>
      <c r="AN18" s="87">
        <f t="shared" si="9"/>
        <v>45880</v>
      </c>
      <c r="AO18" s="178">
        <f t="shared" si="2"/>
        <v>2848</v>
      </c>
      <c r="AP18" s="179">
        <f t="shared" si="3"/>
        <v>0</v>
      </c>
      <c r="AQ18" s="79"/>
      <c r="AR18" s="79"/>
      <c r="AS18" s="79"/>
      <c r="AT18" s="79">
        <f t="shared" si="4"/>
        <v>0</v>
      </c>
      <c r="AU18" s="179"/>
      <c r="AV18" s="400">
        <v>951</v>
      </c>
      <c r="AW18" s="79">
        <v>405</v>
      </c>
      <c r="AX18" s="79"/>
      <c r="AY18" s="79"/>
      <c r="AZ18" s="79"/>
      <c r="BA18" s="79">
        <v>0</v>
      </c>
      <c r="BB18" s="86"/>
    </row>
    <row r="19" spans="2:54">
      <c r="B19" s="394">
        <f t="shared" si="1"/>
        <v>45881</v>
      </c>
      <c r="C19" s="54">
        <v>39</v>
      </c>
      <c r="D19" s="28">
        <v>742</v>
      </c>
      <c r="E19" s="410">
        <v>58</v>
      </c>
      <c r="F19" s="413">
        <v>505</v>
      </c>
      <c r="G19" s="412"/>
      <c r="H19" s="413"/>
      <c r="I19" s="423"/>
      <c r="J19" s="415"/>
      <c r="K19" s="410"/>
      <c r="L19" s="411"/>
      <c r="M19" s="410"/>
      <c r="N19" s="413"/>
      <c r="O19" s="30"/>
      <c r="P19" s="28"/>
      <c r="Q19" s="389">
        <f t="shared" si="12"/>
        <v>1247</v>
      </c>
      <c r="R19" s="550">
        <f>'PCOLP II'!D19</f>
        <v>703</v>
      </c>
      <c r="S19" s="551">
        <f>'GLP CBBA'!B17</f>
        <v>2438.1060000000002</v>
      </c>
      <c r="T19" s="517">
        <f>'GLP CBBA'!I17</f>
        <v>1429</v>
      </c>
      <c r="U19" s="388">
        <f t="shared" si="6"/>
        <v>45881</v>
      </c>
      <c r="V19" s="390"/>
      <c r="W19" s="391"/>
      <c r="X19" s="54"/>
      <c r="Y19" s="28"/>
      <c r="Z19" s="412">
        <v>57</v>
      </c>
      <c r="AA19" s="422">
        <v>532</v>
      </c>
      <c r="AB19" s="412"/>
      <c r="AC19" s="413"/>
      <c r="AD19" s="423"/>
      <c r="AE19" s="415"/>
      <c r="AF19" s="423">
        <v>15</v>
      </c>
      <c r="AG19" s="411">
        <v>676</v>
      </c>
      <c r="AH19" s="412"/>
      <c r="AI19" s="422"/>
      <c r="AJ19" s="410"/>
      <c r="AK19" s="411"/>
      <c r="AL19" s="387">
        <f t="shared" si="7"/>
        <v>1208</v>
      </c>
      <c r="AM19" s="118">
        <f t="shared" si="8"/>
        <v>-39</v>
      </c>
      <c r="AN19" s="87">
        <f t="shared" si="9"/>
        <v>45881</v>
      </c>
      <c r="AO19" s="178">
        <f t="shared" si="2"/>
        <v>2481</v>
      </c>
      <c r="AP19" s="179">
        <f t="shared" si="3"/>
        <v>118</v>
      </c>
      <c r="AQ19" s="79"/>
      <c r="AR19" s="79"/>
      <c r="AS19" s="79"/>
      <c r="AT19" s="79">
        <f t="shared" si="4"/>
        <v>0</v>
      </c>
      <c r="AU19" s="179"/>
      <c r="AV19" s="400">
        <v>900</v>
      </c>
      <c r="AW19" s="79">
        <v>1462</v>
      </c>
      <c r="AX19" s="79"/>
      <c r="AY19" s="79"/>
      <c r="AZ19" s="79"/>
      <c r="BA19" s="79">
        <v>0</v>
      </c>
      <c r="BB19" s="336"/>
    </row>
    <row r="20" spans="2:54">
      <c r="B20" s="393">
        <f t="shared" si="1"/>
        <v>45882</v>
      </c>
      <c r="C20" s="54"/>
      <c r="D20" s="28"/>
      <c r="E20" s="410"/>
      <c r="F20" s="413"/>
      <c r="G20" s="412" t="s">
        <v>251</v>
      </c>
      <c r="H20" s="413">
        <v>304</v>
      </c>
      <c r="I20" s="423">
        <v>15</v>
      </c>
      <c r="J20" s="415">
        <v>1002</v>
      </c>
      <c r="K20" s="410"/>
      <c r="L20" s="411"/>
      <c r="M20" s="410">
        <v>12</v>
      </c>
      <c r="N20" s="413">
        <v>435</v>
      </c>
      <c r="O20" s="30"/>
      <c r="P20" s="28"/>
      <c r="Q20" s="389">
        <f t="shared" si="12"/>
        <v>1741</v>
      </c>
      <c r="R20" s="550">
        <f>'PCOLP II'!D20</f>
        <v>0</v>
      </c>
      <c r="S20" s="551">
        <f>'GLP CBBA'!B18</f>
        <v>0</v>
      </c>
      <c r="T20" s="517">
        <f>'GLP CBBA'!I18</f>
        <v>2318</v>
      </c>
      <c r="U20" s="388">
        <f t="shared" si="6"/>
        <v>45882</v>
      </c>
      <c r="V20" s="154"/>
      <c r="W20" s="155"/>
      <c r="X20" s="54"/>
      <c r="Y20" s="28"/>
      <c r="Z20" s="412"/>
      <c r="AA20" s="413"/>
      <c r="AB20" s="412"/>
      <c r="AC20" s="413"/>
      <c r="AD20" s="410"/>
      <c r="AE20" s="411"/>
      <c r="AF20" s="423">
        <v>15</v>
      </c>
      <c r="AG20" s="411">
        <v>1042</v>
      </c>
      <c r="AH20" s="410">
        <v>11</v>
      </c>
      <c r="AI20" s="411">
        <v>568</v>
      </c>
      <c r="AJ20" s="410"/>
      <c r="AK20" s="411"/>
      <c r="AL20" s="387">
        <f t="shared" si="7"/>
        <v>1610</v>
      </c>
      <c r="AM20" s="118">
        <f t="shared" si="8"/>
        <v>-131</v>
      </c>
      <c r="AN20" s="87">
        <f t="shared" si="9"/>
        <v>45882</v>
      </c>
      <c r="AO20" s="178">
        <v>1725</v>
      </c>
      <c r="AP20" s="179">
        <f t="shared" si="3"/>
        <v>0</v>
      </c>
      <c r="AQ20" s="79"/>
      <c r="AR20" s="79"/>
      <c r="AS20" s="79"/>
      <c r="AT20" s="79">
        <f t="shared" si="4"/>
        <v>0</v>
      </c>
      <c r="AU20" s="179"/>
      <c r="AV20" s="400">
        <v>736</v>
      </c>
      <c r="AW20" s="79">
        <v>1638</v>
      </c>
      <c r="AX20" s="79"/>
      <c r="AY20" s="79"/>
      <c r="AZ20" s="79"/>
      <c r="BA20" s="79"/>
      <c r="BB20" s="86"/>
    </row>
    <row r="21" spans="2:54">
      <c r="B21" s="393">
        <f t="shared" si="1"/>
        <v>45883</v>
      </c>
      <c r="C21" s="54">
        <v>40</v>
      </c>
      <c r="D21" s="28">
        <v>766</v>
      </c>
      <c r="E21" s="410"/>
      <c r="F21" s="413"/>
      <c r="G21" s="419"/>
      <c r="H21" s="420"/>
      <c r="I21" s="423"/>
      <c r="J21" s="426"/>
      <c r="K21" s="410"/>
      <c r="L21" s="415"/>
      <c r="M21" s="410">
        <v>12</v>
      </c>
      <c r="N21" s="413">
        <v>806</v>
      </c>
      <c r="O21" s="412"/>
      <c r="P21" s="28"/>
      <c r="Q21" s="389">
        <f t="shared" si="12"/>
        <v>1572</v>
      </c>
      <c r="R21" s="550">
        <f>'PCOLP II'!D21</f>
        <v>0</v>
      </c>
      <c r="S21" s="551">
        <f>'GLP CBBA'!B19</f>
        <v>0</v>
      </c>
      <c r="T21" s="517">
        <f>'GLP CBBA'!I19</f>
        <v>1818</v>
      </c>
      <c r="U21" s="388">
        <f t="shared" si="6"/>
        <v>45883</v>
      </c>
      <c r="V21" s="390"/>
      <c r="W21" s="391"/>
      <c r="X21" s="54">
        <v>39</v>
      </c>
      <c r="Y21" s="28">
        <v>1575</v>
      </c>
      <c r="Z21" s="410"/>
      <c r="AA21" s="421"/>
      <c r="AB21" s="412"/>
      <c r="AC21" s="413"/>
      <c r="AD21" s="410"/>
      <c r="AE21" s="411"/>
      <c r="AF21" s="410"/>
      <c r="AG21" s="411"/>
      <c r="AH21" s="410">
        <v>11</v>
      </c>
      <c r="AI21" s="421">
        <v>37</v>
      </c>
      <c r="AJ21" s="410"/>
      <c r="AK21" s="411"/>
      <c r="AL21" s="387">
        <f t="shared" si="7"/>
        <v>1612</v>
      </c>
      <c r="AM21" s="118">
        <f t="shared" si="8"/>
        <v>40</v>
      </c>
      <c r="AN21" s="87">
        <f t="shared" si="9"/>
        <v>45883</v>
      </c>
      <c r="AO21" s="178">
        <f t="shared" si="2"/>
        <v>989</v>
      </c>
      <c r="AP21" s="179">
        <f t="shared" si="3"/>
        <v>0</v>
      </c>
      <c r="AQ21" s="79"/>
      <c r="AR21" s="79"/>
      <c r="AS21" s="79"/>
      <c r="AT21" s="79">
        <f t="shared" si="4"/>
        <v>568</v>
      </c>
      <c r="AU21" s="179"/>
      <c r="AV21" s="400">
        <v>990</v>
      </c>
      <c r="AW21" s="79">
        <v>1358</v>
      </c>
      <c r="AX21" s="79"/>
      <c r="AY21" s="79"/>
      <c r="AZ21" s="79"/>
      <c r="BA21" s="79">
        <v>1136</v>
      </c>
      <c r="BB21" s="86"/>
    </row>
    <row r="22" spans="2:54">
      <c r="B22" s="394">
        <f>B21+1</f>
        <v>45884</v>
      </c>
      <c r="C22" s="54">
        <v>40</v>
      </c>
      <c r="D22" s="28">
        <v>1465</v>
      </c>
      <c r="E22" s="410"/>
      <c r="F22" s="413"/>
      <c r="G22" s="419"/>
      <c r="H22" s="420"/>
      <c r="I22" s="423"/>
      <c r="J22" s="426"/>
      <c r="K22" s="410"/>
      <c r="L22" s="411"/>
      <c r="M22" s="410"/>
      <c r="N22" s="413"/>
      <c r="O22" s="30"/>
      <c r="P22" s="28"/>
      <c r="Q22" s="389">
        <f t="shared" si="12"/>
        <v>1465</v>
      </c>
      <c r="R22" s="550">
        <f>'PCOLP II'!D22</f>
        <v>0</v>
      </c>
      <c r="S22" s="551">
        <f>'GLP CBBA'!B20</f>
        <v>2456.8679999999999</v>
      </c>
      <c r="T22" s="517">
        <f>'GLP CBBA'!I20</f>
        <v>1020</v>
      </c>
      <c r="U22" s="388">
        <f t="shared" si="6"/>
        <v>45884</v>
      </c>
      <c r="V22" s="390"/>
      <c r="W22" s="391"/>
      <c r="X22" s="54">
        <v>39</v>
      </c>
      <c r="Y22" s="28">
        <v>1742</v>
      </c>
      <c r="Z22" s="410"/>
      <c r="AA22" s="413"/>
      <c r="AB22" s="412"/>
      <c r="AC22" s="413"/>
      <c r="AD22" s="410"/>
      <c r="AE22" s="411"/>
      <c r="AF22" s="410"/>
      <c r="AG22" s="411"/>
      <c r="AH22" s="410"/>
      <c r="AI22" s="421"/>
      <c r="AJ22" s="410"/>
      <c r="AK22" s="411"/>
      <c r="AL22" s="387">
        <f t="shared" si="7"/>
        <v>1742</v>
      </c>
      <c r="AM22" s="118">
        <f t="shared" si="8"/>
        <v>277</v>
      </c>
      <c r="AN22" s="87">
        <f t="shared" si="9"/>
        <v>45884</v>
      </c>
      <c r="AO22" s="178">
        <v>1557</v>
      </c>
      <c r="AP22" s="179">
        <f t="shared" si="3"/>
        <v>0</v>
      </c>
      <c r="AQ22" s="79"/>
      <c r="AR22" s="79"/>
      <c r="AS22" s="79"/>
      <c r="AT22" s="79">
        <f t="shared" si="4"/>
        <v>0</v>
      </c>
      <c r="AU22" s="179"/>
      <c r="AV22" s="400">
        <v>1008</v>
      </c>
      <c r="AW22" s="79">
        <v>1618</v>
      </c>
      <c r="AX22" s="79"/>
      <c r="AY22" s="79"/>
      <c r="AZ22" s="79"/>
      <c r="BA22" s="79">
        <v>894</v>
      </c>
      <c r="BB22" s="342"/>
    </row>
    <row r="23" spans="2:54">
      <c r="B23" s="394">
        <f>B22+1</f>
        <v>45885</v>
      </c>
      <c r="C23" s="54">
        <v>40</v>
      </c>
      <c r="D23" s="28">
        <v>881</v>
      </c>
      <c r="E23" s="410"/>
      <c r="F23" s="413"/>
      <c r="G23" s="412"/>
      <c r="H23" s="413"/>
      <c r="I23" s="423"/>
      <c r="J23" s="415"/>
      <c r="K23" s="410"/>
      <c r="L23" s="411"/>
      <c r="M23" s="410"/>
      <c r="N23" s="413"/>
      <c r="O23" s="412"/>
      <c r="P23" s="28"/>
      <c r="Q23" s="389">
        <f t="shared" si="12"/>
        <v>881</v>
      </c>
      <c r="R23" s="550">
        <f>'PCOLP II'!D23</f>
        <v>0</v>
      </c>
      <c r="S23" s="551">
        <f>'GLP CBBA'!B21</f>
        <v>536.625</v>
      </c>
      <c r="T23" s="517">
        <f>'GLP CBBA'!I21</f>
        <v>2011.8679999999999</v>
      </c>
      <c r="U23" s="388">
        <f t="shared" si="6"/>
        <v>45885</v>
      </c>
      <c r="V23" s="390"/>
      <c r="W23" s="391"/>
      <c r="X23" s="54">
        <v>39</v>
      </c>
      <c r="Y23" s="28">
        <v>873</v>
      </c>
      <c r="Z23" s="412"/>
      <c r="AA23" s="413"/>
      <c r="AB23" s="412"/>
      <c r="AC23" s="413"/>
      <c r="AD23" s="410"/>
      <c r="AE23" s="411"/>
      <c r="AF23" s="410"/>
      <c r="AG23" s="411"/>
      <c r="AH23" s="410"/>
      <c r="AI23" s="421"/>
      <c r="AJ23" s="412"/>
      <c r="AK23" s="28"/>
      <c r="AL23" s="387">
        <f t="shared" si="7"/>
        <v>873</v>
      </c>
      <c r="AM23" s="118">
        <f t="shared" si="8"/>
        <v>-8</v>
      </c>
      <c r="AN23" s="87">
        <f t="shared" si="9"/>
        <v>45885</v>
      </c>
      <c r="AO23" s="178">
        <f t="shared" si="2"/>
        <v>2291</v>
      </c>
      <c r="AP23" s="179">
        <f t="shared" si="3"/>
        <v>0</v>
      </c>
      <c r="AQ23" s="79"/>
      <c r="AR23" s="79"/>
      <c r="AS23" s="79"/>
      <c r="AT23" s="79">
        <f t="shared" si="4"/>
        <v>0</v>
      </c>
      <c r="AU23" s="79"/>
      <c r="AV23" s="400">
        <v>516</v>
      </c>
      <c r="AW23" s="79">
        <v>1618</v>
      </c>
      <c r="AX23" s="79"/>
      <c r="AY23" s="79"/>
      <c r="AZ23" s="79"/>
      <c r="BA23" s="79"/>
      <c r="BB23" s="86"/>
    </row>
    <row r="24" spans="2:54">
      <c r="B24" s="394">
        <f>B23+1</f>
        <v>45886</v>
      </c>
      <c r="C24" s="54">
        <v>40</v>
      </c>
      <c r="D24" s="28">
        <v>1682</v>
      </c>
      <c r="E24" s="410"/>
      <c r="F24" s="413"/>
      <c r="G24" s="412"/>
      <c r="H24" s="413"/>
      <c r="I24" s="423"/>
      <c r="J24" s="415"/>
      <c r="K24" s="410"/>
      <c r="L24" s="411"/>
      <c r="M24" s="410"/>
      <c r="N24" s="413"/>
      <c r="O24" s="412"/>
      <c r="P24" s="28"/>
      <c r="Q24" s="389">
        <f t="shared" si="12"/>
        <v>1682</v>
      </c>
      <c r="R24" s="550">
        <f>'PCOLP II'!D24</f>
        <v>0</v>
      </c>
      <c r="S24" s="551">
        <f>'GLP CBBA'!B22</f>
        <v>1949.6579999999999</v>
      </c>
      <c r="T24" s="517">
        <f>'GLP CBBA'!I22</f>
        <v>1417.4929999999999</v>
      </c>
      <c r="U24" s="388">
        <f t="shared" si="6"/>
        <v>45886</v>
      </c>
      <c r="V24" s="390"/>
      <c r="W24" s="391"/>
      <c r="X24" s="377">
        <v>39</v>
      </c>
      <c r="Y24" s="28">
        <v>70</v>
      </c>
      <c r="Z24" s="412">
        <v>58</v>
      </c>
      <c r="AA24" s="421">
        <v>551</v>
      </c>
      <c r="AB24" s="412"/>
      <c r="AC24" s="413"/>
      <c r="AD24" s="423">
        <v>15</v>
      </c>
      <c r="AE24" s="416">
        <v>962</v>
      </c>
      <c r="AF24" s="410"/>
      <c r="AG24" s="411">
        <v>124</v>
      </c>
      <c r="AH24" s="410"/>
      <c r="AI24" s="421"/>
      <c r="AJ24" s="410"/>
      <c r="AK24" s="411"/>
      <c r="AL24" s="387">
        <f t="shared" si="7"/>
        <v>1707</v>
      </c>
      <c r="AM24" s="118">
        <f t="shared" si="8"/>
        <v>25</v>
      </c>
      <c r="AN24" s="87">
        <f t="shared" si="9"/>
        <v>45886</v>
      </c>
      <c r="AO24" s="178">
        <f t="shared" si="2"/>
        <v>2648</v>
      </c>
      <c r="AP24" s="179">
        <f t="shared" si="3"/>
        <v>0</v>
      </c>
      <c r="AQ24" s="79"/>
      <c r="AR24" s="79"/>
      <c r="AS24" s="79"/>
      <c r="AT24" s="79">
        <f t="shared" si="4"/>
        <v>0</v>
      </c>
      <c r="AU24" s="79"/>
      <c r="AV24" s="400"/>
      <c r="AW24" s="79"/>
      <c r="AX24" s="79"/>
      <c r="AY24" s="79"/>
      <c r="AZ24" s="79"/>
      <c r="BA24" s="79"/>
      <c r="BB24" s="86"/>
    </row>
    <row r="25" spans="2:54">
      <c r="B25" s="393">
        <f t="shared" si="1"/>
        <v>45887</v>
      </c>
      <c r="C25" s="54">
        <v>40</v>
      </c>
      <c r="D25" s="28">
        <v>109</v>
      </c>
      <c r="E25" s="410">
        <v>60</v>
      </c>
      <c r="F25" s="413">
        <v>304</v>
      </c>
      <c r="G25" s="412"/>
      <c r="H25" s="413"/>
      <c r="I25" s="423"/>
      <c r="J25" s="426"/>
      <c r="K25" s="410"/>
      <c r="L25" s="411"/>
      <c r="M25" s="410">
        <v>13</v>
      </c>
      <c r="N25" s="413">
        <v>1406</v>
      </c>
      <c r="O25" s="412"/>
      <c r="P25" s="28"/>
      <c r="Q25" s="389">
        <f t="shared" si="12"/>
        <v>1819</v>
      </c>
      <c r="R25" s="550">
        <f>'PCOLP II'!D25</f>
        <v>0</v>
      </c>
      <c r="S25" s="551">
        <f>'GLP CBBA'!B23</f>
        <v>1374.873</v>
      </c>
      <c r="T25" s="517">
        <f>'GLP CBBA'!I23</f>
        <v>1427</v>
      </c>
      <c r="U25" s="388">
        <f t="shared" si="6"/>
        <v>45887</v>
      </c>
      <c r="V25" s="390"/>
      <c r="W25" s="391"/>
      <c r="X25" s="377">
        <v>40</v>
      </c>
      <c r="Y25" s="28">
        <v>495</v>
      </c>
      <c r="Z25" s="412"/>
      <c r="AA25" s="421"/>
      <c r="AB25" s="419">
        <v>49</v>
      </c>
      <c r="AC25" s="413">
        <v>39</v>
      </c>
      <c r="AD25" s="423"/>
      <c r="AE25" s="411"/>
      <c r="AF25" s="410"/>
      <c r="AG25" s="411">
        <v>110</v>
      </c>
      <c r="AH25" s="412">
        <v>12</v>
      </c>
      <c r="AI25" s="421">
        <v>1145</v>
      </c>
      <c r="AJ25" s="410"/>
      <c r="AK25" s="411"/>
      <c r="AL25" s="387">
        <f t="shared" si="7"/>
        <v>1789</v>
      </c>
      <c r="AM25" s="118">
        <f t="shared" si="8"/>
        <v>-30</v>
      </c>
      <c r="AN25" s="87">
        <f t="shared" si="9"/>
        <v>45887</v>
      </c>
      <c r="AO25" s="178">
        <v>2600</v>
      </c>
      <c r="AP25" s="179">
        <f t="shared" ref="AP25:AP27" si="13">IF(AP24+AA24-AW24&lt;0,0,AP24+AA24-AW24)</f>
        <v>551</v>
      </c>
      <c r="AQ25" s="79"/>
      <c r="AR25" s="79"/>
      <c r="AS25" s="79"/>
      <c r="AT25" s="79">
        <f t="shared" ref="AT25:AT27" si="14">IF(AT24+AI24-BA24&lt;0,0,AT24+AI24-BA24)</f>
        <v>0</v>
      </c>
      <c r="AU25" s="79"/>
      <c r="AV25" s="400">
        <v>1007</v>
      </c>
      <c r="AW25" s="79">
        <v>405</v>
      </c>
      <c r="AX25" s="79"/>
      <c r="AY25" s="79"/>
      <c r="AZ25" s="79"/>
      <c r="BA25" s="79">
        <v>0</v>
      </c>
      <c r="BB25" s="86"/>
    </row>
    <row r="26" spans="2:54">
      <c r="B26" s="393">
        <f t="shared" si="1"/>
        <v>45888</v>
      </c>
      <c r="C26" s="54">
        <v>41</v>
      </c>
      <c r="D26" s="28">
        <v>663</v>
      </c>
      <c r="E26" s="410">
        <v>60</v>
      </c>
      <c r="F26" s="413">
        <v>700</v>
      </c>
      <c r="G26" s="412"/>
      <c r="H26" s="413"/>
      <c r="I26" s="423"/>
      <c r="J26" s="426"/>
      <c r="K26" s="410"/>
      <c r="L26" s="411"/>
      <c r="M26" s="410"/>
      <c r="N26" s="413"/>
      <c r="O26" s="412"/>
      <c r="P26" s="28"/>
      <c r="Q26" s="389">
        <f t="shared" si="12"/>
        <v>1363</v>
      </c>
      <c r="R26" s="550">
        <f>'PCOLP II'!D26</f>
        <v>335</v>
      </c>
      <c r="S26" s="551">
        <f>'GLP CBBA'!B24</f>
        <v>0</v>
      </c>
      <c r="T26" s="517">
        <f>'GLP CBBA'!I24</f>
        <v>2650</v>
      </c>
      <c r="U26" s="388">
        <f t="shared" si="6"/>
        <v>45888</v>
      </c>
      <c r="V26" s="390"/>
      <c r="W26" s="391"/>
      <c r="X26" s="377">
        <v>40</v>
      </c>
      <c r="Y26" s="28">
        <v>1415</v>
      </c>
      <c r="Z26" s="412"/>
      <c r="AA26" s="421"/>
      <c r="AB26" s="412"/>
      <c r="AC26" s="413"/>
      <c r="AD26" s="414"/>
      <c r="AE26" s="416"/>
      <c r="AF26" s="410"/>
      <c r="AG26" s="411"/>
      <c r="AH26" s="412"/>
      <c r="AI26" s="421"/>
      <c r="AJ26" s="410"/>
      <c r="AK26" s="411"/>
      <c r="AL26" s="387">
        <f t="shared" si="7"/>
        <v>1415</v>
      </c>
      <c r="AM26" s="118">
        <f t="shared" si="8"/>
        <v>52</v>
      </c>
      <c r="AN26" s="87">
        <f t="shared" si="9"/>
        <v>45888</v>
      </c>
      <c r="AO26" s="178">
        <f t="shared" ref="AO26:AO27" si="15">IF(AO25+Y25-AV25&lt;0,0,AO25+Y25-AV25)</f>
        <v>2088</v>
      </c>
      <c r="AP26" s="179">
        <f t="shared" si="13"/>
        <v>146</v>
      </c>
      <c r="AQ26" s="79"/>
      <c r="AR26" s="79"/>
      <c r="AS26" s="79"/>
      <c r="AT26" s="79">
        <f t="shared" si="14"/>
        <v>1145</v>
      </c>
      <c r="AU26" s="79"/>
      <c r="AV26" s="400">
        <v>900</v>
      </c>
      <c r="AW26" s="79">
        <v>1462</v>
      </c>
      <c r="AX26" s="79"/>
      <c r="AY26" s="79"/>
      <c r="AZ26" s="79"/>
      <c r="BA26" s="79">
        <v>0</v>
      </c>
      <c r="BB26" s="336"/>
    </row>
    <row r="27" spans="2:54">
      <c r="B27" s="394">
        <f>B26+1</f>
        <v>45889</v>
      </c>
      <c r="C27" s="54">
        <v>41</v>
      </c>
      <c r="D27" s="28">
        <v>629</v>
      </c>
      <c r="E27" s="410"/>
      <c r="F27" s="413"/>
      <c r="G27" s="412"/>
      <c r="H27" s="413"/>
      <c r="I27" s="423"/>
      <c r="J27" s="426"/>
      <c r="K27" s="410"/>
      <c r="L27" s="411"/>
      <c r="M27" s="410"/>
      <c r="N27" s="413"/>
      <c r="O27" s="412"/>
      <c r="P27" s="28"/>
      <c r="Q27" s="389">
        <f t="shared" ref="Q27:Q38" si="16">P27+N27+L27+J27+H27+F27+D27</f>
        <v>629</v>
      </c>
      <c r="R27" s="550">
        <f>'PCOLP II'!D27</f>
        <v>546</v>
      </c>
      <c r="S27" s="551">
        <f>'GLP CBBA'!B25</f>
        <v>1544</v>
      </c>
      <c r="T27" s="517">
        <f>'GLP CBBA'!I25</f>
        <v>1523</v>
      </c>
      <c r="U27" s="388">
        <f t="shared" si="6"/>
        <v>45889</v>
      </c>
      <c r="V27" s="390"/>
      <c r="W27" s="391"/>
      <c r="X27" s="377">
        <v>40</v>
      </c>
      <c r="Y27" s="28">
        <v>645</v>
      </c>
      <c r="Z27" s="410"/>
      <c r="AA27" s="421"/>
      <c r="AB27" s="419"/>
      <c r="AC27" s="413"/>
      <c r="AD27" s="414"/>
      <c r="AE27" s="416"/>
      <c r="AF27" s="410"/>
      <c r="AG27" s="411"/>
      <c r="AH27" s="410"/>
      <c r="AI27" s="421"/>
      <c r="AJ27" s="410"/>
      <c r="AK27" s="411"/>
      <c r="AL27" s="387">
        <f t="shared" si="7"/>
        <v>645</v>
      </c>
      <c r="AM27" s="118">
        <f t="shared" si="8"/>
        <v>16</v>
      </c>
      <c r="AN27" s="87">
        <f t="shared" si="9"/>
        <v>45889</v>
      </c>
      <c r="AO27" s="178">
        <f t="shared" si="15"/>
        <v>2603</v>
      </c>
      <c r="AP27" s="179">
        <f t="shared" si="13"/>
        <v>0</v>
      </c>
      <c r="AQ27" s="79"/>
      <c r="AR27" s="79"/>
      <c r="AS27" s="79"/>
      <c r="AT27" s="79">
        <f t="shared" si="14"/>
        <v>1145</v>
      </c>
      <c r="AU27" s="79"/>
      <c r="AV27" s="400">
        <v>794</v>
      </c>
      <c r="AW27" s="79">
        <v>1638</v>
      </c>
      <c r="AX27" s="79"/>
      <c r="AY27" s="79"/>
      <c r="AZ27" s="79"/>
      <c r="BA27" s="79"/>
      <c r="BB27" s="86"/>
    </row>
    <row r="28" spans="2:54">
      <c r="B28" s="393">
        <f t="shared" ref="B28:B38" si="17">B27+1</f>
        <v>45890</v>
      </c>
      <c r="C28" s="54">
        <v>41</v>
      </c>
      <c r="D28" s="28">
        <v>410</v>
      </c>
      <c r="E28" s="410">
        <v>61</v>
      </c>
      <c r="F28" s="413">
        <v>502</v>
      </c>
      <c r="G28" s="412"/>
      <c r="H28" s="413"/>
      <c r="I28" s="423"/>
      <c r="J28" s="426"/>
      <c r="K28" s="410"/>
      <c r="L28" s="411"/>
      <c r="M28" s="410"/>
      <c r="N28" s="413"/>
      <c r="O28" s="412"/>
      <c r="P28" s="28"/>
      <c r="Q28" s="389">
        <f t="shared" si="16"/>
        <v>912</v>
      </c>
      <c r="R28" s="550">
        <f>'PCOLP II'!D28</f>
        <v>0</v>
      </c>
      <c r="S28" s="551">
        <f>'GLP CBBA'!B26</f>
        <v>880</v>
      </c>
      <c r="T28" s="517">
        <f>'GLP CBBA'!I26</f>
        <v>1785</v>
      </c>
      <c r="U28" s="388">
        <f t="shared" si="6"/>
        <v>45890</v>
      </c>
      <c r="V28" s="390"/>
      <c r="W28" s="391"/>
      <c r="X28" s="377">
        <v>40</v>
      </c>
      <c r="Y28" s="28">
        <v>900</v>
      </c>
      <c r="Z28" s="410"/>
      <c r="AA28" s="421"/>
      <c r="AB28" s="419"/>
      <c r="AC28" s="413"/>
      <c r="AD28" s="423"/>
      <c r="AE28" s="416"/>
      <c r="AF28" s="410"/>
      <c r="AG28" s="411"/>
      <c r="AH28" s="410"/>
      <c r="AI28" s="421"/>
      <c r="AJ28" s="410"/>
      <c r="AK28" s="411"/>
      <c r="AL28" s="387">
        <f t="shared" si="7"/>
        <v>900</v>
      </c>
      <c r="AM28" s="118">
        <f t="shared" si="8"/>
        <v>-12</v>
      </c>
      <c r="AN28" s="87">
        <f t="shared" si="9"/>
        <v>45890</v>
      </c>
      <c r="AO28" s="178">
        <f t="shared" ref="AO28:AO39" si="18">IF(AO27+Y27-AV27&lt;0,0,AO27+Y27-AV27)</f>
        <v>2454</v>
      </c>
      <c r="AP28" s="179">
        <f t="shared" ref="AP28:AP39" si="19">IF(AP27+AA27-AW27&lt;0,0,AP27+AA27-AW27)</f>
        <v>0</v>
      </c>
      <c r="AQ28" s="79"/>
      <c r="AR28" s="79"/>
      <c r="AS28" s="79"/>
      <c r="AT28" s="79">
        <f t="shared" ref="AT28:AT39" si="20">IF(AT27+AI27-BA27&lt;0,0,AT27+AI27-BA27)</f>
        <v>1145</v>
      </c>
      <c r="AU28" s="79"/>
      <c r="AV28" s="400">
        <v>1003</v>
      </c>
      <c r="AW28" s="79">
        <v>1358</v>
      </c>
      <c r="AX28" s="79"/>
      <c r="AY28" s="79"/>
      <c r="AZ28" s="79"/>
      <c r="BA28" s="79">
        <v>1136</v>
      </c>
      <c r="BB28" s="86"/>
    </row>
    <row r="29" spans="2:54">
      <c r="B29" s="393">
        <f t="shared" si="17"/>
        <v>45891</v>
      </c>
      <c r="C29" s="54"/>
      <c r="D29" s="28"/>
      <c r="E29" s="410"/>
      <c r="F29" s="413"/>
      <c r="G29" s="412"/>
      <c r="H29" s="413"/>
      <c r="I29" s="423"/>
      <c r="J29" s="426"/>
      <c r="K29" s="410"/>
      <c r="L29" s="411"/>
      <c r="M29" s="410">
        <v>14</v>
      </c>
      <c r="N29" s="413">
        <v>754</v>
      </c>
      <c r="O29" s="30"/>
      <c r="P29" s="28"/>
      <c r="Q29" s="389">
        <f t="shared" si="16"/>
        <v>754</v>
      </c>
      <c r="R29" s="550">
        <f>'PCOLP II'!D29</f>
        <v>291</v>
      </c>
      <c r="S29" s="551">
        <f>'GLP CBBA'!B27</f>
        <v>0</v>
      </c>
      <c r="T29" s="517">
        <f>'GLP CBBA'!I27</f>
        <v>2180</v>
      </c>
      <c r="U29" s="388">
        <f t="shared" si="6"/>
        <v>45891</v>
      </c>
      <c r="V29" s="390"/>
      <c r="W29" s="391"/>
      <c r="X29" s="377">
        <v>40</v>
      </c>
      <c r="Y29" s="28">
        <v>800</v>
      </c>
      <c r="Z29" s="410"/>
      <c r="AA29" s="421"/>
      <c r="AB29" s="419"/>
      <c r="AC29" s="413"/>
      <c r="AD29" s="423"/>
      <c r="AE29" s="411"/>
      <c r="AF29" s="410"/>
      <c r="AG29" s="411"/>
      <c r="AH29" s="410"/>
      <c r="AI29" s="421"/>
      <c r="AJ29" s="410"/>
      <c r="AK29" s="411"/>
      <c r="AL29" s="387">
        <f t="shared" si="7"/>
        <v>800</v>
      </c>
      <c r="AM29" s="118">
        <f t="shared" si="8"/>
        <v>46</v>
      </c>
      <c r="AN29" s="87">
        <f t="shared" si="9"/>
        <v>45891</v>
      </c>
      <c r="AO29" s="178">
        <v>2335</v>
      </c>
      <c r="AP29" s="179">
        <f t="shared" si="19"/>
        <v>0</v>
      </c>
      <c r="AQ29" s="79"/>
      <c r="AR29" s="79"/>
      <c r="AS29" s="79"/>
      <c r="AT29" s="79">
        <f t="shared" si="20"/>
        <v>9</v>
      </c>
      <c r="AU29" s="79"/>
      <c r="AV29" s="400">
        <v>1008</v>
      </c>
      <c r="AW29" s="79">
        <v>1618</v>
      </c>
      <c r="AX29" s="79"/>
      <c r="AY29" s="79"/>
      <c r="AZ29" s="79"/>
      <c r="BA29" s="79">
        <v>894</v>
      </c>
      <c r="BB29" s="297"/>
    </row>
    <row r="30" spans="2:54">
      <c r="B30" s="394">
        <f>B29+1</f>
        <v>45892</v>
      </c>
      <c r="C30" s="54">
        <v>42</v>
      </c>
      <c r="D30" s="28">
        <v>926</v>
      </c>
      <c r="E30" s="410"/>
      <c r="F30" s="413"/>
      <c r="G30" s="412"/>
      <c r="H30" s="413"/>
      <c r="I30" s="423"/>
      <c r="J30" s="415"/>
      <c r="K30" s="410"/>
      <c r="L30" s="411"/>
      <c r="M30" s="410">
        <v>14</v>
      </c>
      <c r="N30" s="413">
        <v>650</v>
      </c>
      <c r="O30" s="412"/>
      <c r="P30" s="28"/>
      <c r="Q30" s="389">
        <f t="shared" si="16"/>
        <v>1576</v>
      </c>
      <c r="R30" s="550">
        <f>'PCOLP II'!D30</f>
        <v>509</v>
      </c>
      <c r="S30" s="551">
        <f>'GLP CBBA'!B28</f>
        <v>1967.625</v>
      </c>
      <c r="T30" s="517">
        <f>'GLP CBBA'!I28</f>
        <v>1728</v>
      </c>
      <c r="U30" s="388">
        <f t="shared" si="6"/>
        <v>45892</v>
      </c>
      <c r="V30" s="390"/>
      <c r="W30" s="391"/>
      <c r="X30" s="377">
        <v>40</v>
      </c>
      <c r="Y30" s="28">
        <v>952</v>
      </c>
      <c r="Z30" s="410"/>
      <c r="AA30" s="421"/>
      <c r="AB30" s="412"/>
      <c r="AC30" s="413"/>
      <c r="AD30" s="414"/>
      <c r="AE30" s="416"/>
      <c r="AF30" s="410"/>
      <c r="AG30" s="411"/>
      <c r="AH30" s="410">
        <v>13</v>
      </c>
      <c r="AI30" s="421">
        <v>763</v>
      </c>
      <c r="AJ30" s="410"/>
      <c r="AK30" s="411"/>
      <c r="AL30" s="387">
        <f t="shared" si="7"/>
        <v>1715</v>
      </c>
      <c r="AM30" s="118">
        <f t="shared" si="8"/>
        <v>139</v>
      </c>
      <c r="AN30" s="87">
        <f t="shared" si="9"/>
        <v>45892</v>
      </c>
      <c r="AO30" s="178">
        <f t="shared" si="18"/>
        <v>2127</v>
      </c>
      <c r="AP30" s="179">
        <f t="shared" si="19"/>
        <v>0</v>
      </c>
      <c r="AQ30" s="79"/>
      <c r="AR30" s="79"/>
      <c r="AS30" s="79"/>
      <c r="AT30" s="79">
        <f t="shared" si="20"/>
        <v>0</v>
      </c>
      <c r="AU30" s="79"/>
      <c r="AV30" s="400">
        <v>516</v>
      </c>
      <c r="AW30" s="79">
        <v>1618</v>
      </c>
      <c r="AX30" s="79"/>
      <c r="AY30" s="79"/>
      <c r="AZ30" s="79"/>
      <c r="BA30" s="79"/>
      <c r="BB30" s="86"/>
    </row>
    <row r="31" spans="2:54">
      <c r="B31" s="393">
        <f t="shared" si="17"/>
        <v>45893</v>
      </c>
      <c r="C31" s="54">
        <v>42</v>
      </c>
      <c r="D31" s="28">
        <v>1650</v>
      </c>
      <c r="E31" s="410"/>
      <c r="F31" s="413"/>
      <c r="G31" s="412"/>
      <c r="H31" s="413"/>
      <c r="I31" s="423"/>
      <c r="J31" s="426"/>
      <c r="K31" s="410"/>
      <c r="L31" s="411"/>
      <c r="M31" s="410"/>
      <c r="N31" s="413"/>
      <c r="O31" s="30"/>
      <c r="P31" s="28"/>
      <c r="Q31" s="389">
        <f t="shared" si="16"/>
        <v>1650</v>
      </c>
      <c r="R31" s="550">
        <f>'PCOLP II'!D31</f>
        <v>0</v>
      </c>
      <c r="S31" s="551">
        <f>'GLP CBBA'!B29</f>
        <v>470.322</v>
      </c>
      <c r="T31" s="517">
        <f>'GLP CBBA'!I29</f>
        <v>2260.625</v>
      </c>
      <c r="U31" s="388">
        <f t="shared" si="6"/>
        <v>45893</v>
      </c>
      <c r="V31" s="390"/>
      <c r="W31" s="391"/>
      <c r="X31" s="377">
        <v>41</v>
      </c>
      <c r="Y31" s="28">
        <v>143</v>
      </c>
      <c r="Z31" s="410">
        <v>60</v>
      </c>
      <c r="AA31" s="411">
        <v>970</v>
      </c>
      <c r="AB31" s="419"/>
      <c r="AC31" s="420"/>
      <c r="AD31" s="414"/>
      <c r="AE31" s="416"/>
      <c r="AF31" s="410"/>
      <c r="AG31" s="411"/>
      <c r="AH31" s="410">
        <v>13</v>
      </c>
      <c r="AI31" s="411">
        <v>663</v>
      </c>
      <c r="AJ31" s="410"/>
      <c r="AK31" s="411"/>
      <c r="AL31" s="387">
        <f t="shared" si="7"/>
        <v>1776</v>
      </c>
      <c r="AM31" s="118">
        <f t="shared" si="8"/>
        <v>126</v>
      </c>
      <c r="AN31" s="87">
        <f t="shared" si="9"/>
        <v>45893</v>
      </c>
      <c r="AO31" s="178">
        <v>2521</v>
      </c>
      <c r="AP31" s="179">
        <f t="shared" si="19"/>
        <v>0</v>
      </c>
      <c r="AQ31" s="79"/>
      <c r="AR31" s="79"/>
      <c r="AS31" s="79"/>
      <c r="AT31" s="79">
        <f t="shared" si="20"/>
        <v>763</v>
      </c>
      <c r="AU31" s="79"/>
      <c r="AV31" s="400"/>
      <c r="AW31" s="79"/>
      <c r="AX31" s="79"/>
      <c r="AY31" s="79"/>
      <c r="AZ31" s="79"/>
      <c r="BA31" s="79"/>
      <c r="BB31" s="86"/>
    </row>
    <row r="32" spans="2:54">
      <c r="B32" s="394">
        <f>B31+1</f>
        <v>45894</v>
      </c>
      <c r="C32" s="54">
        <v>42</v>
      </c>
      <c r="D32" s="28">
        <v>510</v>
      </c>
      <c r="E32" s="410"/>
      <c r="F32" s="413"/>
      <c r="G32" s="412"/>
      <c r="H32" s="413"/>
      <c r="I32" s="410"/>
      <c r="J32" s="411"/>
      <c r="K32" s="410"/>
      <c r="L32" s="411"/>
      <c r="M32" s="410"/>
      <c r="N32" s="413"/>
      <c r="O32" s="412"/>
      <c r="P32" s="28"/>
      <c r="Q32" s="389">
        <f t="shared" si="16"/>
        <v>510</v>
      </c>
      <c r="R32" s="550">
        <f>'PCOLP II'!D32</f>
        <v>0</v>
      </c>
      <c r="S32" s="551">
        <f>'GLP CBBA'!B30</f>
        <v>1400</v>
      </c>
      <c r="T32" s="517">
        <f>'GLP CBBA'!I30</f>
        <v>717</v>
      </c>
      <c r="U32" s="388">
        <f t="shared" si="6"/>
        <v>45894</v>
      </c>
      <c r="V32" s="390"/>
      <c r="W32" s="391"/>
      <c r="X32" s="377">
        <v>41</v>
      </c>
      <c r="Y32" s="28">
        <v>504</v>
      </c>
      <c r="Z32" s="410"/>
      <c r="AA32" s="411"/>
      <c r="AB32" s="419"/>
      <c r="AC32" s="413"/>
      <c r="AD32" s="423"/>
      <c r="AE32" s="416"/>
      <c r="AF32" s="410"/>
      <c r="AG32" s="411"/>
      <c r="AH32" s="410"/>
      <c r="AI32" s="411"/>
      <c r="AJ32" s="410"/>
      <c r="AK32" s="411"/>
      <c r="AL32" s="387">
        <f t="shared" si="7"/>
        <v>504</v>
      </c>
      <c r="AM32" s="118">
        <f t="shared" si="8"/>
        <v>-6</v>
      </c>
      <c r="AN32" s="87">
        <f t="shared" si="9"/>
        <v>45894</v>
      </c>
      <c r="AO32" s="178">
        <v>2676</v>
      </c>
      <c r="AP32" s="179">
        <f t="shared" si="19"/>
        <v>970</v>
      </c>
      <c r="AQ32" s="79"/>
      <c r="AR32" s="79"/>
      <c r="AS32" s="79"/>
      <c r="AT32" s="79">
        <f t="shared" si="20"/>
        <v>1426</v>
      </c>
      <c r="AU32" s="79"/>
      <c r="AV32" s="400">
        <v>996</v>
      </c>
      <c r="AW32" s="79">
        <v>405</v>
      </c>
      <c r="AX32" s="79"/>
      <c r="AY32" s="79"/>
      <c r="AZ32" s="79"/>
      <c r="BA32" s="79">
        <v>0</v>
      </c>
      <c r="BB32" s="86"/>
    </row>
    <row r="33" spans="2:54">
      <c r="B33" s="393">
        <f t="shared" si="17"/>
        <v>45895</v>
      </c>
      <c r="C33" s="54">
        <v>42</v>
      </c>
      <c r="D33" s="28">
        <v>116</v>
      </c>
      <c r="E33" s="410"/>
      <c r="F33" s="413"/>
      <c r="G33" s="412">
        <v>51</v>
      </c>
      <c r="H33" s="413">
        <v>100</v>
      </c>
      <c r="I33" s="423"/>
      <c r="J33" s="426"/>
      <c r="K33" s="410">
        <v>16</v>
      </c>
      <c r="L33" s="411">
        <v>907</v>
      </c>
      <c r="M33" s="410">
        <v>16</v>
      </c>
      <c r="N33" s="413">
        <v>600</v>
      </c>
      <c r="O33" s="410"/>
      <c r="P33" s="420"/>
      <c r="Q33" s="389">
        <f t="shared" si="16"/>
        <v>1723</v>
      </c>
      <c r="R33" s="550">
        <f>'PCOLP II'!D33</f>
        <v>0</v>
      </c>
      <c r="S33" s="551">
        <f>'GLP CBBA'!B31</f>
        <v>1000</v>
      </c>
      <c r="T33" s="517">
        <f>'GLP CBBA'!I31</f>
        <v>1501</v>
      </c>
      <c r="U33" s="388">
        <f t="shared" si="6"/>
        <v>45895</v>
      </c>
      <c r="V33" s="390"/>
      <c r="W33" s="391"/>
      <c r="X33" s="377">
        <v>41</v>
      </c>
      <c r="Y33" s="28">
        <v>1168</v>
      </c>
      <c r="Z33" s="410">
        <v>61</v>
      </c>
      <c r="AA33" s="411">
        <v>502</v>
      </c>
      <c r="AB33" s="419"/>
      <c r="AC33" s="413"/>
      <c r="AD33" s="423"/>
      <c r="AE33" s="411"/>
      <c r="AF33" s="410"/>
      <c r="AG33" s="411"/>
      <c r="AH33" s="410">
        <v>14</v>
      </c>
      <c r="AI33" s="411">
        <v>99</v>
      </c>
      <c r="AJ33" s="410"/>
      <c r="AK33" s="411"/>
      <c r="AL33" s="270">
        <f t="shared" si="7"/>
        <v>1769</v>
      </c>
      <c r="AM33" s="118">
        <f t="shared" si="8"/>
        <v>46</v>
      </c>
      <c r="AN33" s="87">
        <f t="shared" si="9"/>
        <v>45895</v>
      </c>
      <c r="AO33" s="178">
        <f t="shared" si="18"/>
        <v>2184</v>
      </c>
      <c r="AP33" s="179">
        <f t="shared" si="19"/>
        <v>565</v>
      </c>
      <c r="AQ33" s="79"/>
      <c r="AR33" s="79"/>
      <c r="AS33" s="79"/>
      <c r="AT33" s="79">
        <f t="shared" si="20"/>
        <v>1426</v>
      </c>
      <c r="AU33" s="79"/>
      <c r="AV33" s="400">
        <v>900</v>
      </c>
      <c r="AW33" s="79">
        <v>1462</v>
      </c>
      <c r="AX33" s="79"/>
      <c r="AY33" s="79"/>
      <c r="AZ33" s="79"/>
      <c r="BA33" s="79">
        <v>0</v>
      </c>
      <c r="BB33" s="336"/>
    </row>
    <row r="34" spans="2:54">
      <c r="B34" s="393">
        <f t="shared" si="17"/>
        <v>45896</v>
      </c>
      <c r="C34" s="54">
        <v>44</v>
      </c>
      <c r="D34" s="28">
        <v>498</v>
      </c>
      <c r="E34" s="410"/>
      <c r="F34" s="413"/>
      <c r="G34" s="412">
        <v>52</v>
      </c>
      <c r="H34" s="413">
        <v>81</v>
      </c>
      <c r="I34" s="410"/>
      <c r="J34" s="411"/>
      <c r="K34" s="410">
        <v>16</v>
      </c>
      <c r="L34" s="411">
        <v>498</v>
      </c>
      <c r="M34" s="410">
        <v>17</v>
      </c>
      <c r="N34" s="413">
        <v>502</v>
      </c>
      <c r="O34" s="410"/>
      <c r="P34" s="413"/>
      <c r="Q34" s="389">
        <f t="shared" si="16"/>
        <v>1579</v>
      </c>
      <c r="R34" s="550">
        <f>'PCOLP II'!D34</f>
        <v>0</v>
      </c>
      <c r="S34" s="551">
        <f>'GLP CBBA'!B32</f>
        <v>0</v>
      </c>
      <c r="T34" s="517">
        <f>'GLP CBBA'!I32</f>
        <v>2152</v>
      </c>
      <c r="U34" s="388">
        <f t="shared" si="6"/>
        <v>45896</v>
      </c>
      <c r="V34" s="390"/>
      <c r="W34" s="391"/>
      <c r="X34" s="54">
        <v>42</v>
      </c>
      <c r="Y34" s="28">
        <v>126</v>
      </c>
      <c r="Z34" s="410"/>
      <c r="AA34" s="421"/>
      <c r="AB34" s="412"/>
      <c r="AC34" s="413"/>
      <c r="AD34" s="414"/>
      <c r="AE34" s="416"/>
      <c r="AF34" s="410"/>
      <c r="AG34" s="411"/>
      <c r="AH34" s="410">
        <v>14</v>
      </c>
      <c r="AI34" s="411">
        <v>1303</v>
      </c>
      <c r="AJ34" s="410"/>
      <c r="AK34" s="411"/>
      <c r="AL34" s="387">
        <f t="shared" si="7"/>
        <v>1429</v>
      </c>
      <c r="AM34" s="118">
        <f t="shared" si="8"/>
        <v>-150</v>
      </c>
      <c r="AN34" s="87">
        <f t="shared" si="9"/>
        <v>45896</v>
      </c>
      <c r="AO34" s="178">
        <v>2552</v>
      </c>
      <c r="AP34" s="179">
        <f t="shared" si="19"/>
        <v>0</v>
      </c>
      <c r="AQ34" s="79"/>
      <c r="AR34" s="79"/>
      <c r="AS34" s="79"/>
      <c r="AT34" s="79">
        <f t="shared" si="20"/>
        <v>1525</v>
      </c>
      <c r="AU34" s="79"/>
      <c r="AV34" s="400">
        <v>818</v>
      </c>
      <c r="AW34" s="79">
        <v>1638</v>
      </c>
      <c r="AX34" s="79"/>
      <c r="AY34" s="79"/>
      <c r="AZ34" s="79"/>
      <c r="BA34" s="79"/>
      <c r="BB34" s="86"/>
    </row>
    <row r="35" spans="2:54">
      <c r="B35" s="394">
        <f>B34+1</f>
        <v>45897</v>
      </c>
      <c r="C35" s="54">
        <v>44</v>
      </c>
      <c r="D35" s="28">
        <v>1000</v>
      </c>
      <c r="E35" s="410">
        <v>62</v>
      </c>
      <c r="F35" s="413">
        <v>500</v>
      </c>
      <c r="G35" s="412"/>
      <c r="H35" s="413"/>
      <c r="I35" s="410"/>
      <c r="J35" s="411"/>
      <c r="K35" s="410"/>
      <c r="L35" s="411"/>
      <c r="M35" s="410"/>
      <c r="N35" s="413"/>
      <c r="O35" s="410"/>
      <c r="P35" s="413"/>
      <c r="Q35" s="389">
        <f t="shared" si="16"/>
        <v>1500</v>
      </c>
      <c r="R35" s="550">
        <f>'PCOLP II'!D35</f>
        <v>500</v>
      </c>
      <c r="S35" s="551">
        <f>'GLP CBBA'!B33</f>
        <v>2507.5889999999999</v>
      </c>
      <c r="T35" s="517">
        <f>'GLP CBBA'!I33</f>
        <v>1520</v>
      </c>
      <c r="U35" s="388">
        <f t="shared" si="6"/>
        <v>45897</v>
      </c>
      <c r="V35" s="390"/>
      <c r="W35" s="391"/>
      <c r="X35" s="54">
        <v>42</v>
      </c>
      <c r="Y35" s="28">
        <v>1550</v>
      </c>
      <c r="Z35" s="410"/>
      <c r="AA35" s="411"/>
      <c r="AB35" s="419"/>
      <c r="AC35" s="420"/>
      <c r="AD35" s="414"/>
      <c r="AE35" s="416"/>
      <c r="AF35" s="410"/>
      <c r="AG35" s="411"/>
      <c r="AH35" s="410"/>
      <c r="AI35" s="411"/>
      <c r="AJ35" s="410"/>
      <c r="AK35" s="411"/>
      <c r="AL35" s="387">
        <f t="shared" si="7"/>
        <v>1550</v>
      </c>
      <c r="AM35" s="118">
        <f t="shared" si="8"/>
        <v>50</v>
      </c>
      <c r="AN35" s="87">
        <f t="shared" si="9"/>
        <v>45897</v>
      </c>
      <c r="AO35" s="178">
        <v>1773</v>
      </c>
      <c r="AP35" s="179">
        <f t="shared" si="19"/>
        <v>0</v>
      </c>
      <c r="AQ35" s="79"/>
      <c r="AR35" s="79"/>
      <c r="AS35" s="79"/>
      <c r="AT35" s="79">
        <f t="shared" si="20"/>
        <v>2828</v>
      </c>
      <c r="AU35" s="79"/>
      <c r="AV35" s="400">
        <v>991</v>
      </c>
      <c r="AW35" s="79">
        <v>1358</v>
      </c>
      <c r="AX35" s="79"/>
      <c r="AY35" s="79"/>
      <c r="AZ35" s="79"/>
      <c r="BA35" s="79">
        <v>1136</v>
      </c>
      <c r="BB35" s="86"/>
    </row>
    <row r="36" spans="2:54">
      <c r="B36" s="393">
        <f t="shared" si="17"/>
        <v>45898</v>
      </c>
      <c r="C36" s="54"/>
      <c r="D36" s="28"/>
      <c r="E36" s="410">
        <v>63</v>
      </c>
      <c r="F36" s="413">
        <v>200</v>
      </c>
      <c r="G36" s="412" t="s">
        <v>258</v>
      </c>
      <c r="H36" s="413">
        <f>150+150</f>
        <v>300</v>
      </c>
      <c r="I36" s="410">
        <v>16</v>
      </c>
      <c r="J36" s="411">
        <v>1000</v>
      </c>
      <c r="K36" s="410"/>
      <c r="L36" s="415"/>
      <c r="M36" s="410"/>
      <c r="N36" s="413"/>
      <c r="O36" s="344"/>
      <c r="P36" s="343"/>
      <c r="Q36" s="269">
        <f t="shared" si="16"/>
        <v>1500</v>
      </c>
      <c r="R36" s="345">
        <f>'PCOLP II'!D36</f>
        <v>400</v>
      </c>
      <c r="S36" s="346">
        <f>'GLP CBBA'!B34</f>
        <v>0</v>
      </c>
      <c r="T36" s="387">
        <f>'GLP CBBA'!I34</f>
        <v>2527.5889999999999</v>
      </c>
      <c r="U36" s="87">
        <f t="shared" si="6"/>
        <v>45898</v>
      </c>
      <c r="V36" s="347"/>
      <c r="W36" s="348"/>
      <c r="X36" s="54">
        <v>42</v>
      </c>
      <c r="Y36" s="28">
        <v>1400</v>
      </c>
      <c r="Z36" s="412"/>
      <c r="AA36" s="422"/>
      <c r="AB36" s="412"/>
      <c r="AC36" s="413"/>
      <c r="AD36" s="414"/>
      <c r="AE36" s="416"/>
      <c r="AF36" s="410"/>
      <c r="AG36" s="411"/>
      <c r="AH36" s="410"/>
      <c r="AI36" s="421"/>
      <c r="AJ36" s="410"/>
      <c r="AK36" s="411"/>
      <c r="AL36" s="387">
        <f t="shared" si="7"/>
        <v>1400</v>
      </c>
      <c r="AM36" s="118">
        <f t="shared" si="8"/>
        <v>-100</v>
      </c>
      <c r="AN36" s="87">
        <f t="shared" si="9"/>
        <v>45898</v>
      </c>
      <c r="AO36" s="400">
        <f t="shared" si="18"/>
        <v>2332</v>
      </c>
      <c r="AP36" s="79">
        <f t="shared" si="19"/>
        <v>0</v>
      </c>
      <c r="AQ36" s="79"/>
      <c r="AR36" s="79"/>
      <c r="AS36" s="79"/>
      <c r="AT36" s="79">
        <f t="shared" si="20"/>
        <v>1692</v>
      </c>
      <c r="AU36" s="79"/>
      <c r="AV36" s="400">
        <v>1008</v>
      </c>
      <c r="AW36" s="79">
        <v>1618</v>
      </c>
      <c r="AX36" s="79"/>
      <c r="AY36" s="79"/>
      <c r="AZ36" s="79"/>
      <c r="BA36" s="79">
        <v>894</v>
      </c>
      <c r="BB36" s="297"/>
    </row>
    <row r="37" spans="2:54">
      <c r="B37" s="394">
        <f>B36+1</f>
        <v>45899</v>
      </c>
      <c r="C37" s="54">
        <v>45</v>
      </c>
      <c r="D37" s="28">
        <v>1100</v>
      </c>
      <c r="E37" s="410">
        <v>63</v>
      </c>
      <c r="F37" s="413">
        <v>300</v>
      </c>
      <c r="G37" s="412"/>
      <c r="H37" s="413"/>
      <c r="I37" s="410"/>
      <c r="J37" s="411"/>
      <c r="K37" s="410"/>
      <c r="L37" s="415"/>
      <c r="M37" s="410"/>
      <c r="N37" s="413"/>
      <c r="O37" s="344"/>
      <c r="P37" s="343"/>
      <c r="Q37" s="269">
        <f t="shared" si="16"/>
        <v>1400</v>
      </c>
      <c r="R37" s="345">
        <f>'PCOLP II'!D37</f>
        <v>600</v>
      </c>
      <c r="S37" s="346">
        <f>'GLP CBBA'!B35</f>
        <v>2451.596673</v>
      </c>
      <c r="T37" s="387">
        <f>'GLP CBBA'!I35</f>
        <v>1877.5889999999999</v>
      </c>
      <c r="U37" s="87">
        <f t="shared" si="6"/>
        <v>45899</v>
      </c>
      <c r="V37" s="347"/>
      <c r="W37" s="348"/>
      <c r="X37" s="54">
        <v>42</v>
      </c>
      <c r="Y37" s="28">
        <v>150</v>
      </c>
      <c r="Z37" s="412"/>
      <c r="AA37" s="421"/>
      <c r="AB37" s="412"/>
      <c r="AC37" s="413"/>
      <c r="AD37" s="414"/>
      <c r="AE37" s="416"/>
      <c r="AF37" s="410">
        <v>16</v>
      </c>
      <c r="AG37" s="411">
        <v>750</v>
      </c>
      <c r="AH37" s="410">
        <v>16</v>
      </c>
      <c r="AI37" s="411">
        <v>500</v>
      </c>
      <c r="AJ37" s="329"/>
      <c r="AK37" s="328"/>
      <c r="AL37" s="387">
        <f t="shared" si="7"/>
        <v>1400</v>
      </c>
      <c r="AM37" s="118">
        <f t="shared" si="8"/>
        <v>0</v>
      </c>
      <c r="AN37" s="87">
        <f t="shared" si="9"/>
        <v>45899</v>
      </c>
      <c r="AO37" s="400">
        <f t="shared" si="18"/>
        <v>2724</v>
      </c>
      <c r="AP37" s="79">
        <f t="shared" si="19"/>
        <v>0</v>
      </c>
      <c r="AQ37" s="79"/>
      <c r="AR37" s="79"/>
      <c r="AS37" s="79"/>
      <c r="AT37" s="79">
        <f t="shared" si="20"/>
        <v>798</v>
      </c>
      <c r="AU37" s="79"/>
      <c r="AV37" s="400">
        <v>516</v>
      </c>
      <c r="AW37" s="79">
        <v>1618</v>
      </c>
      <c r="AX37" s="79"/>
      <c r="AY37" s="79"/>
      <c r="AZ37" s="79"/>
      <c r="BA37" s="79"/>
      <c r="BB37" s="86"/>
    </row>
    <row r="38" spans="2:54" ht="15" thickBot="1">
      <c r="B38" s="393">
        <f t="shared" si="17"/>
        <v>45900</v>
      </c>
      <c r="C38" s="54">
        <v>45</v>
      </c>
      <c r="D38" s="28">
        <v>1400</v>
      </c>
      <c r="E38" s="410"/>
      <c r="F38" s="413"/>
      <c r="G38" s="419"/>
      <c r="H38" s="420"/>
      <c r="I38" s="423"/>
      <c r="J38" s="426"/>
      <c r="K38" s="410"/>
      <c r="L38" s="415"/>
      <c r="M38" s="410"/>
      <c r="N38" s="413"/>
      <c r="O38" s="349"/>
      <c r="P38" s="350"/>
      <c r="Q38" s="326">
        <f t="shared" si="16"/>
        <v>1400</v>
      </c>
      <c r="R38" s="345">
        <f>'PCOLP II'!D38</f>
        <v>0</v>
      </c>
      <c r="S38" s="346">
        <f>'GLP CBBA'!B36</f>
        <v>1.9323270000000394</v>
      </c>
      <c r="T38" s="270">
        <f>'GLP CBBA'!I36</f>
        <v>2629.185673</v>
      </c>
      <c r="U38" s="351">
        <f t="shared" si="6"/>
        <v>45900</v>
      </c>
      <c r="V38" s="352"/>
      <c r="W38" s="353"/>
      <c r="X38" s="54">
        <v>44</v>
      </c>
      <c r="Y38" s="28">
        <v>250</v>
      </c>
      <c r="Z38" s="412"/>
      <c r="AA38" s="422"/>
      <c r="AB38" s="412"/>
      <c r="AC38" s="413"/>
      <c r="AD38" s="414"/>
      <c r="AE38" s="416"/>
      <c r="AF38" s="410">
        <v>16</v>
      </c>
      <c r="AG38" s="411">
        <v>600</v>
      </c>
      <c r="AH38" s="410">
        <v>17</v>
      </c>
      <c r="AI38" s="411">
        <v>500</v>
      </c>
      <c r="AJ38" s="61"/>
      <c r="AK38" s="62"/>
      <c r="AL38" s="387">
        <f t="shared" si="7"/>
        <v>1350</v>
      </c>
      <c r="AM38" s="118">
        <f t="shared" si="8"/>
        <v>-50</v>
      </c>
      <c r="AN38" s="87">
        <f t="shared" si="9"/>
        <v>45900</v>
      </c>
      <c r="AO38" s="400">
        <f t="shared" si="18"/>
        <v>2358</v>
      </c>
      <c r="AP38" s="79">
        <f t="shared" si="19"/>
        <v>0</v>
      </c>
      <c r="AQ38" s="79"/>
      <c r="AR38" s="79"/>
      <c r="AS38" s="79"/>
      <c r="AT38" s="79">
        <f t="shared" si="20"/>
        <v>1298</v>
      </c>
      <c r="AU38" s="79"/>
      <c r="AV38" s="400"/>
      <c r="AW38" s="79"/>
      <c r="AX38" s="79"/>
      <c r="AY38" s="79"/>
      <c r="AZ38" s="79"/>
      <c r="BA38" s="79"/>
      <c r="BB38" s="86"/>
    </row>
    <row r="39" spans="2:54" ht="15" thickBot="1">
      <c r="B39" s="67" t="s">
        <v>78</v>
      </c>
      <c r="C39" s="69"/>
      <c r="D39" s="70">
        <f>SUM(D8:D38)</f>
        <v>19764</v>
      </c>
      <c r="E39" s="70"/>
      <c r="F39" s="70">
        <f>SUM(F8:F38)</f>
        <v>4017</v>
      </c>
      <c r="G39" s="70"/>
      <c r="H39" s="70">
        <f>SUM(H8:H38)</f>
        <v>966</v>
      </c>
      <c r="I39" s="70"/>
      <c r="J39" s="70">
        <f>SUM(J8:J38)</f>
        <v>2002</v>
      </c>
      <c r="K39" s="70"/>
      <c r="L39" s="70">
        <f>SUM(L8:L38)</f>
        <v>3007</v>
      </c>
      <c r="M39" s="70"/>
      <c r="N39" s="70">
        <f>SUM(N8:N38)</f>
        <v>5758</v>
      </c>
      <c r="O39" s="70"/>
      <c r="P39" s="70">
        <f>SUM(P8:P38)</f>
        <v>0</v>
      </c>
      <c r="Q39" s="71">
        <f>SUM(Q8:Q38)</f>
        <v>35514</v>
      </c>
      <c r="R39" s="501"/>
      <c r="S39" s="502"/>
      <c r="T39" s="503">
        <f>'GLP CBBA'!I37</f>
        <v>981.11799999999994</v>
      </c>
      <c r="U39" s="97" t="s">
        <v>78</v>
      </c>
      <c r="V39" s="98"/>
      <c r="W39" s="71">
        <f>SUM(W8:W38)</f>
        <v>0</v>
      </c>
      <c r="X39" s="69"/>
      <c r="Y39" s="70">
        <f>SUM(Y8:Y38)</f>
        <v>20996</v>
      </c>
      <c r="Z39" s="70"/>
      <c r="AA39" s="70">
        <f>SUM(AA8:AA38)</f>
        <v>4044</v>
      </c>
      <c r="AB39" s="70"/>
      <c r="AC39" s="70">
        <f>SUM(AC8:AC38)</f>
        <v>141</v>
      </c>
      <c r="AD39" s="70"/>
      <c r="AE39" s="70">
        <f>SUM(AE8:AE38)</f>
        <v>1926</v>
      </c>
      <c r="AF39" s="70"/>
      <c r="AG39" s="70">
        <f>SUM(AG8:AG38)</f>
        <v>3418</v>
      </c>
      <c r="AH39" s="70"/>
      <c r="AI39" s="70">
        <f>SUM(AI8:AI38)</f>
        <v>5578</v>
      </c>
      <c r="AJ39" s="70"/>
      <c r="AK39" s="70">
        <f>SUM(AK8:AK38)</f>
        <v>0</v>
      </c>
      <c r="AL39" s="71">
        <f>SUM(AL8:AL38)</f>
        <v>36103</v>
      </c>
      <c r="AM39" s="102"/>
      <c r="AN39" s="102"/>
      <c r="AO39" s="400">
        <f t="shared" si="18"/>
        <v>2608</v>
      </c>
      <c r="AP39" s="79">
        <f t="shared" si="19"/>
        <v>0</v>
      </c>
      <c r="AQ39" s="79"/>
      <c r="AR39" s="79"/>
      <c r="AS39" s="79"/>
      <c r="AT39" s="79">
        <f t="shared" si="20"/>
        <v>1798</v>
      </c>
      <c r="AU39" s="82"/>
      <c r="AV39" s="133">
        <f>SUM(AV8:AV38)</f>
        <v>21149</v>
      </c>
      <c r="AW39" s="70">
        <f t="shared" ref="AW39:BB39" si="21">SUM(AW8:AW38)</f>
        <v>33849</v>
      </c>
      <c r="AX39" s="70">
        <f t="shared" si="21"/>
        <v>0</v>
      </c>
      <c r="AY39" s="70">
        <f t="shared" si="21"/>
        <v>0</v>
      </c>
      <c r="AZ39" s="70">
        <f t="shared" si="21"/>
        <v>0</v>
      </c>
      <c r="BA39" s="70">
        <f t="shared" si="21"/>
        <v>9014</v>
      </c>
      <c r="BB39" s="71">
        <f t="shared" si="21"/>
        <v>0</v>
      </c>
    </row>
    <row r="40" spans="2:54">
      <c r="B40" s="65" t="s">
        <v>79</v>
      </c>
      <c r="C40" s="72"/>
      <c r="D40" s="73">
        <f>NOMINACIÓN!C25</f>
        <v>21489</v>
      </c>
      <c r="E40" s="73"/>
      <c r="F40" s="73">
        <f>NOMINACIÓN!D25</f>
        <v>4400</v>
      </c>
      <c r="G40" s="73"/>
      <c r="H40" s="73">
        <f>NOMINACIÓN!E25</f>
        <v>160</v>
      </c>
      <c r="I40" s="73"/>
      <c r="J40" s="73">
        <f>NOMINACIÓN!F25</f>
        <v>2000</v>
      </c>
      <c r="K40" s="73"/>
      <c r="L40" s="73">
        <f>NOMINACIÓN!G25</f>
        <v>3400</v>
      </c>
      <c r="M40" s="73"/>
      <c r="N40" s="73">
        <f>NOMINACIÓN!H25</f>
        <v>2000</v>
      </c>
      <c r="O40" s="73"/>
      <c r="P40" s="73">
        <f>NOMINACIÓN!I25</f>
        <v>0</v>
      </c>
      <c r="Q40" s="75">
        <f>P40+N40+L40+J40+H40+F40+D40</f>
        <v>33449</v>
      </c>
      <c r="R40" s="504"/>
      <c r="S40" s="505"/>
      <c r="T40" s="506"/>
      <c r="U40" s="65" t="s">
        <v>79</v>
      </c>
      <c r="V40" s="99"/>
      <c r="W40" s="100">
        <f>NOMINACIÓN!G4</f>
        <v>0</v>
      </c>
      <c r="X40" s="72"/>
      <c r="Y40" s="73">
        <f>NOMINACIÓN!C26</f>
        <v>21489</v>
      </c>
      <c r="Z40" s="73"/>
      <c r="AA40" s="73">
        <f>NOMINACIÓN!D26</f>
        <v>4400</v>
      </c>
      <c r="AB40" s="73"/>
      <c r="AC40" s="73">
        <f>NOMINACIÓN!E26</f>
        <v>160</v>
      </c>
      <c r="AD40" s="73"/>
      <c r="AE40" s="73">
        <f>NOMINACIÓN!F26</f>
        <v>2000</v>
      </c>
      <c r="AF40" s="73"/>
      <c r="AG40" s="73">
        <f>NOMINACIÓN!G26</f>
        <v>3400</v>
      </c>
      <c r="AH40" s="73"/>
      <c r="AI40" s="73">
        <f>NOMINACIÓN!H5</f>
        <v>2000</v>
      </c>
      <c r="AJ40" s="73"/>
      <c r="AK40" s="73">
        <f>NOMINACIÓN!I26</f>
        <v>0</v>
      </c>
      <c r="AL40" s="75">
        <f>AK40+AI40+AG40+AE40+AC40+AA40+Y40</f>
        <v>33449</v>
      </c>
      <c r="AM40" s="103"/>
      <c r="AN40" s="103"/>
      <c r="AO40" s="127"/>
      <c r="AP40" s="128"/>
      <c r="AQ40" s="128"/>
      <c r="AR40" s="128"/>
      <c r="AS40" s="128"/>
      <c r="AT40" s="128"/>
      <c r="AU40" s="129"/>
      <c r="AV40" s="134">
        <f>Y39</f>
        <v>20996</v>
      </c>
      <c r="AW40" s="73">
        <f>AA39</f>
        <v>4044</v>
      </c>
      <c r="AX40" s="73">
        <f>AC39</f>
        <v>141</v>
      </c>
      <c r="AY40" s="73">
        <f>AE39</f>
        <v>1926</v>
      </c>
      <c r="AZ40" s="73">
        <f>AG39</f>
        <v>3418</v>
      </c>
      <c r="BA40" s="135">
        <f>AI39</f>
        <v>5578</v>
      </c>
      <c r="BB40" s="136">
        <f>AK39</f>
        <v>0</v>
      </c>
    </row>
    <row r="41" spans="2:54" ht="15" thickBot="1">
      <c r="B41" s="66" t="s">
        <v>80</v>
      </c>
      <c r="C41" s="74"/>
      <c r="D41" s="76">
        <f>D39-D40</f>
        <v>-1725</v>
      </c>
      <c r="E41" s="76"/>
      <c r="F41" s="76">
        <f>F39-F40</f>
        <v>-383</v>
      </c>
      <c r="G41" s="76"/>
      <c r="H41" s="76">
        <f>H39-H40</f>
        <v>806</v>
      </c>
      <c r="I41" s="76"/>
      <c r="J41" s="76">
        <f>J39-J40</f>
        <v>2</v>
      </c>
      <c r="K41" s="76"/>
      <c r="L41" s="76">
        <f>L39-L40</f>
        <v>-393</v>
      </c>
      <c r="M41" s="76"/>
      <c r="N41" s="76">
        <f>N39-N40</f>
        <v>3758</v>
      </c>
      <c r="O41" s="76"/>
      <c r="P41" s="76">
        <f>P39-P40</f>
        <v>0</v>
      </c>
      <c r="Q41" s="77">
        <f>Q39-Q40</f>
        <v>2065</v>
      </c>
      <c r="R41" s="94"/>
      <c r="S41" s="95"/>
      <c r="T41" s="96"/>
      <c r="U41" s="66" t="s">
        <v>80</v>
      </c>
      <c r="V41" s="101"/>
      <c r="W41" s="77">
        <f>W39-W40</f>
        <v>0</v>
      </c>
      <c r="X41" s="78"/>
      <c r="Y41" s="76">
        <f>Y39-Y40</f>
        <v>-493</v>
      </c>
      <c r="Z41" s="76"/>
      <c r="AA41" s="76">
        <f>AA39-AA40</f>
        <v>-356</v>
      </c>
      <c r="AB41" s="76"/>
      <c r="AC41" s="76">
        <f>AC39-AC40</f>
        <v>-19</v>
      </c>
      <c r="AD41" s="76"/>
      <c r="AE41" s="76">
        <f>AE39-AE40</f>
        <v>-74</v>
      </c>
      <c r="AF41" s="76"/>
      <c r="AG41" s="76">
        <f>AG39-AG40</f>
        <v>18</v>
      </c>
      <c r="AH41" s="76"/>
      <c r="AI41" s="76">
        <f>AI39-AI40</f>
        <v>3578</v>
      </c>
      <c r="AJ41" s="76"/>
      <c r="AK41" s="76">
        <f>AK39-AK40</f>
        <v>0</v>
      </c>
      <c r="AL41" s="77">
        <f>AL39-AL40</f>
        <v>2654</v>
      </c>
      <c r="AM41" s="104"/>
      <c r="AN41" s="104"/>
      <c r="AO41" s="130"/>
      <c r="AP41" s="131"/>
      <c r="AQ41" s="131"/>
      <c r="AR41" s="131"/>
      <c r="AS41" s="131"/>
      <c r="AT41" s="131"/>
      <c r="AU41" s="132"/>
      <c r="AV41" s="78">
        <f t="shared" ref="AV41:BB41" si="22">AV39-AV40</f>
        <v>153</v>
      </c>
      <c r="AW41" s="76">
        <f t="shared" si="22"/>
        <v>29805</v>
      </c>
      <c r="AX41" s="76">
        <f t="shared" si="22"/>
        <v>-141</v>
      </c>
      <c r="AY41" s="76">
        <f t="shared" si="22"/>
        <v>-1926</v>
      </c>
      <c r="AZ41" s="76">
        <f t="shared" si="22"/>
        <v>-3418</v>
      </c>
      <c r="BA41" s="76">
        <f t="shared" si="22"/>
        <v>3436</v>
      </c>
      <c r="BB41" s="77">
        <f t="shared" si="22"/>
        <v>0</v>
      </c>
    </row>
    <row r="42" spans="2:54" ht="43.2" customHeight="1">
      <c r="B42" s="1"/>
      <c r="C42" s="31"/>
      <c r="D42" s="1"/>
      <c r="E42" s="1"/>
      <c r="F42" s="2"/>
      <c r="G42" s="2"/>
      <c r="H42" s="2"/>
      <c r="I42" s="32"/>
      <c r="J42" s="32"/>
      <c r="K42" s="32"/>
      <c r="L42" s="32"/>
      <c r="M42" s="32"/>
      <c r="N42" s="32"/>
      <c r="O42" s="32"/>
      <c r="P42" s="2"/>
      <c r="Q42" s="3"/>
      <c r="R42" s="3"/>
      <c r="S42" s="3"/>
      <c r="T42" s="3"/>
      <c r="U42" s="33"/>
      <c r="V42" s="33"/>
      <c r="W42" s="33"/>
      <c r="X42" s="34"/>
      <c r="Y42" s="34"/>
      <c r="Z42" s="33"/>
      <c r="AA42" s="34"/>
      <c r="AB42" s="33"/>
      <c r="AC42" s="33"/>
      <c r="AD42" s="35"/>
      <c r="AE42" s="33"/>
      <c r="AF42" s="35"/>
      <c r="AG42" s="35"/>
      <c r="AH42" s="35"/>
      <c r="AI42" s="35"/>
      <c r="AJ42" s="35"/>
      <c r="AK42" s="34"/>
      <c r="AL42" s="34"/>
      <c r="AM42" s="34"/>
      <c r="AN42" s="7"/>
      <c r="AO42" s="9"/>
      <c r="AP42" s="9"/>
      <c r="AQ42" s="9"/>
      <c r="AR42" s="5"/>
      <c r="AS42" s="5"/>
      <c r="AT42" s="5"/>
      <c r="AU42" s="10"/>
      <c r="AV42" s="5"/>
      <c r="AW42" s="5"/>
      <c r="AX42" s="5"/>
      <c r="AY42" s="5"/>
      <c r="AZ42" s="5"/>
      <c r="BA42" s="5"/>
      <c r="BB42" s="5"/>
    </row>
    <row r="43" spans="2:54">
      <c r="B43" s="36"/>
      <c r="C43" s="37"/>
      <c r="D43" s="38"/>
      <c r="E43" s="38"/>
      <c r="F43" s="38"/>
      <c r="G43" s="433"/>
      <c r="H43" s="433"/>
      <c r="I43" s="38"/>
      <c r="J43" s="38"/>
      <c r="K43" s="38"/>
      <c r="L43" s="38"/>
      <c r="M43" s="38"/>
      <c r="N43" s="38"/>
      <c r="O43" s="38"/>
      <c r="P43" s="39"/>
      <c r="Q43" s="39"/>
      <c r="R43" s="39"/>
      <c r="S43" s="39"/>
      <c r="T43" s="39"/>
      <c r="U43" s="34"/>
      <c r="V43" s="34"/>
      <c r="W43" s="34"/>
      <c r="X43" s="34"/>
      <c r="Y43" s="33"/>
      <c r="Z43" s="33"/>
      <c r="AA43" s="33"/>
      <c r="AB43" s="35"/>
      <c r="AC43" s="33"/>
      <c r="AD43" s="35"/>
      <c r="AE43" s="33"/>
      <c r="AF43" s="35"/>
      <c r="AG43" s="33"/>
      <c r="AH43" s="35"/>
      <c r="AI43" s="33"/>
      <c r="AJ43" s="35"/>
      <c r="AK43" s="33"/>
      <c r="AL43" s="33"/>
      <c r="AM43" s="33"/>
      <c r="AN43" s="38"/>
      <c r="AO43" s="40"/>
      <c r="AP43" s="40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</row>
    <row r="44" spans="2:54">
      <c r="B44" s="11"/>
      <c r="C44" s="44" t="s">
        <v>81</v>
      </c>
      <c r="D44" s="2"/>
      <c r="E44" s="2"/>
      <c r="F44" s="2"/>
      <c r="G44" s="2"/>
      <c r="H44" s="2"/>
      <c r="I44" s="42"/>
      <c r="J44" s="2"/>
      <c r="K44" s="2"/>
      <c r="L44" s="2"/>
      <c r="M44" s="2"/>
      <c r="N44" s="2"/>
      <c r="O44" s="2"/>
      <c r="P44" s="2"/>
      <c r="Q44" s="41" t="s">
        <v>83</v>
      </c>
      <c r="R44" s="42"/>
      <c r="S44" s="42"/>
      <c r="T44" s="43"/>
      <c r="U44" s="42"/>
      <c r="V44" s="42"/>
      <c r="W44" s="42"/>
      <c r="X44" s="42"/>
      <c r="Y44" s="33"/>
      <c r="Z44" s="42"/>
      <c r="AA44" s="42"/>
      <c r="AB44" s="33"/>
      <c r="AC44" s="43"/>
      <c r="AD44" s="43"/>
      <c r="AE44" s="42" t="s">
        <v>82</v>
      </c>
      <c r="AF44" s="33"/>
      <c r="AG44" s="43"/>
      <c r="AH44" s="43"/>
      <c r="AI44" s="43"/>
      <c r="AJ44" s="34"/>
      <c r="AK44" s="13"/>
      <c r="AL44" s="45"/>
      <c r="AM44" s="45"/>
      <c r="AN44" s="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</row>
    <row r="45" spans="2:54">
      <c r="B45" s="5"/>
      <c r="C45" s="46" t="s">
        <v>84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 t="s">
        <v>86</v>
      </c>
      <c r="R45" s="2"/>
      <c r="S45" s="2"/>
      <c r="T45" s="2"/>
      <c r="U45" s="21"/>
      <c r="V45" s="21"/>
      <c r="W45" s="21"/>
      <c r="X45" s="2"/>
      <c r="Y45" s="47"/>
      <c r="Z45" s="21"/>
      <c r="AA45" s="2"/>
      <c r="AB45" s="47"/>
      <c r="AC45" s="47"/>
      <c r="AD45" s="47"/>
      <c r="AE45" s="2" t="s">
        <v>85</v>
      </c>
      <c r="AF45" s="21"/>
      <c r="AG45" s="21"/>
      <c r="AH45" s="21"/>
      <c r="AI45" s="21"/>
      <c r="AJ45" s="48" t="s">
        <v>87</v>
      </c>
      <c r="AK45" s="5"/>
      <c r="AL45" s="5"/>
      <c r="AM45" s="5"/>
      <c r="AN45" s="5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</row>
    <row r="46" spans="2:54">
      <c r="B46" s="5"/>
      <c r="C46" s="46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1"/>
      <c r="V46" s="21"/>
      <c r="W46" s="21"/>
      <c r="X46" s="2"/>
      <c r="Y46" s="47"/>
      <c r="Z46" s="21"/>
      <c r="AA46" s="2"/>
      <c r="AB46" s="47"/>
      <c r="AC46" s="47"/>
      <c r="AD46" s="47"/>
      <c r="AE46" s="21"/>
      <c r="AF46" s="21"/>
      <c r="AG46" s="21"/>
      <c r="AH46" s="21"/>
      <c r="AI46" s="21"/>
      <c r="AJ46" s="48"/>
      <c r="AK46" s="5"/>
      <c r="AL46" s="5"/>
      <c r="AM46" s="5"/>
      <c r="AN46" s="5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</row>
    <row r="47" spans="2:54">
      <c r="AV47" s="51"/>
    </row>
  </sheetData>
  <mergeCells count="28">
    <mergeCell ref="G3:H3"/>
    <mergeCell ref="AN5:AN7"/>
    <mergeCell ref="X5:AL5"/>
    <mergeCell ref="AL6:AL7"/>
    <mergeCell ref="AH6:AI6"/>
    <mergeCell ref="AJ6:AK6"/>
    <mergeCell ref="X6:Y6"/>
    <mergeCell ref="Z6:AA6"/>
    <mergeCell ref="AB6:AC6"/>
    <mergeCell ref="AD6:AE6"/>
    <mergeCell ref="AF6:AG6"/>
    <mergeCell ref="B5:B7"/>
    <mergeCell ref="Q6:Q7"/>
    <mergeCell ref="V6:W6"/>
    <mergeCell ref="V5:W5"/>
    <mergeCell ref="R5:T5"/>
    <mergeCell ref="O6:P6"/>
    <mergeCell ref="U5:U7"/>
    <mergeCell ref="C5:Q5"/>
    <mergeCell ref="AO5:AU6"/>
    <mergeCell ref="AV5:BB6"/>
    <mergeCell ref="C6:D6"/>
    <mergeCell ref="E6:F6"/>
    <mergeCell ref="G6:H6"/>
    <mergeCell ref="I6:J6"/>
    <mergeCell ref="K6:L6"/>
    <mergeCell ref="M6:N6"/>
    <mergeCell ref="AM5:AM7"/>
  </mergeCells>
  <conditionalFormatting sqref="AU40:AU41">
    <cfRule type="cellIs" dxfId="53" priority="85" stopIfTrue="1" operator="between">
      <formula>55</formula>
      <formula>1468</formula>
    </cfRule>
    <cfRule type="cellIs" dxfId="52" priority="86" stopIfTrue="1" operator="greaterThan">
      <formula>1775</formula>
    </cfRule>
    <cfRule type="cellIs" dxfId="51" priority="87" stopIfTrue="1" operator="lessThan">
      <formula>55</formula>
    </cfRule>
  </conditionalFormatting>
  <conditionalFormatting sqref="AR40:AT41">
    <cfRule type="cellIs" dxfId="50" priority="82" stopIfTrue="1" operator="between">
      <formula>55</formula>
      <formula>1004</formula>
    </cfRule>
    <cfRule type="cellIs" dxfId="49" priority="83" stopIfTrue="1" operator="greaterThan">
      <formula>1468</formula>
    </cfRule>
    <cfRule type="cellIs" dxfId="48" priority="84" stopIfTrue="1" operator="lessThan">
      <formula>55</formula>
    </cfRule>
  </conditionalFormatting>
  <conditionalFormatting sqref="AU4">
    <cfRule type="cellIs" dxfId="47" priority="43" stopIfTrue="1" operator="lessThan">
      <formula>100</formula>
    </cfRule>
    <cfRule type="cellIs" dxfId="46" priority="44" stopIfTrue="1" operator="between">
      <formula>100</formula>
      <formula>2070</formula>
    </cfRule>
    <cfRule type="cellIs" dxfId="45" priority="45" stopIfTrue="1" operator="greaterThan">
      <formula>2070</formula>
    </cfRule>
  </conditionalFormatting>
  <conditionalFormatting sqref="AO4:AQ4">
    <cfRule type="cellIs" dxfId="44" priority="40" stopIfTrue="1" operator="greaterThan">
      <formula>573</formula>
    </cfRule>
    <cfRule type="cellIs" dxfId="43" priority="41" stopIfTrue="1" operator="lessThan">
      <formula>30</formula>
    </cfRule>
    <cfRule type="cellIs" dxfId="42" priority="42" stopIfTrue="1" operator="between">
      <formula>30</formula>
      <formula>573</formula>
    </cfRule>
  </conditionalFormatting>
  <conditionalFormatting sqref="AR4:AT4">
    <cfRule type="cellIs" dxfId="41" priority="37" stopIfTrue="1" operator="between">
      <formula>100</formula>
      <formula>1280</formula>
    </cfRule>
    <cfRule type="cellIs" dxfId="40" priority="38" stopIfTrue="1" operator="greaterThan">
      <formula>1280</formula>
    </cfRule>
    <cfRule type="cellIs" dxfId="39" priority="39" stopIfTrue="1" operator="lessThan">
      <formula>100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BM47"/>
  <sheetViews>
    <sheetView tabSelected="1" topLeftCell="A18" zoomScaleNormal="100" workbookViewId="0">
      <selection activeCell="M29" sqref="M29"/>
    </sheetView>
  </sheetViews>
  <sheetFormatPr baseColWidth="10" defaultColWidth="11.44140625" defaultRowHeight="14.4"/>
  <cols>
    <col min="1" max="1" width="2.5546875" customWidth="1"/>
    <col min="2" max="2" width="10.5546875" customWidth="1"/>
    <col min="3" max="3" width="5.44140625" customWidth="1"/>
    <col min="4" max="4" width="7.5546875" customWidth="1"/>
    <col min="5" max="5" width="5.44140625" customWidth="1"/>
    <col min="6" max="6" width="6.5546875" customWidth="1"/>
    <col min="7" max="8" width="5.44140625" customWidth="1"/>
    <col min="9" max="12" width="5.44140625" hidden="1" customWidth="1"/>
    <col min="13" max="13" width="5.44140625" customWidth="1"/>
    <col min="14" max="14" width="6.6640625" customWidth="1"/>
    <col min="15" max="16" width="5.44140625" hidden="1" customWidth="1"/>
    <col min="17" max="17" width="7.5546875" customWidth="1"/>
    <col min="18" max="20" width="11.5546875" hidden="1" customWidth="1"/>
    <col min="21" max="21" width="9.6640625" customWidth="1"/>
    <col min="22" max="22" width="5.33203125" hidden="1" customWidth="1"/>
    <col min="23" max="23" width="7.44140625" hidden="1" customWidth="1"/>
    <col min="24" max="29" width="7.33203125" customWidth="1"/>
    <col min="30" max="33" width="7.33203125" hidden="1" customWidth="1"/>
    <col min="34" max="35" width="7.33203125" customWidth="1"/>
    <col min="36" max="37" width="7.33203125" hidden="1" customWidth="1"/>
    <col min="38" max="38" width="8.5546875" customWidth="1"/>
    <col min="39" max="39" width="5.5546875" customWidth="1"/>
    <col min="40" max="40" width="7.44140625" customWidth="1"/>
    <col min="41" max="42" width="7.33203125" customWidth="1"/>
    <col min="43" max="45" width="7.33203125" hidden="1" customWidth="1"/>
    <col min="46" max="46" width="7.33203125" customWidth="1"/>
    <col min="47" max="47" width="7.33203125" hidden="1" customWidth="1"/>
    <col min="48" max="49" width="7.33203125" customWidth="1"/>
    <col min="50" max="59" width="7.33203125" hidden="1" customWidth="1"/>
    <col min="60" max="61" width="0" hidden="1" customWidth="1"/>
  </cols>
  <sheetData>
    <row r="1" spans="2:65">
      <c r="B1" s="1"/>
      <c r="C1" s="1"/>
      <c r="D1" s="1"/>
      <c r="E1" s="2"/>
      <c r="F1" s="106" t="s">
        <v>43</v>
      </c>
      <c r="G1" s="1"/>
      <c r="H1" s="1"/>
      <c r="I1" s="3"/>
      <c r="J1" s="3"/>
      <c r="K1" s="3"/>
      <c r="L1" s="3"/>
      <c r="M1" s="3"/>
      <c r="N1" s="3"/>
      <c r="O1" s="3"/>
      <c r="P1" s="1"/>
      <c r="Q1" s="3"/>
      <c r="R1" s="3"/>
      <c r="S1" s="3"/>
      <c r="T1" s="3"/>
      <c r="U1" s="4"/>
      <c r="V1" s="4"/>
      <c r="W1" s="4"/>
      <c r="X1" s="5"/>
      <c r="Y1" s="6"/>
      <c r="Z1" s="7"/>
      <c r="AA1" s="1"/>
      <c r="AB1" s="1"/>
      <c r="AC1" s="1"/>
      <c r="AD1" s="8"/>
      <c r="AE1" s="8"/>
      <c r="AF1" s="8"/>
      <c r="AG1" s="8"/>
      <c r="AH1" s="8"/>
      <c r="AI1" s="8"/>
      <c r="AJ1" s="8"/>
      <c r="AK1" s="1"/>
      <c r="AL1" s="7"/>
      <c r="AM1" s="7"/>
      <c r="AN1" s="7"/>
      <c r="AO1" s="9"/>
      <c r="AP1" s="9"/>
      <c r="AQ1" s="9"/>
      <c r="AR1" s="5"/>
      <c r="AS1" s="5"/>
      <c r="AT1" s="5"/>
      <c r="AU1" s="10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</row>
    <row r="2" spans="2:65">
      <c r="B2" s="11"/>
      <c r="C2" s="1"/>
      <c r="D2" s="1"/>
      <c r="E2" s="11"/>
      <c r="F2" s="107" t="s">
        <v>107</v>
      </c>
      <c r="G2" s="1"/>
      <c r="H2" s="5"/>
      <c r="I2" s="12"/>
      <c r="J2" s="12"/>
      <c r="K2" s="13"/>
      <c r="L2" s="13"/>
      <c r="M2" s="13"/>
      <c r="N2" s="13"/>
      <c r="O2" s="13"/>
      <c r="P2" s="14"/>
      <c r="Q2" s="1"/>
      <c r="R2" s="1"/>
      <c r="S2" s="1"/>
      <c r="T2" s="5"/>
      <c r="U2" s="12"/>
      <c r="V2" s="12"/>
      <c r="W2" s="12"/>
      <c r="X2" s="12"/>
      <c r="Y2" s="13"/>
      <c r="Z2" s="15"/>
      <c r="AA2" s="15"/>
      <c r="AB2" s="15"/>
      <c r="AC2" s="15"/>
      <c r="AD2" s="15"/>
      <c r="AE2" s="16"/>
      <c r="AF2" s="16"/>
      <c r="AG2" s="16"/>
      <c r="AH2" s="16"/>
      <c r="AI2" s="16"/>
      <c r="AJ2" s="451"/>
      <c r="AK2" s="451"/>
      <c r="AL2" s="451"/>
      <c r="AM2" s="451"/>
      <c r="AN2" s="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</row>
    <row r="3" spans="2:65" ht="15.6">
      <c r="B3" s="11"/>
      <c r="C3" s="1"/>
      <c r="D3" s="1"/>
      <c r="E3" s="11"/>
      <c r="F3" s="108" t="s">
        <v>47</v>
      </c>
      <c r="G3" s="559">
        <f>'PCOLP I'!G3</f>
        <v>45870</v>
      </c>
      <c r="H3" s="560"/>
      <c r="I3" s="12"/>
      <c r="J3" s="12"/>
      <c r="K3" s="13"/>
      <c r="L3" s="13"/>
      <c r="M3" s="18"/>
      <c r="N3" s="13"/>
      <c r="O3" s="13"/>
      <c r="P3" s="11"/>
      <c r="Q3" s="1"/>
      <c r="R3" s="1"/>
      <c r="S3" s="1"/>
      <c r="T3" s="18"/>
      <c r="U3" s="18"/>
      <c r="V3" s="18"/>
      <c r="W3" s="18"/>
      <c r="X3" s="12"/>
      <c r="Y3" s="12"/>
      <c r="Z3" s="19"/>
      <c r="AA3" s="19"/>
      <c r="AB3" s="19"/>
      <c r="AC3" s="19"/>
      <c r="AD3" s="19"/>
      <c r="AE3" s="16"/>
      <c r="AF3" s="16"/>
      <c r="AG3" s="16"/>
      <c r="AH3" s="16"/>
      <c r="AI3" s="16"/>
      <c r="AJ3" s="451"/>
      <c r="AK3" s="451"/>
      <c r="AL3" s="50" t="s">
        <v>48</v>
      </c>
      <c r="AM3" s="50"/>
      <c r="AN3" s="20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</row>
    <row r="4" spans="2:65" ht="15" thickBot="1">
      <c r="B4" s="11"/>
      <c r="C4" s="1"/>
      <c r="D4" s="1"/>
      <c r="E4" s="11"/>
      <c r="F4" s="109" t="s">
        <v>250</v>
      </c>
      <c r="G4" s="52"/>
      <c r="H4" s="53"/>
      <c r="I4" s="12"/>
      <c r="J4" s="22"/>
      <c r="K4" s="3"/>
      <c r="L4" s="3"/>
      <c r="M4" s="21"/>
      <c r="N4" s="3"/>
      <c r="O4" s="12"/>
      <c r="P4" s="11"/>
      <c r="Q4" s="1"/>
      <c r="R4" s="1"/>
      <c r="S4" s="1"/>
      <c r="T4" s="21"/>
      <c r="U4" s="21"/>
      <c r="V4" s="21"/>
      <c r="W4" s="21"/>
      <c r="X4" s="12"/>
      <c r="Y4" s="22"/>
      <c r="Z4" s="23"/>
      <c r="AA4" s="24"/>
      <c r="AB4" s="24"/>
      <c r="AC4" s="24"/>
      <c r="AD4" s="24"/>
      <c r="AE4" s="16"/>
      <c r="AF4" s="16"/>
      <c r="AG4" s="16"/>
      <c r="AH4" s="16"/>
      <c r="AI4" s="16"/>
      <c r="AJ4" s="451"/>
      <c r="AK4" s="451"/>
      <c r="AL4" s="451"/>
      <c r="AM4" s="451"/>
      <c r="AN4" s="20"/>
      <c r="AO4" s="25"/>
      <c r="AP4" s="25"/>
      <c r="AQ4" s="25"/>
      <c r="AR4" s="26"/>
      <c r="AS4" s="26"/>
      <c r="AT4" s="26"/>
      <c r="AU4" s="27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</row>
    <row r="5" spans="2:65" ht="28.35" customHeight="1" thickBot="1">
      <c r="B5" s="583" t="s">
        <v>49</v>
      </c>
      <c r="C5" s="594" t="s">
        <v>95</v>
      </c>
      <c r="D5" s="595"/>
      <c r="E5" s="595"/>
      <c r="F5" s="595"/>
      <c r="G5" s="595"/>
      <c r="H5" s="595"/>
      <c r="I5" s="595"/>
      <c r="J5" s="595"/>
      <c r="K5" s="595"/>
      <c r="L5" s="595"/>
      <c r="M5" s="595"/>
      <c r="N5" s="595"/>
      <c r="O5" s="595"/>
      <c r="P5" s="595"/>
      <c r="Q5" s="596"/>
      <c r="R5" s="622" t="s">
        <v>96</v>
      </c>
      <c r="S5" s="595"/>
      <c r="T5" s="596"/>
      <c r="U5" s="574" t="s">
        <v>49</v>
      </c>
      <c r="V5" s="569" t="s">
        <v>97</v>
      </c>
      <c r="W5" s="571"/>
      <c r="X5" s="577" t="s">
        <v>108</v>
      </c>
      <c r="Y5" s="578"/>
      <c r="Z5" s="578"/>
      <c r="AA5" s="578"/>
      <c r="AB5" s="578"/>
      <c r="AC5" s="578"/>
      <c r="AD5" s="578"/>
      <c r="AE5" s="578"/>
      <c r="AF5" s="578"/>
      <c r="AG5" s="578"/>
      <c r="AH5" s="578"/>
      <c r="AI5" s="578"/>
      <c r="AJ5" s="578"/>
      <c r="AK5" s="578"/>
      <c r="AL5" s="579"/>
      <c r="AM5" s="583"/>
      <c r="AN5" s="583" t="s">
        <v>49</v>
      </c>
      <c r="AO5" s="586" t="s">
        <v>109</v>
      </c>
      <c r="AP5" s="587"/>
      <c r="AQ5" s="587"/>
      <c r="AR5" s="588"/>
      <c r="AS5" s="588"/>
      <c r="AT5" s="588"/>
      <c r="AU5" s="589"/>
      <c r="AV5" s="586" t="s">
        <v>110</v>
      </c>
      <c r="AW5" s="587"/>
      <c r="AX5" s="587"/>
      <c r="AY5" s="587"/>
      <c r="AZ5" s="587"/>
      <c r="BA5" s="588"/>
      <c r="BB5" s="589"/>
      <c r="BC5" s="586" t="s">
        <v>111</v>
      </c>
      <c r="BD5" s="587"/>
      <c r="BE5" s="587"/>
      <c r="BF5" s="587"/>
      <c r="BG5" s="587"/>
      <c r="BH5" s="588"/>
      <c r="BI5" s="589"/>
    </row>
    <row r="6" spans="2:65" ht="26.1" customHeight="1" thickBot="1">
      <c r="B6" s="584"/>
      <c r="C6" s="593" t="s">
        <v>2</v>
      </c>
      <c r="D6" s="567"/>
      <c r="E6" s="566" t="s">
        <v>68</v>
      </c>
      <c r="F6" s="567"/>
      <c r="G6" s="566" t="s">
        <v>69</v>
      </c>
      <c r="H6" s="566"/>
      <c r="I6" s="566" t="s">
        <v>70</v>
      </c>
      <c r="J6" s="567"/>
      <c r="K6" s="566" t="s">
        <v>112</v>
      </c>
      <c r="L6" s="567"/>
      <c r="M6" s="566" t="s">
        <v>183</v>
      </c>
      <c r="N6" s="567"/>
      <c r="O6" s="566" t="s">
        <v>7</v>
      </c>
      <c r="P6" s="567"/>
      <c r="Q6" s="581" t="s">
        <v>72</v>
      </c>
      <c r="R6" s="137" t="s">
        <v>101</v>
      </c>
      <c r="S6" s="138" t="s">
        <v>102</v>
      </c>
      <c r="T6" s="139"/>
      <c r="U6" s="575"/>
      <c r="V6" s="572" t="s">
        <v>103</v>
      </c>
      <c r="W6" s="615"/>
      <c r="X6" s="593" t="s">
        <v>2</v>
      </c>
      <c r="Y6" s="567"/>
      <c r="Z6" s="566" t="s">
        <v>68</v>
      </c>
      <c r="AA6" s="567"/>
      <c r="AB6" s="566" t="s">
        <v>69</v>
      </c>
      <c r="AC6" s="566"/>
      <c r="AD6" s="566" t="s">
        <v>70</v>
      </c>
      <c r="AE6" s="567"/>
      <c r="AF6" s="566" t="s">
        <v>112</v>
      </c>
      <c r="AG6" s="567"/>
      <c r="AH6" s="566" t="s">
        <v>183</v>
      </c>
      <c r="AI6" s="567"/>
      <c r="AJ6" s="566" t="s">
        <v>7</v>
      </c>
      <c r="AK6" s="567"/>
      <c r="AL6" s="581" t="s">
        <v>72</v>
      </c>
      <c r="AM6" s="584"/>
      <c r="AN6" s="584"/>
      <c r="AO6" s="590"/>
      <c r="AP6" s="591"/>
      <c r="AQ6" s="591"/>
      <c r="AR6" s="591"/>
      <c r="AS6" s="591"/>
      <c r="AT6" s="591"/>
      <c r="AU6" s="592"/>
      <c r="AV6" s="590"/>
      <c r="AW6" s="591"/>
      <c r="AX6" s="591"/>
      <c r="AY6" s="591"/>
      <c r="AZ6" s="591"/>
      <c r="BA6" s="591"/>
      <c r="BB6" s="592"/>
      <c r="BC6" s="590"/>
      <c r="BD6" s="591"/>
      <c r="BE6" s="591"/>
      <c r="BF6" s="591"/>
      <c r="BG6" s="591"/>
      <c r="BH6" s="591"/>
      <c r="BI6" s="592"/>
    </row>
    <row r="7" spans="2:65" ht="15" thickBot="1">
      <c r="B7" s="585"/>
      <c r="C7" s="140" t="s">
        <v>74</v>
      </c>
      <c r="D7" s="141" t="s">
        <v>75</v>
      </c>
      <c r="E7" s="141" t="s">
        <v>74</v>
      </c>
      <c r="F7" s="141" t="s">
        <v>75</v>
      </c>
      <c r="G7" s="141" t="s">
        <v>74</v>
      </c>
      <c r="H7" s="141" t="s">
        <v>75</v>
      </c>
      <c r="I7" s="141" t="s">
        <v>74</v>
      </c>
      <c r="J7" s="141" t="s">
        <v>75</v>
      </c>
      <c r="K7" s="141" t="s">
        <v>74</v>
      </c>
      <c r="L7" s="141" t="s">
        <v>75</v>
      </c>
      <c r="M7" s="141" t="s">
        <v>74</v>
      </c>
      <c r="N7" s="141" t="s">
        <v>75</v>
      </c>
      <c r="O7" s="141" t="s">
        <v>74</v>
      </c>
      <c r="P7" s="152" t="s">
        <v>75</v>
      </c>
      <c r="Q7" s="585"/>
      <c r="R7" s="143" t="s">
        <v>104</v>
      </c>
      <c r="S7" s="144" t="s">
        <v>105</v>
      </c>
      <c r="T7" s="145" t="s">
        <v>106</v>
      </c>
      <c r="U7" s="576"/>
      <c r="V7" s="140" t="s">
        <v>74</v>
      </c>
      <c r="W7" s="141" t="s">
        <v>75</v>
      </c>
      <c r="X7" s="140" t="s">
        <v>74</v>
      </c>
      <c r="Y7" s="141" t="s">
        <v>75</v>
      </c>
      <c r="Z7" s="141" t="s">
        <v>74</v>
      </c>
      <c r="AA7" s="141" t="s">
        <v>75</v>
      </c>
      <c r="AB7" s="141" t="s">
        <v>74</v>
      </c>
      <c r="AC7" s="141" t="s">
        <v>75</v>
      </c>
      <c r="AD7" s="141" t="s">
        <v>74</v>
      </c>
      <c r="AE7" s="141" t="s">
        <v>75</v>
      </c>
      <c r="AF7" s="141" t="s">
        <v>74</v>
      </c>
      <c r="AG7" s="141" t="s">
        <v>75</v>
      </c>
      <c r="AH7" s="141" t="s">
        <v>74</v>
      </c>
      <c r="AI7" s="141" t="s">
        <v>75</v>
      </c>
      <c r="AJ7" s="141" t="s">
        <v>74</v>
      </c>
      <c r="AK7" s="152" t="s">
        <v>75</v>
      </c>
      <c r="AL7" s="585"/>
      <c r="AM7" s="585"/>
      <c r="AN7" s="585"/>
      <c r="AO7" s="146" t="s">
        <v>73</v>
      </c>
      <c r="AP7" s="147" t="s">
        <v>3</v>
      </c>
      <c r="AQ7" s="147" t="s">
        <v>4</v>
      </c>
      <c r="AR7" s="147" t="s">
        <v>5</v>
      </c>
      <c r="AS7" s="147" t="s">
        <v>6</v>
      </c>
      <c r="AT7" s="147" t="s">
        <v>183</v>
      </c>
      <c r="AU7" s="148" t="s">
        <v>8</v>
      </c>
      <c r="AV7" s="146" t="s">
        <v>73</v>
      </c>
      <c r="AW7" s="147" t="s">
        <v>3</v>
      </c>
      <c r="AX7" s="147" t="s">
        <v>4</v>
      </c>
      <c r="AY7" s="147" t="s">
        <v>5</v>
      </c>
      <c r="AZ7" s="147" t="s">
        <v>6</v>
      </c>
      <c r="BA7" s="147" t="s">
        <v>183</v>
      </c>
      <c r="BB7" s="148" t="s">
        <v>8</v>
      </c>
      <c r="BC7" s="146" t="s">
        <v>73</v>
      </c>
      <c r="BD7" s="268" t="s">
        <v>3</v>
      </c>
      <c r="BE7" s="268" t="s">
        <v>4</v>
      </c>
      <c r="BF7" s="147" t="s">
        <v>5</v>
      </c>
      <c r="BG7" s="147" t="s">
        <v>6</v>
      </c>
      <c r="BH7" s="147" t="s">
        <v>27</v>
      </c>
      <c r="BI7" s="148" t="s">
        <v>8</v>
      </c>
      <c r="BL7" s="208"/>
    </row>
    <row r="8" spans="2:65">
      <c r="B8" s="456">
        <f>G3</f>
        <v>45870</v>
      </c>
      <c r="C8" s="376"/>
      <c r="D8" s="111"/>
      <c r="E8" s="412">
        <v>44</v>
      </c>
      <c r="F8" s="413">
        <v>452</v>
      </c>
      <c r="G8" s="412"/>
      <c r="H8" s="413"/>
      <c r="I8" s="414"/>
      <c r="J8" s="415"/>
      <c r="K8" s="410"/>
      <c r="L8" s="411"/>
      <c r="M8" s="412"/>
      <c r="N8" s="413"/>
      <c r="O8" s="412"/>
      <c r="P8" s="413"/>
      <c r="Q8" s="389">
        <f t="shared" ref="Q8" si="0">P8+N8+L8+J8+H8+F8+D8</f>
        <v>452</v>
      </c>
      <c r="R8" s="386"/>
      <c r="S8" s="385"/>
      <c r="T8" s="387"/>
      <c r="U8" s="388">
        <f t="shared" ref="U8" si="1">B8</f>
        <v>45870</v>
      </c>
      <c r="V8" s="390"/>
      <c r="W8" s="392"/>
      <c r="X8" s="323"/>
      <c r="Y8" s="341">
        <v>159</v>
      </c>
      <c r="Z8" s="412">
        <v>43</v>
      </c>
      <c r="AA8" s="413">
        <v>287</v>
      </c>
      <c r="AB8" s="478"/>
      <c r="AC8" s="459"/>
      <c r="AD8" s="460"/>
      <c r="AE8" s="461"/>
      <c r="AF8" s="462"/>
      <c r="AG8" s="463"/>
      <c r="AH8" s="478"/>
      <c r="AI8" s="413"/>
      <c r="AJ8" s="462"/>
      <c r="AK8" s="463"/>
      <c r="AL8" s="491">
        <f>AK8+AI8+AG8+AE8+AC8+AA8+Y8+W8</f>
        <v>446</v>
      </c>
      <c r="AM8" s="117">
        <f>AL8-Q8</f>
        <v>-6</v>
      </c>
      <c r="AN8" s="63">
        <f>U8</f>
        <v>45870</v>
      </c>
      <c r="AO8" s="176">
        <v>898</v>
      </c>
      <c r="AP8" s="176">
        <v>514</v>
      </c>
      <c r="AQ8" s="83">
        <f>'[5]PCOLP II'!AQ39</f>
        <v>0</v>
      </c>
      <c r="AR8" s="83">
        <f>'[5]PCOLP II'!AR39</f>
        <v>0</v>
      </c>
      <c r="AS8" s="83">
        <f>'[5]PCOLP II'!AS39</f>
        <v>0</v>
      </c>
      <c r="AT8" s="176">
        <f>'[4]PCOLP II'!AT39</f>
        <v>-9051.76</v>
      </c>
      <c r="AU8" s="177"/>
      <c r="AV8" s="400">
        <v>150</v>
      </c>
      <c r="AW8" s="79">
        <v>204</v>
      </c>
      <c r="AX8" s="79">
        <v>200</v>
      </c>
      <c r="AY8" s="79">
        <v>200</v>
      </c>
      <c r="AZ8" s="79">
        <v>200</v>
      </c>
      <c r="BA8" s="83"/>
      <c r="BB8" s="86"/>
      <c r="BC8" s="400"/>
      <c r="BD8" s="400"/>
      <c r="BE8" s="85"/>
      <c r="BF8" s="84"/>
      <c r="BG8" s="84"/>
      <c r="BH8" s="84"/>
      <c r="BI8" s="85"/>
      <c r="BJ8" s="208"/>
      <c r="BL8" s="208"/>
      <c r="BM8" s="208"/>
    </row>
    <row r="9" spans="2:65">
      <c r="B9" s="393">
        <f t="shared" ref="B9:B26" si="2">B8+1</f>
        <v>45871</v>
      </c>
      <c r="C9" s="54"/>
      <c r="D9" s="341"/>
      <c r="E9" s="412"/>
      <c r="F9" s="420"/>
      <c r="G9" s="419"/>
      <c r="H9" s="420"/>
      <c r="I9" s="423"/>
      <c r="J9" s="426"/>
      <c r="K9" s="424"/>
      <c r="L9" s="425"/>
      <c r="M9" s="419"/>
      <c r="N9" s="341"/>
      <c r="O9" s="378"/>
      <c r="P9" s="341"/>
      <c r="Q9" s="373">
        <f t="shared" ref="Q9" si="3">P9+N9+L9+J9+H9+F9+D9</f>
        <v>0</v>
      </c>
      <c r="R9" s="379"/>
      <c r="S9" s="380"/>
      <c r="T9" s="381"/>
      <c r="U9" s="116">
        <f t="shared" ref="U9" si="4">B9</f>
        <v>45871</v>
      </c>
      <c r="V9" s="375"/>
      <c r="W9" s="382"/>
      <c r="X9" s="377"/>
      <c r="Y9" s="341"/>
      <c r="Z9" s="412"/>
      <c r="AA9" s="413"/>
      <c r="AB9" s="458"/>
      <c r="AC9" s="464"/>
      <c r="AD9" s="465"/>
      <c r="AE9" s="466"/>
      <c r="AF9" s="467"/>
      <c r="AG9" s="468"/>
      <c r="AH9" s="458"/>
      <c r="AI9" s="413"/>
      <c r="AJ9" s="469"/>
      <c r="AK9" s="470"/>
      <c r="AL9" s="492">
        <f>AK9+AI9+AG9+AE9+AC9+AA9+Y9+W9</f>
        <v>0</v>
      </c>
      <c r="AM9" s="118">
        <f>AL9-Q9</f>
        <v>0</v>
      </c>
      <c r="AN9" s="87">
        <f>U9</f>
        <v>45871</v>
      </c>
      <c r="AO9" s="178">
        <f>IF(AO8+Y8-AV8&lt;0,0,AO8+Y8-AV8)</f>
        <v>907</v>
      </c>
      <c r="AP9" s="179">
        <f t="shared" ref="AP9:AP17" si="5">IF(AP8+AA8-AW8-BD8&lt;0,0,AP8+AA8-AW8-BD8)</f>
        <v>597</v>
      </c>
      <c r="AQ9" s="79"/>
      <c r="AR9" s="79"/>
      <c r="AS9" s="79">
        <f t="shared" ref="AS9:AS18" si="6">IF(AS8+AG8-AZ8&lt;0,0,AS8+AG8-AZ8)</f>
        <v>0</v>
      </c>
      <c r="AT9" s="179"/>
      <c r="AU9" s="179"/>
      <c r="AV9" s="400">
        <v>167</v>
      </c>
      <c r="AW9" s="79">
        <v>374</v>
      </c>
      <c r="AX9" s="79"/>
      <c r="AY9" s="79"/>
      <c r="AZ9" s="79"/>
      <c r="BA9" s="79"/>
      <c r="BB9" s="86"/>
      <c r="BC9" s="400"/>
      <c r="BD9" s="400"/>
      <c r="BE9" s="86"/>
      <c r="BF9" s="79"/>
      <c r="BG9" s="79"/>
      <c r="BH9" s="79"/>
      <c r="BI9" s="86"/>
      <c r="BJ9" s="208"/>
      <c r="BK9" s="208"/>
      <c r="BL9" s="208"/>
      <c r="BM9" s="208"/>
    </row>
    <row r="10" spans="2:65">
      <c r="B10" s="393">
        <f t="shared" si="2"/>
        <v>45872</v>
      </c>
      <c r="C10" s="54"/>
      <c r="D10" s="341"/>
      <c r="E10" s="412">
        <v>44</v>
      </c>
      <c r="F10" s="420">
        <v>825</v>
      </c>
      <c r="G10" s="412"/>
      <c r="H10" s="413"/>
      <c r="I10" s="414"/>
      <c r="J10" s="415"/>
      <c r="K10" s="410"/>
      <c r="L10" s="411"/>
      <c r="M10" s="412"/>
      <c r="N10" s="413"/>
      <c r="O10" s="412"/>
      <c r="P10" s="413"/>
      <c r="Q10" s="389">
        <f t="shared" ref="Q10:Q17" si="7">P10+N10+L10+J10+H10+F10+D10</f>
        <v>825</v>
      </c>
      <c r="R10" s="386"/>
      <c r="S10" s="385"/>
      <c r="T10" s="387"/>
      <c r="U10" s="388">
        <f t="shared" ref="U10:U17" si="8">B10</f>
        <v>45872</v>
      </c>
      <c r="V10" s="390"/>
      <c r="W10" s="392"/>
      <c r="X10" s="323"/>
      <c r="Y10" s="341"/>
      <c r="Z10" s="412">
        <v>43</v>
      </c>
      <c r="AA10" s="413">
        <v>907</v>
      </c>
      <c r="AB10" s="29"/>
      <c r="AC10" s="457"/>
      <c r="AD10" s="471"/>
      <c r="AE10" s="472"/>
      <c r="AF10" s="469"/>
      <c r="AG10" s="470"/>
      <c r="AH10" s="29"/>
      <c r="AI10" s="413"/>
      <c r="AJ10" s="469"/>
      <c r="AK10" s="470"/>
      <c r="AL10" s="492">
        <f t="shared" ref="AL10:AL38" si="9">AK10+AI10+AG10+AE10+AC10+AA10+Y10+W10</f>
        <v>907</v>
      </c>
      <c r="AM10" s="118">
        <f t="shared" ref="AM10:AM38" si="10">AL10-Q10</f>
        <v>82</v>
      </c>
      <c r="AN10" s="87">
        <f t="shared" ref="AN10:AN38" si="11">U10</f>
        <v>45872</v>
      </c>
      <c r="AO10" s="178">
        <f>IF(AO9+Y9-AV9&lt;0,0,AO9+Y9-AV9)</f>
        <v>740</v>
      </c>
      <c r="AP10" s="179">
        <f t="shared" si="5"/>
        <v>223</v>
      </c>
      <c r="AQ10" s="79"/>
      <c r="AR10" s="79"/>
      <c r="AS10" s="79">
        <f t="shared" si="6"/>
        <v>0</v>
      </c>
      <c r="AT10" s="179"/>
      <c r="AU10" s="179"/>
      <c r="AV10" s="400"/>
      <c r="AW10" s="79">
        <v>0</v>
      </c>
      <c r="AX10" s="79">
        <v>200</v>
      </c>
      <c r="AY10" s="79">
        <v>200</v>
      </c>
      <c r="AZ10" s="79">
        <v>200</v>
      </c>
      <c r="BA10" s="79"/>
      <c r="BB10" s="86"/>
      <c r="BC10" s="400"/>
      <c r="BD10" s="400"/>
      <c r="BE10" s="86"/>
      <c r="BF10" s="79"/>
      <c r="BG10" s="79"/>
      <c r="BH10" s="79"/>
      <c r="BI10" s="86"/>
      <c r="BJ10" s="208"/>
      <c r="BK10" s="208"/>
      <c r="BL10" s="208"/>
      <c r="BM10" s="208"/>
    </row>
    <row r="11" spans="2:65">
      <c r="B11" s="393">
        <f t="shared" si="2"/>
        <v>45873</v>
      </c>
      <c r="C11" s="54"/>
      <c r="D11" s="341"/>
      <c r="E11" s="412"/>
      <c r="F11" s="413"/>
      <c r="G11" s="412"/>
      <c r="H11" s="413"/>
      <c r="I11" s="414"/>
      <c r="J11" s="415"/>
      <c r="K11" s="410"/>
      <c r="L11" s="411"/>
      <c r="M11" s="412"/>
      <c r="N11" s="413"/>
      <c r="O11" s="412"/>
      <c r="P11" s="413"/>
      <c r="Q11" s="389">
        <f t="shared" ref="Q11" si="12">P11+N11+L11+J11+H11+F11+D11</f>
        <v>0</v>
      </c>
      <c r="R11" s="386"/>
      <c r="S11" s="385"/>
      <c r="T11" s="387"/>
      <c r="U11" s="388">
        <f t="shared" ref="U11" si="13">B11</f>
        <v>45873</v>
      </c>
      <c r="V11" s="390"/>
      <c r="W11" s="392"/>
      <c r="X11" s="323"/>
      <c r="Y11" s="341"/>
      <c r="Z11" s="412"/>
      <c r="AA11" s="413"/>
      <c r="AB11" s="29"/>
      <c r="AC11" s="457"/>
      <c r="AD11" s="471"/>
      <c r="AE11" s="472"/>
      <c r="AF11" s="469"/>
      <c r="AG11" s="470"/>
      <c r="AH11" s="29"/>
      <c r="AI11" s="413"/>
      <c r="AJ11" s="469"/>
      <c r="AK11" s="470"/>
      <c r="AL11" s="492">
        <f>AK11+AI11+AG11+AE11+AC11+AA11+Y11+W11</f>
        <v>0</v>
      </c>
      <c r="AM11" s="118">
        <f t="shared" si="10"/>
        <v>0</v>
      </c>
      <c r="AN11" s="87">
        <f t="shared" si="11"/>
        <v>45873</v>
      </c>
      <c r="AO11" s="178">
        <v>652</v>
      </c>
      <c r="AP11" s="179">
        <v>1060</v>
      </c>
      <c r="AQ11" s="79"/>
      <c r="AR11" s="79"/>
      <c r="AS11" s="79">
        <f t="shared" si="6"/>
        <v>0</v>
      </c>
      <c r="AT11" s="179"/>
      <c r="AU11" s="79"/>
      <c r="AV11" s="400">
        <v>301</v>
      </c>
      <c r="AW11" s="79">
        <v>374</v>
      </c>
      <c r="AX11" s="79"/>
      <c r="AY11" s="79"/>
      <c r="AZ11" s="79"/>
      <c r="BA11" s="79"/>
      <c r="BB11" s="86"/>
      <c r="BC11" s="400"/>
      <c r="BD11" s="400"/>
      <c r="BE11" s="86"/>
      <c r="BF11" s="79"/>
      <c r="BG11" s="79"/>
      <c r="BH11" s="79"/>
      <c r="BI11" s="86"/>
      <c r="BJ11" s="208"/>
      <c r="BK11" s="208"/>
      <c r="BL11" s="208"/>
      <c r="BM11" s="208"/>
    </row>
    <row r="12" spans="2:65">
      <c r="B12" s="394">
        <f t="shared" si="2"/>
        <v>45874</v>
      </c>
      <c r="C12" s="54"/>
      <c r="D12" s="341"/>
      <c r="E12" s="412"/>
      <c r="F12" s="413"/>
      <c r="G12" s="412"/>
      <c r="H12" s="413"/>
      <c r="I12" s="414"/>
      <c r="J12" s="415"/>
      <c r="K12" s="410"/>
      <c r="L12" s="411"/>
      <c r="M12" s="412"/>
      <c r="N12" s="413"/>
      <c r="O12" s="412"/>
      <c r="P12" s="413"/>
      <c r="Q12" s="389">
        <f t="shared" ref="Q12:Q13" si="14">P12+N12+L12+J12+H12+F12+D12</f>
        <v>0</v>
      </c>
      <c r="R12" s="386"/>
      <c r="S12" s="385"/>
      <c r="T12" s="387"/>
      <c r="U12" s="388">
        <f t="shared" ref="U12:U13" si="15">B12</f>
        <v>45874</v>
      </c>
      <c r="V12" s="390"/>
      <c r="W12" s="392"/>
      <c r="X12" s="323"/>
      <c r="Y12" s="341"/>
      <c r="Z12" s="412"/>
      <c r="AA12" s="413"/>
      <c r="AB12" s="29"/>
      <c r="AC12" s="457"/>
      <c r="AD12" s="471"/>
      <c r="AE12" s="472"/>
      <c r="AF12" s="469"/>
      <c r="AG12" s="470"/>
      <c r="AH12" s="29"/>
      <c r="AI12" s="413"/>
      <c r="AJ12" s="469"/>
      <c r="AK12" s="470"/>
      <c r="AL12" s="492">
        <f t="shared" si="9"/>
        <v>0</v>
      </c>
      <c r="AM12" s="118">
        <f t="shared" si="10"/>
        <v>0</v>
      </c>
      <c r="AN12" s="87">
        <f t="shared" si="11"/>
        <v>45874</v>
      </c>
      <c r="AO12" s="178">
        <v>412</v>
      </c>
      <c r="AP12" s="179">
        <v>800</v>
      </c>
      <c r="AQ12" s="79"/>
      <c r="AR12" s="79"/>
      <c r="AS12" s="79">
        <f t="shared" si="6"/>
        <v>0</v>
      </c>
      <c r="AT12" s="179"/>
      <c r="AU12" s="79"/>
      <c r="AV12" s="400">
        <v>313</v>
      </c>
      <c r="AW12" s="79">
        <v>238</v>
      </c>
      <c r="AX12" s="79">
        <v>200</v>
      </c>
      <c r="AY12" s="79">
        <v>200</v>
      </c>
      <c r="AZ12" s="79">
        <v>200</v>
      </c>
      <c r="BA12" s="79"/>
      <c r="BB12" s="86"/>
      <c r="BC12" s="400"/>
      <c r="BD12" s="400"/>
      <c r="BE12" s="86"/>
      <c r="BF12" s="79"/>
      <c r="BG12" s="79"/>
      <c r="BH12" s="79"/>
      <c r="BI12" s="86"/>
      <c r="BJ12" s="208"/>
      <c r="BK12" s="208"/>
      <c r="BL12" s="208"/>
      <c r="BM12" s="208"/>
    </row>
    <row r="13" spans="2:65">
      <c r="B13" s="393">
        <f t="shared" si="2"/>
        <v>45875</v>
      </c>
      <c r="C13" s="54">
        <v>42</v>
      </c>
      <c r="D13" s="28">
        <v>801</v>
      </c>
      <c r="E13" s="412"/>
      <c r="F13" s="413"/>
      <c r="G13" s="412"/>
      <c r="H13" s="413"/>
      <c r="I13" s="414"/>
      <c r="J13" s="415"/>
      <c r="K13" s="410"/>
      <c r="L13" s="411"/>
      <c r="M13" s="412"/>
      <c r="N13" s="413"/>
      <c r="O13" s="412"/>
      <c r="P13" s="413"/>
      <c r="Q13" s="389">
        <f t="shared" si="14"/>
        <v>801</v>
      </c>
      <c r="R13" s="386"/>
      <c r="S13" s="385"/>
      <c r="T13" s="387"/>
      <c r="U13" s="388">
        <f t="shared" si="15"/>
        <v>45875</v>
      </c>
      <c r="V13" s="390"/>
      <c r="W13" s="392"/>
      <c r="X13" s="54">
        <v>41</v>
      </c>
      <c r="Y13" s="28">
        <v>616</v>
      </c>
      <c r="Z13" s="412">
        <v>43</v>
      </c>
      <c r="AA13" s="413">
        <v>120</v>
      </c>
      <c r="AB13" s="29"/>
      <c r="AC13" s="457"/>
      <c r="AD13" s="471"/>
      <c r="AE13" s="472"/>
      <c r="AF13" s="469"/>
      <c r="AG13" s="470"/>
      <c r="AH13" s="29"/>
      <c r="AI13" s="413"/>
      <c r="AJ13" s="469"/>
      <c r="AK13" s="470"/>
      <c r="AL13" s="492">
        <f t="shared" si="9"/>
        <v>736</v>
      </c>
      <c r="AM13" s="118">
        <f t="shared" si="10"/>
        <v>-65</v>
      </c>
      <c r="AN13" s="87">
        <f t="shared" si="11"/>
        <v>45875</v>
      </c>
      <c r="AO13" s="178">
        <f t="shared" ref="AO13:AO17" si="16">IF(AO12+Y12-AV12&lt;0,0,AO12+Y12-AV12)</f>
        <v>99</v>
      </c>
      <c r="AP13" s="179">
        <f t="shared" si="5"/>
        <v>562</v>
      </c>
      <c r="AQ13" s="79"/>
      <c r="AR13" s="79"/>
      <c r="AS13" s="79">
        <f t="shared" si="6"/>
        <v>0</v>
      </c>
      <c r="AT13" s="179"/>
      <c r="AU13" s="79"/>
      <c r="AV13" s="178"/>
      <c r="AW13" s="179">
        <v>408</v>
      </c>
      <c r="AX13" s="79">
        <v>200</v>
      </c>
      <c r="AY13" s="79">
        <v>200</v>
      </c>
      <c r="AZ13" s="79">
        <v>200</v>
      </c>
      <c r="BA13" s="79"/>
      <c r="BB13" s="86"/>
      <c r="BC13" s="400"/>
      <c r="BD13" s="400"/>
      <c r="BE13" s="86"/>
      <c r="BF13" s="79"/>
      <c r="BG13" s="79"/>
      <c r="BH13" s="79"/>
      <c r="BI13" s="86"/>
      <c r="BJ13" s="208"/>
      <c r="BL13" s="208"/>
      <c r="BM13" s="208"/>
    </row>
    <row r="14" spans="2:65">
      <c r="B14" s="393">
        <f t="shared" si="2"/>
        <v>45876</v>
      </c>
      <c r="C14" s="54"/>
      <c r="D14" s="28"/>
      <c r="E14" s="412"/>
      <c r="F14" s="413"/>
      <c r="G14" s="412"/>
      <c r="H14" s="413"/>
      <c r="I14" s="412"/>
      <c r="J14" s="413"/>
      <c r="K14" s="414"/>
      <c r="L14" s="416"/>
      <c r="M14" s="412"/>
      <c r="N14" s="413"/>
      <c r="O14" s="412"/>
      <c r="P14" s="413"/>
      <c r="Q14" s="389">
        <f t="shared" ref="Q14" si="17">P14+N14+L14+J14+H14+F14+D14</f>
        <v>0</v>
      </c>
      <c r="R14" s="386"/>
      <c r="S14" s="385"/>
      <c r="T14" s="387"/>
      <c r="U14" s="388">
        <f t="shared" ref="U14" si="18">B14</f>
        <v>45876</v>
      </c>
      <c r="V14" s="390"/>
      <c r="W14" s="392"/>
      <c r="X14" s="54">
        <v>41</v>
      </c>
      <c r="Y14" s="28">
        <v>63</v>
      </c>
      <c r="Z14" s="412"/>
      <c r="AA14" s="413"/>
      <c r="AB14" s="29"/>
      <c r="AC14" s="457"/>
      <c r="AD14" s="471"/>
      <c r="AE14" s="472"/>
      <c r="AF14" s="469"/>
      <c r="AG14" s="470"/>
      <c r="AH14" s="29"/>
      <c r="AI14" s="413"/>
      <c r="AJ14" s="469"/>
      <c r="AK14" s="470"/>
      <c r="AL14" s="492">
        <f t="shared" si="9"/>
        <v>63</v>
      </c>
      <c r="AM14" s="118">
        <f t="shared" si="10"/>
        <v>63</v>
      </c>
      <c r="AN14" s="87">
        <f t="shared" si="11"/>
        <v>45876</v>
      </c>
      <c r="AO14" s="178">
        <f t="shared" si="16"/>
        <v>715</v>
      </c>
      <c r="AP14" s="179">
        <f t="shared" si="5"/>
        <v>274</v>
      </c>
      <c r="AQ14" s="79"/>
      <c r="AR14" s="79"/>
      <c r="AS14" s="79">
        <f t="shared" si="6"/>
        <v>0</v>
      </c>
      <c r="AT14" s="179"/>
      <c r="AU14" s="79"/>
      <c r="AV14" s="400"/>
      <c r="AW14" s="79">
        <v>204</v>
      </c>
      <c r="AX14" s="79">
        <v>200</v>
      </c>
      <c r="AY14" s="79">
        <v>200</v>
      </c>
      <c r="AZ14" s="79">
        <v>200</v>
      </c>
      <c r="BA14" s="79"/>
      <c r="BB14" s="86"/>
      <c r="BC14" s="400"/>
      <c r="BD14" s="400"/>
      <c r="BE14" s="86"/>
      <c r="BF14" s="79"/>
      <c r="BG14" s="79"/>
      <c r="BH14" s="79"/>
      <c r="BI14" s="86"/>
      <c r="BJ14" s="208"/>
      <c r="BK14" s="208"/>
      <c r="BL14" s="208"/>
      <c r="BM14" s="208"/>
    </row>
    <row r="15" spans="2:65">
      <c r="B15" s="393">
        <f t="shared" si="2"/>
        <v>45877</v>
      </c>
      <c r="C15" s="54"/>
      <c r="D15" s="28"/>
      <c r="E15" s="412"/>
      <c r="F15" s="413"/>
      <c r="G15" s="412"/>
      <c r="H15" s="413"/>
      <c r="I15" s="412"/>
      <c r="J15" s="413"/>
      <c r="K15" s="414"/>
      <c r="L15" s="416"/>
      <c r="M15" s="412"/>
      <c r="N15" s="413"/>
      <c r="O15" s="412"/>
      <c r="P15" s="413"/>
      <c r="Q15" s="389">
        <f t="shared" ref="Q15" si="19">P15+N15+L15+J15+H15+F15+D15</f>
        <v>0</v>
      </c>
      <c r="R15" s="386"/>
      <c r="S15" s="385"/>
      <c r="T15" s="387"/>
      <c r="U15" s="388">
        <f t="shared" ref="U15" si="20">B15</f>
        <v>45877</v>
      </c>
      <c r="V15" s="390"/>
      <c r="W15" s="392"/>
      <c r="X15" s="54"/>
      <c r="Y15" s="28"/>
      <c r="Z15" s="412"/>
      <c r="AA15" s="413"/>
      <c r="AB15" s="29"/>
      <c r="AC15" s="457"/>
      <c r="AD15" s="471"/>
      <c r="AE15" s="472"/>
      <c r="AF15" s="469"/>
      <c r="AG15" s="470"/>
      <c r="AH15" s="29"/>
      <c r="AI15" s="413"/>
      <c r="AJ15" s="469"/>
      <c r="AK15" s="470"/>
      <c r="AL15" s="492">
        <f t="shared" si="9"/>
        <v>0</v>
      </c>
      <c r="AM15" s="118">
        <f t="shared" si="10"/>
        <v>0</v>
      </c>
      <c r="AN15" s="87">
        <f t="shared" si="11"/>
        <v>45877</v>
      </c>
      <c r="AO15" s="178">
        <v>836</v>
      </c>
      <c r="AP15" s="179">
        <v>367</v>
      </c>
      <c r="AQ15" s="79"/>
      <c r="AR15" s="79"/>
      <c r="AS15" s="79">
        <f t="shared" si="6"/>
        <v>0</v>
      </c>
      <c r="AT15" s="179"/>
      <c r="AU15" s="79"/>
      <c r="AV15" s="400">
        <v>267</v>
      </c>
      <c r="AW15" s="79">
        <v>136</v>
      </c>
      <c r="AX15" s="79">
        <v>200</v>
      </c>
      <c r="AY15" s="79">
        <v>200</v>
      </c>
      <c r="AZ15" s="79">
        <v>200</v>
      </c>
      <c r="BA15" s="79"/>
      <c r="BB15" s="86"/>
      <c r="BC15" s="400"/>
      <c r="BD15" s="400"/>
      <c r="BE15" s="86"/>
      <c r="BF15" s="79"/>
      <c r="BG15" s="79"/>
      <c r="BH15" s="79"/>
      <c r="BI15" s="86"/>
      <c r="BJ15" s="208"/>
      <c r="BL15" s="208"/>
      <c r="BM15" s="208"/>
    </row>
    <row r="16" spans="2:65">
      <c r="B16" s="394">
        <f t="shared" si="2"/>
        <v>45878</v>
      </c>
      <c r="C16" s="54"/>
      <c r="D16" s="28"/>
      <c r="E16" s="412">
        <v>45</v>
      </c>
      <c r="F16" s="413">
        <v>757</v>
      </c>
      <c r="G16" s="412"/>
      <c r="H16" s="413"/>
      <c r="I16" s="412"/>
      <c r="J16" s="413"/>
      <c r="K16" s="414"/>
      <c r="L16" s="416"/>
      <c r="M16" s="412"/>
      <c r="N16" s="413"/>
      <c r="O16" s="412"/>
      <c r="P16" s="413"/>
      <c r="Q16" s="389">
        <f t="shared" ref="Q16" si="21">P16+N16+L16+J16+H16+F16+D16</f>
        <v>757</v>
      </c>
      <c r="R16" s="386"/>
      <c r="S16" s="385"/>
      <c r="T16" s="387"/>
      <c r="U16" s="388">
        <f t="shared" ref="U16" si="22">B16</f>
        <v>45878</v>
      </c>
      <c r="V16" s="390"/>
      <c r="W16" s="392"/>
      <c r="X16" s="54">
        <v>41</v>
      </c>
      <c r="Y16" s="28">
        <v>345</v>
      </c>
      <c r="Z16" s="412">
        <v>44</v>
      </c>
      <c r="AA16" s="413">
        <v>371</v>
      </c>
      <c r="AB16" s="29"/>
      <c r="AC16" s="457"/>
      <c r="AD16" s="471"/>
      <c r="AE16" s="472"/>
      <c r="AF16" s="469"/>
      <c r="AG16" s="470"/>
      <c r="AH16" s="29"/>
      <c r="AI16" s="413"/>
      <c r="AJ16" s="469"/>
      <c r="AK16" s="470"/>
      <c r="AL16" s="492">
        <f t="shared" si="9"/>
        <v>716</v>
      </c>
      <c r="AM16" s="118">
        <f t="shared" si="10"/>
        <v>-41</v>
      </c>
      <c r="AN16" s="87">
        <f t="shared" si="11"/>
        <v>45878</v>
      </c>
      <c r="AO16" s="178">
        <v>636</v>
      </c>
      <c r="AP16" s="179">
        <v>90</v>
      </c>
      <c r="AQ16" s="79"/>
      <c r="AR16" s="79"/>
      <c r="AS16" s="79">
        <f t="shared" si="6"/>
        <v>0</v>
      </c>
      <c r="AT16" s="179"/>
      <c r="AU16" s="79"/>
      <c r="AV16" s="400">
        <v>146</v>
      </c>
      <c r="AW16" s="79">
        <v>374</v>
      </c>
      <c r="AX16" s="79"/>
      <c r="AY16" s="79"/>
      <c r="AZ16" s="79"/>
      <c r="BA16" s="79"/>
      <c r="BB16" s="86"/>
      <c r="BC16" s="400"/>
      <c r="BD16" s="400"/>
      <c r="BE16" s="86"/>
      <c r="BF16" s="79"/>
      <c r="BG16" s="79"/>
      <c r="BH16" s="79"/>
      <c r="BI16" s="86"/>
      <c r="BJ16" s="208"/>
      <c r="BK16" s="208"/>
      <c r="BL16" s="208"/>
      <c r="BM16" s="208"/>
    </row>
    <row r="17" spans="2:65">
      <c r="B17" s="394">
        <f t="shared" si="2"/>
        <v>45879</v>
      </c>
      <c r="C17" s="54"/>
      <c r="D17" s="28"/>
      <c r="E17" s="412">
        <v>45</v>
      </c>
      <c r="F17" s="413">
        <v>975</v>
      </c>
      <c r="G17" s="412"/>
      <c r="H17" s="413"/>
      <c r="I17" s="412"/>
      <c r="J17" s="413"/>
      <c r="K17" s="414"/>
      <c r="L17" s="416"/>
      <c r="M17" s="412"/>
      <c r="N17" s="413"/>
      <c r="O17" s="412"/>
      <c r="P17" s="413"/>
      <c r="Q17" s="389">
        <f t="shared" si="7"/>
        <v>975</v>
      </c>
      <c r="R17" s="386"/>
      <c r="S17" s="385"/>
      <c r="T17" s="387"/>
      <c r="U17" s="388">
        <f t="shared" si="8"/>
        <v>45879</v>
      </c>
      <c r="V17" s="390"/>
      <c r="W17" s="392"/>
      <c r="X17" s="54"/>
      <c r="Y17" s="28"/>
      <c r="Z17" s="412">
        <v>44</v>
      </c>
      <c r="AA17" s="413">
        <v>1030</v>
      </c>
      <c r="AB17" s="29"/>
      <c r="AC17" s="457"/>
      <c r="AD17" s="471"/>
      <c r="AE17" s="472"/>
      <c r="AF17" s="469"/>
      <c r="AG17" s="470"/>
      <c r="AH17" s="29"/>
      <c r="AI17" s="413"/>
      <c r="AJ17" s="469"/>
      <c r="AK17" s="470"/>
      <c r="AL17" s="492">
        <f t="shared" si="9"/>
        <v>1030</v>
      </c>
      <c r="AM17" s="118">
        <f t="shared" si="10"/>
        <v>55</v>
      </c>
      <c r="AN17" s="87">
        <f t="shared" si="11"/>
        <v>45879</v>
      </c>
      <c r="AO17" s="178">
        <f t="shared" si="16"/>
        <v>835</v>
      </c>
      <c r="AP17" s="179">
        <f t="shared" si="5"/>
        <v>87</v>
      </c>
      <c r="AQ17" s="179"/>
      <c r="AR17" s="179"/>
      <c r="AS17" s="179">
        <f t="shared" si="6"/>
        <v>0</v>
      </c>
      <c r="AT17" s="179"/>
      <c r="AU17" s="79"/>
      <c r="AV17" s="400"/>
      <c r="AW17" s="79">
        <v>0</v>
      </c>
      <c r="AX17" s="79">
        <v>200</v>
      </c>
      <c r="AY17" s="79">
        <v>200</v>
      </c>
      <c r="AZ17" s="79">
        <v>200</v>
      </c>
      <c r="BA17" s="79"/>
      <c r="BB17" s="86"/>
      <c r="BC17" s="400"/>
      <c r="BD17" s="400"/>
      <c r="BE17" s="86"/>
      <c r="BF17" s="79"/>
      <c r="BG17" s="79"/>
      <c r="BH17" s="79"/>
      <c r="BI17" s="86"/>
      <c r="BJ17" s="208"/>
      <c r="BK17" s="208"/>
      <c r="BL17" s="208"/>
      <c r="BM17" s="208"/>
    </row>
    <row r="18" spans="2:65">
      <c r="B18" s="393">
        <f t="shared" si="2"/>
        <v>45880</v>
      </c>
      <c r="C18" s="54"/>
      <c r="D18" s="28"/>
      <c r="E18" s="412"/>
      <c r="F18" s="413"/>
      <c r="G18" s="412"/>
      <c r="H18" s="413"/>
      <c r="I18" s="412"/>
      <c r="J18" s="413"/>
      <c r="K18" s="414"/>
      <c r="L18" s="416"/>
      <c r="M18" s="412"/>
      <c r="N18" s="413"/>
      <c r="O18" s="412"/>
      <c r="P18" s="413"/>
      <c r="Q18" s="389">
        <f t="shared" ref="Q18:Q23" si="23">P18+N18+L18+J18+H18+F18+D18</f>
        <v>0</v>
      </c>
      <c r="R18" s="386"/>
      <c r="S18" s="385"/>
      <c r="T18" s="387"/>
      <c r="U18" s="388">
        <f t="shared" ref="U18:U23" si="24">B18</f>
        <v>45880</v>
      </c>
      <c r="V18" s="390"/>
      <c r="W18" s="392"/>
      <c r="X18" s="323"/>
      <c r="Y18" s="28"/>
      <c r="Z18" s="412"/>
      <c r="AA18" s="413"/>
      <c r="AB18" s="29"/>
      <c r="AC18" s="457"/>
      <c r="AD18" s="471"/>
      <c r="AE18" s="472"/>
      <c r="AF18" s="469"/>
      <c r="AG18" s="470"/>
      <c r="AH18" s="29"/>
      <c r="AI18" s="413"/>
      <c r="AJ18" s="469"/>
      <c r="AK18" s="470"/>
      <c r="AL18" s="492">
        <f t="shared" si="9"/>
        <v>0</v>
      </c>
      <c r="AM18" s="118">
        <f t="shared" si="10"/>
        <v>0</v>
      </c>
      <c r="AN18" s="87">
        <f t="shared" si="11"/>
        <v>45880</v>
      </c>
      <c r="AO18" s="178">
        <v>817</v>
      </c>
      <c r="AP18" s="179">
        <v>1126</v>
      </c>
      <c r="AQ18" s="179"/>
      <c r="AR18" s="179"/>
      <c r="AS18" s="179">
        <f t="shared" si="6"/>
        <v>0</v>
      </c>
      <c r="AT18" s="179"/>
      <c r="AU18" s="79"/>
      <c r="AV18" s="400">
        <v>229</v>
      </c>
      <c r="AW18" s="79">
        <v>408</v>
      </c>
      <c r="AX18" s="79"/>
      <c r="AY18" s="79"/>
      <c r="AZ18" s="79"/>
      <c r="BA18" s="79"/>
      <c r="BB18" s="86"/>
      <c r="BC18" s="400"/>
      <c r="BD18" s="400"/>
      <c r="BE18" s="86"/>
      <c r="BF18" s="79"/>
      <c r="BG18" s="79"/>
      <c r="BH18" s="79"/>
      <c r="BI18" s="86"/>
      <c r="BJ18" s="208"/>
      <c r="BK18" s="208"/>
      <c r="BL18" s="208"/>
      <c r="BM18" s="208"/>
    </row>
    <row r="19" spans="2:65">
      <c r="B19" s="394">
        <f t="shared" si="2"/>
        <v>45881</v>
      </c>
      <c r="C19" s="54">
        <v>43</v>
      </c>
      <c r="D19" s="28">
        <v>703</v>
      </c>
      <c r="E19" s="412"/>
      <c r="F19" s="413"/>
      <c r="G19" s="412"/>
      <c r="H19" s="413"/>
      <c r="I19" s="412"/>
      <c r="J19" s="413"/>
      <c r="K19" s="414"/>
      <c r="L19" s="416"/>
      <c r="M19" s="412"/>
      <c r="N19" s="413"/>
      <c r="O19" s="412"/>
      <c r="P19" s="413"/>
      <c r="Q19" s="389">
        <f t="shared" si="23"/>
        <v>703</v>
      </c>
      <c r="R19" s="386"/>
      <c r="S19" s="385"/>
      <c r="T19" s="387"/>
      <c r="U19" s="388">
        <f t="shared" si="24"/>
        <v>45881</v>
      </c>
      <c r="V19" s="390"/>
      <c r="W19" s="392"/>
      <c r="X19" s="323">
        <v>42</v>
      </c>
      <c r="Y19" s="28">
        <v>121</v>
      </c>
      <c r="Z19" s="412">
        <v>44</v>
      </c>
      <c r="AA19" s="413">
        <v>415</v>
      </c>
      <c r="AB19" s="29"/>
      <c r="AC19" s="457"/>
      <c r="AD19" s="471"/>
      <c r="AE19" s="472"/>
      <c r="AF19" s="469"/>
      <c r="AG19" s="470"/>
      <c r="AH19" s="29"/>
      <c r="AI19" s="413"/>
      <c r="AJ19" s="469"/>
      <c r="AK19" s="470"/>
      <c r="AL19" s="492">
        <f t="shared" si="9"/>
        <v>536</v>
      </c>
      <c r="AM19" s="118">
        <f t="shared" si="10"/>
        <v>-167</v>
      </c>
      <c r="AN19" s="87">
        <f t="shared" si="11"/>
        <v>45881</v>
      </c>
      <c r="AO19" s="178">
        <v>596</v>
      </c>
      <c r="AP19" s="179">
        <v>960</v>
      </c>
      <c r="AQ19" s="179"/>
      <c r="AR19" s="179"/>
      <c r="AS19" s="179">
        <f t="shared" ref="AS19:AS26" si="25">IF(AS18+AG18-AZ18&lt;0,0,AS18+AG18-AZ18)</f>
        <v>0</v>
      </c>
      <c r="AT19" s="179"/>
      <c r="AU19" s="79"/>
      <c r="AV19" s="400">
        <v>182</v>
      </c>
      <c r="AW19" s="79">
        <v>238</v>
      </c>
      <c r="AX19" s="79">
        <v>200</v>
      </c>
      <c r="AY19" s="79">
        <v>200</v>
      </c>
      <c r="AZ19" s="79">
        <v>200</v>
      </c>
      <c r="BA19" s="79"/>
      <c r="BB19" s="86"/>
      <c r="BC19" s="400"/>
      <c r="BD19" s="400"/>
      <c r="BE19" s="86"/>
      <c r="BF19" s="79"/>
      <c r="BG19" s="79"/>
      <c r="BH19" s="79"/>
      <c r="BI19" s="86"/>
      <c r="BJ19" s="208"/>
      <c r="BK19" s="208"/>
      <c r="BL19" s="208"/>
      <c r="BM19" s="208"/>
    </row>
    <row r="20" spans="2:65">
      <c r="B20" s="393">
        <f t="shared" si="2"/>
        <v>45882</v>
      </c>
      <c r="C20" s="54"/>
      <c r="D20" s="28"/>
      <c r="E20" s="412"/>
      <c r="F20" s="413"/>
      <c r="G20" s="412"/>
      <c r="H20" s="413"/>
      <c r="I20" s="412"/>
      <c r="J20" s="413"/>
      <c r="K20" s="414"/>
      <c r="L20" s="416"/>
      <c r="M20" s="412"/>
      <c r="N20" s="413"/>
      <c r="O20" s="412"/>
      <c r="P20" s="413"/>
      <c r="Q20" s="389">
        <f t="shared" si="23"/>
        <v>0</v>
      </c>
      <c r="R20" s="386"/>
      <c r="S20" s="385"/>
      <c r="T20" s="387"/>
      <c r="U20" s="388">
        <f t="shared" si="24"/>
        <v>45882</v>
      </c>
      <c r="V20" s="390"/>
      <c r="W20" s="392"/>
      <c r="X20" s="323">
        <v>42</v>
      </c>
      <c r="Y20" s="28">
        <v>151</v>
      </c>
      <c r="Z20" s="412"/>
      <c r="AA20" s="413"/>
      <c r="AB20" s="29"/>
      <c r="AC20" s="457"/>
      <c r="AD20" s="471"/>
      <c r="AE20" s="472"/>
      <c r="AF20" s="469"/>
      <c r="AG20" s="470"/>
      <c r="AH20" s="29"/>
      <c r="AI20" s="413"/>
      <c r="AJ20" s="469"/>
      <c r="AK20" s="470"/>
      <c r="AL20" s="492">
        <f t="shared" si="9"/>
        <v>151</v>
      </c>
      <c r="AM20" s="118">
        <f t="shared" si="10"/>
        <v>151</v>
      </c>
      <c r="AN20" s="87">
        <f t="shared" si="11"/>
        <v>45882</v>
      </c>
      <c r="AO20" s="178">
        <v>533</v>
      </c>
      <c r="AP20" s="179">
        <v>1079</v>
      </c>
      <c r="AQ20" s="179"/>
      <c r="AR20" s="179"/>
      <c r="AS20" s="179">
        <f t="shared" si="25"/>
        <v>0</v>
      </c>
      <c r="AT20" s="179"/>
      <c r="AU20" s="79"/>
      <c r="AV20" s="400">
        <v>290</v>
      </c>
      <c r="AW20" s="79">
        <v>408</v>
      </c>
      <c r="AX20" s="79">
        <v>200</v>
      </c>
      <c r="AY20" s="79">
        <v>200</v>
      </c>
      <c r="AZ20" s="79">
        <v>200</v>
      </c>
      <c r="BA20" s="79"/>
      <c r="BB20" s="86"/>
      <c r="BC20" s="400"/>
      <c r="BD20" s="400"/>
      <c r="BE20" s="86"/>
      <c r="BF20" s="79"/>
      <c r="BG20" s="79"/>
      <c r="BH20" s="79"/>
      <c r="BI20" s="86"/>
      <c r="BJ20" s="208"/>
      <c r="BL20" s="208"/>
      <c r="BM20" s="208"/>
    </row>
    <row r="21" spans="2:65">
      <c r="B21" s="393">
        <f t="shared" si="2"/>
        <v>45883</v>
      </c>
      <c r="C21" s="54"/>
      <c r="D21" s="28"/>
      <c r="E21" s="412"/>
      <c r="F21" s="413"/>
      <c r="G21" s="412"/>
      <c r="H21" s="413"/>
      <c r="I21" s="412"/>
      <c r="J21" s="413"/>
      <c r="K21" s="414"/>
      <c r="L21" s="416"/>
      <c r="M21" s="412"/>
      <c r="N21" s="413"/>
      <c r="O21" s="412"/>
      <c r="P21" s="413"/>
      <c r="Q21" s="389">
        <f t="shared" si="23"/>
        <v>0</v>
      </c>
      <c r="R21" s="386"/>
      <c r="S21" s="385"/>
      <c r="T21" s="387"/>
      <c r="U21" s="388">
        <f t="shared" si="24"/>
        <v>45883</v>
      </c>
      <c r="V21" s="390"/>
      <c r="W21" s="392"/>
      <c r="X21" s="323"/>
      <c r="Y21" s="28"/>
      <c r="Z21" s="412"/>
      <c r="AA21" s="413"/>
      <c r="AB21" s="29"/>
      <c r="AC21" s="457"/>
      <c r="AD21" s="471"/>
      <c r="AE21" s="472"/>
      <c r="AF21" s="469"/>
      <c r="AG21" s="470"/>
      <c r="AH21" s="412"/>
      <c r="AI21" s="413"/>
      <c r="AJ21" s="469"/>
      <c r="AK21" s="470"/>
      <c r="AL21" s="492">
        <f t="shared" si="9"/>
        <v>0</v>
      </c>
      <c r="AM21" s="118">
        <f t="shared" si="10"/>
        <v>0</v>
      </c>
      <c r="AN21" s="87">
        <f t="shared" si="11"/>
        <v>45883</v>
      </c>
      <c r="AO21" s="178">
        <v>409</v>
      </c>
      <c r="AP21" s="179">
        <v>659</v>
      </c>
      <c r="AQ21" s="179"/>
      <c r="AR21" s="179"/>
      <c r="AS21" s="179">
        <f t="shared" si="25"/>
        <v>0</v>
      </c>
      <c r="AT21" s="179"/>
      <c r="AU21" s="79"/>
      <c r="AV21" s="400">
        <v>188</v>
      </c>
      <c r="AW21" s="79">
        <v>238</v>
      </c>
      <c r="AX21" s="79">
        <v>200</v>
      </c>
      <c r="AY21" s="79">
        <v>200</v>
      </c>
      <c r="AZ21" s="79">
        <v>200</v>
      </c>
      <c r="BA21" s="79"/>
      <c r="BB21" s="86"/>
      <c r="BC21" s="400"/>
      <c r="BD21" s="400"/>
      <c r="BE21" s="86"/>
      <c r="BF21" s="79"/>
      <c r="BG21" s="79"/>
      <c r="BH21" s="79"/>
      <c r="BI21" s="86"/>
      <c r="BJ21" s="208"/>
      <c r="BK21" s="208"/>
      <c r="BL21" s="208"/>
      <c r="BM21" s="208"/>
    </row>
    <row r="22" spans="2:65">
      <c r="B22" s="394">
        <f>B21+1</f>
        <v>45884</v>
      </c>
      <c r="C22" s="54"/>
      <c r="D22" s="28"/>
      <c r="E22" s="412">
        <v>46</v>
      </c>
      <c r="F22" s="413">
        <v>497</v>
      </c>
      <c r="G22" s="412"/>
      <c r="H22" s="413"/>
      <c r="I22" s="412"/>
      <c r="J22" s="413"/>
      <c r="K22" s="414"/>
      <c r="L22" s="416"/>
      <c r="M22" s="412">
        <v>2</v>
      </c>
      <c r="N22" s="413">
        <v>484</v>
      </c>
      <c r="O22" s="412"/>
      <c r="P22" s="413"/>
      <c r="Q22" s="389">
        <f t="shared" si="23"/>
        <v>981</v>
      </c>
      <c r="R22" s="386"/>
      <c r="S22" s="385"/>
      <c r="T22" s="387"/>
      <c r="U22" s="388">
        <f t="shared" si="24"/>
        <v>45884</v>
      </c>
      <c r="V22" s="390"/>
      <c r="W22" s="392"/>
      <c r="X22" s="323">
        <v>42</v>
      </c>
      <c r="Y22" s="28">
        <v>554</v>
      </c>
      <c r="Z22" s="412">
        <v>45</v>
      </c>
      <c r="AA22" s="413">
        <v>373</v>
      </c>
      <c r="AB22" s="29"/>
      <c r="AC22" s="457"/>
      <c r="AD22" s="471"/>
      <c r="AE22" s="472"/>
      <c r="AF22" s="469"/>
      <c r="AG22" s="470"/>
      <c r="AH22" s="412"/>
      <c r="AI22" s="413"/>
      <c r="AJ22" s="469"/>
      <c r="AK22" s="470"/>
      <c r="AL22" s="492">
        <f t="shared" si="9"/>
        <v>927</v>
      </c>
      <c r="AM22" s="118">
        <f t="shared" si="10"/>
        <v>-54</v>
      </c>
      <c r="AN22" s="87">
        <f t="shared" si="11"/>
        <v>45884</v>
      </c>
      <c r="AO22" s="178">
        <f t="shared" ref="AO22:AO24" si="26">IF(AO21+Y21-AV21&lt;0,0,AO21+Y21-AV21)</f>
        <v>221</v>
      </c>
      <c r="AP22" s="179">
        <v>220</v>
      </c>
      <c r="AQ22" s="179"/>
      <c r="AR22" s="179"/>
      <c r="AS22" s="179">
        <f t="shared" si="25"/>
        <v>0</v>
      </c>
      <c r="AT22" s="179"/>
      <c r="AU22" s="79"/>
      <c r="AV22" s="400">
        <v>256</v>
      </c>
      <c r="AW22" s="79">
        <v>136</v>
      </c>
      <c r="AX22" s="79">
        <v>200</v>
      </c>
      <c r="AY22" s="79">
        <v>200</v>
      </c>
      <c r="AZ22" s="79">
        <v>200</v>
      </c>
      <c r="BA22" s="79"/>
      <c r="BB22" s="86"/>
      <c r="BC22" s="400"/>
      <c r="BD22" s="400"/>
      <c r="BE22" s="86"/>
      <c r="BF22" s="79"/>
      <c r="BG22" s="79"/>
      <c r="BH22" s="79"/>
      <c r="BI22" s="86"/>
      <c r="BJ22" s="208"/>
      <c r="BL22" s="208"/>
      <c r="BM22" s="208"/>
    </row>
    <row r="23" spans="2:65">
      <c r="B23" s="394">
        <f>B22+1</f>
        <v>45885</v>
      </c>
      <c r="C23" s="54"/>
      <c r="D23" s="28"/>
      <c r="E23" s="412"/>
      <c r="F23" s="413"/>
      <c r="G23" s="412"/>
      <c r="H23" s="413"/>
      <c r="I23" s="412"/>
      <c r="J23" s="413"/>
      <c r="K23" s="414"/>
      <c r="L23" s="416"/>
      <c r="M23" s="412">
        <v>2</v>
      </c>
      <c r="N23" s="413">
        <v>818</v>
      </c>
      <c r="O23" s="412"/>
      <c r="P23" s="413"/>
      <c r="Q23" s="389">
        <f t="shared" si="23"/>
        <v>818</v>
      </c>
      <c r="R23" s="386"/>
      <c r="S23" s="385"/>
      <c r="T23" s="387"/>
      <c r="U23" s="388">
        <f t="shared" si="24"/>
        <v>45885</v>
      </c>
      <c r="V23" s="390"/>
      <c r="W23" s="392"/>
      <c r="X23" s="323"/>
      <c r="Y23" s="28"/>
      <c r="Z23" s="412">
        <v>45</v>
      </c>
      <c r="AA23" s="413">
        <v>893</v>
      </c>
      <c r="AB23" s="29"/>
      <c r="AC23" s="457"/>
      <c r="AD23" s="471"/>
      <c r="AE23" s="472"/>
      <c r="AF23" s="469"/>
      <c r="AG23" s="470"/>
      <c r="AH23" s="412"/>
      <c r="AI23" s="413"/>
      <c r="AJ23" s="29"/>
      <c r="AK23" s="473"/>
      <c r="AL23" s="492">
        <f t="shared" si="9"/>
        <v>893</v>
      </c>
      <c r="AM23" s="118">
        <f t="shared" si="10"/>
        <v>75</v>
      </c>
      <c r="AN23" s="87">
        <f t="shared" si="11"/>
        <v>45885</v>
      </c>
      <c r="AO23" s="178">
        <f t="shared" si="26"/>
        <v>519</v>
      </c>
      <c r="AP23" s="179">
        <f t="shared" ref="AP23:AP24" si="27">IF(AP22+AA22-AW22-BD22&lt;0,0,AP22+AA22-AW22-BD22)</f>
        <v>457</v>
      </c>
      <c r="AQ23" s="179"/>
      <c r="AR23" s="179"/>
      <c r="AS23" s="179">
        <f t="shared" si="25"/>
        <v>0</v>
      </c>
      <c r="AT23" s="179"/>
      <c r="AU23" s="79"/>
      <c r="AV23" s="400">
        <v>131</v>
      </c>
      <c r="AW23" s="79">
        <v>374</v>
      </c>
      <c r="AX23" s="79"/>
      <c r="AY23" s="79"/>
      <c r="AZ23" s="79"/>
      <c r="BA23" s="79"/>
      <c r="BB23" s="86"/>
      <c r="BC23" s="400"/>
      <c r="BD23" s="400"/>
      <c r="BE23" s="86"/>
      <c r="BF23" s="79"/>
      <c r="BG23" s="79"/>
      <c r="BH23" s="79"/>
      <c r="BI23" s="86"/>
      <c r="BJ23" s="208"/>
      <c r="BK23" s="208"/>
      <c r="BL23" s="208"/>
      <c r="BM23" s="208"/>
    </row>
    <row r="24" spans="2:65">
      <c r="B24" s="394">
        <f>B23+1</f>
        <v>45886</v>
      </c>
      <c r="C24" s="54"/>
      <c r="D24" s="28"/>
      <c r="E24" s="412">
        <v>47</v>
      </c>
      <c r="F24" s="413">
        <v>258</v>
      </c>
      <c r="G24" s="412"/>
      <c r="H24" s="413"/>
      <c r="I24" s="412"/>
      <c r="J24" s="413"/>
      <c r="K24" s="414"/>
      <c r="L24" s="416"/>
      <c r="M24" s="412"/>
      <c r="N24" s="413"/>
      <c r="O24" s="412"/>
      <c r="P24" s="413"/>
      <c r="Q24" s="389">
        <f t="shared" ref="Q24:Q25" si="28">P24+N24+L24+J24+H24+F24+D24</f>
        <v>258</v>
      </c>
      <c r="R24" s="386"/>
      <c r="S24" s="385"/>
      <c r="T24" s="387"/>
      <c r="U24" s="388">
        <f t="shared" ref="U24:U25" si="29">B24</f>
        <v>45886</v>
      </c>
      <c r="V24" s="390"/>
      <c r="W24" s="392"/>
      <c r="X24" s="323"/>
      <c r="Y24" s="28"/>
      <c r="Z24" s="412">
        <v>45</v>
      </c>
      <c r="AA24" s="413">
        <v>233</v>
      </c>
      <c r="AB24" s="29"/>
      <c r="AC24" s="457"/>
      <c r="AD24" s="471"/>
      <c r="AE24" s="472"/>
      <c r="AF24" s="469"/>
      <c r="AG24" s="470"/>
      <c r="AH24" s="412"/>
      <c r="AI24" s="413"/>
      <c r="AJ24" s="469"/>
      <c r="AK24" s="470"/>
      <c r="AL24" s="492">
        <f t="shared" si="9"/>
        <v>233</v>
      </c>
      <c r="AM24" s="118">
        <f t="shared" si="10"/>
        <v>-25</v>
      </c>
      <c r="AN24" s="87">
        <f t="shared" si="11"/>
        <v>45886</v>
      </c>
      <c r="AO24" s="178">
        <f t="shared" si="26"/>
        <v>388</v>
      </c>
      <c r="AP24" s="179">
        <f t="shared" si="27"/>
        <v>976</v>
      </c>
      <c r="AQ24" s="179"/>
      <c r="AR24" s="179"/>
      <c r="AS24" s="179">
        <f t="shared" si="25"/>
        <v>0</v>
      </c>
      <c r="AT24" s="179"/>
      <c r="AU24" s="79"/>
      <c r="AV24" s="400"/>
      <c r="AW24" s="79">
        <v>0</v>
      </c>
      <c r="AX24" s="79">
        <v>200</v>
      </c>
      <c r="AY24" s="79">
        <v>200</v>
      </c>
      <c r="AZ24" s="79">
        <v>200</v>
      </c>
      <c r="BA24" s="79"/>
      <c r="BB24" s="86"/>
      <c r="BC24" s="400"/>
      <c r="BD24" s="400"/>
      <c r="BE24" s="86"/>
      <c r="BF24" s="79"/>
      <c r="BG24" s="79"/>
      <c r="BH24" s="79"/>
      <c r="BI24" s="86"/>
      <c r="BJ24" s="208"/>
      <c r="BK24" s="208"/>
      <c r="BL24" s="208"/>
      <c r="BM24" s="208"/>
    </row>
    <row r="25" spans="2:65">
      <c r="B25" s="393">
        <f t="shared" si="2"/>
        <v>45887</v>
      </c>
      <c r="C25" s="54"/>
      <c r="D25" s="28"/>
      <c r="E25" s="412"/>
      <c r="F25" s="413"/>
      <c r="G25" s="412"/>
      <c r="H25" s="413"/>
      <c r="I25" s="412"/>
      <c r="J25" s="413"/>
      <c r="K25" s="414"/>
      <c r="L25" s="416"/>
      <c r="M25" s="412"/>
      <c r="N25" s="413"/>
      <c r="O25" s="412"/>
      <c r="P25" s="413"/>
      <c r="Q25" s="389">
        <f t="shared" si="28"/>
        <v>0</v>
      </c>
      <c r="R25" s="386"/>
      <c r="S25" s="385"/>
      <c r="T25" s="387"/>
      <c r="U25" s="388">
        <f t="shared" si="29"/>
        <v>45887</v>
      </c>
      <c r="V25" s="390"/>
      <c r="W25" s="392"/>
      <c r="X25" s="323"/>
      <c r="Y25" s="28"/>
      <c r="Z25" s="412"/>
      <c r="AA25" s="413"/>
      <c r="AB25" s="29"/>
      <c r="AC25" s="457"/>
      <c r="AD25" s="471"/>
      <c r="AE25" s="472"/>
      <c r="AF25" s="469"/>
      <c r="AG25" s="470"/>
      <c r="AH25" s="412"/>
      <c r="AI25" s="413"/>
      <c r="AJ25" s="469"/>
      <c r="AK25" s="470"/>
      <c r="AL25" s="492">
        <f t="shared" si="9"/>
        <v>0</v>
      </c>
      <c r="AM25" s="118">
        <f t="shared" si="10"/>
        <v>0</v>
      </c>
      <c r="AN25" s="87">
        <f t="shared" si="11"/>
        <v>45887</v>
      </c>
      <c r="AO25" s="178">
        <v>428</v>
      </c>
      <c r="AP25" s="179">
        <v>1257</v>
      </c>
      <c r="AQ25" s="179"/>
      <c r="AR25" s="179"/>
      <c r="AS25" s="179">
        <f t="shared" si="25"/>
        <v>0</v>
      </c>
      <c r="AT25" s="179"/>
      <c r="AU25" s="79"/>
      <c r="AV25" s="400">
        <v>235</v>
      </c>
      <c r="AW25" s="79">
        <v>80</v>
      </c>
      <c r="AX25" s="79">
        <v>200</v>
      </c>
      <c r="AY25" s="79">
        <v>200</v>
      </c>
      <c r="AZ25" s="79">
        <v>200</v>
      </c>
      <c r="BA25" s="79"/>
      <c r="BB25" s="86"/>
      <c r="BC25" s="400"/>
      <c r="BD25" s="400"/>
      <c r="BE25" s="86"/>
      <c r="BF25" s="79"/>
      <c r="BG25" s="79"/>
      <c r="BH25" s="79"/>
      <c r="BI25" s="86"/>
      <c r="BJ25" s="208"/>
      <c r="BK25" s="208"/>
      <c r="BL25" s="208"/>
      <c r="BM25" s="208"/>
    </row>
    <row r="26" spans="2:65">
      <c r="B26" s="393">
        <f t="shared" si="2"/>
        <v>45888</v>
      </c>
      <c r="C26" s="54">
        <v>44</v>
      </c>
      <c r="D26" s="28">
        <v>335</v>
      </c>
      <c r="E26" s="412">
        <v>47</v>
      </c>
      <c r="F26" s="413">
        <v>242</v>
      </c>
      <c r="G26" s="412"/>
      <c r="H26" s="413"/>
      <c r="I26" s="412"/>
      <c r="J26" s="413"/>
      <c r="K26" s="414"/>
      <c r="L26" s="416"/>
      <c r="M26" s="412"/>
      <c r="N26" s="413"/>
      <c r="O26" s="412"/>
      <c r="P26" s="413"/>
      <c r="Q26" s="389">
        <f t="shared" ref="Q26" si="30">P26+N26+L26+J26+H26+F26+D26</f>
        <v>577</v>
      </c>
      <c r="R26" s="386"/>
      <c r="S26" s="385"/>
      <c r="T26" s="387"/>
      <c r="U26" s="388">
        <f t="shared" ref="U26" si="31">B26</f>
        <v>45888</v>
      </c>
      <c r="V26" s="390"/>
      <c r="W26" s="392"/>
      <c r="X26" s="323">
        <v>43</v>
      </c>
      <c r="Y26" s="28">
        <v>339</v>
      </c>
      <c r="Z26" s="412">
        <v>45</v>
      </c>
      <c r="AA26" s="413">
        <v>235</v>
      </c>
      <c r="AB26" s="29"/>
      <c r="AC26" s="457"/>
      <c r="AD26" s="471"/>
      <c r="AE26" s="472"/>
      <c r="AF26" s="469"/>
      <c r="AG26" s="470"/>
      <c r="AH26" s="412"/>
      <c r="AI26" s="413"/>
      <c r="AJ26" s="469"/>
      <c r="AK26" s="470"/>
      <c r="AL26" s="492">
        <f t="shared" si="9"/>
        <v>574</v>
      </c>
      <c r="AM26" s="118">
        <f t="shared" si="10"/>
        <v>-3</v>
      </c>
      <c r="AN26" s="87">
        <f t="shared" si="11"/>
        <v>45888</v>
      </c>
      <c r="AO26" s="178">
        <v>170</v>
      </c>
      <c r="AP26" s="179">
        <v>1209</v>
      </c>
      <c r="AQ26" s="179"/>
      <c r="AR26" s="179"/>
      <c r="AS26" s="179">
        <f t="shared" si="25"/>
        <v>0</v>
      </c>
      <c r="AT26" s="179"/>
      <c r="AU26" s="79"/>
      <c r="AV26" s="400">
        <v>199</v>
      </c>
      <c r="AW26" s="79">
        <v>408</v>
      </c>
      <c r="AX26" s="79">
        <v>200</v>
      </c>
      <c r="AY26" s="79">
        <v>200</v>
      </c>
      <c r="AZ26" s="79">
        <v>200</v>
      </c>
      <c r="BA26" s="79"/>
      <c r="BB26" s="86"/>
      <c r="BC26" s="400"/>
      <c r="BD26" s="400"/>
      <c r="BE26" s="86"/>
      <c r="BF26" s="79"/>
      <c r="BG26" s="79"/>
      <c r="BH26" s="79"/>
      <c r="BI26" s="86"/>
      <c r="BJ26" s="208"/>
      <c r="BK26" s="208"/>
      <c r="BL26" s="208"/>
      <c r="BM26" s="208"/>
    </row>
    <row r="27" spans="2:65">
      <c r="B27" s="394">
        <f>B26+1</f>
        <v>45889</v>
      </c>
      <c r="C27" s="54">
        <v>44</v>
      </c>
      <c r="D27" s="28">
        <v>546</v>
      </c>
      <c r="E27" s="412"/>
      <c r="F27" s="413"/>
      <c r="G27" s="412"/>
      <c r="H27" s="413"/>
      <c r="I27" s="412"/>
      <c r="J27" s="413"/>
      <c r="K27" s="414"/>
      <c r="L27" s="416"/>
      <c r="M27" s="412"/>
      <c r="N27" s="413"/>
      <c r="O27" s="412"/>
      <c r="P27" s="413"/>
      <c r="Q27" s="389">
        <f t="shared" ref="Q27:Q33" si="32">P27+N27+L27+J27+H27+F27+D27</f>
        <v>546</v>
      </c>
      <c r="R27" s="386"/>
      <c r="S27" s="385"/>
      <c r="T27" s="387"/>
      <c r="U27" s="388">
        <f t="shared" ref="U27:U33" si="33">B27</f>
        <v>45889</v>
      </c>
      <c r="V27" s="390"/>
      <c r="W27" s="392"/>
      <c r="X27" s="323">
        <v>43</v>
      </c>
      <c r="Y27" s="28">
        <v>381</v>
      </c>
      <c r="Z27" s="412">
        <v>46</v>
      </c>
      <c r="AA27" s="413">
        <v>261</v>
      </c>
      <c r="AB27" s="29"/>
      <c r="AC27" s="457"/>
      <c r="AD27" s="471"/>
      <c r="AE27" s="472"/>
      <c r="AF27" s="469"/>
      <c r="AG27" s="470"/>
      <c r="AH27" s="412"/>
      <c r="AI27" s="413"/>
      <c r="AJ27" s="469"/>
      <c r="AK27" s="470"/>
      <c r="AL27" s="492">
        <f t="shared" si="9"/>
        <v>642</v>
      </c>
      <c r="AM27" s="118">
        <f t="shared" si="10"/>
        <v>96</v>
      </c>
      <c r="AN27" s="87">
        <f t="shared" si="11"/>
        <v>45889</v>
      </c>
      <c r="AO27" s="178">
        <v>364</v>
      </c>
      <c r="AP27" s="179">
        <f t="shared" ref="AP27" si="34">IF(AP26+AA26-AW26-BD26&lt;0,0,AP26+AA26-AW26-BD26)</f>
        <v>1036</v>
      </c>
      <c r="AQ27" s="179"/>
      <c r="AR27" s="179"/>
      <c r="AS27" s="179">
        <f t="shared" ref="AS27" si="35">IF(AS26+AG26-AZ26&lt;0,0,AS26+AG26-AZ26)</f>
        <v>0</v>
      </c>
      <c r="AT27" s="179"/>
      <c r="AU27" s="79"/>
      <c r="AV27" s="400">
        <v>252</v>
      </c>
      <c r="AW27" s="79">
        <v>442</v>
      </c>
      <c r="AX27" s="79">
        <v>200</v>
      </c>
      <c r="AY27" s="79">
        <v>200</v>
      </c>
      <c r="AZ27" s="79">
        <v>200</v>
      </c>
      <c r="BA27" s="79"/>
      <c r="BB27" s="86"/>
      <c r="BC27" s="400"/>
      <c r="BD27" s="400"/>
      <c r="BE27" s="86"/>
      <c r="BF27" s="79"/>
      <c r="BG27" s="79"/>
      <c r="BH27" s="79"/>
      <c r="BI27" s="86"/>
      <c r="BJ27" s="208"/>
      <c r="BK27" s="208"/>
      <c r="BL27" s="208"/>
      <c r="BM27" s="208"/>
    </row>
    <row r="28" spans="2:65">
      <c r="B28" s="393">
        <f t="shared" ref="B28:B38" si="36">B27+1</f>
        <v>45890</v>
      </c>
      <c r="C28" s="54"/>
      <c r="D28" s="28"/>
      <c r="E28" s="412">
        <v>48</v>
      </c>
      <c r="F28" s="413">
        <v>362</v>
      </c>
      <c r="G28" s="412"/>
      <c r="H28" s="413"/>
      <c r="I28" s="412"/>
      <c r="J28" s="413"/>
      <c r="K28" s="414"/>
      <c r="L28" s="416"/>
      <c r="M28" s="412"/>
      <c r="N28" s="413"/>
      <c r="O28" s="412"/>
      <c r="P28" s="413"/>
      <c r="Q28" s="389">
        <f t="shared" si="32"/>
        <v>362</v>
      </c>
      <c r="R28" s="386"/>
      <c r="S28" s="385"/>
      <c r="T28" s="387"/>
      <c r="U28" s="388">
        <f t="shared" si="33"/>
        <v>45890</v>
      </c>
      <c r="V28" s="390"/>
      <c r="W28" s="392"/>
      <c r="X28" s="323"/>
      <c r="Y28" s="28"/>
      <c r="Z28" s="412">
        <v>46</v>
      </c>
      <c r="AA28" s="413">
        <v>235</v>
      </c>
      <c r="AB28" s="29"/>
      <c r="AC28" s="457"/>
      <c r="AD28" s="471"/>
      <c r="AE28" s="472"/>
      <c r="AF28" s="469"/>
      <c r="AG28" s="470"/>
      <c r="AH28" s="412">
        <v>2</v>
      </c>
      <c r="AI28" s="413">
        <v>99</v>
      </c>
      <c r="AJ28" s="469"/>
      <c r="AK28" s="470"/>
      <c r="AL28" s="492">
        <f t="shared" si="9"/>
        <v>334</v>
      </c>
      <c r="AM28" s="118">
        <f t="shared" si="10"/>
        <v>-28</v>
      </c>
      <c r="AN28" s="87">
        <f t="shared" si="11"/>
        <v>45890</v>
      </c>
      <c r="AO28" s="178">
        <v>510</v>
      </c>
      <c r="AP28" s="179">
        <v>1195</v>
      </c>
      <c r="AQ28" s="179"/>
      <c r="AR28" s="179"/>
      <c r="AS28" s="179">
        <f t="shared" ref="AS28:AS39" si="37">IF(AS27+AG27-AZ27&lt;0,0,AS27+AG27-AZ27)</f>
        <v>0</v>
      </c>
      <c r="AT28" s="179"/>
      <c r="AU28" s="79"/>
      <c r="AV28" s="400">
        <v>212</v>
      </c>
      <c r="AW28" s="79">
        <v>374</v>
      </c>
      <c r="AX28" s="79">
        <v>200</v>
      </c>
      <c r="AY28" s="79">
        <v>200</v>
      </c>
      <c r="AZ28" s="79">
        <v>200</v>
      </c>
      <c r="BA28" s="79"/>
      <c r="BB28" s="86"/>
      <c r="BC28" s="400"/>
      <c r="BD28" s="400"/>
      <c r="BE28" s="86"/>
      <c r="BF28" s="79"/>
      <c r="BG28" s="79"/>
      <c r="BH28" s="79"/>
      <c r="BI28" s="86"/>
      <c r="BJ28" s="208"/>
      <c r="BK28" s="208"/>
      <c r="BL28" s="208"/>
      <c r="BM28" s="208"/>
    </row>
    <row r="29" spans="2:65">
      <c r="B29" s="393">
        <f t="shared" si="36"/>
        <v>45891</v>
      </c>
      <c r="C29" s="54">
        <v>45</v>
      </c>
      <c r="D29" s="28">
        <v>291</v>
      </c>
      <c r="E29" s="412" t="s">
        <v>257</v>
      </c>
      <c r="F29" s="413">
        <f>149+504</f>
        <v>653</v>
      </c>
      <c r="G29" s="412"/>
      <c r="H29" s="413"/>
      <c r="I29" s="412"/>
      <c r="J29" s="413"/>
      <c r="K29" s="414"/>
      <c r="L29" s="416"/>
      <c r="M29" s="412">
        <v>3</v>
      </c>
      <c r="N29" s="413">
        <v>1001</v>
      </c>
      <c r="O29" s="412"/>
      <c r="P29" s="413"/>
      <c r="Q29" s="389">
        <f t="shared" si="32"/>
        <v>1945</v>
      </c>
      <c r="R29" s="386"/>
      <c r="S29" s="385"/>
      <c r="T29" s="387"/>
      <c r="U29" s="388">
        <f t="shared" si="33"/>
        <v>45891</v>
      </c>
      <c r="V29" s="390"/>
      <c r="W29" s="392"/>
      <c r="X29" s="323">
        <v>44</v>
      </c>
      <c r="Y29" s="28">
        <v>60</v>
      </c>
      <c r="Z29" s="412">
        <v>47</v>
      </c>
      <c r="AA29" s="413">
        <v>537</v>
      </c>
      <c r="AB29" s="29"/>
      <c r="AC29" s="457"/>
      <c r="AD29" s="471"/>
      <c r="AE29" s="472"/>
      <c r="AF29" s="469"/>
      <c r="AG29" s="470"/>
      <c r="AH29" s="412">
        <v>2</v>
      </c>
      <c r="AI29" s="413">
        <v>1198</v>
      </c>
      <c r="AJ29" s="474"/>
      <c r="AK29" s="475"/>
      <c r="AL29" s="493">
        <f t="shared" si="9"/>
        <v>1795</v>
      </c>
      <c r="AM29" s="118">
        <f t="shared" si="10"/>
        <v>-150</v>
      </c>
      <c r="AN29" s="87">
        <f t="shared" si="11"/>
        <v>45891</v>
      </c>
      <c r="AO29" s="178">
        <v>301</v>
      </c>
      <c r="AP29" s="179">
        <f t="shared" ref="AP29:AP39" si="38">IF(AP28+AA28-AW28-BD28&lt;0,0,AP28+AA28-AW28-BD28)</f>
        <v>1056</v>
      </c>
      <c r="AQ29" s="179"/>
      <c r="AR29" s="179"/>
      <c r="AS29" s="179">
        <f t="shared" si="37"/>
        <v>0</v>
      </c>
      <c r="AT29" s="179"/>
      <c r="AU29" s="79"/>
      <c r="AV29" s="400">
        <v>261</v>
      </c>
      <c r="AW29" s="79">
        <v>374</v>
      </c>
      <c r="AX29" s="79">
        <v>200</v>
      </c>
      <c r="AY29" s="79">
        <v>200</v>
      </c>
      <c r="AZ29" s="79">
        <v>200</v>
      </c>
      <c r="BA29" s="79"/>
      <c r="BB29" s="86"/>
      <c r="BC29" s="400"/>
      <c r="BD29" s="400"/>
      <c r="BE29" s="86"/>
      <c r="BF29" s="79"/>
      <c r="BG29" s="79"/>
      <c r="BH29" s="79"/>
      <c r="BI29" s="86"/>
      <c r="BJ29" s="208"/>
      <c r="BK29" s="208"/>
      <c r="BL29" s="208"/>
      <c r="BM29" s="208"/>
    </row>
    <row r="30" spans="2:65">
      <c r="B30" s="394">
        <f>B29+1</f>
        <v>45892</v>
      </c>
      <c r="C30" s="54">
        <v>45</v>
      </c>
      <c r="D30" s="28">
        <v>509</v>
      </c>
      <c r="E30" s="412"/>
      <c r="F30" s="413"/>
      <c r="G30" s="412"/>
      <c r="H30" s="413"/>
      <c r="I30" s="412"/>
      <c r="J30" s="413"/>
      <c r="K30" s="414"/>
      <c r="L30" s="416"/>
      <c r="M30" s="419"/>
      <c r="N30" s="413"/>
      <c r="O30" s="412"/>
      <c r="P30" s="413"/>
      <c r="Q30" s="389">
        <f t="shared" si="32"/>
        <v>509</v>
      </c>
      <c r="R30" s="386"/>
      <c r="S30" s="385"/>
      <c r="T30" s="387"/>
      <c r="U30" s="388">
        <f t="shared" si="33"/>
        <v>45892</v>
      </c>
      <c r="V30" s="390"/>
      <c r="W30" s="392"/>
      <c r="X30" s="323">
        <v>44</v>
      </c>
      <c r="Y30" s="28">
        <v>628</v>
      </c>
      <c r="Z30" s="412"/>
      <c r="AA30" s="413"/>
      <c r="AB30" s="29"/>
      <c r="AC30" s="457"/>
      <c r="AD30" s="465"/>
      <c r="AE30" s="466"/>
      <c r="AF30" s="467"/>
      <c r="AG30" s="468"/>
      <c r="AH30" s="412"/>
      <c r="AI30" s="413"/>
      <c r="AJ30" s="469"/>
      <c r="AK30" s="470"/>
      <c r="AL30" s="492">
        <f t="shared" si="9"/>
        <v>628</v>
      </c>
      <c r="AM30" s="118">
        <f t="shared" si="10"/>
        <v>119</v>
      </c>
      <c r="AN30" s="87">
        <f t="shared" si="11"/>
        <v>45892</v>
      </c>
      <c r="AO30" s="178">
        <f t="shared" ref="AO30:AO39" si="39">IF(AO29+Y29-AV29&lt;0,0,AO29+Y29-AV29)</f>
        <v>100</v>
      </c>
      <c r="AP30" s="179">
        <f t="shared" si="38"/>
        <v>1219</v>
      </c>
      <c r="AQ30" s="179"/>
      <c r="AR30" s="179"/>
      <c r="AS30" s="179">
        <f t="shared" si="37"/>
        <v>0</v>
      </c>
      <c r="AT30" s="179"/>
      <c r="AU30" s="79"/>
      <c r="AV30" s="400">
        <v>132</v>
      </c>
      <c r="AW30" s="79">
        <v>340</v>
      </c>
      <c r="AX30" s="79"/>
      <c r="AY30" s="79"/>
      <c r="AZ30" s="79"/>
      <c r="BA30" s="79"/>
      <c r="BB30" s="86"/>
      <c r="BC30" s="400"/>
      <c r="BD30" s="400"/>
      <c r="BE30" s="86"/>
      <c r="BF30" s="79"/>
      <c r="BG30" s="79"/>
      <c r="BH30" s="79"/>
      <c r="BI30" s="86"/>
      <c r="BJ30" s="208"/>
      <c r="BK30" s="208"/>
      <c r="BL30" s="208"/>
      <c r="BM30" s="208"/>
    </row>
    <row r="31" spans="2:65">
      <c r="B31" s="393">
        <f t="shared" si="36"/>
        <v>45893</v>
      </c>
      <c r="C31" s="54"/>
      <c r="D31" s="28"/>
      <c r="E31" s="412">
        <v>50</v>
      </c>
      <c r="F31" s="413">
        <v>397</v>
      </c>
      <c r="G31" s="412"/>
      <c r="H31" s="413"/>
      <c r="I31" s="412"/>
      <c r="J31" s="413"/>
      <c r="K31" s="414"/>
      <c r="L31" s="416"/>
      <c r="M31" s="419"/>
      <c r="N31" s="413"/>
      <c r="O31" s="412"/>
      <c r="P31" s="413"/>
      <c r="Q31" s="389">
        <f t="shared" si="32"/>
        <v>397</v>
      </c>
      <c r="R31" s="386"/>
      <c r="S31" s="385"/>
      <c r="T31" s="387"/>
      <c r="U31" s="388">
        <f t="shared" si="33"/>
        <v>45893</v>
      </c>
      <c r="V31" s="390"/>
      <c r="W31" s="392"/>
      <c r="X31" s="323">
        <v>44</v>
      </c>
      <c r="Y31" s="28">
        <v>229</v>
      </c>
      <c r="Z31" s="412">
        <v>48</v>
      </c>
      <c r="AA31" s="413">
        <v>150</v>
      </c>
      <c r="AB31" s="29"/>
      <c r="AC31" s="457"/>
      <c r="AD31" s="465"/>
      <c r="AE31" s="466"/>
      <c r="AF31" s="467"/>
      <c r="AG31" s="468"/>
      <c r="AH31" s="412"/>
      <c r="AI31" s="413"/>
      <c r="AJ31" s="469"/>
      <c r="AK31" s="470"/>
      <c r="AL31" s="492">
        <f t="shared" si="9"/>
        <v>379</v>
      </c>
      <c r="AM31" s="118">
        <f t="shared" si="10"/>
        <v>-18</v>
      </c>
      <c r="AN31" s="87">
        <f t="shared" si="11"/>
        <v>45893</v>
      </c>
      <c r="AO31" s="178">
        <v>666</v>
      </c>
      <c r="AP31" s="179">
        <v>1211</v>
      </c>
      <c r="AQ31" s="179"/>
      <c r="AR31" s="179"/>
      <c r="AS31" s="179">
        <f t="shared" si="37"/>
        <v>0</v>
      </c>
      <c r="AT31" s="179"/>
      <c r="AU31" s="79"/>
      <c r="AV31" s="400"/>
      <c r="AW31" s="79">
        <v>0</v>
      </c>
      <c r="AX31" s="79">
        <v>200</v>
      </c>
      <c r="AY31" s="79">
        <v>200</v>
      </c>
      <c r="AZ31" s="79">
        <v>200</v>
      </c>
      <c r="BA31" s="79"/>
      <c r="BB31" s="86"/>
      <c r="BC31" s="400"/>
      <c r="BD31" s="400"/>
      <c r="BE31" s="86"/>
      <c r="BF31" s="79"/>
      <c r="BG31" s="79"/>
      <c r="BH31" s="79"/>
      <c r="BI31" s="86"/>
      <c r="BJ31" s="208"/>
      <c r="BK31" s="208"/>
      <c r="BL31" s="208"/>
      <c r="BM31" s="208"/>
    </row>
    <row r="32" spans="2:65">
      <c r="B32" s="394">
        <f>B31+1</f>
        <v>45894</v>
      </c>
      <c r="C32" s="377"/>
      <c r="D32" s="28"/>
      <c r="E32" s="412"/>
      <c r="F32" s="413"/>
      <c r="G32" s="412"/>
      <c r="H32" s="413"/>
      <c r="I32" s="412"/>
      <c r="J32" s="413"/>
      <c r="K32" s="414"/>
      <c r="L32" s="416"/>
      <c r="M32" s="412"/>
      <c r="N32" s="413"/>
      <c r="O32" s="412"/>
      <c r="P32" s="413"/>
      <c r="Q32" s="389">
        <f t="shared" si="32"/>
        <v>0</v>
      </c>
      <c r="R32" s="386"/>
      <c r="S32" s="385"/>
      <c r="T32" s="387"/>
      <c r="U32" s="388">
        <f t="shared" si="33"/>
        <v>45894</v>
      </c>
      <c r="V32" s="390"/>
      <c r="W32" s="392"/>
      <c r="X32" s="377"/>
      <c r="Y32" s="341"/>
      <c r="Z32" s="412">
        <v>48</v>
      </c>
      <c r="AA32" s="413">
        <v>53</v>
      </c>
      <c r="AB32" s="29"/>
      <c r="AC32" s="457"/>
      <c r="AD32" s="465"/>
      <c r="AE32" s="466"/>
      <c r="AF32" s="467"/>
      <c r="AG32" s="468"/>
      <c r="AH32" s="412"/>
      <c r="AI32" s="413"/>
      <c r="AJ32" s="469"/>
      <c r="AK32" s="470"/>
      <c r="AL32" s="492">
        <f t="shared" si="9"/>
        <v>53</v>
      </c>
      <c r="AM32" s="118">
        <f t="shared" si="10"/>
        <v>53</v>
      </c>
      <c r="AN32" s="87">
        <f t="shared" si="11"/>
        <v>45894</v>
      </c>
      <c r="AO32" s="178">
        <f t="shared" si="39"/>
        <v>895</v>
      </c>
      <c r="AP32" s="179">
        <f t="shared" si="38"/>
        <v>1361</v>
      </c>
      <c r="AQ32" s="179"/>
      <c r="AR32" s="179"/>
      <c r="AS32" s="179">
        <f t="shared" si="37"/>
        <v>0</v>
      </c>
      <c r="AT32" s="179">
        <v>2313</v>
      </c>
      <c r="AU32" s="79"/>
      <c r="AV32" s="400">
        <v>235</v>
      </c>
      <c r="AW32" s="79">
        <v>272</v>
      </c>
      <c r="AX32" s="79">
        <v>200</v>
      </c>
      <c r="AY32" s="79">
        <v>200</v>
      </c>
      <c r="AZ32" s="79">
        <v>200</v>
      </c>
      <c r="BA32" s="79"/>
      <c r="BB32" s="86"/>
      <c r="BC32" s="400"/>
      <c r="BD32" s="400"/>
      <c r="BE32" s="86"/>
      <c r="BF32" s="79"/>
      <c r="BG32" s="79"/>
      <c r="BH32" s="79"/>
      <c r="BI32" s="86"/>
      <c r="BJ32" s="208"/>
      <c r="BK32" s="208"/>
      <c r="BL32" s="208"/>
      <c r="BM32" s="208"/>
    </row>
    <row r="33" spans="2:65">
      <c r="B33" s="393">
        <f t="shared" si="36"/>
        <v>45895</v>
      </c>
      <c r="C33" s="377"/>
      <c r="D33" s="28"/>
      <c r="E33" s="412"/>
      <c r="F33" s="413"/>
      <c r="G33" s="412"/>
      <c r="H33" s="413"/>
      <c r="I33" s="414"/>
      <c r="J33" s="415"/>
      <c r="K33" s="410"/>
      <c r="L33" s="411"/>
      <c r="M33" s="412"/>
      <c r="N33" s="413"/>
      <c r="O33" s="412"/>
      <c r="P33" s="413"/>
      <c r="Q33" s="389">
        <f t="shared" si="32"/>
        <v>0</v>
      </c>
      <c r="R33" s="386"/>
      <c r="S33" s="385"/>
      <c r="T33" s="387"/>
      <c r="U33" s="388">
        <f t="shared" si="33"/>
        <v>45895</v>
      </c>
      <c r="V33" s="390"/>
      <c r="W33" s="392"/>
      <c r="X33" s="377"/>
      <c r="Y33" s="341"/>
      <c r="Z33" s="412"/>
      <c r="AA33" s="413"/>
      <c r="AB33" s="458"/>
      <c r="AC33" s="464"/>
      <c r="AD33" s="465"/>
      <c r="AE33" s="466"/>
      <c r="AF33" s="467"/>
      <c r="AG33" s="468"/>
      <c r="AH33" s="412"/>
      <c r="AI33" s="413"/>
      <c r="AJ33" s="469"/>
      <c r="AK33" s="470"/>
      <c r="AL33" s="492">
        <f t="shared" si="9"/>
        <v>0</v>
      </c>
      <c r="AM33" s="118">
        <f t="shared" si="10"/>
        <v>0</v>
      </c>
      <c r="AN33" s="87">
        <f t="shared" si="11"/>
        <v>45895</v>
      </c>
      <c r="AO33" s="178">
        <v>679</v>
      </c>
      <c r="AP33" s="179">
        <v>1212</v>
      </c>
      <c r="AQ33" s="179"/>
      <c r="AR33" s="179"/>
      <c r="AS33" s="179">
        <f t="shared" si="37"/>
        <v>0</v>
      </c>
      <c r="AT33" s="179"/>
      <c r="AU33" s="79"/>
      <c r="AV33" s="400">
        <v>194</v>
      </c>
      <c r="AW33" s="79">
        <v>272</v>
      </c>
      <c r="AX33" s="79">
        <v>200</v>
      </c>
      <c r="AY33" s="79">
        <v>200</v>
      </c>
      <c r="AZ33" s="79">
        <v>200</v>
      </c>
      <c r="BA33" s="79"/>
      <c r="BB33" s="86"/>
      <c r="BC33" s="400"/>
      <c r="BD33" s="400"/>
      <c r="BE33" s="86"/>
      <c r="BF33" s="79"/>
      <c r="BG33" s="79"/>
      <c r="BH33" s="79"/>
      <c r="BI33" s="86"/>
      <c r="BJ33" s="208"/>
      <c r="BK33" s="208"/>
      <c r="BL33" s="208"/>
      <c r="BM33" s="208"/>
    </row>
    <row r="34" spans="2:65">
      <c r="B34" s="393">
        <f t="shared" si="36"/>
        <v>45896</v>
      </c>
      <c r="C34" s="377"/>
      <c r="D34" s="28"/>
      <c r="E34" s="412">
        <v>50</v>
      </c>
      <c r="F34" s="413">
        <v>104</v>
      </c>
      <c r="G34" s="412"/>
      <c r="H34" s="413"/>
      <c r="I34" s="414"/>
      <c r="J34" s="415"/>
      <c r="K34" s="410"/>
      <c r="L34" s="411"/>
      <c r="M34" s="412">
        <v>4</v>
      </c>
      <c r="N34" s="28">
        <v>1186</v>
      </c>
      <c r="O34" s="412"/>
      <c r="P34" s="413"/>
      <c r="Q34" s="389">
        <f t="shared" ref="Q34" si="40">P34+N34+L34+J34+H34+F34+D34</f>
        <v>1290</v>
      </c>
      <c r="R34" s="386"/>
      <c r="S34" s="385"/>
      <c r="T34" s="387"/>
      <c r="U34" s="388">
        <f t="shared" ref="U34" si="41">B34</f>
        <v>45896</v>
      </c>
      <c r="V34" s="390"/>
      <c r="W34" s="392"/>
      <c r="X34" s="377"/>
      <c r="Y34" s="341"/>
      <c r="Z34" s="412">
        <v>48</v>
      </c>
      <c r="AA34" s="413">
        <v>310</v>
      </c>
      <c r="AB34" s="458"/>
      <c r="AC34" s="464"/>
      <c r="AD34" s="465"/>
      <c r="AE34" s="466"/>
      <c r="AF34" s="467"/>
      <c r="AG34" s="468"/>
      <c r="AH34" s="412">
        <v>3</v>
      </c>
      <c r="AI34" s="413">
        <v>866</v>
      </c>
      <c r="AJ34" s="469"/>
      <c r="AK34" s="470"/>
      <c r="AL34" s="492">
        <f t="shared" si="9"/>
        <v>1176</v>
      </c>
      <c r="AM34" s="118">
        <f t="shared" si="10"/>
        <v>-114</v>
      </c>
      <c r="AN34" s="87">
        <f t="shared" si="11"/>
        <v>45896</v>
      </c>
      <c r="AO34" s="178">
        <v>464</v>
      </c>
      <c r="AP34" s="179">
        <v>896</v>
      </c>
      <c r="AQ34" s="179"/>
      <c r="AR34" s="179"/>
      <c r="AS34" s="179">
        <f t="shared" si="37"/>
        <v>0</v>
      </c>
      <c r="AT34" s="179"/>
      <c r="AU34" s="79"/>
      <c r="AV34" s="400">
        <v>256</v>
      </c>
      <c r="AW34" s="79">
        <v>170</v>
      </c>
      <c r="AX34" s="79">
        <v>200</v>
      </c>
      <c r="AY34" s="79">
        <v>200</v>
      </c>
      <c r="AZ34" s="79">
        <v>200</v>
      </c>
      <c r="BA34" s="79"/>
      <c r="BB34" s="86"/>
      <c r="BC34" s="400"/>
      <c r="BD34" s="400"/>
      <c r="BE34" s="86"/>
      <c r="BF34" s="79"/>
      <c r="BG34" s="79"/>
      <c r="BH34" s="79"/>
      <c r="BI34" s="86"/>
      <c r="BJ34" s="208"/>
      <c r="BK34" s="208"/>
      <c r="BL34" s="208"/>
      <c r="BM34" s="208"/>
    </row>
    <row r="35" spans="2:65">
      <c r="B35" s="394">
        <f>B34+1</f>
        <v>45897</v>
      </c>
      <c r="C35" s="54">
        <v>46</v>
      </c>
      <c r="D35" s="28">
        <v>500</v>
      </c>
      <c r="E35" s="412">
        <v>51</v>
      </c>
      <c r="F35" s="413">
        <v>300</v>
      </c>
      <c r="G35" s="412"/>
      <c r="H35" s="413"/>
      <c r="I35" s="414"/>
      <c r="J35" s="415"/>
      <c r="K35" s="410"/>
      <c r="L35" s="411"/>
      <c r="M35" s="30"/>
      <c r="N35" s="28"/>
      <c r="O35" s="378"/>
      <c r="P35" s="341"/>
      <c r="Q35" s="373">
        <f t="shared" ref="Q35:Q38" si="42">P35+N35+L35+J35+H35+F35+D35</f>
        <v>800</v>
      </c>
      <c r="R35" s="379"/>
      <c r="S35" s="380"/>
      <c r="T35" s="381"/>
      <c r="U35" s="116">
        <f t="shared" ref="U35:U38" si="43">B35</f>
        <v>45897</v>
      </c>
      <c r="V35" s="375"/>
      <c r="W35" s="382"/>
      <c r="X35" s="377">
        <v>45</v>
      </c>
      <c r="Y35" s="341">
        <v>300</v>
      </c>
      <c r="Z35" s="412">
        <v>49</v>
      </c>
      <c r="AA35" s="413">
        <v>500</v>
      </c>
      <c r="AB35" s="29"/>
      <c r="AC35" s="457"/>
      <c r="AD35" s="471"/>
      <c r="AE35" s="472"/>
      <c r="AF35" s="469"/>
      <c r="AG35" s="470"/>
      <c r="AH35" s="412">
        <v>3</v>
      </c>
      <c r="AI35" s="413">
        <v>130</v>
      </c>
      <c r="AJ35" s="469"/>
      <c r="AK35" s="470"/>
      <c r="AL35" s="492">
        <f t="shared" si="9"/>
        <v>930</v>
      </c>
      <c r="AM35" s="118">
        <f t="shared" si="10"/>
        <v>130</v>
      </c>
      <c r="AN35" s="87">
        <f t="shared" si="11"/>
        <v>45897</v>
      </c>
      <c r="AO35" s="178">
        <v>252</v>
      </c>
      <c r="AP35" s="179">
        <f t="shared" si="38"/>
        <v>1036</v>
      </c>
      <c r="AQ35" s="179"/>
      <c r="AR35" s="179"/>
      <c r="AS35" s="179">
        <f t="shared" si="37"/>
        <v>0</v>
      </c>
      <c r="AT35" s="179"/>
      <c r="AU35" s="79"/>
      <c r="AV35" s="400">
        <v>181</v>
      </c>
      <c r="AW35" s="79">
        <v>280</v>
      </c>
      <c r="AX35" s="79">
        <v>200</v>
      </c>
      <c r="AY35" s="79">
        <v>200</v>
      </c>
      <c r="AZ35" s="79">
        <v>200</v>
      </c>
      <c r="BA35" s="79"/>
      <c r="BB35" s="86"/>
      <c r="BC35" s="400"/>
      <c r="BD35" s="400"/>
      <c r="BE35" s="86"/>
      <c r="BF35" s="79"/>
      <c r="BG35" s="79"/>
      <c r="BH35" s="79"/>
      <c r="BI35" s="86"/>
      <c r="BJ35" s="208"/>
      <c r="BK35" s="208"/>
      <c r="BL35" s="208"/>
      <c r="BM35" s="208"/>
    </row>
    <row r="36" spans="2:65">
      <c r="B36" s="393">
        <f t="shared" si="36"/>
        <v>45898</v>
      </c>
      <c r="C36" s="54">
        <v>46</v>
      </c>
      <c r="D36" s="28">
        <v>400</v>
      </c>
      <c r="E36" s="412"/>
      <c r="F36" s="413"/>
      <c r="G36" s="412"/>
      <c r="H36" s="413"/>
      <c r="I36" s="414"/>
      <c r="J36" s="415"/>
      <c r="K36" s="410"/>
      <c r="L36" s="411"/>
      <c r="M36" s="30"/>
      <c r="N36" s="28"/>
      <c r="O36" s="378"/>
      <c r="P36" s="341"/>
      <c r="Q36" s="373">
        <f t="shared" si="42"/>
        <v>400</v>
      </c>
      <c r="R36" s="379"/>
      <c r="S36" s="380"/>
      <c r="T36" s="381"/>
      <c r="U36" s="116">
        <f t="shared" si="43"/>
        <v>45898</v>
      </c>
      <c r="V36" s="375"/>
      <c r="W36" s="382"/>
      <c r="X36" s="377">
        <v>45</v>
      </c>
      <c r="Y36" s="341">
        <v>400</v>
      </c>
      <c r="Z36" s="412"/>
      <c r="AA36" s="413"/>
      <c r="AB36" s="29"/>
      <c r="AC36" s="457"/>
      <c r="AD36" s="471"/>
      <c r="AE36" s="472"/>
      <c r="AF36" s="469"/>
      <c r="AG36" s="470"/>
      <c r="AH36" s="412"/>
      <c r="AI36" s="413"/>
      <c r="AJ36" s="469"/>
      <c r="AK36" s="470"/>
      <c r="AL36" s="492">
        <f t="shared" si="9"/>
        <v>400</v>
      </c>
      <c r="AM36" s="118">
        <f t="shared" si="10"/>
        <v>0</v>
      </c>
      <c r="AN36" s="87">
        <f t="shared" si="11"/>
        <v>45898</v>
      </c>
      <c r="AO36" s="400">
        <f t="shared" si="39"/>
        <v>371</v>
      </c>
      <c r="AP36" s="79">
        <f t="shared" si="38"/>
        <v>1256</v>
      </c>
      <c r="AQ36" s="79"/>
      <c r="AR36" s="79"/>
      <c r="AS36" s="79">
        <f t="shared" si="37"/>
        <v>0</v>
      </c>
      <c r="AT36" s="79"/>
      <c r="AU36" s="79"/>
      <c r="AV36" s="400">
        <v>254</v>
      </c>
      <c r="AW36" s="79">
        <v>340</v>
      </c>
      <c r="AX36" s="79"/>
      <c r="AY36" s="79"/>
      <c r="AZ36" s="79"/>
      <c r="BA36" s="79"/>
      <c r="BB36" s="86"/>
      <c r="BC36" s="400"/>
      <c r="BD36" s="400"/>
      <c r="BE36" s="86"/>
      <c r="BF36" s="79"/>
      <c r="BG36" s="79"/>
      <c r="BH36" s="79"/>
      <c r="BI36" s="86"/>
      <c r="BK36" s="208"/>
      <c r="BL36" s="208"/>
      <c r="BM36" s="208"/>
    </row>
    <row r="37" spans="2:65">
      <c r="B37" s="394">
        <f>B36+1</f>
        <v>45899</v>
      </c>
      <c r="C37" s="54">
        <v>47</v>
      </c>
      <c r="D37" s="28">
        <v>600</v>
      </c>
      <c r="E37" s="412">
        <v>52</v>
      </c>
      <c r="F37" s="413">
        <v>500</v>
      </c>
      <c r="G37" s="412"/>
      <c r="H37" s="413"/>
      <c r="I37" s="414"/>
      <c r="J37" s="415"/>
      <c r="K37" s="410"/>
      <c r="L37" s="411"/>
      <c r="M37" s="30"/>
      <c r="N37" s="28"/>
      <c r="O37" s="378"/>
      <c r="P37" s="341"/>
      <c r="Q37" s="373">
        <f t="shared" si="42"/>
        <v>1100</v>
      </c>
      <c r="R37" s="379"/>
      <c r="S37" s="380"/>
      <c r="T37" s="381"/>
      <c r="U37" s="116">
        <f t="shared" si="43"/>
        <v>45899</v>
      </c>
      <c r="V37" s="375"/>
      <c r="W37" s="382"/>
      <c r="X37" s="377">
        <v>45</v>
      </c>
      <c r="Y37" s="341">
        <v>100</v>
      </c>
      <c r="Z37" s="412">
        <v>50</v>
      </c>
      <c r="AA37" s="413">
        <v>500</v>
      </c>
      <c r="AB37" s="29"/>
      <c r="AC37" s="457"/>
      <c r="AD37" s="471"/>
      <c r="AE37" s="472"/>
      <c r="AF37" s="469"/>
      <c r="AG37" s="470"/>
      <c r="AH37" s="412">
        <v>4</v>
      </c>
      <c r="AI37" s="413">
        <v>500</v>
      </c>
      <c r="AJ37" s="469"/>
      <c r="AK37" s="470"/>
      <c r="AL37" s="492">
        <f t="shared" si="9"/>
        <v>1100</v>
      </c>
      <c r="AM37" s="118">
        <f t="shared" si="10"/>
        <v>0</v>
      </c>
      <c r="AN37" s="87">
        <f t="shared" si="11"/>
        <v>45899</v>
      </c>
      <c r="AO37" s="400">
        <f t="shared" si="39"/>
        <v>517</v>
      </c>
      <c r="AP37" s="79">
        <f t="shared" si="38"/>
        <v>916</v>
      </c>
      <c r="AQ37" s="79"/>
      <c r="AR37" s="79"/>
      <c r="AS37" s="79">
        <f t="shared" si="37"/>
        <v>0</v>
      </c>
      <c r="AT37" s="79"/>
      <c r="AU37" s="79"/>
      <c r="AV37" s="400">
        <v>131</v>
      </c>
      <c r="AW37" s="79">
        <v>340</v>
      </c>
      <c r="AX37" s="79"/>
      <c r="AY37" s="79"/>
      <c r="AZ37" s="79"/>
      <c r="BA37" s="79"/>
      <c r="BB37" s="86"/>
      <c r="BC37" s="400"/>
      <c r="BD37" s="400"/>
      <c r="BE37" s="86"/>
      <c r="BF37" s="79"/>
      <c r="BG37" s="79"/>
      <c r="BH37" s="79"/>
      <c r="BI37" s="86"/>
      <c r="BK37" s="208"/>
      <c r="BL37" s="208"/>
      <c r="BM37" s="208"/>
    </row>
    <row r="38" spans="2:65" ht="15" customHeight="1" thickBot="1">
      <c r="B38" s="393">
        <f t="shared" si="36"/>
        <v>45900</v>
      </c>
      <c r="C38" s="54"/>
      <c r="D38" s="28"/>
      <c r="E38" s="412">
        <v>53</v>
      </c>
      <c r="F38" s="413">
        <v>700</v>
      </c>
      <c r="G38" s="412"/>
      <c r="H38" s="413"/>
      <c r="I38" s="414"/>
      <c r="J38" s="415"/>
      <c r="K38" s="410"/>
      <c r="L38" s="411"/>
      <c r="M38" s="412"/>
      <c r="N38" s="28"/>
      <c r="O38" s="30"/>
      <c r="P38" s="28"/>
      <c r="Q38" s="389">
        <f t="shared" si="42"/>
        <v>700</v>
      </c>
      <c r="R38" s="386"/>
      <c r="S38" s="385"/>
      <c r="T38" s="387"/>
      <c r="U38" s="388">
        <f t="shared" si="43"/>
        <v>45900</v>
      </c>
      <c r="V38" s="390"/>
      <c r="W38" s="392"/>
      <c r="X38" s="377"/>
      <c r="Y38" s="341"/>
      <c r="Z38" s="412"/>
      <c r="AA38" s="413"/>
      <c r="AB38" s="29"/>
      <c r="AC38" s="457"/>
      <c r="AD38" s="471"/>
      <c r="AE38" s="472"/>
      <c r="AF38" s="469"/>
      <c r="AG38" s="470"/>
      <c r="AH38" s="412">
        <v>4</v>
      </c>
      <c r="AI38" s="413">
        <v>700</v>
      </c>
      <c r="AJ38" s="476"/>
      <c r="AK38" s="477"/>
      <c r="AL38" s="492">
        <f t="shared" si="9"/>
        <v>700</v>
      </c>
      <c r="AM38" s="118">
        <f t="shared" si="10"/>
        <v>0</v>
      </c>
      <c r="AN38" s="87">
        <f t="shared" si="11"/>
        <v>45900</v>
      </c>
      <c r="AO38" s="400">
        <f t="shared" si="39"/>
        <v>486</v>
      </c>
      <c r="AP38" s="79">
        <f t="shared" si="38"/>
        <v>1076</v>
      </c>
      <c r="AQ38" s="79"/>
      <c r="AR38" s="79"/>
      <c r="AS38" s="79">
        <f t="shared" si="37"/>
        <v>0</v>
      </c>
      <c r="AT38" s="79"/>
      <c r="AU38" s="79"/>
      <c r="AV38" s="400"/>
      <c r="AW38" s="79"/>
      <c r="AX38" s="79"/>
      <c r="AY38" s="79"/>
      <c r="AZ38" s="79"/>
      <c r="BA38" s="79"/>
      <c r="BB38" s="86"/>
      <c r="BC38" s="400"/>
      <c r="BD38" s="400"/>
      <c r="BE38" s="82"/>
      <c r="BF38" s="81"/>
      <c r="BG38" s="81"/>
      <c r="BH38" s="81"/>
      <c r="BI38" s="82"/>
      <c r="BL38" s="208"/>
    </row>
    <row r="39" spans="2:65" ht="15" thickBot="1">
      <c r="B39" s="67" t="s">
        <v>78</v>
      </c>
      <c r="C39" s="315"/>
      <c r="D39" s="158">
        <f>SUM(D8:D38)</f>
        <v>4685</v>
      </c>
      <c r="E39" s="158"/>
      <c r="F39" s="158">
        <f>SUM(F8:F38)</f>
        <v>7022</v>
      </c>
      <c r="G39" s="158"/>
      <c r="H39" s="158">
        <f>SUM(H8:H38)</f>
        <v>0</v>
      </c>
      <c r="I39" s="158"/>
      <c r="J39" s="158">
        <f>SUM(J8:J38)</f>
        <v>0</v>
      </c>
      <c r="K39" s="158"/>
      <c r="L39" s="158">
        <f>SUM(L8:L38)</f>
        <v>0</v>
      </c>
      <c r="M39" s="158"/>
      <c r="N39" s="158">
        <f>SUM(N8:N38)</f>
        <v>3489</v>
      </c>
      <c r="O39" s="158"/>
      <c r="P39" s="158">
        <f>SUM(P8:P38)</f>
        <v>0</v>
      </c>
      <c r="Q39" s="159">
        <f>D39+F39+H39+N39</f>
        <v>15196</v>
      </c>
      <c r="R39" s="357"/>
      <c r="S39" s="358"/>
      <c r="T39" s="103"/>
      <c r="U39" s="67" t="s">
        <v>78</v>
      </c>
      <c r="V39" s="316"/>
      <c r="W39" s="159">
        <f>SUM(W8:W38)</f>
        <v>0</v>
      </c>
      <c r="X39" s="315"/>
      <c r="Y39" s="158">
        <f>SUM(Y8:Y38)</f>
        <v>4446</v>
      </c>
      <c r="Z39" s="158"/>
      <c r="AA39" s="158">
        <f>SUM(AA8:AA38)</f>
        <v>7410</v>
      </c>
      <c r="AB39" s="158"/>
      <c r="AC39" s="158">
        <f>SUM(AC8:AC38)</f>
        <v>0</v>
      </c>
      <c r="AD39" s="158"/>
      <c r="AE39" s="158">
        <f>SUM(AE8:AE38)</f>
        <v>0</v>
      </c>
      <c r="AF39" s="158"/>
      <c r="AG39" s="158">
        <f>SUM(AG8:AG38)</f>
        <v>0</v>
      </c>
      <c r="AH39" s="158"/>
      <c r="AI39" s="158">
        <f>SUM(AI8:AI38)</f>
        <v>3493</v>
      </c>
      <c r="AJ39" s="158"/>
      <c r="AK39" s="158">
        <f>SUM(AK8:AK38)</f>
        <v>0</v>
      </c>
      <c r="AL39" s="159">
        <f>Y39+AA39+AC39+AI39</f>
        <v>15349</v>
      </c>
      <c r="AM39" s="102"/>
      <c r="AN39" s="102"/>
      <c r="AO39" s="400">
        <f t="shared" si="39"/>
        <v>486</v>
      </c>
      <c r="AP39" s="79">
        <f t="shared" si="38"/>
        <v>1076</v>
      </c>
      <c r="AQ39" s="81"/>
      <c r="AR39" s="81"/>
      <c r="AS39" s="79">
        <f t="shared" si="37"/>
        <v>0</v>
      </c>
      <c r="AT39" s="81"/>
      <c r="AU39" s="82"/>
      <c r="AV39" s="157">
        <f>SUM(AV8:AV38)</f>
        <v>5162</v>
      </c>
      <c r="AW39" s="157">
        <f>SUM(AW8:AW38)</f>
        <v>7806</v>
      </c>
      <c r="AX39" s="158">
        <f t="shared" ref="AX39:BB39" si="44">SUM(AX8:AX38)</f>
        <v>4400</v>
      </c>
      <c r="AY39" s="158">
        <f t="shared" si="44"/>
        <v>4400</v>
      </c>
      <c r="AZ39" s="158">
        <f t="shared" si="44"/>
        <v>4400</v>
      </c>
      <c r="BA39" s="158">
        <f t="shared" si="44"/>
        <v>0</v>
      </c>
      <c r="BB39" s="159">
        <f t="shared" si="44"/>
        <v>0</v>
      </c>
      <c r="BC39" s="157">
        <f>SUM(BC8:BC38)</f>
        <v>0</v>
      </c>
      <c r="BD39" s="158">
        <f t="shared" ref="BD39:BI39" si="45">SUM(BD8:BD38)</f>
        <v>0</v>
      </c>
      <c r="BE39" s="158">
        <f t="shared" si="45"/>
        <v>0</v>
      </c>
      <c r="BF39" s="158">
        <f t="shared" si="45"/>
        <v>0</v>
      </c>
      <c r="BG39" s="158">
        <f t="shared" si="45"/>
        <v>0</v>
      </c>
      <c r="BH39" s="158">
        <f t="shared" si="45"/>
        <v>0</v>
      </c>
      <c r="BI39" s="159">
        <f t="shared" si="45"/>
        <v>0</v>
      </c>
      <c r="BL39" s="208"/>
    </row>
    <row r="40" spans="2:65">
      <c r="B40" s="65" t="s">
        <v>79</v>
      </c>
      <c r="C40" s="72"/>
      <c r="D40" s="73">
        <f>NOMINACIÓN!C27</f>
        <v>4983</v>
      </c>
      <c r="E40" s="73"/>
      <c r="F40" s="73">
        <f>NOMINACIÓN!D27</f>
        <v>8200</v>
      </c>
      <c r="G40" s="73"/>
      <c r="H40" s="73">
        <f>NOMINACIÓN!E27</f>
        <v>0</v>
      </c>
      <c r="I40" s="73"/>
      <c r="J40" s="73">
        <f>NOMINACIÓN!F27</f>
        <v>0</v>
      </c>
      <c r="K40" s="73"/>
      <c r="L40" s="73">
        <f>NOMINACIÓN!G27</f>
        <v>0</v>
      </c>
      <c r="M40" s="73"/>
      <c r="N40" s="73">
        <f>NOMINACIÓN!H27</f>
        <v>1900</v>
      </c>
      <c r="O40" s="73"/>
      <c r="P40" s="73">
        <f>NOMINACIÓN!H27</f>
        <v>1900</v>
      </c>
      <c r="Q40" s="159">
        <f>D40+F40+H40+N40</f>
        <v>15083</v>
      </c>
      <c r="R40" s="91"/>
      <c r="S40" s="92"/>
      <c r="T40" s="93"/>
      <c r="U40" s="65" t="s">
        <v>79</v>
      </c>
      <c r="V40" s="99"/>
      <c r="W40" s="100">
        <f>NOMINACIÓN!G6</f>
        <v>0</v>
      </c>
      <c r="X40" s="72"/>
      <c r="Y40" s="73">
        <f>NOMINACIÓN!C28</f>
        <v>4983</v>
      </c>
      <c r="Z40" s="73"/>
      <c r="AA40" s="73">
        <f>NOMINACIÓN!D28</f>
        <v>8200</v>
      </c>
      <c r="AB40" s="73"/>
      <c r="AC40" s="73">
        <f>NOMINACIÓN!E28</f>
        <v>0</v>
      </c>
      <c r="AD40" s="73"/>
      <c r="AE40" s="73">
        <f>NOMINACIÓN!F28</f>
        <v>0</v>
      </c>
      <c r="AF40" s="73"/>
      <c r="AG40" s="73">
        <f>NOMINACIÓN!G28</f>
        <v>0</v>
      </c>
      <c r="AH40" s="73"/>
      <c r="AI40" s="73">
        <f>NOMINACIÓN!H28</f>
        <v>1900</v>
      </c>
      <c r="AJ40" s="73"/>
      <c r="AK40" s="73">
        <f>NOMINACIÓN!I28</f>
        <v>0</v>
      </c>
      <c r="AL40" s="159">
        <f>Y40+AA40+AC40+AI40</f>
        <v>15083</v>
      </c>
      <c r="AM40" s="103"/>
      <c r="AN40" s="103"/>
      <c r="AO40" s="127"/>
      <c r="AP40" s="128"/>
      <c r="AQ40" s="128"/>
      <c r="AR40" s="128"/>
      <c r="AS40" s="128"/>
      <c r="AT40" s="128"/>
      <c r="AU40" s="129"/>
      <c r="AV40" s="134">
        <f>Y40</f>
        <v>4983</v>
      </c>
      <c r="AW40" s="73">
        <f>AA39</f>
        <v>7410</v>
      </c>
      <c r="AX40" s="73">
        <f>AC39</f>
        <v>0</v>
      </c>
      <c r="AY40" s="73">
        <f>AE39</f>
        <v>0</v>
      </c>
      <c r="AZ40" s="73">
        <f>AG39</f>
        <v>0</v>
      </c>
      <c r="BA40" s="135">
        <f>AI39</f>
        <v>3493</v>
      </c>
      <c r="BB40" s="136">
        <f>AK39</f>
        <v>0</v>
      </c>
      <c r="BC40" s="134">
        <f>AF39</f>
        <v>0</v>
      </c>
      <c r="BD40" s="73">
        <v>2500</v>
      </c>
      <c r="BE40" s="73">
        <f>AJ39</f>
        <v>0</v>
      </c>
      <c r="BF40" s="73">
        <f>AL39</f>
        <v>15349</v>
      </c>
      <c r="BG40" s="73">
        <f>AN39</f>
        <v>0</v>
      </c>
      <c r="BH40" s="135">
        <f>AP39</f>
        <v>1076</v>
      </c>
      <c r="BI40" s="136">
        <f>AR39</f>
        <v>0</v>
      </c>
    </row>
    <row r="41" spans="2:65" ht="15" thickBot="1">
      <c r="B41" s="66" t="s">
        <v>80</v>
      </c>
      <c r="C41" s="74"/>
      <c r="D41" s="76">
        <f>D39-D40</f>
        <v>-298</v>
      </c>
      <c r="E41" s="76"/>
      <c r="F41" s="76">
        <f>F39-F40</f>
        <v>-1178</v>
      </c>
      <c r="G41" s="76"/>
      <c r="H41" s="76">
        <f>H39-H40</f>
        <v>0</v>
      </c>
      <c r="I41" s="76"/>
      <c r="J41" s="76">
        <f>J39-J40</f>
        <v>0</v>
      </c>
      <c r="K41" s="76"/>
      <c r="L41" s="76">
        <f>L39-L40</f>
        <v>0</v>
      </c>
      <c r="M41" s="76"/>
      <c r="N41" s="76">
        <f>N39-N40</f>
        <v>1589</v>
      </c>
      <c r="O41" s="76"/>
      <c r="P41" s="76">
        <f>P39-P40</f>
        <v>-1900</v>
      </c>
      <c r="Q41" s="77">
        <f>Q39-Q40</f>
        <v>113</v>
      </c>
      <c r="R41" s="94"/>
      <c r="S41" s="95"/>
      <c r="T41" s="96"/>
      <c r="U41" s="66" t="s">
        <v>80</v>
      </c>
      <c r="V41" s="101"/>
      <c r="W41" s="77">
        <f>W39-W40</f>
        <v>0</v>
      </c>
      <c r="X41" s="78"/>
      <c r="Y41" s="76">
        <f>Y39-Y40</f>
        <v>-537</v>
      </c>
      <c r="Z41" s="76"/>
      <c r="AA41" s="76">
        <f>AA39-AA40</f>
        <v>-790</v>
      </c>
      <c r="AB41" s="76"/>
      <c r="AC41" s="76">
        <f>AC39-AC40</f>
        <v>0</v>
      </c>
      <c r="AD41" s="76"/>
      <c r="AE41" s="76">
        <f>AE39-AE40</f>
        <v>0</v>
      </c>
      <c r="AF41" s="76"/>
      <c r="AG41" s="76">
        <f>AG39-AG40</f>
        <v>0</v>
      </c>
      <c r="AH41" s="76"/>
      <c r="AI41" s="76">
        <f>AI39-AI40</f>
        <v>1593</v>
      </c>
      <c r="AJ41" s="76"/>
      <c r="AK41" s="76">
        <f>AK39-AK40</f>
        <v>0</v>
      </c>
      <c r="AL41" s="77">
        <f>AL39-AL40</f>
        <v>266</v>
      </c>
      <c r="AM41" s="104"/>
      <c r="AN41" s="104"/>
      <c r="AO41" s="130"/>
      <c r="AP41" s="131"/>
      <c r="AQ41" s="131"/>
      <c r="AR41" s="131"/>
      <c r="AS41" s="131"/>
      <c r="AT41" s="131"/>
      <c r="AU41" s="132"/>
      <c r="AV41" s="78">
        <f t="shared" ref="AV41:BB41" si="46">AV39-AV40</f>
        <v>179</v>
      </c>
      <c r="AW41" s="76">
        <f t="shared" si="46"/>
        <v>396</v>
      </c>
      <c r="AX41" s="76">
        <f t="shared" si="46"/>
        <v>4400</v>
      </c>
      <c r="AY41" s="76">
        <f t="shared" si="46"/>
        <v>4400</v>
      </c>
      <c r="AZ41" s="76">
        <f t="shared" si="46"/>
        <v>4400</v>
      </c>
      <c r="BA41" s="76">
        <f t="shared" si="46"/>
        <v>-3493</v>
      </c>
      <c r="BB41" s="77">
        <f t="shared" si="46"/>
        <v>0</v>
      </c>
      <c r="BC41" s="78">
        <f t="shared" ref="BC41:BI41" si="47">BC39-BC40</f>
        <v>0</v>
      </c>
      <c r="BD41" s="76">
        <f t="shared" si="47"/>
        <v>-2500</v>
      </c>
      <c r="BE41" s="76">
        <f t="shared" si="47"/>
        <v>0</v>
      </c>
      <c r="BF41" s="76">
        <f t="shared" si="47"/>
        <v>-15349</v>
      </c>
      <c r="BG41" s="76">
        <f t="shared" si="47"/>
        <v>0</v>
      </c>
      <c r="BH41" s="76">
        <f t="shared" si="47"/>
        <v>-1076</v>
      </c>
      <c r="BI41" s="77">
        <f t="shared" si="47"/>
        <v>0</v>
      </c>
    </row>
    <row r="42" spans="2:65" ht="15.6">
      <c r="B42" s="1"/>
      <c r="C42" s="31"/>
      <c r="D42" s="1"/>
      <c r="E42" s="1"/>
      <c r="F42" s="2"/>
      <c r="G42" s="2"/>
      <c r="H42" s="2"/>
      <c r="I42" s="32"/>
      <c r="J42" s="32"/>
      <c r="K42" s="32"/>
      <c r="L42" s="32"/>
      <c r="M42" s="32"/>
      <c r="N42" s="32"/>
      <c r="O42" s="32"/>
      <c r="P42" s="2"/>
      <c r="Q42" s="3"/>
      <c r="R42" s="3"/>
      <c r="S42" s="3"/>
      <c r="T42" s="3"/>
      <c r="U42" s="33"/>
      <c r="V42" s="33"/>
      <c r="W42" s="33"/>
      <c r="X42" s="34"/>
      <c r="Y42" s="34"/>
      <c r="Z42" s="33"/>
      <c r="AA42" s="34"/>
      <c r="AB42" s="33"/>
      <c r="AC42" s="33"/>
      <c r="AD42" s="35"/>
      <c r="AE42" s="35"/>
      <c r="AF42" s="35"/>
      <c r="AG42" s="35"/>
      <c r="AH42" s="35"/>
      <c r="AI42" s="35"/>
      <c r="AJ42" s="35"/>
      <c r="AK42" s="34"/>
      <c r="AL42" s="34"/>
      <c r="AM42" s="34"/>
      <c r="AN42" s="7"/>
      <c r="AO42" s="9"/>
      <c r="AP42" s="9"/>
      <c r="AQ42" s="9"/>
      <c r="AR42" s="5"/>
      <c r="AS42" s="5"/>
      <c r="AT42" s="5"/>
      <c r="AU42" s="10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</row>
    <row r="43" spans="2:65" ht="28.2" customHeight="1">
      <c r="B43" s="36"/>
      <c r="C43" s="37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9"/>
      <c r="Q43" s="39"/>
      <c r="R43" s="39"/>
      <c r="S43" s="39"/>
      <c r="T43" s="39"/>
      <c r="U43" s="34"/>
      <c r="V43" s="34"/>
      <c r="W43" s="34"/>
      <c r="X43" s="34"/>
      <c r="Y43" s="33"/>
      <c r="Z43" s="33"/>
      <c r="AA43" s="33"/>
      <c r="AB43" s="35"/>
      <c r="AC43" s="35"/>
      <c r="AD43" s="35"/>
      <c r="AE43" s="35"/>
      <c r="AF43" s="35"/>
      <c r="AG43" s="35"/>
      <c r="AH43" s="35"/>
      <c r="AI43" s="35"/>
      <c r="AJ43" s="35"/>
      <c r="AK43" s="33"/>
      <c r="AL43" s="33"/>
      <c r="AM43" s="33"/>
      <c r="AN43" s="38"/>
      <c r="AO43" s="40"/>
      <c r="AP43" s="40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</row>
    <row r="44" spans="2:65">
      <c r="B44" s="11"/>
      <c r="C44" s="44" t="s">
        <v>81</v>
      </c>
      <c r="D44" s="2"/>
      <c r="E44" s="2"/>
      <c r="F44" s="2"/>
      <c r="G44" s="2"/>
      <c r="H44" s="2"/>
      <c r="I44" s="42" t="s">
        <v>82</v>
      </c>
      <c r="J44" s="2"/>
      <c r="K44" s="2"/>
      <c r="L44" s="2"/>
      <c r="M44" s="2"/>
      <c r="N44" s="2"/>
      <c r="O44" s="2"/>
      <c r="P44" s="2"/>
      <c r="Q44" s="41" t="s">
        <v>83</v>
      </c>
      <c r="R44" s="42"/>
      <c r="S44" s="42"/>
      <c r="T44" s="43"/>
      <c r="U44" s="42"/>
      <c r="V44" s="42"/>
      <c r="W44" s="42"/>
      <c r="X44" s="42"/>
      <c r="Y44" s="33"/>
      <c r="Z44" s="42"/>
      <c r="AA44" s="2"/>
      <c r="AB44" s="42" t="s">
        <v>82</v>
      </c>
      <c r="AC44" s="43"/>
      <c r="AD44" s="43"/>
      <c r="AE44" s="43"/>
      <c r="AF44" s="33"/>
      <c r="AG44" s="43"/>
      <c r="AH44" s="43"/>
      <c r="AI44" s="43"/>
      <c r="AJ44" s="34"/>
      <c r="AK44" s="13"/>
      <c r="AL44" s="45"/>
      <c r="AM44" s="45"/>
      <c r="AN44" s="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</row>
    <row r="45" spans="2:65">
      <c r="B45" s="5"/>
      <c r="C45" s="46" t="s">
        <v>84</v>
      </c>
      <c r="D45" s="2"/>
      <c r="E45" s="2"/>
      <c r="F45" s="2"/>
      <c r="G45" s="2"/>
      <c r="H45" s="2"/>
      <c r="I45" s="2" t="s">
        <v>85</v>
      </c>
      <c r="J45" s="2"/>
      <c r="K45" s="2"/>
      <c r="L45" s="2"/>
      <c r="M45" s="2"/>
      <c r="N45" s="2"/>
      <c r="O45" s="2"/>
      <c r="P45" s="2"/>
      <c r="Q45" s="2" t="s">
        <v>86</v>
      </c>
      <c r="R45" s="2"/>
      <c r="S45" s="2"/>
      <c r="T45" s="2"/>
      <c r="U45" s="21"/>
      <c r="V45" s="21"/>
      <c r="W45" s="21"/>
      <c r="X45" s="2"/>
      <c r="Y45" s="47"/>
      <c r="Z45" s="21"/>
      <c r="AA45" s="2"/>
      <c r="AB45" s="2" t="s">
        <v>85</v>
      </c>
      <c r="AC45" s="47"/>
      <c r="AD45" s="47"/>
      <c r="AE45" s="21"/>
      <c r="AF45" s="21"/>
      <c r="AG45" s="47" t="s">
        <v>87</v>
      </c>
      <c r="AH45" s="21"/>
      <c r="AI45" s="21"/>
      <c r="AJ45" s="48" t="s">
        <v>87</v>
      </c>
      <c r="AK45" s="5"/>
      <c r="AL45" s="5"/>
      <c r="AM45" s="5"/>
      <c r="AN45" s="5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</row>
    <row r="46" spans="2:65">
      <c r="B46" s="5"/>
      <c r="C46" s="46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1"/>
      <c r="V46" s="21"/>
      <c r="W46" s="21"/>
      <c r="X46" s="2"/>
      <c r="Y46" s="47"/>
      <c r="Z46" s="21"/>
      <c r="AA46" s="47"/>
      <c r="AB46" s="47"/>
      <c r="AC46" s="47"/>
      <c r="AD46" s="47"/>
      <c r="AE46" s="21"/>
      <c r="AF46" s="21"/>
      <c r="AG46" s="21"/>
      <c r="AH46" s="21"/>
      <c r="AI46" s="21"/>
      <c r="AJ46" s="48"/>
      <c r="AK46" s="5"/>
      <c r="AL46" s="5"/>
      <c r="AM46" s="5"/>
      <c r="AN46" s="5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</row>
    <row r="47" spans="2:65">
      <c r="AV47" s="51"/>
      <c r="BC47" s="51"/>
    </row>
  </sheetData>
  <mergeCells count="29">
    <mergeCell ref="AD6:AE6"/>
    <mergeCell ref="AF6:AG6"/>
    <mergeCell ref="AH6:AI6"/>
    <mergeCell ref="G3:H3"/>
    <mergeCell ref="B5:B7"/>
    <mergeCell ref="C5:Q5"/>
    <mergeCell ref="R5:T5"/>
    <mergeCell ref="U5:U7"/>
    <mergeCell ref="C6:D6"/>
    <mergeCell ref="E6:F6"/>
    <mergeCell ref="G6:H6"/>
    <mergeCell ref="I6:J6"/>
    <mergeCell ref="K6:L6"/>
    <mergeCell ref="BC5:BI6"/>
    <mergeCell ref="V5:W5"/>
    <mergeCell ref="M6:N6"/>
    <mergeCell ref="O6:P6"/>
    <mergeCell ref="Q6:Q7"/>
    <mergeCell ref="V6:W6"/>
    <mergeCell ref="X5:AL5"/>
    <mergeCell ref="AM5:AM7"/>
    <mergeCell ref="AN5:AN7"/>
    <mergeCell ref="AO5:AU6"/>
    <mergeCell ref="AV5:BB6"/>
    <mergeCell ref="AJ6:AK6"/>
    <mergeCell ref="AL6:AL7"/>
    <mergeCell ref="X6:Y6"/>
    <mergeCell ref="Z6:AA6"/>
    <mergeCell ref="AB6:AC6"/>
  </mergeCells>
  <conditionalFormatting sqref="AU4">
    <cfRule type="cellIs" dxfId="38" priority="13" stopIfTrue="1" operator="lessThan">
      <formula>100</formula>
    </cfRule>
    <cfRule type="cellIs" dxfId="37" priority="14" stopIfTrue="1" operator="between">
      <formula>100</formula>
      <formula>2070</formula>
    </cfRule>
    <cfRule type="cellIs" dxfId="36" priority="15" stopIfTrue="1" operator="greaterThan">
      <formula>2070</formula>
    </cfRule>
  </conditionalFormatting>
  <conditionalFormatting sqref="AO4:AQ4">
    <cfRule type="cellIs" dxfId="35" priority="10" stopIfTrue="1" operator="greaterThan">
      <formula>573</formula>
    </cfRule>
    <cfRule type="cellIs" dxfId="34" priority="11" stopIfTrue="1" operator="lessThan">
      <formula>30</formula>
    </cfRule>
    <cfRule type="cellIs" dxfId="33" priority="12" stopIfTrue="1" operator="between">
      <formula>30</formula>
      <formula>573</formula>
    </cfRule>
  </conditionalFormatting>
  <conditionalFormatting sqref="AR4:AT4">
    <cfRule type="cellIs" dxfId="32" priority="7" stopIfTrue="1" operator="between">
      <formula>100</formula>
      <formula>1280</formula>
    </cfRule>
    <cfRule type="cellIs" dxfId="31" priority="8" stopIfTrue="1" operator="greaterThan">
      <formula>1280</formula>
    </cfRule>
    <cfRule type="cellIs" dxfId="30" priority="9" stopIfTrue="1" operator="lessThan">
      <formula>100</formula>
    </cfRule>
  </conditionalFormatting>
  <conditionalFormatting sqref="AU40:AU41">
    <cfRule type="cellIs" dxfId="29" priority="4" stopIfTrue="1" operator="between">
      <formula>55</formula>
      <formula>1468</formula>
    </cfRule>
    <cfRule type="cellIs" dxfId="28" priority="5" stopIfTrue="1" operator="greaterThan">
      <formula>1775</formula>
    </cfRule>
    <cfRule type="cellIs" dxfId="27" priority="6" stopIfTrue="1" operator="lessThan">
      <formula>55</formula>
    </cfRule>
  </conditionalFormatting>
  <conditionalFormatting sqref="AR40:AT41">
    <cfRule type="cellIs" dxfId="26" priority="1" stopIfTrue="1" operator="between">
      <formula>55</formula>
      <formula>1004</formula>
    </cfRule>
    <cfRule type="cellIs" dxfId="25" priority="2" stopIfTrue="1" operator="greaterThan">
      <formula>1468</formula>
    </cfRule>
    <cfRule type="cellIs" dxfId="24" priority="3" stopIfTrue="1" operator="lessThan">
      <formula>55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7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BE1048576"/>
  <sheetViews>
    <sheetView zoomScale="90" zoomScaleNormal="90" workbookViewId="0">
      <selection activeCell="AH31" sqref="AH31"/>
    </sheetView>
  </sheetViews>
  <sheetFormatPr baseColWidth="10" defaultColWidth="11.44140625" defaultRowHeight="14.4"/>
  <cols>
    <col min="1" max="1" width="2" customWidth="1"/>
    <col min="2" max="2" width="10.5546875" customWidth="1"/>
    <col min="3" max="5" width="5.44140625" hidden="1" customWidth="1"/>
    <col min="6" max="6" width="6.33203125" hidden="1" customWidth="1"/>
    <col min="7" max="8" width="5.44140625" customWidth="1"/>
    <col min="9" max="10" width="5.44140625" hidden="1" customWidth="1"/>
    <col min="11" max="11" width="5.44140625" customWidth="1"/>
    <col min="12" max="12" width="6.6640625" customWidth="1"/>
    <col min="13" max="13" width="7.33203125" customWidth="1"/>
    <col min="14" max="14" width="6.33203125" customWidth="1"/>
    <col min="15" max="16" width="5.44140625" hidden="1" customWidth="1"/>
    <col min="17" max="17" width="7.5546875" customWidth="1"/>
    <col min="18" max="20" width="11.5546875" hidden="1" customWidth="1"/>
    <col min="21" max="21" width="9.6640625" customWidth="1"/>
    <col min="22" max="22" width="5.5546875" hidden="1" customWidth="1"/>
    <col min="23" max="23" width="7.44140625" hidden="1" customWidth="1"/>
    <col min="24" max="24" width="5.33203125" hidden="1" customWidth="1"/>
    <col min="25" max="25" width="7.44140625" hidden="1" customWidth="1"/>
    <col min="26" max="29" width="7.33203125" hidden="1" customWidth="1"/>
    <col min="30" max="31" width="7.33203125" customWidth="1"/>
    <col min="32" max="33" width="7.33203125" hidden="1" customWidth="1"/>
    <col min="34" max="37" width="7.33203125" customWidth="1"/>
    <col min="38" max="39" width="7.33203125" hidden="1" customWidth="1"/>
    <col min="40" max="40" width="8.5546875" customWidth="1"/>
    <col min="41" max="41" width="5.5546875" customWidth="1"/>
    <col min="42" max="42" width="7.44140625" customWidth="1"/>
    <col min="43" max="46" width="7.33203125" hidden="1" customWidth="1"/>
    <col min="47" max="48" width="7.33203125" customWidth="1"/>
    <col min="49" max="53" width="7.33203125" hidden="1" customWidth="1"/>
    <col min="54" max="55" width="7.33203125" customWidth="1"/>
    <col min="56" max="56" width="7.33203125" hidden="1" customWidth="1"/>
    <col min="57" max="57" width="0.5546875" customWidth="1"/>
  </cols>
  <sheetData>
    <row r="1" spans="2:57">
      <c r="B1" s="1"/>
      <c r="C1" s="1"/>
      <c r="D1" s="1"/>
      <c r="E1" s="2"/>
      <c r="F1" s="106"/>
      <c r="G1" s="1"/>
      <c r="H1" s="1"/>
      <c r="I1" s="3"/>
      <c r="J1" s="3"/>
      <c r="K1" s="106" t="s">
        <v>43</v>
      </c>
      <c r="L1" s="3"/>
      <c r="M1" s="3"/>
      <c r="N1" s="3"/>
      <c r="O1" s="3"/>
      <c r="P1" s="1"/>
      <c r="Q1" s="3"/>
      <c r="R1" s="3"/>
      <c r="S1" s="3"/>
      <c r="T1" s="3"/>
      <c r="U1" s="4"/>
      <c r="V1" s="4"/>
      <c r="W1" s="4"/>
      <c r="X1" s="4"/>
      <c r="Y1" s="4"/>
      <c r="Z1" s="5"/>
      <c r="AA1" s="6"/>
      <c r="AB1" s="7"/>
      <c r="AC1" s="1"/>
      <c r="AD1" s="1"/>
      <c r="AE1" s="1"/>
      <c r="AF1" s="8"/>
      <c r="AG1" s="8"/>
      <c r="AH1" s="8"/>
      <c r="AI1" s="8"/>
      <c r="AJ1" s="8"/>
      <c r="AK1" s="8"/>
      <c r="AL1" s="8"/>
      <c r="AM1" s="1"/>
      <c r="AN1" s="7"/>
      <c r="AO1" s="7"/>
      <c r="AP1" s="7"/>
      <c r="AQ1" s="9"/>
      <c r="AR1" s="9"/>
      <c r="AS1" s="9"/>
      <c r="AT1" s="5"/>
      <c r="AU1" s="5"/>
      <c r="AV1" s="5"/>
      <c r="AW1" s="10"/>
      <c r="AX1" s="5"/>
      <c r="AY1" s="5"/>
      <c r="AZ1" s="5"/>
      <c r="BA1" s="5"/>
      <c r="BB1" s="5"/>
      <c r="BC1" s="5"/>
      <c r="BD1" s="5"/>
    </row>
    <row r="2" spans="2:57">
      <c r="B2" s="11"/>
      <c r="C2" s="1"/>
      <c r="D2" s="1"/>
      <c r="E2" s="11"/>
      <c r="F2" s="107"/>
      <c r="G2" s="1"/>
      <c r="H2" s="5"/>
      <c r="I2" s="12"/>
      <c r="J2" s="12"/>
      <c r="K2" s="107" t="s">
        <v>113</v>
      </c>
      <c r="L2" s="13"/>
      <c r="M2" s="13"/>
      <c r="N2" s="13"/>
      <c r="O2" s="13"/>
      <c r="P2" s="14"/>
      <c r="Q2" s="1"/>
      <c r="R2" s="1"/>
      <c r="S2" s="1"/>
      <c r="T2" s="5"/>
      <c r="U2" s="12"/>
      <c r="V2" s="12"/>
      <c r="W2" s="12"/>
      <c r="X2" s="12"/>
      <c r="Y2" s="12"/>
      <c r="Z2" s="12"/>
      <c r="AA2" s="13"/>
      <c r="AB2" s="15"/>
      <c r="AC2" s="15"/>
      <c r="AD2" s="15"/>
      <c r="AE2" s="15"/>
      <c r="AF2" s="15"/>
      <c r="AG2" s="16"/>
      <c r="AH2" s="16"/>
      <c r="AI2" s="16"/>
      <c r="AJ2" s="16"/>
      <c r="AK2" s="16"/>
      <c r="AL2" s="451"/>
      <c r="AM2" s="451"/>
      <c r="AN2" s="451"/>
      <c r="AO2" s="451"/>
      <c r="AP2" s="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</row>
    <row r="3" spans="2:57" ht="15.6">
      <c r="B3" s="11"/>
      <c r="C3" s="1"/>
      <c r="D3" s="1"/>
      <c r="E3" s="11"/>
      <c r="F3" s="108"/>
      <c r="G3" s="559"/>
      <c r="H3" s="560"/>
      <c r="I3" s="12"/>
      <c r="J3" s="12"/>
      <c r="K3" s="108" t="s">
        <v>47</v>
      </c>
      <c r="L3" s="559">
        <f>'PCOLP I'!G3</f>
        <v>45870</v>
      </c>
      <c r="M3" s="560"/>
      <c r="N3" s="13"/>
      <c r="O3" s="13"/>
      <c r="P3" s="11"/>
      <c r="Q3" s="1"/>
      <c r="R3" s="1"/>
      <c r="S3" s="1"/>
      <c r="T3" s="18"/>
      <c r="U3" s="18"/>
      <c r="V3" s="18"/>
      <c r="W3" s="18"/>
      <c r="X3" s="18"/>
      <c r="Y3" s="18"/>
      <c r="Z3" s="12"/>
      <c r="AA3" s="12"/>
      <c r="AB3" s="19"/>
      <c r="AC3" s="19"/>
      <c r="AD3" s="19"/>
      <c r="AE3" s="19"/>
      <c r="AF3" s="19"/>
      <c r="AG3" s="16"/>
      <c r="AH3" s="16"/>
      <c r="AI3" s="16"/>
      <c r="AJ3" s="16"/>
      <c r="AK3" s="16"/>
      <c r="AL3" s="451"/>
      <c r="AM3" s="451"/>
      <c r="AN3" s="50" t="s">
        <v>48</v>
      </c>
      <c r="AO3" s="50"/>
      <c r="AP3" s="20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</row>
    <row r="4" spans="2:57" ht="15" thickBot="1">
      <c r="B4" s="11"/>
      <c r="C4" s="1"/>
      <c r="D4" s="1"/>
      <c r="E4" s="11"/>
      <c r="F4" s="109"/>
      <c r="G4" s="52"/>
      <c r="H4" s="53"/>
      <c r="I4" s="12"/>
      <c r="J4" s="22"/>
      <c r="K4" s="109" t="s">
        <v>250</v>
      </c>
      <c r="L4" s="3"/>
      <c r="M4" s="21"/>
      <c r="N4" s="3"/>
      <c r="O4" s="12"/>
      <c r="P4" s="11"/>
      <c r="Q4" s="1"/>
      <c r="R4" s="1"/>
      <c r="S4" s="1"/>
      <c r="T4" s="21"/>
      <c r="U4" s="21"/>
      <c r="V4" s="21"/>
      <c r="W4" s="21"/>
      <c r="X4" s="21"/>
      <c r="Y4" s="21"/>
      <c r="Z4" s="12"/>
      <c r="AA4" s="22"/>
      <c r="AB4" s="23"/>
      <c r="AC4" s="24"/>
      <c r="AD4" s="24"/>
      <c r="AE4" s="24"/>
      <c r="AF4" s="24"/>
      <c r="AG4" s="16"/>
      <c r="AH4" s="16"/>
      <c r="AI4" s="16"/>
      <c r="AJ4" s="16"/>
      <c r="AK4" s="16"/>
      <c r="AL4" s="451"/>
      <c r="AM4" s="451"/>
      <c r="AN4" s="451"/>
      <c r="AO4" s="451"/>
      <c r="AP4" s="20"/>
      <c r="AQ4" s="25"/>
      <c r="AR4" s="25"/>
      <c r="AS4" s="25"/>
      <c r="AT4" s="26"/>
      <c r="AU4" s="26"/>
      <c r="AV4" s="26"/>
      <c r="AW4" s="27"/>
      <c r="AX4" s="26"/>
      <c r="AY4" s="26"/>
      <c r="AZ4" s="26"/>
      <c r="BA4" s="26"/>
      <c r="BB4" s="26"/>
      <c r="BC4" s="26"/>
      <c r="BD4" s="26"/>
    </row>
    <row r="5" spans="2:57" ht="30" customHeight="1" thickBot="1">
      <c r="B5" s="583" t="s">
        <v>49</v>
      </c>
      <c r="C5" s="594" t="s">
        <v>95</v>
      </c>
      <c r="D5" s="595"/>
      <c r="E5" s="595"/>
      <c r="F5" s="595"/>
      <c r="G5" s="595"/>
      <c r="H5" s="595"/>
      <c r="I5" s="595"/>
      <c r="J5" s="595"/>
      <c r="K5" s="595"/>
      <c r="L5" s="595"/>
      <c r="M5" s="595"/>
      <c r="N5" s="595"/>
      <c r="O5" s="595"/>
      <c r="P5" s="595"/>
      <c r="Q5" s="596"/>
      <c r="R5" s="622" t="s">
        <v>96</v>
      </c>
      <c r="S5" s="595"/>
      <c r="T5" s="596"/>
      <c r="U5" s="574" t="s">
        <v>49</v>
      </c>
      <c r="V5" s="569" t="s">
        <v>114</v>
      </c>
      <c r="W5" s="571"/>
      <c r="X5" s="569" t="s">
        <v>115</v>
      </c>
      <c r="Y5" s="571"/>
      <c r="Z5" s="577" t="s">
        <v>116</v>
      </c>
      <c r="AA5" s="578"/>
      <c r="AB5" s="578"/>
      <c r="AC5" s="578"/>
      <c r="AD5" s="578"/>
      <c r="AE5" s="578"/>
      <c r="AF5" s="578"/>
      <c r="AG5" s="578"/>
      <c r="AH5" s="578"/>
      <c r="AI5" s="578"/>
      <c r="AJ5" s="578"/>
      <c r="AK5" s="578"/>
      <c r="AL5" s="578"/>
      <c r="AM5" s="578"/>
      <c r="AN5" s="579"/>
      <c r="AO5" s="583"/>
      <c r="AP5" s="583" t="s">
        <v>49</v>
      </c>
      <c r="AQ5" s="586" t="s">
        <v>117</v>
      </c>
      <c r="AR5" s="587"/>
      <c r="AS5" s="587"/>
      <c r="AT5" s="588"/>
      <c r="AU5" s="588"/>
      <c r="AV5" s="588"/>
      <c r="AW5" s="589"/>
      <c r="AX5" s="586" t="s">
        <v>118</v>
      </c>
      <c r="AY5" s="587"/>
      <c r="AZ5" s="587"/>
      <c r="BA5" s="587"/>
      <c r="BB5" s="587"/>
      <c r="BC5" s="588"/>
      <c r="BD5" s="589"/>
      <c r="BE5" s="160"/>
    </row>
    <row r="6" spans="2:57" ht="26.1" customHeight="1" thickBot="1">
      <c r="B6" s="584"/>
      <c r="C6" s="593" t="s">
        <v>2</v>
      </c>
      <c r="D6" s="567"/>
      <c r="E6" s="566" t="s">
        <v>68</v>
      </c>
      <c r="F6" s="567"/>
      <c r="G6" s="566" t="s">
        <v>69</v>
      </c>
      <c r="H6" s="566"/>
      <c r="I6" s="566" t="s">
        <v>70</v>
      </c>
      <c r="J6" s="567"/>
      <c r="K6" s="566" t="s">
        <v>71</v>
      </c>
      <c r="L6" s="567"/>
      <c r="M6" s="566" t="s">
        <v>183</v>
      </c>
      <c r="N6" s="567"/>
      <c r="O6" s="566" t="s">
        <v>8</v>
      </c>
      <c r="P6" s="580"/>
      <c r="Q6" s="581" t="s">
        <v>72</v>
      </c>
      <c r="R6" s="137" t="s">
        <v>101</v>
      </c>
      <c r="S6" s="138" t="s">
        <v>102</v>
      </c>
      <c r="T6" s="139"/>
      <c r="U6" s="575"/>
      <c r="V6" s="572" t="s">
        <v>103</v>
      </c>
      <c r="W6" s="615"/>
      <c r="X6" s="572" t="s">
        <v>103</v>
      </c>
      <c r="Y6" s="615"/>
      <c r="Z6" s="593" t="s">
        <v>2</v>
      </c>
      <c r="AA6" s="567"/>
      <c r="AB6" s="566" t="s">
        <v>68</v>
      </c>
      <c r="AC6" s="567"/>
      <c r="AD6" s="566" t="s">
        <v>69</v>
      </c>
      <c r="AE6" s="566"/>
      <c r="AF6" s="566" t="s">
        <v>70</v>
      </c>
      <c r="AG6" s="567"/>
      <c r="AH6" s="566" t="s">
        <v>71</v>
      </c>
      <c r="AI6" s="567"/>
      <c r="AJ6" s="566" t="s">
        <v>183</v>
      </c>
      <c r="AK6" s="567"/>
      <c r="AL6" s="566" t="s">
        <v>8</v>
      </c>
      <c r="AM6" s="598"/>
      <c r="AN6" s="581" t="s">
        <v>72</v>
      </c>
      <c r="AO6" s="584"/>
      <c r="AP6" s="584"/>
      <c r="AQ6" s="590"/>
      <c r="AR6" s="591"/>
      <c r="AS6" s="591"/>
      <c r="AT6" s="591"/>
      <c r="AU6" s="591"/>
      <c r="AV6" s="591"/>
      <c r="AW6" s="592"/>
      <c r="AX6" s="590"/>
      <c r="AY6" s="591"/>
      <c r="AZ6" s="591"/>
      <c r="BA6" s="591"/>
      <c r="BB6" s="591"/>
      <c r="BC6" s="591"/>
      <c r="BD6" s="592"/>
      <c r="BE6" s="161"/>
    </row>
    <row r="7" spans="2:57" ht="15" thickBot="1">
      <c r="B7" s="585"/>
      <c r="C7" s="140" t="s">
        <v>74</v>
      </c>
      <c r="D7" s="141" t="s">
        <v>75</v>
      </c>
      <c r="E7" s="141" t="s">
        <v>74</v>
      </c>
      <c r="F7" s="141" t="s">
        <v>75</v>
      </c>
      <c r="G7" s="141" t="s">
        <v>74</v>
      </c>
      <c r="H7" s="141" t="s">
        <v>75</v>
      </c>
      <c r="I7" s="141" t="s">
        <v>74</v>
      </c>
      <c r="J7" s="141" t="s">
        <v>75</v>
      </c>
      <c r="K7" s="141" t="s">
        <v>74</v>
      </c>
      <c r="L7" s="141" t="s">
        <v>75</v>
      </c>
      <c r="M7" s="141" t="s">
        <v>74</v>
      </c>
      <c r="N7" s="141" t="s">
        <v>75</v>
      </c>
      <c r="O7" s="141" t="s">
        <v>74</v>
      </c>
      <c r="P7" s="152" t="s">
        <v>75</v>
      </c>
      <c r="Q7" s="585"/>
      <c r="R7" s="143" t="s">
        <v>104</v>
      </c>
      <c r="S7" s="144" t="s">
        <v>105</v>
      </c>
      <c r="T7" s="145" t="s">
        <v>106</v>
      </c>
      <c r="U7" s="576"/>
      <c r="V7" s="140" t="s">
        <v>74</v>
      </c>
      <c r="W7" s="141" t="s">
        <v>75</v>
      </c>
      <c r="X7" s="140" t="s">
        <v>74</v>
      </c>
      <c r="Y7" s="142" t="s">
        <v>75</v>
      </c>
      <c r="Z7" s="140" t="s">
        <v>74</v>
      </c>
      <c r="AA7" s="141" t="s">
        <v>75</v>
      </c>
      <c r="AB7" s="141" t="s">
        <v>74</v>
      </c>
      <c r="AC7" s="141" t="s">
        <v>75</v>
      </c>
      <c r="AD7" s="141" t="s">
        <v>74</v>
      </c>
      <c r="AE7" s="141" t="s">
        <v>75</v>
      </c>
      <c r="AF7" s="141" t="s">
        <v>74</v>
      </c>
      <c r="AG7" s="141" t="s">
        <v>75</v>
      </c>
      <c r="AH7" s="141" t="s">
        <v>74</v>
      </c>
      <c r="AI7" s="141" t="s">
        <v>75</v>
      </c>
      <c r="AJ7" s="141" t="s">
        <v>74</v>
      </c>
      <c r="AK7" s="141" t="s">
        <v>75</v>
      </c>
      <c r="AL7" s="141" t="s">
        <v>74</v>
      </c>
      <c r="AM7" s="141" t="s">
        <v>75</v>
      </c>
      <c r="AN7" s="585"/>
      <c r="AO7" s="585"/>
      <c r="AP7" s="585"/>
      <c r="AQ7" s="146" t="s">
        <v>73</v>
      </c>
      <c r="AR7" s="147" t="s">
        <v>3</v>
      </c>
      <c r="AS7" s="147" t="s">
        <v>4</v>
      </c>
      <c r="AT7" s="147" t="s">
        <v>5</v>
      </c>
      <c r="AU7" s="147" t="s">
        <v>6</v>
      </c>
      <c r="AV7" s="147" t="s">
        <v>183</v>
      </c>
      <c r="AW7" s="148" t="s">
        <v>8</v>
      </c>
      <c r="AX7" s="146" t="s">
        <v>73</v>
      </c>
      <c r="AY7" s="147" t="s">
        <v>3</v>
      </c>
      <c r="AZ7" s="147" t="s">
        <v>4</v>
      </c>
      <c r="BA7" s="147" t="s">
        <v>5</v>
      </c>
      <c r="BB7" s="147" t="s">
        <v>6</v>
      </c>
      <c r="BC7" s="147" t="s">
        <v>183</v>
      </c>
      <c r="BD7" s="148" t="s">
        <v>8</v>
      </c>
      <c r="BE7" s="162"/>
    </row>
    <row r="8" spans="2:57">
      <c r="B8" s="63">
        <f>L3</f>
        <v>45870</v>
      </c>
      <c r="C8" s="110"/>
      <c r="D8" s="111"/>
      <c r="E8" s="114"/>
      <c r="F8" s="484"/>
      <c r="G8" s="482"/>
      <c r="H8" s="418"/>
      <c r="I8" s="113"/>
      <c r="J8" s="408"/>
      <c r="K8" s="114"/>
      <c r="L8" s="115"/>
      <c r="M8" s="114">
        <v>2</v>
      </c>
      <c r="N8" s="115">
        <v>254</v>
      </c>
      <c r="O8" s="112"/>
      <c r="P8" s="111"/>
      <c r="Q8" s="125">
        <f t="shared" ref="Q8:Q14" si="0">P8+N8+L8+J8+H8+F8+D8</f>
        <v>254</v>
      </c>
      <c r="R8" s="386"/>
      <c r="S8" s="385"/>
      <c r="T8" s="387"/>
      <c r="U8" s="388">
        <f t="shared" ref="U8:U36" si="1">B8</f>
        <v>45870</v>
      </c>
      <c r="V8" s="390"/>
      <c r="W8" s="391"/>
      <c r="X8" s="390"/>
      <c r="Y8" s="391"/>
      <c r="Z8" s="54"/>
      <c r="AA8" s="322"/>
      <c r="AB8" s="356"/>
      <c r="AC8" s="479"/>
      <c r="AD8" s="482"/>
      <c r="AE8" s="418"/>
      <c r="AF8" s="113"/>
      <c r="AG8" s="408"/>
      <c r="AH8" s="114"/>
      <c r="AI8" s="115"/>
      <c r="AJ8" s="410" t="s">
        <v>245</v>
      </c>
      <c r="AK8" s="411">
        <v>98</v>
      </c>
      <c r="AL8" s="114"/>
      <c r="AM8" s="115"/>
      <c r="AN8" s="125">
        <f>AM8+AK8+AI8+AG8+AE8+AC8+AA8+Y8+W8</f>
        <v>98</v>
      </c>
      <c r="AO8" s="117">
        <f>AN8-Q8</f>
        <v>-156</v>
      </c>
      <c r="AP8" s="63">
        <f>U8</f>
        <v>45870</v>
      </c>
      <c r="AQ8" s="176"/>
      <c r="AR8" s="176">
        <f>[6]PCPV!AR39</f>
        <v>1329</v>
      </c>
      <c r="AS8" s="177"/>
      <c r="AT8" s="177"/>
      <c r="AU8" s="83">
        <v>0</v>
      </c>
      <c r="AV8" s="83">
        <v>27</v>
      </c>
      <c r="AW8" s="84"/>
      <c r="AX8" s="83"/>
      <c r="AY8" s="400">
        <v>243</v>
      </c>
      <c r="AZ8" s="79"/>
      <c r="BA8" s="79"/>
      <c r="BB8" s="79"/>
      <c r="BC8" s="311">
        <v>180</v>
      </c>
      <c r="BD8" s="86"/>
      <c r="BE8" s="161"/>
    </row>
    <row r="9" spans="2:57">
      <c r="B9" s="64">
        <f>B8+1</f>
        <v>45871</v>
      </c>
      <c r="C9" s="49"/>
      <c r="D9" s="28"/>
      <c r="E9" s="410"/>
      <c r="F9" s="480"/>
      <c r="G9" s="323"/>
      <c r="H9" s="413"/>
      <c r="I9" s="414"/>
      <c r="J9" s="415"/>
      <c r="K9" s="410"/>
      <c r="L9" s="411"/>
      <c r="M9" s="410">
        <v>2</v>
      </c>
      <c r="N9" s="411">
        <v>374</v>
      </c>
      <c r="O9" s="30"/>
      <c r="P9" s="28"/>
      <c r="Q9" s="389">
        <f t="shared" si="0"/>
        <v>374</v>
      </c>
      <c r="R9" s="386"/>
      <c r="S9" s="385"/>
      <c r="T9" s="387"/>
      <c r="U9" s="388">
        <f t="shared" si="1"/>
        <v>45871</v>
      </c>
      <c r="V9" s="390"/>
      <c r="W9" s="391"/>
      <c r="X9" s="390"/>
      <c r="Y9" s="391"/>
      <c r="Z9" s="54"/>
      <c r="AA9" s="322"/>
      <c r="AB9" s="356"/>
      <c r="AC9" s="479"/>
      <c r="AD9" s="323"/>
      <c r="AE9" s="413"/>
      <c r="AF9" s="414"/>
      <c r="AG9" s="415"/>
      <c r="AH9" s="410"/>
      <c r="AI9" s="411"/>
      <c r="AJ9" s="410">
        <v>1</v>
      </c>
      <c r="AK9" s="411">
        <v>310</v>
      </c>
      <c r="AL9" s="410"/>
      <c r="AM9" s="411"/>
      <c r="AN9" s="389">
        <f>AM9+AK9+AI9+AG9+AE9+AC9+AA9+Y9+W9</f>
        <v>310</v>
      </c>
      <c r="AO9" s="118">
        <f>AN9-Q9</f>
        <v>-64</v>
      </c>
      <c r="AP9" s="87">
        <f>U9</f>
        <v>45871</v>
      </c>
      <c r="AQ9" s="178"/>
      <c r="AR9" s="400">
        <f t="shared" ref="AR9:AR24" si="2">IF(AR8+AC8-AY8&lt;0,0,AR8+AC8-AY8)</f>
        <v>1086</v>
      </c>
      <c r="AS9" s="79"/>
      <c r="AT9" s="79"/>
      <c r="AU9" s="79">
        <f t="shared" ref="AU9:AU32" si="3">IF(AU8+AI8-BB8&lt;0,0,AU8+AI8-BB8)</f>
        <v>0</v>
      </c>
      <c r="AV9" s="79">
        <f t="shared" ref="AV9:AV32" si="4">AV8+AK8-BC8</f>
        <v>-55</v>
      </c>
      <c r="AW9" s="79"/>
      <c r="AX9" s="400"/>
      <c r="AY9" s="310">
        <v>185.5</v>
      </c>
      <c r="AZ9" s="311"/>
      <c r="BA9" s="311"/>
      <c r="BB9" s="79"/>
      <c r="BC9" s="311">
        <v>180</v>
      </c>
      <c r="BD9" s="86"/>
      <c r="BE9" s="161"/>
    </row>
    <row r="10" spans="2:57">
      <c r="B10" s="64">
        <f t="shared" ref="B10:B38" si="5">B9+1</f>
        <v>45872</v>
      </c>
      <c r="C10" s="49"/>
      <c r="D10" s="28"/>
      <c r="E10" s="410"/>
      <c r="F10" s="480"/>
      <c r="G10" s="323"/>
      <c r="H10" s="413"/>
      <c r="I10" s="414"/>
      <c r="J10" s="415"/>
      <c r="K10" s="410"/>
      <c r="L10" s="411"/>
      <c r="M10" s="410">
        <v>2</v>
      </c>
      <c r="N10" s="411">
        <v>337</v>
      </c>
      <c r="O10" s="30"/>
      <c r="P10" s="28"/>
      <c r="Q10" s="389">
        <f>P10+N10+L10+J10+H10+F10+D10</f>
        <v>337</v>
      </c>
      <c r="R10" s="386"/>
      <c r="S10" s="385"/>
      <c r="T10" s="387"/>
      <c r="U10" s="388">
        <f t="shared" si="1"/>
        <v>45872</v>
      </c>
      <c r="V10" s="390"/>
      <c r="W10" s="391"/>
      <c r="X10" s="390"/>
      <c r="Y10" s="391"/>
      <c r="Z10" s="54"/>
      <c r="AA10" s="322"/>
      <c r="AB10" s="356"/>
      <c r="AC10" s="479"/>
      <c r="AD10" s="323"/>
      <c r="AE10" s="413"/>
      <c r="AF10" s="414"/>
      <c r="AG10" s="415"/>
      <c r="AH10" s="410"/>
      <c r="AI10" s="411"/>
      <c r="AJ10" s="410" t="s">
        <v>246</v>
      </c>
      <c r="AK10" s="411">
        <v>355</v>
      </c>
      <c r="AL10" s="410"/>
      <c r="AM10" s="411"/>
      <c r="AN10" s="389">
        <f t="shared" ref="AN10:AN26" si="6">AM10+AK10+AI10+AG10+AE10+AC10+AA10+Y10+W10</f>
        <v>355</v>
      </c>
      <c r="AO10" s="118">
        <f t="shared" ref="AO10:AO38" si="7">AN10-Q10</f>
        <v>18</v>
      </c>
      <c r="AP10" s="87">
        <f t="shared" ref="AP10:AP38" si="8">U10</f>
        <v>45872</v>
      </c>
      <c r="AQ10" s="400"/>
      <c r="AR10" s="400">
        <f t="shared" si="2"/>
        <v>900.5</v>
      </c>
      <c r="AS10" s="79"/>
      <c r="AT10" s="79"/>
      <c r="AU10" s="79">
        <f t="shared" si="3"/>
        <v>0</v>
      </c>
      <c r="AV10" s="79">
        <f t="shared" si="4"/>
        <v>75</v>
      </c>
      <c r="AW10" s="79"/>
      <c r="AX10" s="400"/>
      <c r="AY10" s="310"/>
      <c r="AZ10" s="311"/>
      <c r="BA10" s="311"/>
      <c r="BB10" s="79"/>
      <c r="BC10" s="311"/>
      <c r="BD10" s="86"/>
      <c r="BE10" s="161"/>
    </row>
    <row r="11" spans="2:57">
      <c r="B11" s="64">
        <f t="shared" si="5"/>
        <v>45873</v>
      </c>
      <c r="C11" s="49"/>
      <c r="D11" s="28"/>
      <c r="E11" s="410"/>
      <c r="F11" s="480"/>
      <c r="G11" s="323"/>
      <c r="H11" s="413"/>
      <c r="I11" s="414"/>
      <c r="J11" s="415"/>
      <c r="K11" s="410"/>
      <c r="L11" s="411"/>
      <c r="M11" s="410">
        <v>2</v>
      </c>
      <c r="N11" s="411">
        <v>111</v>
      </c>
      <c r="O11" s="30"/>
      <c r="P11" s="28"/>
      <c r="Q11" s="389">
        <f t="shared" si="0"/>
        <v>111</v>
      </c>
      <c r="R11" s="386"/>
      <c r="S11" s="385"/>
      <c r="T11" s="387"/>
      <c r="U11" s="388">
        <f t="shared" si="1"/>
        <v>45873</v>
      </c>
      <c r="V11" s="390"/>
      <c r="W11" s="391"/>
      <c r="X11" s="390"/>
      <c r="Y11" s="391"/>
      <c r="Z11" s="54"/>
      <c r="AA11" s="322"/>
      <c r="AB11" s="356"/>
      <c r="AC11" s="479"/>
      <c r="AD11" s="323"/>
      <c r="AE11" s="413"/>
      <c r="AF11" s="414"/>
      <c r="AG11" s="415"/>
      <c r="AH11" s="410"/>
      <c r="AI11" s="411"/>
      <c r="AJ11" s="410">
        <v>2</v>
      </c>
      <c r="AK11" s="411">
        <v>210</v>
      </c>
      <c r="AL11" s="410"/>
      <c r="AM11" s="411"/>
      <c r="AN11" s="389">
        <f t="shared" si="6"/>
        <v>210</v>
      </c>
      <c r="AO11" s="118">
        <f t="shared" si="7"/>
        <v>99</v>
      </c>
      <c r="AP11" s="87">
        <f t="shared" si="8"/>
        <v>45873</v>
      </c>
      <c r="AQ11" s="400"/>
      <c r="AR11" s="400">
        <f t="shared" si="2"/>
        <v>900.5</v>
      </c>
      <c r="AS11" s="79"/>
      <c r="AT11" s="79"/>
      <c r="AU11" s="79">
        <f t="shared" si="3"/>
        <v>0</v>
      </c>
      <c r="AV11" s="79">
        <f t="shared" si="4"/>
        <v>430</v>
      </c>
      <c r="AW11" s="79"/>
      <c r="AX11" s="400"/>
      <c r="AY11" s="310">
        <v>398</v>
      </c>
      <c r="AZ11" s="311"/>
      <c r="BA11" s="311"/>
      <c r="BB11" s="311"/>
      <c r="BC11" s="311">
        <v>180</v>
      </c>
      <c r="BD11" s="86"/>
      <c r="BE11" s="161"/>
    </row>
    <row r="12" spans="2:57">
      <c r="B12" s="541">
        <f t="shared" si="5"/>
        <v>45874</v>
      </c>
      <c r="C12" s="454"/>
      <c r="D12" s="343"/>
      <c r="E12" s="271"/>
      <c r="F12" s="542"/>
      <c r="G12" s="543"/>
      <c r="H12" s="422"/>
      <c r="I12" s="435"/>
      <c r="J12" s="436"/>
      <c r="K12" s="271"/>
      <c r="L12" s="272"/>
      <c r="M12" s="271"/>
      <c r="N12" s="272"/>
      <c r="O12" s="30"/>
      <c r="P12" s="28"/>
      <c r="Q12" s="389">
        <f t="shared" si="0"/>
        <v>0</v>
      </c>
      <c r="R12" s="386"/>
      <c r="S12" s="385"/>
      <c r="T12" s="387"/>
      <c r="U12" s="388">
        <f t="shared" si="1"/>
        <v>45874</v>
      </c>
      <c r="V12" s="390"/>
      <c r="W12" s="391"/>
      <c r="X12" s="390"/>
      <c r="Y12" s="391"/>
      <c r="Z12" s="54"/>
      <c r="AA12" s="322"/>
      <c r="AB12" s="356"/>
      <c r="AC12" s="479"/>
      <c r="AD12" s="323"/>
      <c r="AE12" s="413"/>
      <c r="AF12" s="414"/>
      <c r="AG12" s="415"/>
      <c r="AH12" s="410"/>
      <c r="AI12" s="411"/>
      <c r="AJ12" s="410"/>
      <c r="AK12" s="411"/>
      <c r="AL12" s="410"/>
      <c r="AM12" s="411"/>
      <c r="AN12" s="389">
        <f t="shared" si="6"/>
        <v>0</v>
      </c>
      <c r="AO12" s="118">
        <f t="shared" si="7"/>
        <v>0</v>
      </c>
      <c r="AP12" s="87">
        <f t="shared" si="8"/>
        <v>45874</v>
      </c>
      <c r="AQ12" s="400"/>
      <c r="AR12" s="400">
        <f t="shared" si="2"/>
        <v>502.5</v>
      </c>
      <c r="AS12" s="79"/>
      <c r="AT12" s="79"/>
      <c r="AU12" s="79">
        <f t="shared" si="3"/>
        <v>0</v>
      </c>
      <c r="AV12" s="79">
        <f t="shared" si="4"/>
        <v>460</v>
      </c>
      <c r="AW12" s="79"/>
      <c r="AX12" s="400"/>
      <c r="AY12" s="310">
        <v>290</v>
      </c>
      <c r="AZ12" s="311"/>
      <c r="BA12" s="311"/>
      <c r="BB12" s="79"/>
      <c r="BC12" s="311">
        <v>180</v>
      </c>
      <c r="BD12" s="86"/>
      <c r="BE12" s="161"/>
    </row>
    <row r="13" spans="2:57">
      <c r="B13" s="541">
        <f t="shared" si="5"/>
        <v>45875</v>
      </c>
      <c r="C13" s="454"/>
      <c r="D13" s="343"/>
      <c r="E13" s="271"/>
      <c r="F13" s="542"/>
      <c r="G13" s="543"/>
      <c r="H13" s="422"/>
      <c r="I13" s="435"/>
      <c r="J13" s="436"/>
      <c r="K13" s="271"/>
      <c r="L13" s="272"/>
      <c r="M13" s="271"/>
      <c r="N13" s="272"/>
      <c r="O13" s="30"/>
      <c r="P13" s="28"/>
      <c r="Q13" s="389">
        <f t="shared" si="0"/>
        <v>0</v>
      </c>
      <c r="R13" s="386"/>
      <c r="S13" s="385"/>
      <c r="T13" s="387"/>
      <c r="U13" s="388">
        <f t="shared" si="1"/>
        <v>45875</v>
      </c>
      <c r="V13" s="390"/>
      <c r="W13" s="391"/>
      <c r="X13" s="390"/>
      <c r="Y13" s="391"/>
      <c r="Z13" s="54"/>
      <c r="AA13" s="322"/>
      <c r="AB13" s="356"/>
      <c r="AC13" s="479"/>
      <c r="AD13" s="323"/>
      <c r="AE13" s="413"/>
      <c r="AF13" s="414"/>
      <c r="AG13" s="415"/>
      <c r="AH13" s="410"/>
      <c r="AI13" s="411"/>
      <c r="AJ13" s="410"/>
      <c r="AK13" s="411"/>
      <c r="AL13" s="410"/>
      <c r="AM13" s="411"/>
      <c r="AN13" s="389">
        <f t="shared" si="6"/>
        <v>0</v>
      </c>
      <c r="AO13" s="118">
        <f t="shared" si="7"/>
        <v>0</v>
      </c>
      <c r="AP13" s="87">
        <f t="shared" si="8"/>
        <v>45875</v>
      </c>
      <c r="AQ13" s="400"/>
      <c r="AR13" s="400">
        <f t="shared" si="2"/>
        <v>212.5</v>
      </c>
      <c r="AS13" s="79"/>
      <c r="AT13" s="79"/>
      <c r="AU13" s="79">
        <f t="shared" si="3"/>
        <v>0</v>
      </c>
      <c r="AV13" s="79">
        <f t="shared" si="4"/>
        <v>280</v>
      </c>
      <c r="AW13" s="79"/>
      <c r="AX13" s="400"/>
      <c r="AY13" s="310">
        <v>285</v>
      </c>
      <c r="AZ13" s="311"/>
      <c r="BA13" s="311"/>
      <c r="BB13" s="79"/>
      <c r="BC13" s="311">
        <v>180</v>
      </c>
      <c r="BD13" s="86"/>
      <c r="BE13" s="161"/>
    </row>
    <row r="14" spans="2:57">
      <c r="B14" s="541">
        <f t="shared" si="5"/>
        <v>45876</v>
      </c>
      <c r="C14" s="454"/>
      <c r="D14" s="343"/>
      <c r="E14" s="271"/>
      <c r="F14" s="542"/>
      <c r="G14" s="543"/>
      <c r="H14" s="422"/>
      <c r="I14" s="435"/>
      <c r="J14" s="436"/>
      <c r="K14" s="271"/>
      <c r="L14" s="272"/>
      <c r="M14" s="271"/>
      <c r="N14" s="272"/>
      <c r="O14" s="30"/>
      <c r="P14" s="28"/>
      <c r="Q14" s="389">
        <f t="shared" si="0"/>
        <v>0</v>
      </c>
      <c r="R14" s="386"/>
      <c r="S14" s="385"/>
      <c r="T14" s="387"/>
      <c r="U14" s="388">
        <f t="shared" si="1"/>
        <v>45876</v>
      </c>
      <c r="V14" s="390"/>
      <c r="W14" s="391"/>
      <c r="X14" s="390"/>
      <c r="Y14" s="391"/>
      <c r="Z14" s="54"/>
      <c r="AA14" s="322"/>
      <c r="AB14" s="323"/>
      <c r="AC14" s="480"/>
      <c r="AD14" s="323"/>
      <c r="AE14" s="413"/>
      <c r="AF14" s="414"/>
      <c r="AG14" s="415"/>
      <c r="AH14" s="410"/>
      <c r="AI14" s="411"/>
      <c r="AJ14" s="410"/>
      <c r="AK14" s="411"/>
      <c r="AL14" s="410"/>
      <c r="AM14" s="411"/>
      <c r="AN14" s="389">
        <f t="shared" si="6"/>
        <v>0</v>
      </c>
      <c r="AO14" s="118">
        <f t="shared" si="7"/>
        <v>0</v>
      </c>
      <c r="AP14" s="87">
        <f t="shared" si="8"/>
        <v>45876</v>
      </c>
      <c r="AQ14" s="400"/>
      <c r="AR14" s="400">
        <f t="shared" si="2"/>
        <v>0</v>
      </c>
      <c r="AS14" s="79"/>
      <c r="AT14" s="79"/>
      <c r="AU14" s="79">
        <f t="shared" si="3"/>
        <v>0</v>
      </c>
      <c r="AV14" s="79">
        <f t="shared" si="4"/>
        <v>100</v>
      </c>
      <c r="AW14" s="179"/>
      <c r="AX14" s="178"/>
      <c r="AY14" s="310">
        <v>252</v>
      </c>
      <c r="AZ14" s="311"/>
      <c r="BA14" s="311"/>
      <c r="BB14" s="79"/>
      <c r="BC14" s="311">
        <v>180</v>
      </c>
      <c r="BD14" s="86"/>
      <c r="BE14" s="161"/>
    </row>
    <row r="15" spans="2:57">
      <c r="B15" s="541">
        <f t="shared" si="5"/>
        <v>45877</v>
      </c>
      <c r="C15" s="454"/>
      <c r="D15" s="343"/>
      <c r="E15" s="271"/>
      <c r="F15" s="542"/>
      <c r="G15" s="543"/>
      <c r="H15" s="422"/>
      <c r="I15" s="435"/>
      <c r="J15" s="436"/>
      <c r="K15" s="271"/>
      <c r="L15" s="272"/>
      <c r="M15" s="271"/>
      <c r="N15" s="272"/>
      <c r="O15" s="30"/>
      <c r="P15" s="28"/>
      <c r="Q15" s="389"/>
      <c r="R15" s="386"/>
      <c r="S15" s="385"/>
      <c r="T15" s="387"/>
      <c r="U15" s="388">
        <f t="shared" si="1"/>
        <v>45877</v>
      </c>
      <c r="V15" s="390"/>
      <c r="W15" s="391"/>
      <c r="X15" s="390"/>
      <c r="Y15" s="391"/>
      <c r="Z15" s="54"/>
      <c r="AA15" s="322"/>
      <c r="AB15" s="323"/>
      <c r="AC15" s="481"/>
      <c r="AD15" s="323"/>
      <c r="AE15" s="413"/>
      <c r="AF15" s="414"/>
      <c r="AG15" s="415"/>
      <c r="AH15" s="410"/>
      <c r="AI15" s="411"/>
      <c r="AJ15" s="410"/>
      <c r="AK15" s="411"/>
      <c r="AL15" s="410"/>
      <c r="AM15" s="411"/>
      <c r="AN15" s="389">
        <f t="shared" si="6"/>
        <v>0</v>
      </c>
      <c r="AO15" s="118">
        <f t="shared" si="7"/>
        <v>0</v>
      </c>
      <c r="AP15" s="87">
        <f t="shared" si="8"/>
        <v>45877</v>
      </c>
      <c r="AQ15" s="400"/>
      <c r="AR15" s="400">
        <f t="shared" si="2"/>
        <v>0</v>
      </c>
      <c r="AS15" s="79"/>
      <c r="AT15" s="79"/>
      <c r="AU15" s="79">
        <f t="shared" si="3"/>
        <v>0</v>
      </c>
      <c r="AV15" s="79">
        <f t="shared" si="4"/>
        <v>-80</v>
      </c>
      <c r="AW15" s="179"/>
      <c r="AX15" s="178"/>
      <c r="AY15" s="310">
        <v>243</v>
      </c>
      <c r="AZ15" s="311"/>
      <c r="BA15" s="311"/>
      <c r="BB15" s="79"/>
      <c r="BC15" s="311">
        <v>180</v>
      </c>
      <c r="BD15" s="86"/>
      <c r="BE15" s="161"/>
    </row>
    <row r="16" spans="2:57">
      <c r="B16" s="541">
        <f t="shared" si="5"/>
        <v>45878</v>
      </c>
      <c r="C16" s="454"/>
      <c r="D16" s="343"/>
      <c r="E16" s="271"/>
      <c r="F16" s="542"/>
      <c r="G16" s="543"/>
      <c r="H16" s="422"/>
      <c r="I16" s="435"/>
      <c r="J16" s="436"/>
      <c r="K16" s="271"/>
      <c r="L16" s="272"/>
      <c r="M16" s="271"/>
      <c r="N16" s="272"/>
      <c r="O16" s="412"/>
      <c r="P16" s="28"/>
      <c r="Q16" s="389"/>
      <c r="R16" s="386"/>
      <c r="S16" s="385"/>
      <c r="T16" s="387"/>
      <c r="U16" s="388">
        <f t="shared" si="1"/>
        <v>45878</v>
      </c>
      <c r="V16" s="390"/>
      <c r="W16" s="391"/>
      <c r="X16" s="390"/>
      <c r="Y16" s="391"/>
      <c r="Z16" s="54"/>
      <c r="AA16" s="322"/>
      <c r="AB16" s="323"/>
      <c r="AC16" s="481"/>
      <c r="AD16" s="323"/>
      <c r="AE16" s="413"/>
      <c r="AF16" s="414"/>
      <c r="AG16" s="415"/>
      <c r="AH16" s="410"/>
      <c r="AI16" s="411"/>
      <c r="AJ16" s="410"/>
      <c r="AK16" s="411"/>
      <c r="AL16" s="410"/>
      <c r="AM16" s="411"/>
      <c r="AN16" s="389">
        <f t="shared" si="6"/>
        <v>0</v>
      </c>
      <c r="AO16" s="118">
        <f t="shared" si="7"/>
        <v>0</v>
      </c>
      <c r="AP16" s="87">
        <f t="shared" si="8"/>
        <v>45878</v>
      </c>
      <c r="AQ16" s="400"/>
      <c r="AR16" s="400">
        <f t="shared" si="2"/>
        <v>0</v>
      </c>
      <c r="AS16" s="79"/>
      <c r="AT16" s="79"/>
      <c r="AU16" s="79">
        <f t="shared" si="3"/>
        <v>0</v>
      </c>
      <c r="AV16" s="79">
        <f t="shared" si="4"/>
        <v>-260</v>
      </c>
      <c r="AW16" s="179"/>
      <c r="AX16" s="178"/>
      <c r="AY16" s="310">
        <v>185.5</v>
      </c>
      <c r="AZ16" s="311"/>
      <c r="BA16" s="311"/>
      <c r="BB16" s="79"/>
      <c r="BC16" s="311">
        <v>180</v>
      </c>
      <c r="BD16" s="86"/>
      <c r="BE16" s="161"/>
    </row>
    <row r="17" spans="2:57">
      <c r="B17" s="541">
        <f t="shared" si="5"/>
        <v>45879</v>
      </c>
      <c r="C17" s="454"/>
      <c r="D17" s="343"/>
      <c r="E17" s="271"/>
      <c r="F17" s="542"/>
      <c r="G17" s="543"/>
      <c r="H17" s="422"/>
      <c r="I17" s="435"/>
      <c r="J17" s="436"/>
      <c r="K17" s="271"/>
      <c r="L17" s="272"/>
      <c r="M17" s="271"/>
      <c r="N17" s="272"/>
      <c r="O17" s="412"/>
      <c r="P17" s="28"/>
      <c r="Q17" s="389"/>
      <c r="R17" s="386"/>
      <c r="S17" s="385"/>
      <c r="T17" s="387"/>
      <c r="U17" s="388">
        <f t="shared" si="1"/>
        <v>45879</v>
      </c>
      <c r="V17" s="390"/>
      <c r="W17" s="391"/>
      <c r="X17" s="390"/>
      <c r="Y17" s="391"/>
      <c r="Z17" s="54"/>
      <c r="AA17" s="322"/>
      <c r="AB17" s="323"/>
      <c r="AC17" s="481"/>
      <c r="AD17" s="323"/>
      <c r="AE17" s="413"/>
      <c r="AF17" s="414"/>
      <c r="AG17" s="415"/>
      <c r="AH17" s="410"/>
      <c r="AI17" s="411"/>
      <c r="AJ17" s="410"/>
      <c r="AK17" s="411"/>
      <c r="AL17" s="410"/>
      <c r="AM17" s="411"/>
      <c r="AN17" s="389">
        <f t="shared" si="6"/>
        <v>0</v>
      </c>
      <c r="AO17" s="118">
        <f t="shared" si="7"/>
        <v>0</v>
      </c>
      <c r="AP17" s="87">
        <f t="shared" si="8"/>
        <v>45879</v>
      </c>
      <c r="AQ17" s="400"/>
      <c r="AR17" s="400">
        <f t="shared" si="2"/>
        <v>0</v>
      </c>
      <c r="AS17" s="79"/>
      <c r="AT17" s="79"/>
      <c r="AU17" s="79">
        <f t="shared" si="3"/>
        <v>0</v>
      </c>
      <c r="AV17" s="79">
        <f t="shared" si="4"/>
        <v>-440</v>
      </c>
      <c r="AW17" s="79"/>
      <c r="AX17" s="400"/>
      <c r="AY17" s="310"/>
      <c r="AZ17" s="311"/>
      <c r="BA17" s="311"/>
      <c r="BB17" s="79"/>
      <c r="BC17" s="311"/>
      <c r="BD17" s="86"/>
      <c r="BE17" s="161"/>
    </row>
    <row r="18" spans="2:57">
      <c r="B18" s="541">
        <f t="shared" si="5"/>
        <v>45880</v>
      </c>
      <c r="C18" s="454"/>
      <c r="D18" s="343"/>
      <c r="E18" s="271"/>
      <c r="F18" s="542"/>
      <c r="G18" s="543"/>
      <c r="H18" s="422"/>
      <c r="I18" s="435"/>
      <c r="J18" s="436"/>
      <c r="K18" s="271"/>
      <c r="L18" s="272"/>
      <c r="M18" s="271"/>
      <c r="N18" s="272"/>
      <c r="O18" s="30"/>
      <c r="P18" s="28"/>
      <c r="Q18" s="389"/>
      <c r="R18" s="386"/>
      <c r="S18" s="385"/>
      <c r="T18" s="387"/>
      <c r="U18" s="388">
        <f t="shared" si="1"/>
        <v>45880</v>
      </c>
      <c r="V18" s="390"/>
      <c r="W18" s="391"/>
      <c r="X18" s="390"/>
      <c r="Y18" s="391"/>
      <c r="Z18" s="54"/>
      <c r="AA18" s="322"/>
      <c r="AB18" s="327"/>
      <c r="AC18" s="481"/>
      <c r="AD18" s="323"/>
      <c r="AE18" s="413"/>
      <c r="AF18" s="414"/>
      <c r="AG18" s="415"/>
      <c r="AH18" s="410"/>
      <c r="AI18" s="411"/>
      <c r="AJ18" s="410"/>
      <c r="AK18" s="411"/>
      <c r="AL18" s="410"/>
      <c r="AM18" s="411"/>
      <c r="AN18" s="389">
        <f t="shared" si="6"/>
        <v>0</v>
      </c>
      <c r="AO18" s="118">
        <f t="shared" si="7"/>
        <v>0</v>
      </c>
      <c r="AP18" s="87">
        <f t="shared" si="8"/>
        <v>45880</v>
      </c>
      <c r="AQ18" s="400"/>
      <c r="AR18" s="400">
        <f t="shared" si="2"/>
        <v>0</v>
      </c>
      <c r="AS18" s="79"/>
      <c r="AT18" s="79"/>
      <c r="AU18" s="79">
        <f t="shared" si="3"/>
        <v>0</v>
      </c>
      <c r="AV18" s="79">
        <f t="shared" si="4"/>
        <v>-440</v>
      </c>
      <c r="AW18" s="179"/>
      <c r="AX18" s="178"/>
      <c r="AY18" s="310">
        <v>398</v>
      </c>
      <c r="AZ18" s="311"/>
      <c r="BA18" s="311"/>
      <c r="BB18" s="311"/>
      <c r="BC18" s="311">
        <v>180</v>
      </c>
      <c r="BD18" s="86"/>
      <c r="BE18" s="161"/>
    </row>
    <row r="19" spans="2:57">
      <c r="B19" s="541">
        <f t="shared" si="5"/>
        <v>45881</v>
      </c>
      <c r="C19" s="454"/>
      <c r="D19" s="343"/>
      <c r="E19" s="271"/>
      <c r="F19" s="542"/>
      <c r="G19" s="543"/>
      <c r="H19" s="422"/>
      <c r="I19" s="435"/>
      <c r="J19" s="436"/>
      <c r="K19" s="271"/>
      <c r="L19" s="272"/>
      <c r="M19" s="271"/>
      <c r="N19" s="272"/>
      <c r="O19" s="30"/>
      <c r="P19" s="28"/>
      <c r="Q19" s="389"/>
      <c r="R19" s="386"/>
      <c r="S19" s="385"/>
      <c r="T19" s="387"/>
      <c r="U19" s="388">
        <f t="shared" si="1"/>
        <v>45881</v>
      </c>
      <c r="V19" s="390"/>
      <c r="W19" s="391"/>
      <c r="X19" s="390"/>
      <c r="Y19" s="391"/>
      <c r="Z19" s="54"/>
      <c r="AA19" s="322"/>
      <c r="AB19" s="327"/>
      <c r="AC19" s="481"/>
      <c r="AD19" s="323"/>
      <c r="AE19" s="413"/>
      <c r="AF19" s="414"/>
      <c r="AG19" s="415"/>
      <c r="AH19" s="410"/>
      <c r="AI19" s="411"/>
      <c r="AJ19" s="410"/>
      <c r="AK19" s="411"/>
      <c r="AL19" s="363"/>
      <c r="AM19" s="411"/>
      <c r="AN19" s="389">
        <f t="shared" si="6"/>
        <v>0</v>
      </c>
      <c r="AO19" s="118">
        <f t="shared" si="7"/>
        <v>0</v>
      </c>
      <c r="AP19" s="87">
        <f t="shared" si="8"/>
        <v>45881</v>
      </c>
      <c r="AQ19" s="400"/>
      <c r="AR19" s="400">
        <f t="shared" si="2"/>
        <v>0</v>
      </c>
      <c r="AS19" s="79"/>
      <c r="AT19" s="79"/>
      <c r="AU19" s="79">
        <f t="shared" si="3"/>
        <v>0</v>
      </c>
      <c r="AV19" s="79">
        <f t="shared" si="4"/>
        <v>-620</v>
      </c>
      <c r="AW19" s="179"/>
      <c r="AX19" s="178"/>
      <c r="AY19" s="310">
        <v>290</v>
      </c>
      <c r="AZ19" s="311"/>
      <c r="BA19" s="311"/>
      <c r="BB19" s="79"/>
      <c r="BC19" s="311">
        <v>180</v>
      </c>
      <c r="BD19" s="86"/>
      <c r="BE19" s="161"/>
    </row>
    <row r="20" spans="2:57">
      <c r="B20" s="541">
        <f t="shared" si="5"/>
        <v>45882</v>
      </c>
      <c r="C20" s="454"/>
      <c r="D20" s="343"/>
      <c r="E20" s="271"/>
      <c r="F20" s="542"/>
      <c r="G20" s="543"/>
      <c r="H20" s="422"/>
      <c r="I20" s="435"/>
      <c r="J20" s="436"/>
      <c r="K20" s="271"/>
      <c r="L20" s="272"/>
      <c r="M20" s="370"/>
      <c r="N20" s="272"/>
      <c r="O20" s="30"/>
      <c r="P20" s="28"/>
      <c r="Q20" s="389"/>
      <c r="R20" s="386"/>
      <c r="S20" s="385"/>
      <c r="T20" s="387"/>
      <c r="U20" s="388">
        <f t="shared" si="1"/>
        <v>45882</v>
      </c>
      <c r="V20" s="390"/>
      <c r="W20" s="391"/>
      <c r="X20" s="390"/>
      <c r="Y20" s="391"/>
      <c r="Z20" s="54"/>
      <c r="AA20" s="322"/>
      <c r="AB20" s="327"/>
      <c r="AC20" s="481"/>
      <c r="AD20" s="323"/>
      <c r="AE20" s="413"/>
      <c r="AF20" s="414"/>
      <c r="AG20" s="415"/>
      <c r="AH20" s="410"/>
      <c r="AI20" s="411"/>
      <c r="AJ20" s="410"/>
      <c r="AK20" s="411"/>
      <c r="AL20" s="363"/>
      <c r="AM20" s="411"/>
      <c r="AN20" s="389">
        <f t="shared" si="6"/>
        <v>0</v>
      </c>
      <c r="AO20" s="118">
        <f t="shared" si="7"/>
        <v>0</v>
      </c>
      <c r="AP20" s="388">
        <f t="shared" si="8"/>
        <v>45882</v>
      </c>
      <c r="AQ20" s="400"/>
      <c r="AR20" s="400">
        <f t="shared" si="2"/>
        <v>0</v>
      </c>
      <c r="AS20" s="79"/>
      <c r="AT20" s="79"/>
      <c r="AU20" s="79">
        <f t="shared" si="3"/>
        <v>0</v>
      </c>
      <c r="AV20" s="79">
        <f t="shared" si="4"/>
        <v>-800</v>
      </c>
      <c r="AW20" s="79"/>
      <c r="AX20" s="400"/>
      <c r="AY20" s="400">
        <v>285</v>
      </c>
      <c r="AZ20" s="79"/>
      <c r="BA20" s="79"/>
      <c r="BB20" s="79"/>
      <c r="BC20" s="311">
        <v>180</v>
      </c>
      <c r="BD20" s="86"/>
      <c r="BE20" s="161"/>
    </row>
    <row r="21" spans="2:57">
      <c r="B21" s="541">
        <f t="shared" si="5"/>
        <v>45883</v>
      </c>
      <c r="C21" s="454"/>
      <c r="D21" s="343"/>
      <c r="E21" s="344"/>
      <c r="F21" s="542"/>
      <c r="G21" s="543"/>
      <c r="H21" s="422"/>
      <c r="I21" s="435"/>
      <c r="J21" s="436"/>
      <c r="K21" s="271"/>
      <c r="L21" s="272"/>
      <c r="M21" s="370"/>
      <c r="N21" s="272"/>
      <c r="O21" s="30"/>
      <c r="P21" s="28"/>
      <c r="Q21" s="389"/>
      <c r="R21" s="386"/>
      <c r="S21" s="385"/>
      <c r="T21" s="387"/>
      <c r="U21" s="388">
        <f t="shared" si="1"/>
        <v>45883</v>
      </c>
      <c r="V21" s="390"/>
      <c r="W21" s="391"/>
      <c r="X21" s="390"/>
      <c r="Y21" s="391"/>
      <c r="Z21" s="54"/>
      <c r="AA21" s="322"/>
      <c r="AB21" s="327"/>
      <c r="AC21" s="481"/>
      <c r="AD21" s="323"/>
      <c r="AE21" s="413"/>
      <c r="AF21" s="414"/>
      <c r="AG21" s="415"/>
      <c r="AH21" s="410"/>
      <c r="AI21" s="411"/>
      <c r="AJ21" s="410"/>
      <c r="AK21" s="411"/>
      <c r="AL21" s="363"/>
      <c r="AM21" s="411"/>
      <c r="AN21" s="389">
        <f t="shared" si="6"/>
        <v>0</v>
      </c>
      <c r="AO21" s="118">
        <f t="shared" si="7"/>
        <v>0</v>
      </c>
      <c r="AP21" s="388">
        <f t="shared" si="8"/>
        <v>45883</v>
      </c>
      <c r="AQ21" s="400"/>
      <c r="AR21" s="400">
        <f t="shared" si="2"/>
        <v>0</v>
      </c>
      <c r="AS21" s="79"/>
      <c r="AT21" s="79"/>
      <c r="AU21" s="79">
        <f t="shared" si="3"/>
        <v>0</v>
      </c>
      <c r="AV21" s="79">
        <f t="shared" si="4"/>
        <v>-980</v>
      </c>
      <c r="AW21" s="79"/>
      <c r="AX21" s="400"/>
      <c r="AY21" s="400">
        <v>252</v>
      </c>
      <c r="AZ21" s="79"/>
      <c r="BA21" s="79"/>
      <c r="BB21" s="79"/>
      <c r="BC21" s="311">
        <v>180</v>
      </c>
      <c r="BD21" s="86"/>
      <c r="BE21" s="161"/>
    </row>
    <row r="22" spans="2:57">
      <c r="B22" s="541">
        <f t="shared" si="5"/>
        <v>45884</v>
      </c>
      <c r="C22" s="454"/>
      <c r="D22" s="343"/>
      <c r="E22" s="344"/>
      <c r="F22" s="542"/>
      <c r="G22" s="543"/>
      <c r="H22" s="422"/>
      <c r="I22" s="435"/>
      <c r="J22" s="436"/>
      <c r="K22" s="271"/>
      <c r="L22" s="272"/>
      <c r="M22" s="271"/>
      <c r="N22" s="272"/>
      <c r="O22" s="412"/>
      <c r="P22" s="28"/>
      <c r="Q22" s="389"/>
      <c r="R22" s="386"/>
      <c r="S22" s="385"/>
      <c r="T22" s="387"/>
      <c r="U22" s="388">
        <f t="shared" si="1"/>
        <v>45884</v>
      </c>
      <c r="V22" s="390"/>
      <c r="W22" s="391"/>
      <c r="X22" s="390"/>
      <c r="Y22" s="391"/>
      <c r="Z22" s="54"/>
      <c r="AA22" s="322"/>
      <c r="AB22" s="327"/>
      <c r="AC22" s="481"/>
      <c r="AD22" s="323"/>
      <c r="AE22" s="413"/>
      <c r="AF22" s="414"/>
      <c r="AG22" s="415"/>
      <c r="AH22" s="410"/>
      <c r="AI22" s="411"/>
      <c r="AJ22" s="410"/>
      <c r="AK22" s="411"/>
      <c r="AL22" s="363"/>
      <c r="AM22" s="411"/>
      <c r="AN22" s="389">
        <f t="shared" si="6"/>
        <v>0</v>
      </c>
      <c r="AO22" s="118">
        <f t="shared" si="7"/>
        <v>0</v>
      </c>
      <c r="AP22" s="388">
        <f t="shared" si="8"/>
        <v>45884</v>
      </c>
      <c r="AQ22" s="400"/>
      <c r="AR22" s="400">
        <f t="shared" si="2"/>
        <v>0</v>
      </c>
      <c r="AS22" s="79"/>
      <c r="AT22" s="79"/>
      <c r="AU22" s="79">
        <f t="shared" si="3"/>
        <v>0</v>
      </c>
      <c r="AV22" s="79">
        <f t="shared" si="4"/>
        <v>-1160</v>
      </c>
      <c r="AW22" s="79"/>
      <c r="AX22" s="400"/>
      <c r="AY22" s="400">
        <v>243</v>
      </c>
      <c r="AZ22" s="79"/>
      <c r="BA22" s="79"/>
      <c r="BB22" s="79"/>
      <c r="BC22" s="311">
        <v>180</v>
      </c>
      <c r="BD22" s="86"/>
      <c r="BE22" s="161"/>
    </row>
    <row r="23" spans="2:57">
      <c r="B23" s="541">
        <f t="shared" si="5"/>
        <v>45885</v>
      </c>
      <c r="C23" s="544"/>
      <c r="D23" s="343"/>
      <c r="E23" s="344"/>
      <c r="F23" s="542"/>
      <c r="G23" s="543"/>
      <c r="H23" s="422"/>
      <c r="I23" s="435"/>
      <c r="J23" s="436"/>
      <c r="K23" s="271"/>
      <c r="L23" s="272"/>
      <c r="M23" s="271"/>
      <c r="N23" s="272"/>
      <c r="O23" s="412"/>
      <c r="P23" s="28"/>
      <c r="Q23" s="389"/>
      <c r="R23" s="386"/>
      <c r="S23" s="385"/>
      <c r="T23" s="387"/>
      <c r="U23" s="388">
        <f t="shared" si="1"/>
        <v>45885</v>
      </c>
      <c r="V23" s="390"/>
      <c r="W23" s="391"/>
      <c r="X23" s="390"/>
      <c r="Y23" s="391"/>
      <c r="Z23" s="54"/>
      <c r="AA23" s="322"/>
      <c r="AB23" s="327"/>
      <c r="AC23" s="481"/>
      <c r="AD23" s="323"/>
      <c r="AE23" s="413"/>
      <c r="AF23" s="414"/>
      <c r="AG23" s="415"/>
      <c r="AH23" s="410"/>
      <c r="AI23" s="411"/>
      <c r="AJ23" s="410"/>
      <c r="AK23" s="411"/>
      <c r="AL23" s="364"/>
      <c r="AM23" s="28"/>
      <c r="AN23" s="389">
        <f>AM23+AK23+AI23+AG23+AE23+AC23+AA23</f>
        <v>0</v>
      </c>
      <c r="AO23" s="118">
        <f t="shared" si="7"/>
        <v>0</v>
      </c>
      <c r="AP23" s="388">
        <f t="shared" si="8"/>
        <v>45885</v>
      </c>
      <c r="AQ23" s="400"/>
      <c r="AR23" s="400">
        <f t="shared" si="2"/>
        <v>0</v>
      </c>
      <c r="AS23" s="79"/>
      <c r="AT23" s="79"/>
      <c r="AU23" s="79">
        <f t="shared" si="3"/>
        <v>0</v>
      </c>
      <c r="AV23" s="79">
        <f t="shared" si="4"/>
        <v>-1340</v>
      </c>
      <c r="AW23" s="79"/>
      <c r="AX23" s="400"/>
      <c r="AY23" s="400">
        <v>185.5</v>
      </c>
      <c r="AZ23" s="79"/>
      <c r="BA23" s="79"/>
      <c r="BB23" s="79"/>
      <c r="BC23" s="311">
        <v>180</v>
      </c>
      <c r="BD23" s="86"/>
      <c r="BE23" s="161"/>
    </row>
    <row r="24" spans="2:57">
      <c r="B24" s="541">
        <f t="shared" si="5"/>
        <v>45886</v>
      </c>
      <c r="C24" s="454"/>
      <c r="D24" s="343"/>
      <c r="E24" s="344"/>
      <c r="F24" s="542"/>
      <c r="G24" s="543"/>
      <c r="H24" s="422"/>
      <c r="I24" s="435"/>
      <c r="J24" s="436"/>
      <c r="K24" s="271"/>
      <c r="L24" s="272"/>
      <c r="M24" s="271"/>
      <c r="N24" s="272"/>
      <c r="O24" s="412"/>
      <c r="P24" s="28"/>
      <c r="Q24" s="389"/>
      <c r="R24" s="386"/>
      <c r="S24" s="385"/>
      <c r="T24" s="387"/>
      <c r="U24" s="388">
        <f t="shared" si="1"/>
        <v>45886</v>
      </c>
      <c r="V24" s="390"/>
      <c r="W24" s="391"/>
      <c r="X24" s="390"/>
      <c r="Y24" s="391"/>
      <c r="Z24" s="54"/>
      <c r="AA24" s="322"/>
      <c r="AB24" s="327"/>
      <c r="AC24" s="481"/>
      <c r="AD24" s="323"/>
      <c r="AE24" s="413"/>
      <c r="AF24" s="414"/>
      <c r="AG24" s="415"/>
      <c r="AH24" s="410"/>
      <c r="AI24" s="411"/>
      <c r="AJ24" s="410"/>
      <c r="AK24" s="411"/>
      <c r="AL24" s="363"/>
      <c r="AM24" s="411"/>
      <c r="AN24" s="389">
        <f t="shared" si="6"/>
        <v>0</v>
      </c>
      <c r="AO24" s="118">
        <f t="shared" si="7"/>
        <v>0</v>
      </c>
      <c r="AP24" s="388">
        <f t="shared" si="8"/>
        <v>45886</v>
      </c>
      <c r="AQ24" s="400"/>
      <c r="AR24" s="400">
        <f t="shared" si="2"/>
        <v>0</v>
      </c>
      <c r="AS24" s="79"/>
      <c r="AT24" s="79"/>
      <c r="AU24" s="79">
        <f t="shared" si="3"/>
        <v>0</v>
      </c>
      <c r="AV24" s="79">
        <f t="shared" si="4"/>
        <v>-1520</v>
      </c>
      <c r="AW24" s="79"/>
      <c r="AX24" s="400"/>
      <c r="AY24" s="400"/>
      <c r="AZ24" s="79"/>
      <c r="BA24" s="79"/>
      <c r="BB24" s="79"/>
      <c r="BC24" s="311"/>
      <c r="BD24" s="86"/>
      <c r="BE24" s="161"/>
    </row>
    <row r="25" spans="2:57">
      <c r="B25" s="541">
        <f t="shared" si="5"/>
        <v>45887</v>
      </c>
      <c r="C25" s="454"/>
      <c r="D25" s="343"/>
      <c r="E25" s="344"/>
      <c r="F25" s="542"/>
      <c r="G25" s="543"/>
      <c r="H25" s="422"/>
      <c r="I25" s="435"/>
      <c r="J25" s="436"/>
      <c r="K25" s="271"/>
      <c r="L25" s="272"/>
      <c r="M25" s="271"/>
      <c r="N25" s="272"/>
      <c r="O25" s="30"/>
      <c r="P25" s="28"/>
      <c r="Q25" s="389"/>
      <c r="R25" s="386"/>
      <c r="S25" s="385"/>
      <c r="T25" s="387"/>
      <c r="U25" s="388">
        <f t="shared" si="1"/>
        <v>45887</v>
      </c>
      <c r="V25" s="390"/>
      <c r="W25" s="391"/>
      <c r="X25" s="390"/>
      <c r="Y25" s="391"/>
      <c r="Z25" s="54"/>
      <c r="AA25" s="322"/>
      <c r="AB25" s="327"/>
      <c r="AC25" s="481"/>
      <c r="AD25" s="323"/>
      <c r="AE25" s="413"/>
      <c r="AF25" s="414"/>
      <c r="AG25" s="415"/>
      <c r="AH25" s="410"/>
      <c r="AI25" s="411"/>
      <c r="AJ25" s="410"/>
      <c r="AK25" s="411"/>
      <c r="AL25" s="363"/>
      <c r="AM25" s="411"/>
      <c r="AN25" s="389">
        <f t="shared" si="6"/>
        <v>0</v>
      </c>
      <c r="AO25" s="118">
        <f t="shared" si="7"/>
        <v>0</v>
      </c>
      <c r="AP25" s="388">
        <f t="shared" si="8"/>
        <v>45887</v>
      </c>
      <c r="AQ25" s="400"/>
      <c r="AR25" s="400">
        <f t="shared" ref="AR25:AR27" si="9">IF(AR24+AC24-AY24&lt;0,0,AR24+AC24-AY24)</f>
        <v>0</v>
      </c>
      <c r="AS25" s="79"/>
      <c r="AT25" s="79"/>
      <c r="AU25" s="79">
        <f t="shared" si="3"/>
        <v>0</v>
      </c>
      <c r="AV25" s="79">
        <f t="shared" si="4"/>
        <v>-1520</v>
      </c>
      <c r="AW25" s="79"/>
      <c r="AX25" s="400"/>
      <c r="AY25" s="400">
        <v>398</v>
      </c>
      <c r="AZ25" s="79"/>
      <c r="BA25" s="79"/>
      <c r="BB25" s="311"/>
      <c r="BC25" s="311">
        <v>180</v>
      </c>
      <c r="BD25" s="86"/>
      <c r="BE25" s="161"/>
    </row>
    <row r="26" spans="2:57">
      <c r="B26" s="541">
        <f t="shared" si="5"/>
        <v>45888</v>
      </c>
      <c r="C26" s="454"/>
      <c r="D26" s="343"/>
      <c r="E26" s="545"/>
      <c r="F26" s="542"/>
      <c r="G26" s="543"/>
      <c r="H26" s="422"/>
      <c r="I26" s="435"/>
      <c r="J26" s="436"/>
      <c r="K26" s="271"/>
      <c r="L26" s="272"/>
      <c r="M26" s="370"/>
      <c r="N26" s="272"/>
      <c r="O26" s="30"/>
      <c r="P26" s="28"/>
      <c r="Q26" s="389"/>
      <c r="R26" s="386"/>
      <c r="S26" s="385"/>
      <c r="T26" s="387"/>
      <c r="U26" s="388">
        <f t="shared" si="1"/>
        <v>45888</v>
      </c>
      <c r="V26" s="390"/>
      <c r="W26" s="391"/>
      <c r="X26" s="390"/>
      <c r="Y26" s="391"/>
      <c r="Z26" s="54"/>
      <c r="AA26" s="322"/>
      <c r="AB26" s="327"/>
      <c r="AC26" s="481"/>
      <c r="AD26" s="323"/>
      <c r="AE26" s="413"/>
      <c r="AF26" s="414"/>
      <c r="AG26" s="415"/>
      <c r="AH26" s="410"/>
      <c r="AI26" s="411"/>
      <c r="AJ26" s="410"/>
      <c r="AK26" s="411"/>
      <c r="AL26" s="363"/>
      <c r="AM26" s="411"/>
      <c r="AN26" s="389">
        <f t="shared" si="6"/>
        <v>0</v>
      </c>
      <c r="AO26" s="118">
        <f t="shared" si="7"/>
        <v>0</v>
      </c>
      <c r="AP26" s="388">
        <f t="shared" si="8"/>
        <v>45888</v>
      </c>
      <c r="AQ26" s="400"/>
      <c r="AR26" s="400">
        <f t="shared" si="9"/>
        <v>0</v>
      </c>
      <c r="AS26" s="79"/>
      <c r="AT26" s="79"/>
      <c r="AU26" s="79">
        <f t="shared" si="3"/>
        <v>0</v>
      </c>
      <c r="AV26" s="79">
        <f t="shared" si="4"/>
        <v>-1700</v>
      </c>
      <c r="AW26" s="79"/>
      <c r="AX26" s="400"/>
      <c r="AY26" s="400">
        <v>290</v>
      </c>
      <c r="AZ26" s="79"/>
      <c r="BA26" s="79"/>
      <c r="BB26" s="79"/>
      <c r="BC26" s="311">
        <v>180</v>
      </c>
      <c r="BD26" s="86"/>
      <c r="BE26" s="161"/>
    </row>
    <row r="27" spans="2:57">
      <c r="B27" s="541">
        <f t="shared" si="5"/>
        <v>45889</v>
      </c>
      <c r="C27" s="454"/>
      <c r="D27" s="343"/>
      <c r="E27" s="545"/>
      <c r="F27" s="542"/>
      <c r="G27" s="543"/>
      <c r="H27" s="422"/>
      <c r="I27" s="435"/>
      <c r="J27" s="436"/>
      <c r="K27" s="271"/>
      <c r="L27" s="272"/>
      <c r="M27" s="370"/>
      <c r="N27" s="272"/>
      <c r="O27" s="30"/>
      <c r="P27" s="28"/>
      <c r="Q27" s="389"/>
      <c r="R27" s="386"/>
      <c r="S27" s="385"/>
      <c r="T27" s="387"/>
      <c r="U27" s="388">
        <f t="shared" si="1"/>
        <v>45889</v>
      </c>
      <c r="V27" s="390"/>
      <c r="W27" s="391"/>
      <c r="X27" s="390"/>
      <c r="Y27" s="391"/>
      <c r="Z27" s="54"/>
      <c r="AA27" s="322"/>
      <c r="AB27" s="327"/>
      <c r="AC27" s="481"/>
      <c r="AD27" s="323"/>
      <c r="AE27" s="413"/>
      <c r="AF27" s="414"/>
      <c r="AG27" s="415"/>
      <c r="AH27" s="410"/>
      <c r="AI27" s="411"/>
      <c r="AJ27" s="412"/>
      <c r="AK27" s="411"/>
      <c r="AL27" s="363"/>
      <c r="AM27" s="411"/>
      <c r="AN27" s="389">
        <f t="shared" ref="AN27:AN37" si="10">AM27+AK27+AI27+AG27+AE27+AC27+AA27+Y27+W27</f>
        <v>0</v>
      </c>
      <c r="AO27" s="118">
        <f t="shared" si="7"/>
        <v>0</v>
      </c>
      <c r="AP27" s="388">
        <f t="shared" si="8"/>
        <v>45889</v>
      </c>
      <c r="AQ27" s="400"/>
      <c r="AR27" s="400">
        <f t="shared" si="9"/>
        <v>0</v>
      </c>
      <c r="AS27" s="79"/>
      <c r="AT27" s="79"/>
      <c r="AU27" s="79">
        <f t="shared" si="3"/>
        <v>0</v>
      </c>
      <c r="AV27" s="79">
        <f t="shared" si="4"/>
        <v>-1880</v>
      </c>
      <c r="AW27" s="79"/>
      <c r="AX27" s="400"/>
      <c r="AY27" s="400">
        <v>285</v>
      </c>
      <c r="AZ27" s="79"/>
      <c r="BA27" s="79"/>
      <c r="BB27" s="79"/>
      <c r="BC27" s="311">
        <v>180</v>
      </c>
      <c r="BD27" s="86"/>
      <c r="BE27" s="161"/>
    </row>
    <row r="28" spans="2:57">
      <c r="B28" s="541">
        <f t="shared" si="5"/>
        <v>45890</v>
      </c>
      <c r="C28" s="454"/>
      <c r="D28" s="343"/>
      <c r="E28" s="545"/>
      <c r="F28" s="542"/>
      <c r="G28" s="543"/>
      <c r="H28" s="422"/>
      <c r="I28" s="435"/>
      <c r="J28" s="436"/>
      <c r="K28" s="271"/>
      <c r="L28" s="272"/>
      <c r="M28" s="370"/>
      <c r="N28" s="272"/>
      <c r="O28" s="412"/>
      <c r="P28" s="28"/>
      <c r="Q28" s="389"/>
      <c r="R28" s="386"/>
      <c r="S28" s="385"/>
      <c r="T28" s="387"/>
      <c r="U28" s="388">
        <f t="shared" si="1"/>
        <v>45890</v>
      </c>
      <c r="V28" s="390"/>
      <c r="W28" s="391"/>
      <c r="X28" s="390"/>
      <c r="Y28" s="391"/>
      <c r="Z28" s="54"/>
      <c r="AA28" s="322"/>
      <c r="AB28" s="327"/>
      <c r="AC28" s="481"/>
      <c r="AD28" s="323"/>
      <c r="AE28" s="413"/>
      <c r="AF28" s="414"/>
      <c r="AG28" s="415"/>
      <c r="AH28" s="410"/>
      <c r="AI28" s="411"/>
      <c r="AJ28" s="412"/>
      <c r="AK28" s="411"/>
      <c r="AL28" s="363"/>
      <c r="AM28" s="411"/>
      <c r="AN28" s="389">
        <f t="shared" si="10"/>
        <v>0</v>
      </c>
      <c r="AO28" s="118">
        <f t="shared" si="7"/>
        <v>0</v>
      </c>
      <c r="AP28" s="388">
        <f t="shared" si="8"/>
        <v>45890</v>
      </c>
      <c r="AQ28" s="400"/>
      <c r="AR28" s="400">
        <f t="shared" ref="AR28:AR39" si="11">IF(AR27+AC27-AY27&lt;0,0,AR27+AC27-AY27)</f>
        <v>0</v>
      </c>
      <c r="AS28" s="79"/>
      <c r="AT28" s="79"/>
      <c r="AU28" s="79">
        <f t="shared" si="3"/>
        <v>0</v>
      </c>
      <c r="AV28" s="79">
        <f t="shared" si="4"/>
        <v>-2060</v>
      </c>
      <c r="AW28" s="79"/>
      <c r="AX28" s="400"/>
      <c r="AY28" s="400">
        <v>252</v>
      </c>
      <c r="AZ28" s="79"/>
      <c r="BA28" s="79"/>
      <c r="BB28" s="79"/>
      <c r="BC28" s="311">
        <v>180</v>
      </c>
      <c r="BD28" s="86"/>
      <c r="BE28" s="161"/>
    </row>
    <row r="29" spans="2:57">
      <c r="B29" s="541">
        <f t="shared" si="5"/>
        <v>45891</v>
      </c>
      <c r="C29" s="454"/>
      <c r="D29" s="343"/>
      <c r="E29" s="545"/>
      <c r="F29" s="542"/>
      <c r="G29" s="543"/>
      <c r="H29" s="422"/>
      <c r="I29" s="435"/>
      <c r="J29" s="436"/>
      <c r="K29" s="271"/>
      <c r="L29" s="272"/>
      <c r="M29" s="271"/>
      <c r="N29" s="272"/>
      <c r="O29" s="412"/>
      <c r="P29" s="28"/>
      <c r="Q29" s="389"/>
      <c r="R29" s="386"/>
      <c r="S29" s="385"/>
      <c r="T29" s="387"/>
      <c r="U29" s="388">
        <f t="shared" si="1"/>
        <v>45891</v>
      </c>
      <c r="V29" s="390"/>
      <c r="W29" s="391"/>
      <c r="X29" s="390"/>
      <c r="Y29" s="391"/>
      <c r="Z29" s="54"/>
      <c r="AA29" s="322"/>
      <c r="AB29" s="327"/>
      <c r="AC29" s="481"/>
      <c r="AD29" s="323"/>
      <c r="AE29" s="413"/>
      <c r="AF29" s="414"/>
      <c r="AG29" s="415"/>
      <c r="AH29" s="410"/>
      <c r="AI29" s="411"/>
      <c r="AJ29" s="412"/>
      <c r="AK29" s="411"/>
      <c r="AL29" s="363"/>
      <c r="AM29" s="411"/>
      <c r="AN29" s="389">
        <f t="shared" si="10"/>
        <v>0</v>
      </c>
      <c r="AO29" s="118">
        <f t="shared" si="7"/>
        <v>0</v>
      </c>
      <c r="AP29" s="388">
        <f t="shared" si="8"/>
        <v>45891</v>
      </c>
      <c r="AQ29" s="400"/>
      <c r="AR29" s="400">
        <f t="shared" si="11"/>
        <v>0</v>
      </c>
      <c r="AS29" s="79"/>
      <c r="AT29" s="79"/>
      <c r="AU29" s="79">
        <f t="shared" si="3"/>
        <v>0</v>
      </c>
      <c r="AV29" s="79">
        <f t="shared" si="4"/>
        <v>-2240</v>
      </c>
      <c r="AW29" s="79"/>
      <c r="AX29" s="400"/>
      <c r="AY29" s="400">
        <v>243</v>
      </c>
      <c r="AZ29" s="79"/>
      <c r="BA29" s="79"/>
      <c r="BB29" s="79"/>
      <c r="BC29" s="311">
        <v>180</v>
      </c>
      <c r="BD29" s="86"/>
      <c r="BE29" s="161"/>
    </row>
    <row r="30" spans="2:57">
      <c r="B30" s="541">
        <f t="shared" si="5"/>
        <v>45892</v>
      </c>
      <c r="C30" s="454"/>
      <c r="D30" s="343"/>
      <c r="E30" s="545"/>
      <c r="F30" s="542"/>
      <c r="G30" s="543"/>
      <c r="H30" s="422"/>
      <c r="I30" s="435"/>
      <c r="J30" s="436"/>
      <c r="K30" s="271"/>
      <c r="L30" s="272"/>
      <c r="M30" s="271"/>
      <c r="N30" s="272"/>
      <c r="O30" s="412"/>
      <c r="P30" s="28"/>
      <c r="Q30" s="389"/>
      <c r="R30" s="386"/>
      <c r="S30" s="385"/>
      <c r="T30" s="387"/>
      <c r="U30" s="388">
        <f t="shared" si="1"/>
        <v>45892</v>
      </c>
      <c r="V30" s="390"/>
      <c r="W30" s="391"/>
      <c r="X30" s="390"/>
      <c r="Y30" s="391"/>
      <c r="Z30" s="54"/>
      <c r="AA30" s="322"/>
      <c r="AB30" s="327"/>
      <c r="AC30" s="481"/>
      <c r="AD30" s="323"/>
      <c r="AE30" s="413"/>
      <c r="AF30" s="414"/>
      <c r="AG30" s="415"/>
      <c r="AH30" s="410"/>
      <c r="AI30" s="411"/>
      <c r="AJ30" s="412"/>
      <c r="AK30" s="411"/>
      <c r="AL30" s="363"/>
      <c r="AM30" s="411"/>
      <c r="AN30" s="389">
        <f t="shared" si="10"/>
        <v>0</v>
      </c>
      <c r="AO30" s="118">
        <f t="shared" si="7"/>
        <v>0</v>
      </c>
      <c r="AP30" s="388">
        <f t="shared" si="8"/>
        <v>45892</v>
      </c>
      <c r="AQ30" s="400"/>
      <c r="AR30" s="400">
        <f t="shared" si="11"/>
        <v>0</v>
      </c>
      <c r="AS30" s="79"/>
      <c r="AT30" s="79"/>
      <c r="AU30" s="79">
        <f t="shared" si="3"/>
        <v>0</v>
      </c>
      <c r="AV30" s="79">
        <f t="shared" si="4"/>
        <v>-2420</v>
      </c>
      <c r="AW30" s="79"/>
      <c r="AX30" s="400"/>
      <c r="AY30" s="400">
        <v>185.5</v>
      </c>
      <c r="AZ30" s="79"/>
      <c r="BA30" s="79"/>
      <c r="BB30" s="79"/>
      <c r="BC30" s="311">
        <v>180</v>
      </c>
      <c r="BD30" s="86"/>
      <c r="BE30" s="161"/>
    </row>
    <row r="31" spans="2:57">
      <c r="B31" s="541">
        <f t="shared" si="5"/>
        <v>45893</v>
      </c>
      <c r="C31" s="454"/>
      <c r="D31" s="343"/>
      <c r="E31" s="545"/>
      <c r="F31" s="542"/>
      <c r="G31" s="543"/>
      <c r="H31" s="422"/>
      <c r="I31" s="435"/>
      <c r="J31" s="436"/>
      <c r="K31" s="271"/>
      <c r="L31" s="272"/>
      <c r="M31" s="271"/>
      <c r="N31" s="272"/>
      <c r="O31" s="412"/>
      <c r="P31" s="28"/>
      <c r="Q31" s="389"/>
      <c r="R31" s="386"/>
      <c r="S31" s="385"/>
      <c r="T31" s="387"/>
      <c r="U31" s="388">
        <f t="shared" si="1"/>
        <v>45893</v>
      </c>
      <c r="V31" s="390"/>
      <c r="W31" s="391"/>
      <c r="X31" s="390"/>
      <c r="Y31" s="391"/>
      <c r="Z31" s="54"/>
      <c r="AA31" s="322"/>
      <c r="AB31" s="327"/>
      <c r="AC31" s="481"/>
      <c r="AD31" s="323"/>
      <c r="AE31" s="413"/>
      <c r="AF31" s="414"/>
      <c r="AG31" s="415"/>
      <c r="AH31" s="410"/>
      <c r="AI31" s="411"/>
      <c r="AJ31" s="412"/>
      <c r="AK31" s="411"/>
      <c r="AL31" s="363"/>
      <c r="AM31" s="411"/>
      <c r="AN31" s="389">
        <f t="shared" si="10"/>
        <v>0</v>
      </c>
      <c r="AO31" s="118">
        <f t="shared" si="7"/>
        <v>0</v>
      </c>
      <c r="AP31" s="388">
        <f t="shared" si="8"/>
        <v>45893</v>
      </c>
      <c r="AQ31" s="400"/>
      <c r="AR31" s="400">
        <f t="shared" si="11"/>
        <v>0</v>
      </c>
      <c r="AS31" s="79"/>
      <c r="AT31" s="79"/>
      <c r="AU31" s="79">
        <f t="shared" si="3"/>
        <v>0</v>
      </c>
      <c r="AV31" s="79">
        <f t="shared" si="4"/>
        <v>-2600</v>
      </c>
      <c r="AW31" s="79"/>
      <c r="AX31" s="400"/>
      <c r="AY31" s="400"/>
      <c r="AZ31" s="79"/>
      <c r="BA31" s="79"/>
      <c r="BB31" s="79"/>
      <c r="BC31" s="311"/>
      <c r="BD31" s="86"/>
      <c r="BE31" s="161"/>
    </row>
    <row r="32" spans="2:57">
      <c r="B32" s="541">
        <f t="shared" si="5"/>
        <v>45894</v>
      </c>
      <c r="C32" s="454"/>
      <c r="D32" s="343"/>
      <c r="E32" s="545"/>
      <c r="F32" s="542"/>
      <c r="G32" s="543"/>
      <c r="H32" s="422"/>
      <c r="I32" s="435"/>
      <c r="J32" s="436"/>
      <c r="K32" s="271"/>
      <c r="L32" s="272"/>
      <c r="M32" s="370"/>
      <c r="N32" s="272"/>
      <c r="O32" s="412"/>
      <c r="P32" s="28"/>
      <c r="Q32" s="389"/>
      <c r="R32" s="386"/>
      <c r="S32" s="385"/>
      <c r="T32" s="387"/>
      <c r="U32" s="388">
        <f t="shared" si="1"/>
        <v>45894</v>
      </c>
      <c r="V32" s="390"/>
      <c r="W32" s="391"/>
      <c r="X32" s="390"/>
      <c r="Y32" s="391"/>
      <c r="Z32" s="54"/>
      <c r="AA32" s="322"/>
      <c r="AB32" s="323"/>
      <c r="AC32" s="481"/>
      <c r="AD32" s="323"/>
      <c r="AE32" s="413"/>
      <c r="AF32" s="414"/>
      <c r="AG32" s="415"/>
      <c r="AH32" s="410"/>
      <c r="AI32" s="411"/>
      <c r="AJ32" s="412"/>
      <c r="AK32" s="411"/>
      <c r="AL32" s="363"/>
      <c r="AM32" s="411"/>
      <c r="AN32" s="389">
        <f t="shared" si="10"/>
        <v>0</v>
      </c>
      <c r="AO32" s="118">
        <f t="shared" si="7"/>
        <v>0</v>
      </c>
      <c r="AP32" s="388">
        <f t="shared" si="8"/>
        <v>45894</v>
      </c>
      <c r="AQ32" s="400"/>
      <c r="AR32" s="400">
        <f t="shared" si="11"/>
        <v>0</v>
      </c>
      <c r="AS32" s="79"/>
      <c r="AT32" s="79"/>
      <c r="AU32" s="79">
        <f t="shared" si="3"/>
        <v>0</v>
      </c>
      <c r="AV32" s="79">
        <f t="shared" si="4"/>
        <v>-2600</v>
      </c>
      <c r="AW32" s="79"/>
      <c r="AX32" s="400"/>
      <c r="AY32" s="400">
        <v>398</v>
      </c>
      <c r="AZ32" s="79"/>
      <c r="BA32" s="79"/>
      <c r="BB32" s="311"/>
      <c r="BC32" s="311">
        <v>180</v>
      </c>
      <c r="BD32" s="86"/>
      <c r="BE32" s="161"/>
    </row>
    <row r="33" spans="2:57">
      <c r="B33" s="541">
        <f t="shared" si="5"/>
        <v>45895</v>
      </c>
      <c r="C33" s="454"/>
      <c r="D33" s="343"/>
      <c r="E33" s="545"/>
      <c r="F33" s="542"/>
      <c r="G33" s="543"/>
      <c r="H33" s="422"/>
      <c r="I33" s="435"/>
      <c r="J33" s="436"/>
      <c r="K33" s="271"/>
      <c r="L33" s="272"/>
      <c r="M33" s="370"/>
      <c r="N33" s="272"/>
      <c r="O33" s="30"/>
      <c r="P33" s="28"/>
      <c r="Q33" s="389"/>
      <c r="R33" s="386"/>
      <c r="S33" s="385"/>
      <c r="T33" s="387"/>
      <c r="U33" s="388">
        <f t="shared" si="1"/>
        <v>45895</v>
      </c>
      <c r="V33" s="390"/>
      <c r="W33" s="391"/>
      <c r="X33" s="390"/>
      <c r="Y33" s="391"/>
      <c r="Z33" s="54"/>
      <c r="AA33" s="322"/>
      <c r="AB33" s="327"/>
      <c r="AC33" s="481"/>
      <c r="AD33" s="323"/>
      <c r="AE33" s="413"/>
      <c r="AF33" s="414"/>
      <c r="AG33" s="415"/>
      <c r="AH33" s="410"/>
      <c r="AI33" s="365"/>
      <c r="AJ33" s="412"/>
      <c r="AK33" s="411"/>
      <c r="AL33" s="363"/>
      <c r="AM33" s="411"/>
      <c r="AN33" s="389">
        <f t="shared" si="10"/>
        <v>0</v>
      </c>
      <c r="AO33" s="118">
        <f t="shared" si="7"/>
        <v>0</v>
      </c>
      <c r="AP33" s="388">
        <f t="shared" si="8"/>
        <v>45895</v>
      </c>
      <c r="AQ33" s="400"/>
      <c r="AR33" s="400">
        <f t="shared" si="11"/>
        <v>0</v>
      </c>
      <c r="AS33" s="79"/>
      <c r="AT33" s="79"/>
      <c r="AU33" s="79">
        <f t="shared" ref="AU33:AU39" si="12">IF(AU32+AI32-BB32&lt;0,0,AU32+AI32-BB32)</f>
        <v>0</v>
      </c>
      <c r="AV33" s="79">
        <f t="shared" ref="AV33:AV39" si="13">AV32+AK32-BC32</f>
        <v>-2780</v>
      </c>
      <c r="AW33" s="79"/>
      <c r="AX33" s="400"/>
      <c r="AY33" s="400">
        <v>290</v>
      </c>
      <c r="AZ33" s="79"/>
      <c r="BA33" s="79"/>
      <c r="BB33" s="79"/>
      <c r="BC33" s="311">
        <v>180</v>
      </c>
      <c r="BD33" s="86"/>
      <c r="BE33" s="161"/>
    </row>
    <row r="34" spans="2:57">
      <c r="B34" s="541">
        <f t="shared" si="5"/>
        <v>45896</v>
      </c>
      <c r="C34" s="454"/>
      <c r="D34" s="343"/>
      <c r="E34" s="545"/>
      <c r="F34" s="542"/>
      <c r="G34" s="543"/>
      <c r="H34" s="422"/>
      <c r="I34" s="435"/>
      <c r="J34" s="436"/>
      <c r="K34" s="271"/>
      <c r="L34" s="272"/>
      <c r="M34" s="370"/>
      <c r="N34" s="272"/>
      <c r="O34" s="30"/>
      <c r="P34" s="28"/>
      <c r="Q34" s="389"/>
      <c r="R34" s="386"/>
      <c r="S34" s="385"/>
      <c r="T34" s="387"/>
      <c r="U34" s="388">
        <f t="shared" si="1"/>
        <v>45896</v>
      </c>
      <c r="V34" s="390"/>
      <c r="W34" s="391"/>
      <c r="X34" s="390"/>
      <c r="Y34" s="391"/>
      <c r="Z34" s="54"/>
      <c r="AA34" s="322"/>
      <c r="AB34" s="327"/>
      <c r="AC34" s="481"/>
      <c r="AD34" s="323"/>
      <c r="AE34" s="413"/>
      <c r="AF34" s="414"/>
      <c r="AG34" s="415"/>
      <c r="AH34" s="410"/>
      <c r="AI34" s="411"/>
      <c r="AJ34" s="412"/>
      <c r="AK34" s="411"/>
      <c r="AL34" s="363"/>
      <c r="AM34" s="411"/>
      <c r="AN34" s="389">
        <f t="shared" si="10"/>
        <v>0</v>
      </c>
      <c r="AO34" s="118">
        <f t="shared" si="7"/>
        <v>0</v>
      </c>
      <c r="AP34" s="388">
        <f t="shared" si="8"/>
        <v>45896</v>
      </c>
      <c r="AQ34" s="400"/>
      <c r="AR34" s="400">
        <f t="shared" si="11"/>
        <v>0</v>
      </c>
      <c r="AS34" s="79"/>
      <c r="AT34" s="79"/>
      <c r="AU34" s="79">
        <f t="shared" si="12"/>
        <v>0</v>
      </c>
      <c r="AV34" s="79">
        <f t="shared" si="13"/>
        <v>-2960</v>
      </c>
      <c r="AW34" s="79"/>
      <c r="AX34" s="400"/>
      <c r="AY34" s="400">
        <v>285</v>
      </c>
      <c r="AZ34" s="79"/>
      <c r="BA34" s="79"/>
      <c r="BB34" s="79"/>
      <c r="BC34" s="311">
        <v>180</v>
      </c>
      <c r="BD34" s="86"/>
      <c r="BE34" s="161"/>
    </row>
    <row r="35" spans="2:57">
      <c r="B35" s="541">
        <f t="shared" si="5"/>
        <v>45897</v>
      </c>
      <c r="C35" s="454"/>
      <c r="D35" s="343"/>
      <c r="E35" s="545"/>
      <c r="F35" s="542"/>
      <c r="G35" s="543"/>
      <c r="H35" s="422"/>
      <c r="I35" s="435"/>
      <c r="J35" s="436"/>
      <c r="K35" s="271"/>
      <c r="L35" s="272"/>
      <c r="M35" s="271"/>
      <c r="N35" s="272"/>
      <c r="O35" s="412"/>
      <c r="P35" s="28"/>
      <c r="Q35" s="389"/>
      <c r="R35" s="386"/>
      <c r="S35" s="385"/>
      <c r="T35" s="387"/>
      <c r="U35" s="388">
        <f t="shared" si="1"/>
        <v>45897</v>
      </c>
      <c r="V35" s="390"/>
      <c r="W35" s="391"/>
      <c r="X35" s="390"/>
      <c r="Y35" s="391"/>
      <c r="Z35" s="54"/>
      <c r="AA35" s="322"/>
      <c r="AB35" s="327"/>
      <c r="AC35" s="481"/>
      <c r="AD35" s="323"/>
      <c r="AE35" s="413"/>
      <c r="AF35" s="414"/>
      <c r="AG35" s="415"/>
      <c r="AH35" s="410"/>
      <c r="AI35" s="411"/>
      <c r="AJ35" s="412"/>
      <c r="AK35" s="411"/>
      <c r="AL35" s="363"/>
      <c r="AM35" s="411"/>
      <c r="AN35" s="389">
        <f t="shared" si="10"/>
        <v>0</v>
      </c>
      <c r="AO35" s="118">
        <f t="shared" si="7"/>
        <v>0</v>
      </c>
      <c r="AP35" s="388">
        <f t="shared" si="8"/>
        <v>45897</v>
      </c>
      <c r="AQ35" s="400"/>
      <c r="AR35" s="400">
        <f t="shared" si="11"/>
        <v>0</v>
      </c>
      <c r="AS35" s="79"/>
      <c r="AT35" s="79"/>
      <c r="AU35" s="79">
        <f t="shared" si="12"/>
        <v>0</v>
      </c>
      <c r="AV35" s="79">
        <f t="shared" si="13"/>
        <v>-3140</v>
      </c>
      <c r="AW35" s="79"/>
      <c r="AX35" s="400"/>
      <c r="AY35" s="400">
        <v>252</v>
      </c>
      <c r="AZ35" s="79"/>
      <c r="BA35" s="79"/>
      <c r="BB35" s="79"/>
      <c r="BC35" s="311">
        <v>180</v>
      </c>
      <c r="BD35" s="86"/>
      <c r="BE35" s="161"/>
    </row>
    <row r="36" spans="2:57">
      <c r="B36" s="314">
        <f t="shared" si="5"/>
        <v>45898</v>
      </c>
      <c r="C36" s="49"/>
      <c r="D36" s="28"/>
      <c r="E36" s="354"/>
      <c r="F36" s="480"/>
      <c r="G36" s="323"/>
      <c r="H36" s="413"/>
      <c r="I36" s="414"/>
      <c r="J36" s="415"/>
      <c r="K36" s="410"/>
      <c r="L36" s="411"/>
      <c r="M36" s="410"/>
      <c r="N36" s="411"/>
      <c r="O36" s="412"/>
      <c r="P36" s="28"/>
      <c r="Q36" s="389"/>
      <c r="R36" s="386"/>
      <c r="S36" s="385"/>
      <c r="T36" s="387"/>
      <c r="U36" s="388">
        <f t="shared" si="1"/>
        <v>45898</v>
      </c>
      <c r="V36" s="390"/>
      <c r="W36" s="391"/>
      <c r="X36" s="390"/>
      <c r="Y36" s="391"/>
      <c r="Z36" s="54"/>
      <c r="AA36" s="322"/>
      <c r="AB36" s="327"/>
      <c r="AC36" s="481"/>
      <c r="AD36" s="323"/>
      <c r="AE36" s="413"/>
      <c r="AF36" s="414"/>
      <c r="AG36" s="415"/>
      <c r="AH36" s="410"/>
      <c r="AI36" s="411"/>
      <c r="AJ36" s="410"/>
      <c r="AK36" s="411"/>
      <c r="AL36" s="363"/>
      <c r="AM36" s="411"/>
      <c r="AN36" s="389">
        <f t="shared" si="10"/>
        <v>0</v>
      </c>
      <c r="AO36" s="118">
        <f t="shared" si="7"/>
        <v>0</v>
      </c>
      <c r="AP36" s="388">
        <f t="shared" si="8"/>
        <v>45898</v>
      </c>
      <c r="AQ36" s="400"/>
      <c r="AR36" s="400">
        <f t="shared" si="11"/>
        <v>0</v>
      </c>
      <c r="AS36" s="79"/>
      <c r="AT36" s="79"/>
      <c r="AU36" s="79">
        <f t="shared" si="12"/>
        <v>0</v>
      </c>
      <c r="AV36" s="79">
        <f t="shared" si="13"/>
        <v>-3320</v>
      </c>
      <c r="AW36" s="79"/>
      <c r="AX36" s="400"/>
      <c r="AY36" s="400">
        <v>243</v>
      </c>
      <c r="AZ36" s="79"/>
      <c r="BA36" s="79"/>
      <c r="BB36" s="79"/>
      <c r="BC36" s="311">
        <v>180</v>
      </c>
      <c r="BD36" s="86"/>
      <c r="BE36" s="161"/>
    </row>
    <row r="37" spans="2:57">
      <c r="B37" s="314">
        <f t="shared" si="5"/>
        <v>45899</v>
      </c>
      <c r="C37" s="49"/>
      <c r="D37" s="28"/>
      <c r="E37" s="354"/>
      <c r="F37" s="480"/>
      <c r="G37" s="323"/>
      <c r="H37" s="413"/>
      <c r="I37" s="414"/>
      <c r="J37" s="415"/>
      <c r="K37" s="410"/>
      <c r="L37" s="411"/>
      <c r="M37" s="410"/>
      <c r="N37" s="411"/>
      <c r="O37" s="412"/>
      <c r="P37" s="28"/>
      <c r="Q37" s="389">
        <f t="shared" ref="Q37:Q38" si="14">P37+N37+L37+J37+H37+F37+D37</f>
        <v>0</v>
      </c>
      <c r="R37" s="386"/>
      <c r="S37" s="385"/>
      <c r="T37" s="387"/>
      <c r="U37" s="388">
        <f t="shared" ref="U37:U38" si="15">B37</f>
        <v>45899</v>
      </c>
      <c r="V37" s="390"/>
      <c r="W37" s="391"/>
      <c r="X37" s="390"/>
      <c r="Y37" s="391"/>
      <c r="Z37" s="54"/>
      <c r="AA37" s="322"/>
      <c r="AB37" s="327"/>
      <c r="AC37" s="481"/>
      <c r="AD37" s="323"/>
      <c r="AE37" s="413"/>
      <c r="AF37" s="414"/>
      <c r="AG37" s="415"/>
      <c r="AH37" s="410"/>
      <c r="AI37" s="411"/>
      <c r="AJ37" s="410"/>
      <c r="AK37" s="411"/>
      <c r="AL37" s="363"/>
      <c r="AM37" s="411"/>
      <c r="AN37" s="389">
        <f t="shared" si="10"/>
        <v>0</v>
      </c>
      <c r="AO37" s="118">
        <f t="shared" si="7"/>
        <v>0</v>
      </c>
      <c r="AP37" s="87">
        <f t="shared" si="8"/>
        <v>45899</v>
      </c>
      <c r="AQ37" s="310"/>
      <c r="AR37" s="310">
        <f t="shared" si="11"/>
        <v>0</v>
      </c>
      <c r="AS37" s="311"/>
      <c r="AT37" s="311"/>
      <c r="AU37" s="311">
        <f t="shared" si="12"/>
        <v>0</v>
      </c>
      <c r="AV37" s="311">
        <f t="shared" si="13"/>
        <v>-3500</v>
      </c>
      <c r="AW37" s="311"/>
      <c r="AX37" s="310"/>
      <c r="AY37" s="310">
        <v>185.5</v>
      </c>
      <c r="AZ37" s="311"/>
      <c r="BA37" s="311"/>
      <c r="BB37" s="79"/>
      <c r="BC37" s="311">
        <v>180</v>
      </c>
      <c r="BD37" s="86"/>
      <c r="BE37" s="161"/>
    </row>
    <row r="38" spans="2:57" ht="15" thickBot="1">
      <c r="B38" s="330">
        <f t="shared" si="5"/>
        <v>45900</v>
      </c>
      <c r="C38" s="119"/>
      <c r="D38" s="56"/>
      <c r="E38" s="120"/>
      <c r="F38" s="485"/>
      <c r="G38" s="483"/>
      <c r="H38" s="58"/>
      <c r="I38" s="59"/>
      <c r="J38" s="60"/>
      <c r="K38" s="61"/>
      <c r="L38" s="62"/>
      <c r="M38" s="62"/>
      <c r="N38" s="62"/>
      <c r="O38" s="57"/>
      <c r="P38" s="56"/>
      <c r="Q38" s="126">
        <f t="shared" si="14"/>
        <v>0</v>
      </c>
      <c r="R38" s="386"/>
      <c r="S38" s="385"/>
      <c r="T38" s="387"/>
      <c r="U38" s="388">
        <f t="shared" si="15"/>
        <v>45900</v>
      </c>
      <c r="V38" s="390"/>
      <c r="W38" s="391"/>
      <c r="X38" s="390"/>
      <c r="Y38" s="391"/>
      <c r="Z38" s="54"/>
      <c r="AA38" s="322"/>
      <c r="AB38" s="327"/>
      <c r="AC38" s="481"/>
      <c r="AD38" s="483"/>
      <c r="AE38" s="58"/>
      <c r="AF38" s="59"/>
      <c r="AG38" s="60"/>
      <c r="AH38" s="61"/>
      <c r="AI38" s="62"/>
      <c r="AJ38" s="410"/>
      <c r="AK38" s="62"/>
      <c r="AL38" s="324"/>
      <c r="AM38" s="325"/>
      <c r="AN38" s="326">
        <f t="shared" ref="AN38" si="16">AM38+AK38+AI38+AG38+AE38+AC38+AA38+Y38+W38</f>
        <v>0</v>
      </c>
      <c r="AO38" s="118">
        <f t="shared" si="7"/>
        <v>0</v>
      </c>
      <c r="AP38" s="87">
        <f t="shared" si="8"/>
        <v>45900</v>
      </c>
      <c r="AQ38" s="310"/>
      <c r="AR38" s="310">
        <f t="shared" si="11"/>
        <v>0</v>
      </c>
      <c r="AS38" s="311"/>
      <c r="AT38" s="311"/>
      <c r="AU38" s="311">
        <f t="shared" si="12"/>
        <v>0</v>
      </c>
      <c r="AV38" s="311">
        <f t="shared" si="13"/>
        <v>-3680</v>
      </c>
      <c r="AW38" s="311"/>
      <c r="AX38" s="371"/>
      <c r="AY38" s="310"/>
      <c r="AZ38" s="311"/>
      <c r="BA38" s="311"/>
      <c r="BB38" s="79"/>
      <c r="BC38" s="311"/>
      <c r="BD38" s="86"/>
      <c r="BE38" s="161"/>
    </row>
    <row r="39" spans="2:57" ht="15" thickBot="1">
      <c r="B39" s="67" t="s">
        <v>78</v>
      </c>
      <c r="C39" s="315"/>
      <c r="D39" s="158">
        <f>SUM(D8:D38)</f>
        <v>0</v>
      </c>
      <c r="E39" s="158"/>
      <c r="F39" s="158">
        <f>SUM(F8:F38)</f>
        <v>0</v>
      </c>
      <c r="G39" s="158"/>
      <c r="H39" s="158">
        <f>SUM(H8:H38)</f>
        <v>0</v>
      </c>
      <c r="I39" s="158"/>
      <c r="J39" s="158">
        <f>SUM(J8:J38)</f>
        <v>0</v>
      </c>
      <c r="K39" s="158"/>
      <c r="L39" s="158">
        <f>SUM(L8:L38)</f>
        <v>0</v>
      </c>
      <c r="M39" s="158"/>
      <c r="N39" s="158">
        <f>SUM(N8:N38)</f>
        <v>1076</v>
      </c>
      <c r="O39" s="158"/>
      <c r="P39" s="158">
        <f>SUM(P8:P38)</f>
        <v>0</v>
      </c>
      <c r="Q39" s="159">
        <f>SUM(Q8:Q38)</f>
        <v>1076</v>
      </c>
      <c r="R39" s="88"/>
      <c r="S39" s="89"/>
      <c r="T39" s="90"/>
      <c r="U39" s="97" t="s">
        <v>78</v>
      </c>
      <c r="V39" s="98"/>
      <c r="W39" s="71">
        <f>SUM(W8:W38)</f>
        <v>0</v>
      </c>
      <c r="X39" s="98"/>
      <c r="Y39" s="71">
        <f>SUM(Y8:Y38)</f>
        <v>0</v>
      </c>
      <c r="Z39" s="69"/>
      <c r="AA39" s="70">
        <f>SUM(AA8:AA38)</f>
        <v>0</v>
      </c>
      <c r="AB39" s="70"/>
      <c r="AC39" s="70">
        <f>SUM(AC8:AC38)</f>
        <v>0</v>
      </c>
      <c r="AD39" s="70"/>
      <c r="AE39" s="70">
        <f>SUM(AE8:AE38)</f>
        <v>0</v>
      </c>
      <c r="AF39" s="70"/>
      <c r="AG39" s="70">
        <f>SUM(AG8:AG38)</f>
        <v>0</v>
      </c>
      <c r="AH39" s="70"/>
      <c r="AI39" s="70">
        <f>SUM(AI8:AI38)</f>
        <v>0</v>
      </c>
      <c r="AJ39" s="70"/>
      <c r="AK39" s="70">
        <f>SUM(AK8:AK38)</f>
        <v>973</v>
      </c>
      <c r="AL39" s="70"/>
      <c r="AM39" s="70">
        <f>SUM(AM8:AM38)</f>
        <v>0</v>
      </c>
      <c r="AN39" s="71">
        <f>SUM(AN8:AN38)</f>
        <v>973</v>
      </c>
      <c r="AO39" s="102"/>
      <c r="AP39" s="102"/>
      <c r="AQ39" s="80"/>
      <c r="AR39" s="79">
        <f t="shared" si="11"/>
        <v>0</v>
      </c>
      <c r="AS39" s="79"/>
      <c r="AT39" s="79"/>
      <c r="AU39" s="79">
        <f t="shared" si="12"/>
        <v>0</v>
      </c>
      <c r="AV39" s="79">
        <f t="shared" si="13"/>
        <v>-3680</v>
      </c>
      <c r="AW39" s="82"/>
      <c r="AX39" s="361">
        <f>SUM(AX8:AX38)</f>
        <v>0</v>
      </c>
      <c r="AY39" s="362">
        <f t="shared" ref="AY39:BD39" si="17">SUM(AY8:AY38)</f>
        <v>7042.5</v>
      </c>
      <c r="AZ39" s="362">
        <f t="shared" si="17"/>
        <v>0</v>
      </c>
      <c r="BA39" s="362">
        <f t="shared" si="17"/>
        <v>0</v>
      </c>
      <c r="BB39" s="362">
        <f>SUM(BB8:BB38)</f>
        <v>0</v>
      </c>
      <c r="BC39" s="362">
        <f>SUM(BC8:BC38)</f>
        <v>4680</v>
      </c>
      <c r="BD39" s="104">
        <f t="shared" si="17"/>
        <v>0</v>
      </c>
      <c r="BE39" s="162"/>
    </row>
    <row r="40" spans="2:57">
      <c r="B40" s="65" t="s">
        <v>79</v>
      </c>
      <c r="C40" s="72"/>
      <c r="D40" s="73">
        <v>24664</v>
      </c>
      <c r="E40" s="73"/>
      <c r="F40" s="73">
        <f>NOMINACIÓN!D29</f>
        <v>0</v>
      </c>
      <c r="G40" s="73"/>
      <c r="H40" s="73">
        <f>NOMINACIÓN!E29</f>
        <v>0</v>
      </c>
      <c r="I40" s="73"/>
      <c r="J40" s="73">
        <v>0</v>
      </c>
      <c r="K40" s="73"/>
      <c r="L40" s="73">
        <f>NOMINACIÓN!G29</f>
        <v>0</v>
      </c>
      <c r="M40" s="73"/>
      <c r="N40" s="73">
        <f>NOMINACIÓN!H10</f>
        <v>4840</v>
      </c>
      <c r="O40" s="73"/>
      <c r="P40" s="73">
        <v>5000</v>
      </c>
      <c r="Q40" s="75">
        <f>F40+H40+L40</f>
        <v>0</v>
      </c>
      <c r="R40" s="91"/>
      <c r="S40" s="92"/>
      <c r="T40" s="93"/>
      <c r="U40" s="65" t="s">
        <v>79</v>
      </c>
      <c r="V40" s="99"/>
      <c r="W40" s="100">
        <f>NOMINACIÓN!G8</f>
        <v>0</v>
      </c>
      <c r="X40" s="99"/>
      <c r="Y40" s="100">
        <f>NOMINACIÓN!G9</f>
        <v>0</v>
      </c>
      <c r="Z40" s="72"/>
      <c r="AA40" s="73"/>
      <c r="AB40" s="73"/>
      <c r="AC40" s="73">
        <f>NOMINACIÓN!D30</f>
        <v>0</v>
      </c>
      <c r="AD40" s="73"/>
      <c r="AE40" s="73">
        <f>NOMINACIÓN!E10</f>
        <v>0</v>
      </c>
      <c r="AF40" s="73"/>
      <c r="AG40" s="73">
        <f>J40</f>
        <v>0</v>
      </c>
      <c r="AH40" s="73"/>
      <c r="AI40" s="73">
        <f>NOMINACIÓN!G30</f>
        <v>0</v>
      </c>
      <c r="AJ40" s="73"/>
      <c r="AK40" s="73">
        <f>N40</f>
        <v>4840</v>
      </c>
      <c r="AL40" s="73"/>
      <c r="AM40" s="73">
        <f>P40</f>
        <v>5000</v>
      </c>
      <c r="AN40" s="75">
        <f>AC40+AE40+AK40</f>
        <v>4840</v>
      </c>
      <c r="AO40" s="103"/>
      <c r="AP40" s="103"/>
      <c r="AQ40" s="127"/>
      <c r="AR40" s="128"/>
      <c r="AS40" s="128"/>
      <c r="AT40" s="128"/>
      <c r="AU40" s="128"/>
      <c r="AV40" s="128"/>
      <c r="AW40" s="129"/>
      <c r="AX40" s="157">
        <f>AA39</f>
        <v>0</v>
      </c>
      <c r="AY40" s="158">
        <f>AC39</f>
        <v>0</v>
      </c>
      <c r="AZ40" s="158">
        <f>AE39</f>
        <v>0</v>
      </c>
      <c r="BA40" s="158">
        <f>AG39</f>
        <v>0</v>
      </c>
      <c r="BB40" s="158">
        <f>AI39</f>
        <v>0</v>
      </c>
      <c r="BC40" s="359">
        <f>AK39</f>
        <v>973</v>
      </c>
      <c r="BD40" s="360">
        <f>AM39</f>
        <v>0</v>
      </c>
    </row>
    <row r="41" spans="2:57" ht="15" thickBot="1">
      <c r="B41" s="66" t="s">
        <v>80</v>
      </c>
      <c r="C41" s="74"/>
      <c r="D41" s="76">
        <f>D39-D40</f>
        <v>-24664</v>
      </c>
      <c r="E41" s="76"/>
      <c r="F41" s="76">
        <f>F39-F40</f>
        <v>0</v>
      </c>
      <c r="G41" s="76"/>
      <c r="H41" s="76">
        <f>H39-H40</f>
        <v>0</v>
      </c>
      <c r="I41" s="76"/>
      <c r="J41" s="76">
        <f>J39-J40</f>
        <v>0</v>
      </c>
      <c r="K41" s="76"/>
      <c r="L41" s="76">
        <f>L39-L40</f>
        <v>0</v>
      </c>
      <c r="M41" s="76"/>
      <c r="N41" s="76">
        <f>N39-N40</f>
        <v>-3764</v>
      </c>
      <c r="O41" s="76"/>
      <c r="P41" s="76">
        <f>P39-P40</f>
        <v>-5000</v>
      </c>
      <c r="Q41" s="77">
        <f>Q39-Q40</f>
        <v>1076</v>
      </c>
      <c r="R41" s="94"/>
      <c r="S41" s="95"/>
      <c r="T41" s="96"/>
      <c r="U41" s="66" t="s">
        <v>80</v>
      </c>
      <c r="V41" s="101"/>
      <c r="W41" s="77">
        <f>W39-W40</f>
        <v>0</v>
      </c>
      <c r="X41" s="101"/>
      <c r="Y41" s="77">
        <f>Y39-Y40</f>
        <v>0</v>
      </c>
      <c r="Z41" s="78"/>
      <c r="AA41" s="76">
        <f>AA39-AA40</f>
        <v>0</v>
      </c>
      <c r="AB41" s="76"/>
      <c r="AC41" s="76">
        <f>AC39-AC40</f>
        <v>0</v>
      </c>
      <c r="AD41" s="76"/>
      <c r="AE41" s="76">
        <f>AE39-AE40</f>
        <v>0</v>
      </c>
      <c r="AF41" s="76"/>
      <c r="AG41" s="76">
        <f>AG39-AG40</f>
        <v>0</v>
      </c>
      <c r="AH41" s="76"/>
      <c r="AI41" s="76">
        <f>AI39-AI40</f>
        <v>0</v>
      </c>
      <c r="AJ41" s="76"/>
      <c r="AK41" s="76">
        <f>AK39-AK40</f>
        <v>-3867</v>
      </c>
      <c r="AL41" s="76"/>
      <c r="AM41" s="76">
        <f>AM39-AM40</f>
        <v>-5000</v>
      </c>
      <c r="AN41" s="77">
        <f>AN39-AN40</f>
        <v>-3867</v>
      </c>
      <c r="AO41" s="104"/>
      <c r="AP41" s="104"/>
      <c r="AQ41" s="130"/>
      <c r="AR41" s="131"/>
      <c r="AS41" s="131"/>
      <c r="AT41" s="131"/>
      <c r="AU41" s="131"/>
      <c r="AV41" s="131"/>
      <c r="AW41" s="132"/>
      <c r="AX41" s="78">
        <f t="shared" ref="AX41:BD41" si="18">AX39-AX40</f>
        <v>0</v>
      </c>
      <c r="AY41" s="76">
        <f t="shared" si="18"/>
        <v>7042.5</v>
      </c>
      <c r="AZ41" s="76">
        <f t="shared" si="18"/>
        <v>0</v>
      </c>
      <c r="BA41" s="76">
        <f t="shared" si="18"/>
        <v>0</v>
      </c>
      <c r="BB41" s="76">
        <f t="shared" si="18"/>
        <v>0</v>
      </c>
      <c r="BC41" s="76">
        <f t="shared" si="18"/>
        <v>3707</v>
      </c>
      <c r="BD41" s="77">
        <f t="shared" si="18"/>
        <v>0</v>
      </c>
    </row>
    <row r="42" spans="2:57" ht="26.7" customHeight="1">
      <c r="B42" s="1"/>
      <c r="C42" s="31"/>
      <c r="D42" s="1"/>
      <c r="E42" s="1"/>
      <c r="F42" s="2"/>
      <c r="G42" s="2"/>
      <c r="H42" s="2"/>
      <c r="I42" s="32"/>
      <c r="J42" s="32"/>
      <c r="K42" s="32"/>
      <c r="L42" s="32"/>
      <c r="M42" s="32"/>
      <c r="N42" s="32"/>
      <c r="O42" s="32"/>
      <c r="P42" s="2"/>
      <c r="Q42" s="3"/>
      <c r="R42" s="3"/>
      <c r="S42" s="3"/>
      <c r="T42" s="3"/>
      <c r="U42" s="33"/>
      <c r="V42" s="33"/>
      <c r="W42" s="33"/>
      <c r="X42" s="33"/>
      <c r="Y42" s="33"/>
      <c r="Z42" s="34"/>
      <c r="AA42" s="34"/>
      <c r="AB42" s="33"/>
      <c r="AC42" s="34"/>
      <c r="AD42" s="33"/>
      <c r="AE42" s="33"/>
      <c r="AF42" s="35"/>
      <c r="AG42" s="35"/>
      <c r="AH42" s="35"/>
      <c r="AI42" s="35"/>
      <c r="AJ42" s="35"/>
      <c r="AK42" s="35"/>
      <c r="AL42" s="35"/>
      <c r="AM42" s="34"/>
      <c r="AN42" s="34"/>
      <c r="AO42" s="34"/>
      <c r="AP42" s="7"/>
      <c r="AQ42" s="9"/>
      <c r="AR42" s="9"/>
      <c r="AS42" s="9"/>
      <c r="AT42" s="5"/>
      <c r="AU42" s="5"/>
      <c r="AV42" s="5"/>
      <c r="AW42" s="10"/>
      <c r="AX42" s="5"/>
      <c r="AY42" s="5"/>
      <c r="AZ42" s="5"/>
      <c r="BA42" s="5"/>
      <c r="BB42" s="5"/>
      <c r="BC42" s="5"/>
      <c r="BD42" s="5"/>
    </row>
    <row r="43" spans="2:57">
      <c r="B43" s="36"/>
      <c r="C43" s="37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9"/>
      <c r="Q43" s="39"/>
      <c r="R43" s="39"/>
      <c r="S43" s="39"/>
      <c r="T43" s="39"/>
      <c r="U43" s="34"/>
      <c r="V43" s="34"/>
      <c r="W43" s="34"/>
      <c r="X43" s="34"/>
      <c r="Y43" s="34"/>
      <c r="Z43" s="34"/>
      <c r="AA43" s="33"/>
      <c r="AB43" s="33"/>
      <c r="AC43" s="33"/>
      <c r="AD43" s="35"/>
      <c r="AE43" s="35"/>
      <c r="AF43" s="35"/>
      <c r="AG43" s="35"/>
      <c r="AH43" s="35"/>
      <c r="AI43" s="35"/>
      <c r="AJ43" s="35"/>
      <c r="AK43" s="35"/>
      <c r="AL43" s="35"/>
      <c r="AM43" s="33"/>
      <c r="AN43" s="33"/>
      <c r="AO43" s="33"/>
      <c r="AP43" s="38"/>
      <c r="AQ43" s="40"/>
      <c r="AR43" s="40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</row>
    <row r="44" spans="2:57">
      <c r="B44" s="11"/>
      <c r="C44" s="44"/>
      <c r="D44" s="2"/>
      <c r="E44" s="2"/>
      <c r="F44" s="44" t="s">
        <v>81</v>
      </c>
      <c r="G44" s="44" t="s">
        <v>81</v>
      </c>
      <c r="H44" s="2"/>
      <c r="I44" s="42"/>
      <c r="J44" s="2"/>
      <c r="K44" s="2"/>
      <c r="L44" s="42"/>
      <c r="M44" s="2"/>
      <c r="N44" s="2"/>
      <c r="O44" s="2"/>
      <c r="P44" s="2"/>
      <c r="Q44" s="2"/>
      <c r="R44" s="42"/>
      <c r="S44" s="2"/>
      <c r="T44" s="43"/>
      <c r="U44" s="42" t="s">
        <v>82</v>
      </c>
      <c r="V44" s="42"/>
      <c r="W44" s="2"/>
      <c r="X44" s="42"/>
      <c r="Y44" s="42"/>
      <c r="Z44" s="42"/>
      <c r="AA44" s="33"/>
      <c r="AB44" s="42"/>
      <c r="AC44" s="33"/>
      <c r="AD44" s="43"/>
      <c r="AE44" s="43"/>
      <c r="AF44" s="43"/>
      <c r="AG44" s="43"/>
      <c r="AH44" s="33"/>
      <c r="AI44" s="43"/>
      <c r="AJ44" s="43"/>
      <c r="AK44" s="43"/>
      <c r="AL44" s="34"/>
      <c r="AM44" s="13"/>
      <c r="AN44" s="45"/>
      <c r="AO44" s="45"/>
      <c r="AP44" s="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</row>
    <row r="45" spans="2:57">
      <c r="B45" s="5"/>
      <c r="C45" s="46"/>
      <c r="D45" s="2"/>
      <c r="E45" s="2"/>
      <c r="F45" s="46" t="s">
        <v>84</v>
      </c>
      <c r="G45" s="46" t="s">
        <v>84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 t="s">
        <v>85</v>
      </c>
      <c r="V45" s="2"/>
      <c r="W45" s="2"/>
      <c r="X45" s="21"/>
      <c r="Y45" s="21"/>
      <c r="Z45" s="2"/>
      <c r="AA45" s="47"/>
      <c r="AB45" s="2"/>
      <c r="AC45" s="47" t="s">
        <v>119</v>
      </c>
      <c r="AD45" s="47"/>
      <c r="AE45" s="47"/>
      <c r="AF45" s="47"/>
      <c r="AG45" s="48" t="s">
        <v>87</v>
      </c>
      <c r="AH45" s="47"/>
      <c r="AI45" s="21"/>
      <c r="AJ45" s="21"/>
      <c r="AK45" s="21"/>
      <c r="AL45" s="48"/>
      <c r="AM45" s="5"/>
      <c r="AN45" s="5"/>
      <c r="AO45" s="5"/>
      <c r="AP45" s="5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</row>
    <row r="46" spans="2:57">
      <c r="B46" s="5"/>
      <c r="C46" s="46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1"/>
      <c r="Y46" s="21"/>
      <c r="Z46" s="2"/>
      <c r="AA46" s="47"/>
      <c r="AB46" s="21"/>
      <c r="AC46" s="47"/>
      <c r="AD46" s="47"/>
      <c r="AE46" s="47"/>
      <c r="AF46" s="47"/>
      <c r="AG46" s="21"/>
      <c r="AH46" s="21"/>
      <c r="AI46" s="21"/>
      <c r="AJ46" s="21"/>
      <c r="AK46" s="21"/>
      <c r="AL46" s="48"/>
      <c r="AM46" s="5"/>
      <c r="AN46" s="5"/>
      <c r="AO46" s="5"/>
      <c r="AP46" s="5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</row>
    <row r="47" spans="2:57">
      <c r="AX47" s="51"/>
    </row>
    <row r="1048576" spans="5:5">
      <c r="E1048576" s="410"/>
    </row>
  </sheetData>
  <mergeCells count="31">
    <mergeCell ref="G3:H3"/>
    <mergeCell ref="B5:B7"/>
    <mergeCell ref="C5:Q5"/>
    <mergeCell ref="R5:T5"/>
    <mergeCell ref="U5:U7"/>
    <mergeCell ref="M6:N6"/>
    <mergeCell ref="O6:P6"/>
    <mergeCell ref="Q6:Q7"/>
    <mergeCell ref="L3:M3"/>
    <mergeCell ref="AO5:AO7"/>
    <mergeCell ref="AP5:AP7"/>
    <mergeCell ref="AQ5:AW6"/>
    <mergeCell ref="AX5:BD6"/>
    <mergeCell ref="C6:D6"/>
    <mergeCell ref="E6:F6"/>
    <mergeCell ref="G6:H6"/>
    <mergeCell ref="I6:J6"/>
    <mergeCell ref="K6:L6"/>
    <mergeCell ref="X5:Y5"/>
    <mergeCell ref="X6:Y6"/>
    <mergeCell ref="AL6:AM6"/>
    <mergeCell ref="AN6:AN7"/>
    <mergeCell ref="V5:W5"/>
    <mergeCell ref="V6:W6"/>
    <mergeCell ref="Z6:AA6"/>
    <mergeCell ref="Z5:AN5"/>
    <mergeCell ref="AB6:AC6"/>
    <mergeCell ref="AD6:AE6"/>
    <mergeCell ref="AF6:AG6"/>
    <mergeCell ref="AH6:AI6"/>
    <mergeCell ref="AJ6:AK6"/>
  </mergeCells>
  <conditionalFormatting sqref="AW4">
    <cfRule type="cellIs" dxfId="23" priority="13" stopIfTrue="1" operator="lessThan">
      <formula>100</formula>
    </cfRule>
    <cfRule type="cellIs" dxfId="22" priority="14" stopIfTrue="1" operator="between">
      <formula>100</formula>
      <formula>2070</formula>
    </cfRule>
    <cfRule type="cellIs" dxfId="21" priority="15" stopIfTrue="1" operator="greaterThan">
      <formula>2070</formula>
    </cfRule>
  </conditionalFormatting>
  <conditionalFormatting sqref="AQ4:AS4">
    <cfRule type="cellIs" dxfId="20" priority="10" stopIfTrue="1" operator="greaterThan">
      <formula>573</formula>
    </cfRule>
    <cfRule type="cellIs" dxfId="19" priority="11" stopIfTrue="1" operator="lessThan">
      <formula>30</formula>
    </cfRule>
    <cfRule type="cellIs" dxfId="18" priority="12" stopIfTrue="1" operator="between">
      <formula>30</formula>
      <formula>573</formula>
    </cfRule>
  </conditionalFormatting>
  <conditionalFormatting sqref="AT4:AV4">
    <cfRule type="cellIs" dxfId="17" priority="7" stopIfTrue="1" operator="between">
      <formula>100</formula>
      <formula>1280</formula>
    </cfRule>
    <cfRule type="cellIs" dxfId="16" priority="8" stopIfTrue="1" operator="greaterThan">
      <formula>1280</formula>
    </cfRule>
    <cfRule type="cellIs" dxfId="15" priority="9" stopIfTrue="1" operator="lessThan">
      <formula>100</formula>
    </cfRule>
  </conditionalFormatting>
  <conditionalFormatting sqref="AW40:AW41">
    <cfRule type="cellIs" dxfId="14" priority="4" stopIfTrue="1" operator="between">
      <formula>55</formula>
      <formula>1468</formula>
    </cfRule>
    <cfRule type="cellIs" dxfId="13" priority="5" stopIfTrue="1" operator="greaterThan">
      <formula>1775</formula>
    </cfRule>
    <cfRule type="cellIs" dxfId="12" priority="6" stopIfTrue="1" operator="lessThan">
      <formula>55</formula>
    </cfRule>
  </conditionalFormatting>
  <conditionalFormatting sqref="AT40:AV41">
    <cfRule type="cellIs" dxfId="11" priority="1" stopIfTrue="1" operator="between">
      <formula>55</formula>
      <formula>1004</formula>
    </cfRule>
    <cfRule type="cellIs" dxfId="10" priority="2" stopIfTrue="1" operator="greaterThan">
      <formula>1468</formula>
    </cfRule>
    <cfRule type="cellIs" dxfId="9" priority="3" stopIfTrue="1" operator="lessThan">
      <formula>55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7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M40"/>
  <sheetViews>
    <sheetView topLeftCell="A19" zoomScale="90" zoomScaleNormal="90" workbookViewId="0">
      <selection activeCell="I34" sqref="I34"/>
    </sheetView>
  </sheetViews>
  <sheetFormatPr baseColWidth="10" defaultColWidth="11.44140625" defaultRowHeight="14.4"/>
  <cols>
    <col min="2" max="9" width="10.88671875" customWidth="1"/>
    <col min="11" max="11" width="11.33203125" bestFit="1" customWidth="1"/>
  </cols>
  <sheetData>
    <row r="1" spans="1:13" ht="15" thickBot="1"/>
    <row r="2" spans="1:13">
      <c r="A2" s="634" t="s">
        <v>120</v>
      </c>
      <c r="B2" s="635"/>
      <c r="C2" s="635"/>
      <c r="D2" s="635"/>
      <c r="E2" s="635"/>
      <c r="F2" s="635"/>
      <c r="G2" s="635"/>
      <c r="H2" s="635"/>
      <c r="I2" s="636"/>
      <c r="J2" s="631" t="s">
        <v>121</v>
      </c>
      <c r="K2" s="208"/>
    </row>
    <row r="3" spans="1:13">
      <c r="A3" s="623" t="s">
        <v>122</v>
      </c>
      <c r="B3" s="625" t="s">
        <v>123</v>
      </c>
      <c r="C3" s="626"/>
      <c r="D3" s="626"/>
      <c r="E3" s="627"/>
      <c r="F3" s="628" t="s">
        <v>124</v>
      </c>
      <c r="G3" s="629"/>
      <c r="H3" s="630"/>
      <c r="I3" s="213" t="s">
        <v>106</v>
      </c>
      <c r="J3" s="632"/>
      <c r="K3" s="208"/>
    </row>
    <row r="4" spans="1:13" ht="15" thickBot="1">
      <c r="A4" s="624"/>
      <c r="B4" s="214" t="s">
        <v>125</v>
      </c>
      <c r="C4" s="214" t="s">
        <v>126</v>
      </c>
      <c r="D4" s="215" t="s">
        <v>127</v>
      </c>
      <c r="E4" s="215" t="s">
        <v>72</v>
      </c>
      <c r="F4" s="216" t="s">
        <v>128</v>
      </c>
      <c r="G4" s="216" t="s">
        <v>129</v>
      </c>
      <c r="H4" s="214" t="s">
        <v>130</v>
      </c>
      <c r="I4" s="217"/>
      <c r="J4" s="633"/>
      <c r="K4" s="208"/>
    </row>
    <row r="5" spans="1:13" ht="15" thickBot="1"/>
    <row r="6" spans="1:13">
      <c r="A6" s="456">
        <v>45870</v>
      </c>
      <c r="B6" s="546">
        <f t="shared" ref="B6:B36" si="0">J6*159/1000</f>
        <v>0</v>
      </c>
      <c r="C6" s="547"/>
      <c r="D6" s="547"/>
      <c r="E6" s="547">
        <f t="shared" ref="E6:E36" si="1">SUM(B6:D6)</f>
        <v>0</v>
      </c>
      <c r="F6" s="547">
        <f>'PCOLP I'!D8</f>
        <v>1564</v>
      </c>
      <c r="G6" s="547">
        <f>'PCOLP II'!D8</f>
        <v>0</v>
      </c>
      <c r="H6" s="547">
        <f t="shared" ref="H6:H35" si="2">SUM(F6:G6)</f>
        <v>1564</v>
      </c>
      <c r="I6" s="547">
        <v>2266</v>
      </c>
      <c r="J6" s="208">
        <v>0</v>
      </c>
      <c r="K6" s="208">
        <f>L6+M6</f>
        <v>0</v>
      </c>
      <c r="L6" s="51"/>
      <c r="M6" s="51"/>
    </row>
    <row r="7" spans="1:13">
      <c r="A7" s="393">
        <f t="shared" ref="A7:A36" si="3">A6+1</f>
        <v>45871</v>
      </c>
      <c r="B7" s="546">
        <f t="shared" si="0"/>
        <v>0</v>
      </c>
      <c r="C7" s="546"/>
      <c r="D7" s="546">
        <v>-250</v>
      </c>
      <c r="E7" s="546">
        <f t="shared" si="1"/>
        <v>-250</v>
      </c>
      <c r="F7" s="546">
        <f>'PCOLP I'!D9</f>
        <v>392</v>
      </c>
      <c r="G7" s="546">
        <f>'PCOLP II'!D9</f>
        <v>0</v>
      </c>
      <c r="H7" s="546">
        <f t="shared" si="2"/>
        <v>392</v>
      </c>
      <c r="I7" s="546">
        <f t="shared" ref="I7:I37" si="4">IF(I6+E6-H6&lt;0,0,I6+E6-H6)</f>
        <v>702</v>
      </c>
      <c r="J7" s="208">
        <v>0</v>
      </c>
      <c r="K7" s="208">
        <f t="shared" ref="K7:K29" si="5">L7+M7</f>
        <v>0</v>
      </c>
      <c r="L7" s="51"/>
      <c r="M7" s="51"/>
    </row>
    <row r="8" spans="1:13">
      <c r="A8" s="393">
        <f t="shared" si="3"/>
        <v>45872</v>
      </c>
      <c r="B8" s="546">
        <f t="shared" si="0"/>
        <v>0</v>
      </c>
      <c r="C8" s="546"/>
      <c r="D8" s="546"/>
      <c r="E8" s="546">
        <f t="shared" si="1"/>
        <v>0</v>
      </c>
      <c r="F8" s="546">
        <f>'PCOLP I'!D10</f>
        <v>0</v>
      </c>
      <c r="G8" s="546">
        <f>'PCOLP II'!D10</f>
        <v>0</v>
      </c>
      <c r="H8" s="546">
        <f t="shared" si="2"/>
        <v>0</v>
      </c>
      <c r="I8" s="546">
        <v>0</v>
      </c>
      <c r="J8" s="208">
        <v>0</v>
      </c>
      <c r="K8" s="208">
        <f t="shared" si="5"/>
        <v>0</v>
      </c>
      <c r="L8" s="51"/>
      <c r="M8" s="51"/>
    </row>
    <row r="9" spans="1:13">
      <c r="A9" s="393">
        <f t="shared" si="3"/>
        <v>45873</v>
      </c>
      <c r="B9" s="546">
        <f t="shared" si="0"/>
        <v>0</v>
      </c>
      <c r="C9" s="546"/>
      <c r="D9" s="546"/>
      <c r="E9" s="546">
        <f t="shared" si="1"/>
        <v>0</v>
      </c>
      <c r="F9" s="546">
        <f>'PCOLP I'!D11</f>
        <v>0</v>
      </c>
      <c r="G9" s="546">
        <f>'PCOLP II'!D11</f>
        <v>0</v>
      </c>
      <c r="H9" s="546">
        <f t="shared" si="2"/>
        <v>0</v>
      </c>
      <c r="I9" s="546">
        <f t="shared" si="4"/>
        <v>0</v>
      </c>
      <c r="J9" s="208">
        <v>0</v>
      </c>
      <c r="K9" s="208">
        <f t="shared" si="5"/>
        <v>0</v>
      </c>
      <c r="L9" s="51"/>
      <c r="M9" s="51"/>
    </row>
    <row r="10" spans="1:13">
      <c r="A10" s="394">
        <f t="shared" si="3"/>
        <v>45874</v>
      </c>
      <c r="B10" s="546">
        <f t="shared" si="0"/>
        <v>165.625</v>
      </c>
      <c r="C10" s="546"/>
      <c r="D10" s="546"/>
      <c r="E10" s="546">
        <f t="shared" si="1"/>
        <v>165.625</v>
      </c>
      <c r="F10" s="546">
        <f>'PCOLP I'!D12</f>
        <v>0</v>
      </c>
      <c r="G10" s="546">
        <f>'PCOLP II'!D12</f>
        <v>0</v>
      </c>
      <c r="H10" s="546">
        <f t="shared" si="2"/>
        <v>0</v>
      </c>
      <c r="I10" s="546">
        <f t="shared" si="4"/>
        <v>0</v>
      </c>
      <c r="J10" s="208">
        <v>1041.6666666666667</v>
      </c>
      <c r="K10" s="208">
        <f t="shared" si="5"/>
        <v>0</v>
      </c>
      <c r="L10" s="51"/>
      <c r="M10" s="51"/>
    </row>
    <row r="11" spans="1:13">
      <c r="A11" s="393">
        <f t="shared" si="3"/>
        <v>45875</v>
      </c>
      <c r="B11" s="546">
        <f t="shared" si="0"/>
        <v>2304.5990000000002</v>
      </c>
      <c r="C11" s="546"/>
      <c r="D11" s="546"/>
      <c r="E11" s="546">
        <f t="shared" si="1"/>
        <v>2304.5990000000002</v>
      </c>
      <c r="F11" s="546">
        <f>'PCOLP I'!D13</f>
        <v>0</v>
      </c>
      <c r="G11" s="546">
        <f>'PCOLP II'!D13</f>
        <v>801</v>
      </c>
      <c r="H11" s="546">
        <f t="shared" si="2"/>
        <v>801</v>
      </c>
      <c r="I11" s="546">
        <f t="shared" si="4"/>
        <v>165.625</v>
      </c>
      <c r="J11" s="208">
        <v>14494.333333333334</v>
      </c>
      <c r="K11" s="208">
        <f t="shared" si="5"/>
        <v>0</v>
      </c>
      <c r="L11" s="51"/>
      <c r="M11" s="51"/>
    </row>
    <row r="12" spans="1:13">
      <c r="A12" s="393">
        <f t="shared" si="3"/>
        <v>45876</v>
      </c>
      <c r="B12" s="546">
        <f t="shared" si="0"/>
        <v>0</v>
      </c>
      <c r="C12" s="546"/>
      <c r="D12" s="546">
        <v>-250</v>
      </c>
      <c r="E12" s="546">
        <f t="shared" si="1"/>
        <v>-250</v>
      </c>
      <c r="F12" s="546">
        <f>'PCOLP I'!D14</f>
        <v>0</v>
      </c>
      <c r="G12" s="546">
        <f>'PCOLP II'!D14</f>
        <v>0</v>
      </c>
      <c r="H12" s="546">
        <f t="shared" si="2"/>
        <v>0</v>
      </c>
      <c r="I12" s="546">
        <f t="shared" si="4"/>
        <v>1669.2240000000002</v>
      </c>
      <c r="J12" s="208">
        <v>0</v>
      </c>
      <c r="K12" s="208">
        <f t="shared" si="5"/>
        <v>0</v>
      </c>
      <c r="L12" s="51"/>
      <c r="M12" s="51"/>
    </row>
    <row r="13" spans="1:13">
      <c r="A13" s="393">
        <f t="shared" si="3"/>
        <v>45877</v>
      </c>
      <c r="B13" s="546">
        <f t="shared" si="0"/>
        <v>0</v>
      </c>
      <c r="C13" s="546"/>
      <c r="D13" s="546"/>
      <c r="E13" s="546">
        <f t="shared" si="1"/>
        <v>0</v>
      </c>
      <c r="F13" s="546">
        <f>'PCOLP I'!D15</f>
        <v>274</v>
      </c>
      <c r="G13" s="546">
        <f>'PCOLP II'!D15</f>
        <v>0</v>
      </c>
      <c r="H13" s="546">
        <f t="shared" si="2"/>
        <v>274</v>
      </c>
      <c r="I13" s="546">
        <v>1798</v>
      </c>
      <c r="J13" s="208">
        <v>0</v>
      </c>
      <c r="K13" s="208">
        <f t="shared" si="5"/>
        <v>0</v>
      </c>
      <c r="L13" s="51"/>
      <c r="M13" s="51"/>
    </row>
    <row r="14" spans="1:13">
      <c r="A14" s="394">
        <f t="shared" si="3"/>
        <v>45878</v>
      </c>
      <c r="B14" s="546">
        <f t="shared" si="0"/>
        <v>987.072</v>
      </c>
      <c r="C14" s="546"/>
      <c r="D14" s="546"/>
      <c r="E14" s="546">
        <f t="shared" si="1"/>
        <v>987.072</v>
      </c>
      <c r="F14" s="546">
        <f>'PCOLP I'!D16</f>
        <v>1421</v>
      </c>
      <c r="G14" s="546">
        <f>'PCOLP II'!D16</f>
        <v>0</v>
      </c>
      <c r="H14" s="546">
        <f t="shared" si="2"/>
        <v>1421</v>
      </c>
      <c r="I14" s="546">
        <v>1300</v>
      </c>
      <c r="J14" s="208">
        <v>6208</v>
      </c>
      <c r="K14" s="208">
        <f t="shared" si="5"/>
        <v>0</v>
      </c>
      <c r="L14" s="51"/>
      <c r="M14" s="51"/>
    </row>
    <row r="15" spans="1:13">
      <c r="A15" s="394">
        <f t="shared" si="3"/>
        <v>45879</v>
      </c>
      <c r="B15" s="546">
        <f t="shared" si="0"/>
        <v>2440.1729999999998</v>
      </c>
      <c r="C15" s="546"/>
      <c r="D15" s="546"/>
      <c r="E15" s="546">
        <f t="shared" si="1"/>
        <v>2440.1729999999998</v>
      </c>
      <c r="F15" s="546">
        <f>'PCOLP I'!D17</f>
        <v>500</v>
      </c>
      <c r="G15" s="546">
        <f>'PCOLP II'!D17</f>
        <v>0</v>
      </c>
      <c r="H15" s="546">
        <f t="shared" si="2"/>
        <v>500</v>
      </c>
      <c r="I15" s="546">
        <f t="shared" si="4"/>
        <v>866.07200000000012</v>
      </c>
      <c r="J15" s="208">
        <v>15347</v>
      </c>
      <c r="K15" s="208">
        <f t="shared" si="5"/>
        <v>0</v>
      </c>
      <c r="L15" s="51"/>
      <c r="M15" s="51"/>
    </row>
    <row r="16" spans="1:13">
      <c r="A16" s="393">
        <f t="shared" si="3"/>
        <v>45880</v>
      </c>
      <c r="B16" s="546">
        <f t="shared" si="0"/>
        <v>0</v>
      </c>
      <c r="C16" s="546"/>
      <c r="D16" s="546">
        <v>-250</v>
      </c>
      <c r="E16" s="546">
        <f t="shared" si="1"/>
        <v>-250</v>
      </c>
      <c r="F16" s="546">
        <f>'PCOLP I'!D18</f>
        <v>1066</v>
      </c>
      <c r="G16" s="546">
        <f>'PCOLP II'!D18</f>
        <v>0</v>
      </c>
      <c r="H16" s="546">
        <f t="shared" si="2"/>
        <v>1066</v>
      </c>
      <c r="I16" s="546">
        <v>2628</v>
      </c>
      <c r="J16" s="208">
        <v>0</v>
      </c>
      <c r="K16" s="208">
        <f t="shared" si="5"/>
        <v>0</v>
      </c>
      <c r="L16" s="51"/>
      <c r="M16" s="51"/>
    </row>
    <row r="17" spans="1:13">
      <c r="A17" s="394">
        <f t="shared" si="3"/>
        <v>45881</v>
      </c>
      <c r="B17" s="546">
        <f t="shared" si="0"/>
        <v>2438.1060000000002</v>
      </c>
      <c r="C17" s="546"/>
      <c r="D17" s="546"/>
      <c r="E17" s="546">
        <f t="shared" si="1"/>
        <v>2438.1060000000002</v>
      </c>
      <c r="F17" s="546">
        <f>'PCOLP I'!D19</f>
        <v>742</v>
      </c>
      <c r="G17" s="546">
        <f>'PCOLP II'!D19</f>
        <v>703</v>
      </c>
      <c r="H17" s="546">
        <f t="shared" si="2"/>
        <v>1445</v>
      </c>
      <c r="I17" s="546">
        <v>1429</v>
      </c>
      <c r="J17" s="208">
        <v>15334</v>
      </c>
      <c r="K17" s="208">
        <f t="shared" si="5"/>
        <v>0</v>
      </c>
      <c r="L17" s="51"/>
      <c r="M17" s="51"/>
    </row>
    <row r="18" spans="1:13">
      <c r="A18" s="393">
        <f t="shared" si="3"/>
        <v>45882</v>
      </c>
      <c r="B18" s="546">
        <f t="shared" si="0"/>
        <v>0</v>
      </c>
      <c r="C18" s="546"/>
      <c r="D18" s="546">
        <v>-400</v>
      </c>
      <c r="E18" s="546">
        <f t="shared" si="1"/>
        <v>-400</v>
      </c>
      <c r="F18" s="546">
        <f>'PCOLP I'!D20</f>
        <v>0</v>
      </c>
      <c r="G18" s="546">
        <f>'PCOLP II'!D20</f>
        <v>0</v>
      </c>
      <c r="H18" s="546">
        <f t="shared" si="2"/>
        <v>0</v>
      </c>
      <c r="I18" s="546">
        <v>2318</v>
      </c>
      <c r="J18" s="208">
        <v>0</v>
      </c>
      <c r="K18" s="208">
        <f t="shared" si="5"/>
        <v>0</v>
      </c>
      <c r="L18" s="51"/>
      <c r="M18" s="51"/>
    </row>
    <row r="19" spans="1:13">
      <c r="A19" s="393">
        <f t="shared" si="3"/>
        <v>45883</v>
      </c>
      <c r="B19" s="546">
        <f t="shared" si="0"/>
        <v>0</v>
      </c>
      <c r="C19" s="546"/>
      <c r="D19" s="546"/>
      <c r="E19" s="546">
        <f t="shared" si="1"/>
        <v>0</v>
      </c>
      <c r="F19" s="546">
        <f>'PCOLP I'!D21</f>
        <v>766</v>
      </c>
      <c r="G19" s="546">
        <f>'PCOLP II'!D21</f>
        <v>0</v>
      </c>
      <c r="H19" s="546">
        <f t="shared" si="2"/>
        <v>766</v>
      </c>
      <c r="I19" s="546">
        <v>1818</v>
      </c>
      <c r="J19" s="208">
        <v>0</v>
      </c>
      <c r="K19" s="208">
        <f t="shared" si="5"/>
        <v>0</v>
      </c>
      <c r="L19" s="51"/>
      <c r="M19" s="51"/>
    </row>
    <row r="20" spans="1:13">
      <c r="A20" s="394">
        <f>A19+1</f>
        <v>45884</v>
      </c>
      <c r="B20" s="546">
        <f t="shared" si="0"/>
        <v>2456.8679999999999</v>
      </c>
      <c r="C20" s="546"/>
      <c r="D20" s="546"/>
      <c r="E20" s="546">
        <f t="shared" si="1"/>
        <v>2456.8679999999999</v>
      </c>
      <c r="F20" s="546">
        <f>'PCOLP I'!D22</f>
        <v>1465</v>
      </c>
      <c r="G20" s="546">
        <f>'PCOLP II'!D22</f>
        <v>0</v>
      </c>
      <c r="H20" s="546">
        <f t="shared" si="2"/>
        <v>1465</v>
      </c>
      <c r="I20" s="546">
        <v>1020</v>
      </c>
      <c r="J20" s="208">
        <v>15452</v>
      </c>
      <c r="K20" s="208">
        <f t="shared" si="5"/>
        <v>0</v>
      </c>
      <c r="L20" s="51"/>
      <c r="M20" s="51"/>
    </row>
    <row r="21" spans="1:13">
      <c r="A21" s="394">
        <f>A20+1</f>
        <v>45885</v>
      </c>
      <c r="B21" s="546">
        <f t="shared" si="0"/>
        <v>536.625</v>
      </c>
      <c r="C21" s="546"/>
      <c r="D21" s="546">
        <v>-250</v>
      </c>
      <c r="E21" s="546">
        <f t="shared" si="1"/>
        <v>286.625</v>
      </c>
      <c r="F21" s="546">
        <f>'PCOLP I'!D23</f>
        <v>881</v>
      </c>
      <c r="G21" s="546">
        <f>'PCOLP II'!D23</f>
        <v>0</v>
      </c>
      <c r="H21" s="546">
        <f t="shared" si="2"/>
        <v>881</v>
      </c>
      <c r="I21" s="546">
        <f t="shared" si="4"/>
        <v>2011.8679999999999</v>
      </c>
      <c r="J21" s="208">
        <v>3375</v>
      </c>
      <c r="K21" s="208">
        <f t="shared" si="5"/>
        <v>0</v>
      </c>
      <c r="L21" s="51"/>
      <c r="M21" s="51"/>
    </row>
    <row r="22" spans="1:13">
      <c r="A22" s="394">
        <f>A21+1</f>
        <v>45886</v>
      </c>
      <c r="B22" s="546">
        <f t="shared" si="0"/>
        <v>1949.6579999999999</v>
      </c>
      <c r="C22" s="546"/>
      <c r="D22" s="546"/>
      <c r="E22" s="546">
        <f t="shared" si="1"/>
        <v>1949.6579999999999</v>
      </c>
      <c r="F22" s="546">
        <f>'PCOLP I'!D24</f>
        <v>1682</v>
      </c>
      <c r="G22" s="546">
        <f>'PCOLP II'!D24</f>
        <v>0</v>
      </c>
      <c r="H22" s="546">
        <f t="shared" si="2"/>
        <v>1682</v>
      </c>
      <c r="I22" s="546">
        <f t="shared" si="4"/>
        <v>1417.4929999999999</v>
      </c>
      <c r="J22" s="208">
        <v>12262</v>
      </c>
      <c r="K22" s="208">
        <f t="shared" si="5"/>
        <v>0</v>
      </c>
      <c r="L22" s="51"/>
      <c r="M22" s="51"/>
    </row>
    <row r="23" spans="1:13">
      <c r="A23" s="393">
        <f t="shared" si="3"/>
        <v>45887</v>
      </c>
      <c r="B23" s="546">
        <f t="shared" si="0"/>
        <v>1374.873</v>
      </c>
      <c r="C23" s="546"/>
      <c r="D23" s="546"/>
      <c r="E23" s="546">
        <f t="shared" si="1"/>
        <v>1374.873</v>
      </c>
      <c r="F23" s="546">
        <f>'PCOLP I'!D25</f>
        <v>109</v>
      </c>
      <c r="G23" s="546">
        <f>'PCOLP II'!D25</f>
        <v>0</v>
      </c>
      <c r="H23" s="546">
        <f t="shared" si="2"/>
        <v>109</v>
      </c>
      <c r="I23" s="546">
        <v>1427</v>
      </c>
      <c r="J23" s="208">
        <v>8647</v>
      </c>
      <c r="K23" s="208">
        <f t="shared" si="5"/>
        <v>0</v>
      </c>
      <c r="L23" s="51"/>
      <c r="M23" s="51"/>
    </row>
    <row r="24" spans="1:13">
      <c r="A24" s="393">
        <f t="shared" si="3"/>
        <v>45888</v>
      </c>
      <c r="B24" s="546">
        <f t="shared" si="0"/>
        <v>0</v>
      </c>
      <c r="C24" s="546"/>
      <c r="D24" s="546">
        <v>-250</v>
      </c>
      <c r="E24" s="546">
        <f t="shared" si="1"/>
        <v>-250</v>
      </c>
      <c r="F24" s="546">
        <f>'PCOLP I'!D26</f>
        <v>663</v>
      </c>
      <c r="G24" s="546">
        <f>'PCOLP II'!D26</f>
        <v>335</v>
      </c>
      <c r="H24" s="546">
        <f t="shared" si="2"/>
        <v>998</v>
      </c>
      <c r="I24" s="546">
        <v>2650</v>
      </c>
      <c r="J24" s="208">
        <v>0</v>
      </c>
      <c r="K24" s="208">
        <f t="shared" si="5"/>
        <v>0</v>
      </c>
      <c r="L24" s="51"/>
      <c r="M24" s="51"/>
    </row>
    <row r="25" spans="1:13">
      <c r="A25" s="394">
        <f>A24+1</f>
        <v>45889</v>
      </c>
      <c r="B25" s="546">
        <v>1544</v>
      </c>
      <c r="C25" s="546"/>
      <c r="D25" s="546"/>
      <c r="E25" s="546">
        <f t="shared" si="1"/>
        <v>1544</v>
      </c>
      <c r="F25" s="546">
        <f>'PCOLP I'!D27</f>
        <v>629</v>
      </c>
      <c r="G25" s="546">
        <f>'PCOLP II'!D27</f>
        <v>546</v>
      </c>
      <c r="H25" s="546">
        <f t="shared" si="2"/>
        <v>1175</v>
      </c>
      <c r="I25" s="546">
        <v>1523</v>
      </c>
      <c r="J25" s="208">
        <v>10125</v>
      </c>
      <c r="K25" s="208">
        <f t="shared" si="5"/>
        <v>0</v>
      </c>
      <c r="L25" s="51"/>
      <c r="M25" s="51"/>
    </row>
    <row r="26" spans="1:13">
      <c r="A26" s="393">
        <f t="shared" si="3"/>
        <v>45890</v>
      </c>
      <c r="B26" s="546">
        <v>880</v>
      </c>
      <c r="C26" s="546"/>
      <c r="D26" s="546"/>
      <c r="E26" s="546">
        <f t="shared" si="1"/>
        <v>880</v>
      </c>
      <c r="F26" s="546">
        <f>'PCOLP I'!D28</f>
        <v>410</v>
      </c>
      <c r="G26" s="546">
        <f>'PCOLP II'!D28</f>
        <v>0</v>
      </c>
      <c r="H26" s="546">
        <f t="shared" si="2"/>
        <v>410</v>
      </c>
      <c r="I26" s="546">
        <v>1785</v>
      </c>
      <c r="J26" s="208">
        <v>5235</v>
      </c>
      <c r="K26" s="208">
        <f t="shared" si="5"/>
        <v>0</v>
      </c>
      <c r="L26" s="51"/>
      <c r="M26" s="51"/>
    </row>
    <row r="27" spans="1:13">
      <c r="A27" s="393">
        <f t="shared" si="3"/>
        <v>45891</v>
      </c>
      <c r="B27" s="546">
        <f t="shared" si="0"/>
        <v>0</v>
      </c>
      <c r="C27" s="546"/>
      <c r="D27" s="546">
        <v>-350</v>
      </c>
      <c r="E27" s="546">
        <f t="shared" si="1"/>
        <v>-350</v>
      </c>
      <c r="F27" s="546">
        <f>'PCOLP I'!D29</f>
        <v>0</v>
      </c>
      <c r="G27" s="546">
        <f>'PCOLP II'!D29</f>
        <v>291</v>
      </c>
      <c r="H27" s="546">
        <f t="shared" si="2"/>
        <v>291</v>
      </c>
      <c r="I27" s="546">
        <v>2180</v>
      </c>
      <c r="J27" s="208">
        <v>0</v>
      </c>
      <c r="K27" s="208">
        <f t="shared" si="5"/>
        <v>0</v>
      </c>
      <c r="L27" s="51"/>
      <c r="M27" s="51"/>
    </row>
    <row r="28" spans="1:13">
      <c r="A28" s="394">
        <f>A27+1</f>
        <v>45892</v>
      </c>
      <c r="B28" s="546">
        <f t="shared" si="0"/>
        <v>1967.625</v>
      </c>
      <c r="C28" s="546"/>
      <c r="D28" s="546"/>
      <c r="E28" s="546">
        <f t="shared" si="1"/>
        <v>1967.625</v>
      </c>
      <c r="F28" s="546">
        <f>'PCOLP I'!D30</f>
        <v>926</v>
      </c>
      <c r="G28" s="546">
        <f>'PCOLP II'!D30</f>
        <v>509</v>
      </c>
      <c r="H28" s="546">
        <f t="shared" si="2"/>
        <v>1435</v>
      </c>
      <c r="I28" s="546">
        <v>1728</v>
      </c>
      <c r="J28" s="208">
        <v>12375</v>
      </c>
      <c r="K28" s="208">
        <f t="shared" si="5"/>
        <v>0</v>
      </c>
      <c r="L28" s="51"/>
      <c r="M28" s="51"/>
    </row>
    <row r="29" spans="1:13">
      <c r="A29" s="393">
        <f t="shared" si="3"/>
        <v>45893</v>
      </c>
      <c r="B29" s="546">
        <f t="shared" si="0"/>
        <v>470.322</v>
      </c>
      <c r="C29" s="546"/>
      <c r="D29" s="546">
        <v>-250</v>
      </c>
      <c r="E29" s="546">
        <f t="shared" si="1"/>
        <v>220.322</v>
      </c>
      <c r="F29" s="546">
        <f>'PCOLP I'!D31</f>
        <v>1650</v>
      </c>
      <c r="G29" s="546">
        <f>'PCOLP II'!D31</f>
        <v>0</v>
      </c>
      <c r="H29" s="546">
        <f t="shared" si="2"/>
        <v>1650</v>
      </c>
      <c r="I29" s="546">
        <f t="shared" si="4"/>
        <v>2260.625</v>
      </c>
      <c r="J29" s="208">
        <v>2958</v>
      </c>
      <c r="K29" s="208">
        <f t="shared" si="5"/>
        <v>0</v>
      </c>
      <c r="L29" s="51"/>
      <c r="M29" s="51"/>
    </row>
    <row r="30" spans="1:13">
      <c r="A30" s="394">
        <f>A29+1</f>
        <v>45894</v>
      </c>
      <c r="B30" s="546">
        <v>1400</v>
      </c>
      <c r="C30" s="546"/>
      <c r="D30" s="546"/>
      <c r="E30" s="546">
        <f t="shared" si="1"/>
        <v>1400</v>
      </c>
      <c r="F30" s="546">
        <f>'PCOLP I'!D32</f>
        <v>510</v>
      </c>
      <c r="G30" s="546">
        <f>'PCOLP II'!D32</f>
        <v>0</v>
      </c>
      <c r="H30" s="546">
        <f t="shared" si="2"/>
        <v>510</v>
      </c>
      <c r="I30" s="546">
        <v>717</v>
      </c>
      <c r="J30" s="208">
        <v>11250</v>
      </c>
      <c r="K30" s="208">
        <v>11250</v>
      </c>
      <c r="L30" s="51">
        <v>11250</v>
      </c>
      <c r="M30" s="51"/>
    </row>
    <row r="31" spans="1:13">
      <c r="A31" s="393">
        <f t="shared" si="3"/>
        <v>45895</v>
      </c>
      <c r="B31" s="546">
        <v>1000</v>
      </c>
      <c r="C31" s="546"/>
      <c r="D31" s="546"/>
      <c r="E31" s="546">
        <f t="shared" si="1"/>
        <v>1000</v>
      </c>
      <c r="F31" s="546">
        <f>'PCOLP I'!D33</f>
        <v>116</v>
      </c>
      <c r="G31" s="546">
        <f>'PCOLP II'!D33</f>
        <v>0</v>
      </c>
      <c r="H31" s="546">
        <f t="shared" si="2"/>
        <v>116</v>
      </c>
      <c r="I31" s="546">
        <v>1501</v>
      </c>
      <c r="J31" s="208">
        <v>4273</v>
      </c>
      <c r="K31" s="208">
        <v>4273</v>
      </c>
      <c r="L31" s="51">
        <v>4273</v>
      </c>
      <c r="M31" s="51"/>
    </row>
    <row r="32" spans="1:13">
      <c r="A32" s="393">
        <f t="shared" si="3"/>
        <v>45896</v>
      </c>
      <c r="B32" s="546">
        <f t="shared" si="0"/>
        <v>0</v>
      </c>
      <c r="C32" s="546"/>
      <c r="D32" s="546">
        <v>-450</v>
      </c>
      <c r="E32" s="546">
        <f t="shared" si="1"/>
        <v>-450</v>
      </c>
      <c r="F32" s="546">
        <f>'PCOLP I'!D34</f>
        <v>498</v>
      </c>
      <c r="G32" s="546">
        <f>'PCOLP II'!D34</f>
        <v>0</v>
      </c>
      <c r="H32" s="546">
        <f t="shared" si="2"/>
        <v>498</v>
      </c>
      <c r="I32" s="546">
        <v>2152</v>
      </c>
      <c r="J32" s="208">
        <v>0</v>
      </c>
      <c r="K32" s="208">
        <v>0</v>
      </c>
      <c r="L32" s="51">
        <v>0</v>
      </c>
      <c r="M32" s="51"/>
    </row>
    <row r="33" spans="1:13">
      <c r="A33" s="394">
        <f>A32+1</f>
        <v>45897</v>
      </c>
      <c r="B33" s="546">
        <f t="shared" si="0"/>
        <v>2507.5889999999999</v>
      </c>
      <c r="C33" s="546"/>
      <c r="D33" s="546"/>
      <c r="E33" s="546">
        <f t="shared" si="1"/>
        <v>2507.5889999999999</v>
      </c>
      <c r="F33" s="546">
        <f>'PCOLP I'!D35</f>
        <v>1000</v>
      </c>
      <c r="G33" s="546">
        <f>'PCOLP II'!D35</f>
        <v>500</v>
      </c>
      <c r="H33" s="546">
        <f t="shared" si="2"/>
        <v>1500</v>
      </c>
      <c r="I33" s="546">
        <v>1520</v>
      </c>
      <c r="J33" s="208">
        <v>15771</v>
      </c>
      <c r="K33" s="208">
        <v>15771</v>
      </c>
      <c r="L33" s="51">
        <v>15771</v>
      </c>
      <c r="M33" s="51"/>
    </row>
    <row r="34" spans="1:13">
      <c r="A34" s="393">
        <f t="shared" si="3"/>
        <v>45898</v>
      </c>
      <c r="B34" s="209">
        <f t="shared" si="0"/>
        <v>0</v>
      </c>
      <c r="C34" s="209"/>
      <c r="D34" s="209">
        <v>-250</v>
      </c>
      <c r="E34" s="209">
        <f t="shared" si="1"/>
        <v>-250</v>
      </c>
      <c r="F34" s="209">
        <f>'PCOLP I'!D36</f>
        <v>0</v>
      </c>
      <c r="G34" s="209">
        <f>'PCOLP II'!D36</f>
        <v>400</v>
      </c>
      <c r="H34" s="209">
        <f t="shared" si="2"/>
        <v>400</v>
      </c>
      <c r="I34" s="209">
        <f t="shared" si="4"/>
        <v>2527.5889999999999</v>
      </c>
      <c r="J34" s="208">
        <v>0</v>
      </c>
      <c r="K34" s="208">
        <v>0</v>
      </c>
      <c r="L34" s="51">
        <v>0</v>
      </c>
      <c r="M34" s="51"/>
    </row>
    <row r="35" spans="1:13">
      <c r="A35" s="394">
        <f>A34+1</f>
        <v>45899</v>
      </c>
      <c r="B35" s="209">
        <f t="shared" si="0"/>
        <v>2451.596673</v>
      </c>
      <c r="C35" s="209"/>
      <c r="D35" s="209"/>
      <c r="E35" s="209">
        <f t="shared" si="1"/>
        <v>2451.596673</v>
      </c>
      <c r="F35" s="209">
        <f>'PCOLP I'!D37</f>
        <v>1100</v>
      </c>
      <c r="G35" s="209">
        <f>'PCOLP II'!D37</f>
        <v>600</v>
      </c>
      <c r="H35" s="209">
        <f t="shared" si="2"/>
        <v>1700</v>
      </c>
      <c r="I35" s="209">
        <f t="shared" si="4"/>
        <v>1877.5889999999999</v>
      </c>
      <c r="J35" s="208">
        <v>15418.847</v>
      </c>
      <c r="K35" s="208">
        <v>15418.847</v>
      </c>
      <c r="L35" s="51">
        <v>15418.847</v>
      </c>
      <c r="M35" s="51"/>
    </row>
    <row r="36" spans="1:13" ht="14.7" customHeight="1">
      <c r="A36" s="393">
        <f t="shared" si="3"/>
        <v>45900</v>
      </c>
      <c r="B36" s="209">
        <f t="shared" si="0"/>
        <v>1.9323270000000394</v>
      </c>
      <c r="C36" s="209"/>
      <c r="D36" s="209">
        <v>-250</v>
      </c>
      <c r="E36" s="209">
        <f t="shared" si="1"/>
        <v>-248.06767299999996</v>
      </c>
      <c r="F36" s="209">
        <f>'PCOLP I'!D38</f>
        <v>1400</v>
      </c>
      <c r="G36" s="209">
        <f>'PCOLP II'!D38</f>
        <v>0</v>
      </c>
      <c r="H36" s="209">
        <f t="shared" ref="H36" si="6">SUM(F36:G36)</f>
        <v>1400</v>
      </c>
      <c r="I36" s="209">
        <f t="shared" ref="I36" si="7">IF(I35+E35-H35&lt;0,0,I35+E35-H35)</f>
        <v>2629.185673</v>
      </c>
      <c r="J36" s="208">
        <v>12.153000000000247</v>
      </c>
      <c r="K36" s="208">
        <v>12.153000000000247</v>
      </c>
      <c r="L36" s="51">
        <v>12.153000000000247</v>
      </c>
      <c r="M36" s="51"/>
    </row>
    <row r="37" spans="1:13">
      <c r="B37" s="299"/>
      <c r="C37" s="299"/>
      <c r="D37" s="299"/>
      <c r="E37" s="299"/>
      <c r="F37" s="300"/>
      <c r="G37" s="300"/>
      <c r="H37" s="300"/>
      <c r="I37" s="209">
        <f t="shared" si="4"/>
        <v>981.11799999999994</v>
      </c>
      <c r="J37" s="208"/>
      <c r="K37" s="208"/>
    </row>
    <row r="38" spans="1:13">
      <c r="A38" s="218" t="s">
        <v>130</v>
      </c>
      <c r="B38" s="209">
        <f t="shared" ref="B38:J38" si="8">SUM(B6:B36)</f>
        <v>26876.664000000001</v>
      </c>
      <c r="C38" s="209">
        <f t="shared" si="8"/>
        <v>0</v>
      </c>
      <c r="D38" s="209">
        <f t="shared" si="8"/>
        <v>-3200</v>
      </c>
      <c r="E38" s="209">
        <f t="shared" si="8"/>
        <v>23676.664000000001</v>
      </c>
      <c r="F38" s="209">
        <f t="shared" si="8"/>
        <v>19764</v>
      </c>
      <c r="G38" s="209">
        <f t="shared" si="8"/>
        <v>4685</v>
      </c>
      <c r="H38" s="209">
        <f t="shared" si="8"/>
        <v>24449</v>
      </c>
      <c r="I38" s="209"/>
      <c r="J38" s="209">
        <f t="shared" si="8"/>
        <v>169579</v>
      </c>
      <c r="K38" s="208"/>
    </row>
    <row r="39" spans="1:13">
      <c r="K39" s="208"/>
    </row>
    <row r="40" spans="1:13">
      <c r="K40" s="208"/>
    </row>
  </sheetData>
  <mergeCells count="5">
    <mergeCell ref="A3:A4"/>
    <mergeCell ref="B3:E3"/>
    <mergeCell ref="F3:H3"/>
    <mergeCell ref="J2:J4"/>
    <mergeCell ref="A2:I2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3:C11"/>
  <sheetViews>
    <sheetView workbookViewId="0">
      <selection activeCell="C12" sqref="C12"/>
    </sheetView>
  </sheetViews>
  <sheetFormatPr baseColWidth="10" defaultColWidth="11.44140625" defaultRowHeight="14.4"/>
  <sheetData>
    <row r="3" spans="1:3">
      <c r="A3">
        <v>31</v>
      </c>
    </row>
    <row r="5" spans="1:3">
      <c r="A5" t="s">
        <v>128</v>
      </c>
      <c r="B5">
        <v>1852</v>
      </c>
      <c r="C5" s="208">
        <f>'PCOLP I'!AL39/A3</f>
        <v>1164.6129032258063</v>
      </c>
    </row>
    <row r="6" spans="1:3">
      <c r="A6" t="s">
        <v>104</v>
      </c>
      <c r="B6">
        <v>1852</v>
      </c>
      <c r="C6" s="51">
        <f>'PCOLP II'!AL39/'CAP UTILIZADA'!A3</f>
        <v>495.12903225806451</v>
      </c>
    </row>
    <row r="7" spans="1:3">
      <c r="A7" t="s">
        <v>131</v>
      </c>
      <c r="B7">
        <v>334</v>
      </c>
      <c r="C7" s="208">
        <f>PCPV!AN39/A3</f>
        <v>31.387096774193548</v>
      </c>
    </row>
    <row r="8" spans="1:3">
      <c r="A8" t="s">
        <v>132</v>
      </c>
      <c r="B8">
        <v>580</v>
      </c>
      <c r="C8">
        <f>Z1PCSPSP!AK39/'CAP UTILIZADA'!A3</f>
        <v>333.67741935483872</v>
      </c>
    </row>
    <row r="9" spans="1:3">
      <c r="A9" t="s">
        <v>133</v>
      </c>
      <c r="B9">
        <v>572</v>
      </c>
      <c r="C9" s="208">
        <f>Z1PCSPSP!CT39/A3</f>
        <v>572.38709677419354</v>
      </c>
    </row>
    <row r="10" spans="1:3">
      <c r="A10" t="s">
        <v>134</v>
      </c>
      <c r="B10">
        <v>410</v>
      </c>
      <c r="C10">
        <f>Z1PCSPSP!EQ39/'CAP UTILIZADA'!A3</f>
        <v>165.96774193548387</v>
      </c>
    </row>
    <row r="11" spans="1:3">
      <c r="A11" t="s">
        <v>135</v>
      </c>
      <c r="B11">
        <v>304</v>
      </c>
      <c r="C11">
        <f>PVT!AI39/'CAP UTILIZADA'!A3</f>
        <v>267.64516129032256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3:AP42"/>
  <sheetViews>
    <sheetView zoomScale="110" zoomScaleNormal="110" workbookViewId="0">
      <selection activeCell="F12" sqref="F12"/>
    </sheetView>
  </sheetViews>
  <sheetFormatPr baseColWidth="10" defaultColWidth="11.44140625" defaultRowHeight="14.4"/>
  <cols>
    <col min="2" max="8" width="7.5546875" customWidth="1"/>
    <col min="9" max="9" width="8.44140625" customWidth="1"/>
    <col min="10" max="16" width="6.5546875" customWidth="1"/>
    <col min="17" max="17" width="8.44140625" customWidth="1"/>
    <col min="18" max="24" width="7.6640625" customWidth="1"/>
    <col min="25" max="25" width="7.5546875" customWidth="1"/>
    <col min="26" max="32" width="8.33203125" hidden="1" customWidth="1"/>
    <col min="34" max="34" width="17.44140625" customWidth="1"/>
  </cols>
  <sheetData>
    <row r="3" spans="1:42" ht="17.399999999999999">
      <c r="A3" s="642" t="s">
        <v>136</v>
      </c>
      <c r="B3" s="643"/>
      <c r="C3" s="643"/>
      <c r="D3" s="643"/>
      <c r="E3" s="643"/>
      <c r="F3" s="643"/>
      <c r="G3" s="643"/>
      <c r="H3" s="643"/>
      <c r="I3" s="643"/>
      <c r="J3" s="643"/>
      <c r="K3" s="643"/>
      <c r="L3" s="643"/>
      <c r="M3" s="643"/>
      <c r="N3" s="643"/>
      <c r="O3" s="643"/>
      <c r="P3" s="643"/>
      <c r="Q3" s="643"/>
      <c r="R3" s="643"/>
      <c r="S3" s="643"/>
      <c r="T3" s="643"/>
      <c r="U3" s="643"/>
      <c r="V3" s="643"/>
      <c r="W3" s="643"/>
      <c r="X3" s="643"/>
      <c r="Y3" s="643"/>
    </row>
    <row r="4" spans="1:42">
      <c r="A4" s="644" t="s">
        <v>137</v>
      </c>
      <c r="B4" s="645"/>
      <c r="C4" s="645"/>
      <c r="D4" s="645"/>
      <c r="E4" s="645"/>
      <c r="F4" s="645"/>
      <c r="G4" s="645"/>
      <c r="H4" s="645"/>
      <c r="I4" s="645"/>
      <c r="J4" s="645"/>
      <c r="K4" s="645"/>
      <c r="L4" s="645"/>
      <c r="M4" s="645"/>
      <c r="N4" s="645"/>
      <c r="O4" s="645"/>
      <c r="P4" s="645"/>
      <c r="Q4" s="645"/>
      <c r="R4" s="645"/>
      <c r="S4" s="645"/>
      <c r="T4" s="645"/>
      <c r="U4" s="645"/>
      <c r="V4" s="645"/>
      <c r="W4" s="645"/>
      <c r="X4" s="645"/>
      <c r="Y4" s="645"/>
    </row>
    <row r="6" spans="1:42" ht="15" thickBot="1"/>
    <row r="7" spans="1:42">
      <c r="A7" s="637" t="s">
        <v>138</v>
      </c>
      <c r="B7" s="638"/>
      <c r="C7" s="638"/>
      <c r="D7" s="638"/>
      <c r="E7" s="638"/>
      <c r="F7" s="638"/>
      <c r="G7" s="638"/>
      <c r="H7" s="638"/>
      <c r="I7" s="639"/>
      <c r="J7" s="637" t="s">
        <v>139</v>
      </c>
      <c r="K7" s="638"/>
      <c r="L7" s="638"/>
      <c r="M7" s="638"/>
      <c r="N7" s="638"/>
      <c r="O7" s="638"/>
      <c r="P7" s="638"/>
      <c r="Q7" s="640"/>
      <c r="R7" s="641" t="s">
        <v>140</v>
      </c>
      <c r="S7" s="638"/>
      <c r="T7" s="638"/>
      <c r="U7" s="638"/>
      <c r="V7" s="638"/>
      <c r="W7" s="638"/>
      <c r="X7" s="638"/>
      <c r="Y7" s="639"/>
      <c r="Z7" s="637" t="s">
        <v>141</v>
      </c>
      <c r="AA7" s="638"/>
      <c r="AB7" s="638"/>
      <c r="AC7" s="638"/>
      <c r="AD7" s="638"/>
      <c r="AE7" s="638"/>
      <c r="AF7" s="640"/>
    </row>
    <row r="8" spans="1:42" ht="15" thickBot="1">
      <c r="A8" s="241" t="s">
        <v>142</v>
      </c>
      <c r="B8" s="242" t="s">
        <v>128</v>
      </c>
      <c r="C8" s="242" t="s">
        <v>104</v>
      </c>
      <c r="D8" s="242" t="s">
        <v>131</v>
      </c>
      <c r="E8" s="242" t="s">
        <v>143</v>
      </c>
      <c r="F8" s="242" t="s">
        <v>133</v>
      </c>
      <c r="G8" s="242" t="s">
        <v>134</v>
      </c>
      <c r="H8" s="242" t="s">
        <v>135</v>
      </c>
      <c r="I8" s="243" t="s">
        <v>72</v>
      </c>
      <c r="J8" s="241" t="s">
        <v>128</v>
      </c>
      <c r="K8" s="242" t="s">
        <v>104</v>
      </c>
      <c r="L8" s="242" t="s">
        <v>131</v>
      </c>
      <c r="M8" s="242" t="s">
        <v>143</v>
      </c>
      <c r="N8" s="242" t="s">
        <v>133</v>
      </c>
      <c r="O8" s="242" t="s">
        <v>134</v>
      </c>
      <c r="P8" s="242" t="s">
        <v>135</v>
      </c>
      <c r="Q8" s="244" t="s">
        <v>72</v>
      </c>
      <c r="R8" s="245" t="s">
        <v>128</v>
      </c>
      <c r="S8" s="242" t="s">
        <v>104</v>
      </c>
      <c r="T8" s="242" t="s">
        <v>131</v>
      </c>
      <c r="U8" s="242" t="s">
        <v>144</v>
      </c>
      <c r="V8" s="242" t="s">
        <v>133</v>
      </c>
      <c r="W8" s="242" t="s">
        <v>134</v>
      </c>
      <c r="X8" s="242" t="s">
        <v>135</v>
      </c>
      <c r="Y8" s="243" t="s">
        <v>72</v>
      </c>
      <c r="Z8" s="241" t="s">
        <v>128</v>
      </c>
      <c r="AA8" s="242" t="s">
        <v>104</v>
      </c>
      <c r="AB8" s="242" t="s">
        <v>131</v>
      </c>
      <c r="AC8" s="242" t="s">
        <v>143</v>
      </c>
      <c r="AD8" s="242" t="s">
        <v>133</v>
      </c>
      <c r="AE8" s="242" t="s">
        <v>134</v>
      </c>
      <c r="AF8" s="244" t="s">
        <v>135</v>
      </c>
      <c r="AH8" t="s">
        <v>145</v>
      </c>
      <c r="AI8" t="s">
        <v>128</v>
      </c>
      <c r="AJ8" t="s">
        <v>104</v>
      </c>
      <c r="AK8" t="s">
        <v>131</v>
      </c>
      <c r="AL8" t="s">
        <v>144</v>
      </c>
      <c r="AM8" t="s">
        <v>133</v>
      </c>
      <c r="AN8" t="s">
        <v>134</v>
      </c>
      <c r="AO8" t="s">
        <v>135</v>
      </c>
      <c r="AP8" t="s">
        <v>72</v>
      </c>
    </row>
    <row r="9" spans="1:42">
      <c r="A9" s="63">
        <f>NOMINACIÓN!E1</f>
        <v>45870</v>
      </c>
      <c r="B9" s="226">
        <v>1400</v>
      </c>
      <c r="C9" s="227">
        <v>400</v>
      </c>
      <c r="D9" s="227">
        <v>50</v>
      </c>
      <c r="E9" s="227">
        <v>480</v>
      </c>
      <c r="F9" s="227">
        <v>390</v>
      </c>
      <c r="G9" s="227">
        <v>0</v>
      </c>
      <c r="H9" s="228">
        <v>190</v>
      </c>
      <c r="I9" s="231">
        <f t="shared" ref="I9:I39" si="0">SUM(B9:H9)</f>
        <v>2910</v>
      </c>
      <c r="J9" s="226">
        <f>'PCOLP I'!AL8</f>
        <v>1608</v>
      </c>
      <c r="K9" s="227">
        <f>'PCOLP II'!AL8</f>
        <v>446</v>
      </c>
      <c r="L9" s="227">
        <f>PCPV!AN8</f>
        <v>98</v>
      </c>
      <c r="M9" s="227">
        <f>Z1PCSPSP!AK8</f>
        <v>447</v>
      </c>
      <c r="N9" s="227">
        <f>Z1PCSPSP!CT8</f>
        <v>479</v>
      </c>
      <c r="O9" s="227">
        <f>Z1PCSPSP!EQ8</f>
        <v>106</v>
      </c>
      <c r="P9" s="228">
        <f>PVT!AI8</f>
        <v>97</v>
      </c>
      <c r="Q9" s="231">
        <f t="shared" ref="Q9:Q35" si="1">SUM(J9:P9)</f>
        <v>3281</v>
      </c>
      <c r="R9" s="221">
        <f>SUM(J$9:$J9)/SUM(B$9:$B9)</f>
        <v>1.1485714285714286</v>
      </c>
      <c r="S9" s="221">
        <v>1</v>
      </c>
      <c r="T9" s="221">
        <v>1</v>
      </c>
      <c r="U9" s="221">
        <f>SUM(M$9:$M9)/SUM(E$9:$E9)</f>
        <v>0.93125000000000002</v>
      </c>
      <c r="V9" s="221">
        <f>SUM($N$9:N9)/SUM($F$9:F9)</f>
        <v>1.2282051282051283</v>
      </c>
      <c r="W9" s="221">
        <v>1</v>
      </c>
      <c r="X9" s="221">
        <v>1</v>
      </c>
      <c r="Y9" s="233">
        <f>SUM($Q$9:Q9)/SUM($I$9:I9)</f>
        <v>1.1274914089347079</v>
      </c>
      <c r="Z9" s="303">
        <f t="shared" ref="Z9:Z36" si="2">J9*1000/158.987</f>
        <v>10114.034480806607</v>
      </c>
      <c r="AA9" s="304">
        <f t="shared" ref="AA9:AA36" si="3">K9*1000/158.987</f>
        <v>2805.2608074874047</v>
      </c>
      <c r="AB9" s="304">
        <f t="shared" ref="AB9:AB36" si="4">L9*1000/158.987</f>
        <v>616.40259895463157</v>
      </c>
      <c r="AC9" s="304">
        <f t="shared" ref="AC9:AC36" si="5">M9*1000/158.987</f>
        <v>2811.5506299257172</v>
      </c>
      <c r="AD9" s="304">
        <f t="shared" ref="AD9:AD36" si="6">N9*1000/158.987</f>
        <v>3012.8249479517194</v>
      </c>
      <c r="AE9" s="304">
        <f t="shared" ref="AE9:AE36" si="7">O9*1000/158.987</f>
        <v>666.72117846113201</v>
      </c>
      <c r="AF9" s="305">
        <f t="shared" ref="AF9:AF36" si="8">P9*1000/158.987</f>
        <v>610.11277651631895</v>
      </c>
      <c r="AH9">
        <v>31</v>
      </c>
      <c r="AI9" s="208">
        <v>11650</v>
      </c>
      <c r="AJ9" s="208">
        <v>11650</v>
      </c>
      <c r="AK9" s="208">
        <v>2100</v>
      </c>
      <c r="AL9" s="208">
        <v>3650</v>
      </c>
      <c r="AM9" s="208">
        <v>3600</v>
      </c>
      <c r="AN9" s="208">
        <v>2579</v>
      </c>
      <c r="AO9" s="208">
        <v>1910</v>
      </c>
      <c r="AP9" s="208">
        <v>37139</v>
      </c>
    </row>
    <row r="10" spans="1:42">
      <c r="A10" s="225">
        <f>A9+1</f>
        <v>45871</v>
      </c>
      <c r="B10" s="229">
        <v>1100</v>
      </c>
      <c r="C10" s="219">
        <v>0</v>
      </c>
      <c r="D10" s="219">
        <v>150</v>
      </c>
      <c r="E10" s="219">
        <v>584</v>
      </c>
      <c r="F10" s="219">
        <v>590</v>
      </c>
      <c r="G10" s="219">
        <v>200</v>
      </c>
      <c r="H10" s="230">
        <v>270</v>
      </c>
      <c r="I10" s="232">
        <f t="shared" si="0"/>
        <v>2894</v>
      </c>
      <c r="J10" s="229">
        <f>'PCOLP I'!AL9</f>
        <v>1429</v>
      </c>
      <c r="K10" s="219">
        <f>'PCOLP II'!AL9</f>
        <v>0</v>
      </c>
      <c r="L10" s="219">
        <f>PCPV!AN9</f>
        <v>310</v>
      </c>
      <c r="M10" s="219">
        <f>Z1PCSPSP!AK9</f>
        <v>556</v>
      </c>
      <c r="N10" s="219">
        <f>Z1PCSPSP!CT9</f>
        <v>575</v>
      </c>
      <c r="O10" s="219">
        <f>Z1PCSPSP!EQ9</f>
        <v>181</v>
      </c>
      <c r="P10" s="230">
        <f>PVT!AI9</f>
        <v>283</v>
      </c>
      <c r="Q10" s="232">
        <f t="shared" si="1"/>
        <v>3334</v>
      </c>
      <c r="R10" s="221">
        <f>SUM(J$9:$J10)/SUM(B$9:$B10)</f>
        <v>1.2148000000000001</v>
      </c>
      <c r="S10" s="221">
        <f>SUM(K$9:$K10)/SUM(C$9:$C10)</f>
        <v>1.115</v>
      </c>
      <c r="T10" s="221">
        <f>SUM($L$9:L10)/SUM($D$9:D10)</f>
        <v>2.04</v>
      </c>
      <c r="U10" s="221">
        <f>SUM(M$9:$M10)/SUM(E$9:$E10)</f>
        <v>0.94266917293233088</v>
      </c>
      <c r="V10" s="221">
        <f>SUM($N$9:N10)/SUM($F$9:F10)</f>
        <v>1.0755102040816327</v>
      </c>
      <c r="W10" s="221">
        <v>1</v>
      </c>
      <c r="X10" s="221">
        <f>SUM($P$9:P10)/SUM($H$9:H10)</f>
        <v>0.82608695652173914</v>
      </c>
      <c r="Y10" s="233">
        <f>SUM($Q$9:Q10)/SUM($I$9:I10)</f>
        <v>1.1397312198483804</v>
      </c>
      <c r="Z10" s="306">
        <f t="shared" si="2"/>
        <v>8988.1562643486577</v>
      </c>
      <c r="AA10" s="307">
        <f t="shared" si="3"/>
        <v>0</v>
      </c>
      <c r="AB10" s="307">
        <f t="shared" si="4"/>
        <v>1949.8449558768957</v>
      </c>
      <c r="AC10" s="307">
        <f t="shared" si="5"/>
        <v>3497.141275701787</v>
      </c>
      <c r="AD10" s="307">
        <f t="shared" si="6"/>
        <v>3616.6479020297256</v>
      </c>
      <c r="AE10" s="307">
        <f t="shared" si="7"/>
        <v>1138.4578613345745</v>
      </c>
      <c r="AF10" s="308">
        <f t="shared" si="8"/>
        <v>1780.0197500424563</v>
      </c>
      <c r="AH10" t="s">
        <v>146</v>
      </c>
      <c r="AI10" s="208">
        <f>AI9*$AH$9</f>
        <v>361150</v>
      </c>
      <c r="AJ10" s="208">
        <f t="shared" ref="AJ10:AP10" si="9">AJ9*$AH$9</f>
        <v>361150</v>
      </c>
      <c r="AK10" s="208">
        <f t="shared" si="9"/>
        <v>65100</v>
      </c>
      <c r="AL10" s="208">
        <f t="shared" si="9"/>
        <v>113150</v>
      </c>
      <c r="AM10" s="208">
        <f t="shared" si="9"/>
        <v>111600</v>
      </c>
      <c r="AN10" s="208">
        <f t="shared" si="9"/>
        <v>79949</v>
      </c>
      <c r="AO10" s="208">
        <f t="shared" si="9"/>
        <v>59210</v>
      </c>
      <c r="AP10" s="208">
        <f t="shared" si="9"/>
        <v>1151309</v>
      </c>
    </row>
    <row r="11" spans="1:42">
      <c r="A11" s="225">
        <f t="shared" ref="A11:A39" si="10">A10+1</f>
        <v>45872</v>
      </c>
      <c r="B11" s="229">
        <v>0</v>
      </c>
      <c r="C11" s="219">
        <v>0</v>
      </c>
      <c r="D11" s="219">
        <v>150</v>
      </c>
      <c r="E11" s="219">
        <v>575</v>
      </c>
      <c r="F11" s="219">
        <v>590</v>
      </c>
      <c r="G11" s="219">
        <v>350</v>
      </c>
      <c r="H11" s="230">
        <v>290</v>
      </c>
      <c r="I11" s="232">
        <f t="shared" si="0"/>
        <v>1955</v>
      </c>
      <c r="J11" s="229">
        <f>'PCOLP I'!AL10</f>
        <v>257</v>
      </c>
      <c r="K11" s="219">
        <f>'PCOLP II'!AL10</f>
        <v>907</v>
      </c>
      <c r="L11" s="219">
        <f>PCPV!AN10</f>
        <v>355</v>
      </c>
      <c r="M11" s="219">
        <f>Z1PCSPSP!AK10</f>
        <v>572</v>
      </c>
      <c r="N11" s="219">
        <f>Z1PCSPSP!CT10</f>
        <v>661</v>
      </c>
      <c r="O11" s="219">
        <f>Z1PCSPSP!EQ10</f>
        <v>191</v>
      </c>
      <c r="P11" s="230">
        <f>PVT!AI10</f>
        <v>332</v>
      </c>
      <c r="Q11" s="232">
        <f t="shared" si="1"/>
        <v>3275</v>
      </c>
      <c r="R11" s="221">
        <f>SUM(J$9:$J11)/SUM(B$9:$B11)</f>
        <v>1.3176000000000001</v>
      </c>
      <c r="S11" s="221">
        <f>SUM(K$9:$K11)/SUM(C$9:$C11)</f>
        <v>3.3824999999999998</v>
      </c>
      <c r="T11" s="221">
        <f>SUM($L$9:L11)/SUM($D$9:D11)</f>
        <v>2.1800000000000002</v>
      </c>
      <c r="U11" s="221">
        <f>SUM(M$9:$M11)/SUM(E$9:$E11)</f>
        <v>0.96095179987797441</v>
      </c>
      <c r="V11" s="221">
        <f>SUM($N$9:N11)/SUM($F$9:F11)</f>
        <v>1.0923566878980893</v>
      </c>
      <c r="W11" s="221">
        <f>SUM($O$9:O11)/SUM($G$9:G11)</f>
        <v>0.86909090909090914</v>
      </c>
      <c r="X11" s="221">
        <f>SUM($P$9:P11)/SUM($H$9:H11)</f>
        <v>0.94933333333333336</v>
      </c>
      <c r="Y11" s="233">
        <f>SUM($Q$9:Q11)/SUM($I$9:I11)</f>
        <v>1.2746487949478025</v>
      </c>
      <c r="Z11" s="306">
        <f t="shared" si="2"/>
        <v>1616.4843666463296</v>
      </c>
      <c r="AA11" s="307">
        <f t="shared" si="3"/>
        <v>5704.868951549498</v>
      </c>
      <c r="AB11" s="307">
        <f t="shared" si="4"/>
        <v>2232.886965600961</v>
      </c>
      <c r="AC11" s="307">
        <f t="shared" si="5"/>
        <v>3597.7784347147881</v>
      </c>
      <c r="AD11" s="307">
        <f t="shared" si="6"/>
        <v>4157.5726317246063</v>
      </c>
      <c r="AE11" s="307">
        <f t="shared" si="7"/>
        <v>1201.3560857177001</v>
      </c>
      <c r="AF11" s="308">
        <f t="shared" si="8"/>
        <v>2088.2210495197724</v>
      </c>
      <c r="AH11" t="s">
        <v>147</v>
      </c>
      <c r="AI11" s="208">
        <f>AI12*1000/158.987</f>
        <v>227081.45949039859</v>
      </c>
      <c r="AJ11" s="208">
        <f t="shared" ref="AJ11:AP11" si="11">AJ12*1000/158.987</f>
        <v>96542.484605659585</v>
      </c>
      <c r="AK11" s="208">
        <f t="shared" si="11"/>
        <v>6119.9972324781274</v>
      </c>
      <c r="AL11" s="208">
        <f t="shared" si="11"/>
        <v>65061.92330190519</v>
      </c>
      <c r="AM11" s="208">
        <f t="shared" si="11"/>
        <v>111606.60934541818</v>
      </c>
      <c r="AN11" s="208">
        <f t="shared" si="11"/>
        <v>32361.136445118154</v>
      </c>
      <c r="AO11" s="208">
        <f t="shared" si="11"/>
        <v>52186.656770679365</v>
      </c>
      <c r="AP11" s="208">
        <f t="shared" si="11"/>
        <v>590960.26719165721</v>
      </c>
    </row>
    <row r="12" spans="1:42">
      <c r="A12" s="225">
        <f t="shared" si="10"/>
        <v>45873</v>
      </c>
      <c r="B12" s="229">
        <v>800</v>
      </c>
      <c r="C12" s="219">
        <v>0</v>
      </c>
      <c r="D12" s="219">
        <v>150</v>
      </c>
      <c r="E12" s="219">
        <v>580</v>
      </c>
      <c r="F12" s="219">
        <v>590</v>
      </c>
      <c r="G12" s="219">
        <v>200</v>
      </c>
      <c r="H12" s="230">
        <v>280</v>
      </c>
      <c r="I12" s="232">
        <f t="shared" si="0"/>
        <v>2600</v>
      </c>
      <c r="J12" s="229">
        <f>'PCOLP I'!AL11</f>
        <v>1074</v>
      </c>
      <c r="K12" s="219">
        <f>'PCOLP II'!AL11</f>
        <v>0</v>
      </c>
      <c r="L12" s="219">
        <f>PCPV!AN11</f>
        <v>210</v>
      </c>
      <c r="M12" s="219">
        <f>Z1PCSPSP!AK11</f>
        <v>526</v>
      </c>
      <c r="N12" s="219">
        <f>Z1PCSPSP!CT11</f>
        <v>418</v>
      </c>
      <c r="O12" s="219">
        <f>Z1PCSPSP!EQ11</f>
        <v>197</v>
      </c>
      <c r="P12" s="230">
        <f>PVT!AI11</f>
        <v>307</v>
      </c>
      <c r="Q12" s="232">
        <f t="shared" si="1"/>
        <v>2732</v>
      </c>
      <c r="R12" s="221">
        <f>SUM(J$9:$J12)/SUM(B$9:$B12)</f>
        <v>1.3236363636363637</v>
      </c>
      <c r="S12" s="221">
        <f>SUM(K$9:$K12)/SUM(C$9:$C12)</f>
        <v>3.3824999999999998</v>
      </c>
      <c r="T12" s="221">
        <f>SUM($L$9:L12)/SUM($D$9:D12)</f>
        <v>1.946</v>
      </c>
      <c r="U12" s="221">
        <f>SUM(M$9:$M12)/SUM(E$9:$E12)</f>
        <v>0.94682289319513291</v>
      </c>
      <c r="V12" s="221">
        <f>SUM($N$9:N12)/SUM($F$9:F12)</f>
        <v>0.98750000000000004</v>
      </c>
      <c r="W12" s="221">
        <f>SUM($O$9:O12)/SUM($G$9:G12)</f>
        <v>0.9</v>
      </c>
      <c r="X12" s="221">
        <f>SUM($P$9:P12)/SUM($H$9:H12)</f>
        <v>0.98932038834951452</v>
      </c>
      <c r="Y12" s="233">
        <f>SUM($Q$9:Q12)/SUM($I$9:I12)</f>
        <v>1.2184573800559899</v>
      </c>
      <c r="Z12" s="306">
        <f t="shared" ref="Z12:AF14" si="12">J12*1000/158.987</f>
        <v>6755.2692987476967</v>
      </c>
      <c r="AA12" s="307">
        <f t="shared" si="12"/>
        <v>0</v>
      </c>
      <c r="AB12" s="307">
        <f t="shared" si="12"/>
        <v>1320.862712045639</v>
      </c>
      <c r="AC12" s="307">
        <f t="shared" si="12"/>
        <v>3308.4466025524102</v>
      </c>
      <c r="AD12" s="307">
        <f t="shared" si="12"/>
        <v>2629.145779214653</v>
      </c>
      <c r="AE12" s="307">
        <f t="shared" si="12"/>
        <v>1239.0950203475757</v>
      </c>
      <c r="AF12" s="308">
        <f t="shared" si="12"/>
        <v>1930.9754885619579</v>
      </c>
      <c r="AI12" s="208">
        <f t="shared" ref="AI12:AP12" si="13">J40</f>
        <v>36103</v>
      </c>
      <c r="AJ12" s="208">
        <f t="shared" si="13"/>
        <v>15349</v>
      </c>
      <c r="AK12" s="208">
        <f t="shared" si="13"/>
        <v>973</v>
      </c>
      <c r="AL12" s="208">
        <f t="shared" si="13"/>
        <v>10344</v>
      </c>
      <c r="AM12" s="208">
        <f t="shared" si="13"/>
        <v>17744</v>
      </c>
      <c r="AN12" s="208">
        <f t="shared" si="13"/>
        <v>5145</v>
      </c>
      <c r="AO12" s="208">
        <f t="shared" si="13"/>
        <v>8297</v>
      </c>
      <c r="AP12" s="208">
        <f t="shared" si="13"/>
        <v>93955</v>
      </c>
    </row>
    <row r="13" spans="1:42">
      <c r="A13" s="225">
        <f t="shared" si="10"/>
        <v>45874</v>
      </c>
      <c r="B13" s="229">
        <v>1600</v>
      </c>
      <c r="C13" s="219">
        <v>0</v>
      </c>
      <c r="D13" s="219">
        <v>150</v>
      </c>
      <c r="E13" s="219">
        <v>530</v>
      </c>
      <c r="F13" s="219">
        <v>590</v>
      </c>
      <c r="G13" s="219">
        <v>170</v>
      </c>
      <c r="H13" s="230">
        <v>280</v>
      </c>
      <c r="I13" s="232">
        <f t="shared" si="0"/>
        <v>3320</v>
      </c>
      <c r="J13" s="229">
        <f>'PCOLP I'!AL12</f>
        <v>1188</v>
      </c>
      <c r="K13" s="219">
        <f>'PCOLP II'!AL12</f>
        <v>0</v>
      </c>
      <c r="L13" s="219">
        <f>PCPV!AN12</f>
        <v>0</v>
      </c>
      <c r="M13" s="219">
        <f>Z1PCSPSP!AK12</f>
        <v>484</v>
      </c>
      <c r="N13" s="219">
        <f>Z1PCSPSP!CT12</f>
        <v>630</v>
      </c>
      <c r="O13" s="219">
        <f>Z1PCSPSP!EQ12</f>
        <v>93</v>
      </c>
      <c r="P13" s="230">
        <f>PVT!AI12</f>
        <v>290</v>
      </c>
      <c r="Q13" s="232">
        <f t="shared" si="1"/>
        <v>2685</v>
      </c>
      <c r="R13" s="221">
        <f>SUM(J$9:$J13)/SUM(B$9:$B13)</f>
        <v>1.1338775510204082</v>
      </c>
      <c r="S13" s="221">
        <f>SUM(K$9:$K13)/SUM(C$9:$C13)</f>
        <v>3.3824999999999998</v>
      </c>
      <c r="T13" s="221">
        <f>SUM($L$9:L13)/SUM($D$9:D13)</f>
        <v>1.496923076923077</v>
      </c>
      <c r="U13" s="221">
        <f>SUM(M$9:$M13)/SUM(E$9:$E13)</f>
        <v>0.94034194252455439</v>
      </c>
      <c r="V13" s="221">
        <f>SUM($N$9:N13)/SUM($F$9:F13)</f>
        <v>1.0047272727272727</v>
      </c>
      <c r="W13" s="221">
        <f>SUM($O$9:O13)/SUM($G$9:G13)</f>
        <v>0.83478260869565213</v>
      </c>
      <c r="X13" s="221">
        <f>SUM($P$9:P13)/SUM($H$9:H13)</f>
        <v>0.99923664122137401</v>
      </c>
      <c r="Y13" s="233">
        <f>SUM($Q$9:Q13)/SUM($I$9:I13)</f>
        <v>1.1190145478470648</v>
      </c>
      <c r="Z13" s="306">
        <f t="shared" si="12"/>
        <v>7472.3090567153295</v>
      </c>
      <c r="AA13" s="307">
        <f t="shared" si="12"/>
        <v>0</v>
      </c>
      <c r="AB13" s="307">
        <f t="shared" si="12"/>
        <v>0</v>
      </c>
      <c r="AC13" s="307">
        <f t="shared" si="12"/>
        <v>3044.2740601432824</v>
      </c>
      <c r="AD13" s="307">
        <f t="shared" si="12"/>
        <v>3962.588136136917</v>
      </c>
      <c r="AE13" s="307">
        <f t="shared" si="12"/>
        <v>584.95348676306867</v>
      </c>
      <c r="AF13" s="308">
        <f t="shared" si="12"/>
        <v>1824.0485071106443</v>
      </c>
      <c r="AH13" t="s">
        <v>148</v>
      </c>
      <c r="AI13" s="337">
        <f>AI11/AI10</f>
        <v>0.62877325070025913</v>
      </c>
      <c r="AJ13" s="337">
        <f t="shared" ref="AJ13:AP13" si="14">AJ11/AJ10</f>
        <v>0.26731963064006531</v>
      </c>
      <c r="AK13" s="337">
        <f t="shared" si="14"/>
        <v>9.4009174078005034E-2</v>
      </c>
      <c r="AL13" s="337">
        <f t="shared" si="14"/>
        <v>0.57500595052501269</v>
      </c>
      <c r="AM13" s="337">
        <f t="shared" si="14"/>
        <v>1.0000592235252526</v>
      </c>
      <c r="AN13" s="337">
        <f t="shared" si="14"/>
        <v>0.40477224787199534</v>
      </c>
      <c r="AO13" s="337">
        <f t="shared" si="14"/>
        <v>0.88138248219353765</v>
      </c>
      <c r="AP13" s="337">
        <f t="shared" si="14"/>
        <v>0.5132942304730157</v>
      </c>
    </row>
    <row r="14" spans="1:42">
      <c r="A14" s="225">
        <f t="shared" si="10"/>
        <v>45875</v>
      </c>
      <c r="B14" s="229">
        <v>0</v>
      </c>
      <c r="C14" s="219">
        <v>600</v>
      </c>
      <c r="D14" s="219">
        <v>150</v>
      </c>
      <c r="E14" s="219">
        <v>530</v>
      </c>
      <c r="F14" s="219">
        <v>590</v>
      </c>
      <c r="G14" s="219">
        <v>170</v>
      </c>
      <c r="H14" s="230">
        <v>290</v>
      </c>
      <c r="I14" s="232">
        <f t="shared" si="0"/>
        <v>2330</v>
      </c>
      <c r="J14" s="229">
        <f>'PCOLP I'!AL13</f>
        <v>167</v>
      </c>
      <c r="K14" s="219">
        <f>'PCOLP II'!AL13</f>
        <v>736</v>
      </c>
      <c r="L14" s="219">
        <f>PCPV!AN13</f>
        <v>0</v>
      </c>
      <c r="M14" s="219">
        <f>Z1PCSPSP!AK13</f>
        <v>544</v>
      </c>
      <c r="N14" s="219">
        <f>Z1PCSPSP!CT13</f>
        <v>712</v>
      </c>
      <c r="O14" s="219">
        <f>Z1PCSPSP!EQ13</f>
        <v>32</v>
      </c>
      <c r="P14" s="230">
        <f>PVT!AI13</f>
        <v>273</v>
      </c>
      <c r="Q14" s="232">
        <f t="shared" si="1"/>
        <v>2464</v>
      </c>
      <c r="R14" s="221">
        <f>SUM(J$9:$J14)/SUM(B$9:$B14)</f>
        <v>1.1679591836734693</v>
      </c>
      <c r="S14" s="221">
        <f>SUM(K$9:$K14)/SUM(C$9:$C14)</f>
        <v>2.089</v>
      </c>
      <c r="T14" s="221">
        <f>SUM($L$9:L14)/SUM($D$9:D14)</f>
        <v>1.2162500000000001</v>
      </c>
      <c r="U14" s="221">
        <f>SUM(M$9:$M14)/SUM(E$9:$E14)</f>
        <v>0.95425434583714552</v>
      </c>
      <c r="V14" s="221">
        <f>SUM($N$9:N14)/SUM($F$9:F14)</f>
        <v>1.0404191616766467</v>
      </c>
      <c r="W14" s="221">
        <f>SUM($O$9:O14)/SUM($G$9:G14)</f>
        <v>0.73394495412844041</v>
      </c>
      <c r="X14" s="221">
        <f>SUM($P$9:P14)/SUM($H$9:H14)</f>
        <v>0.98875000000000002</v>
      </c>
      <c r="Y14" s="233">
        <f>SUM($Q$9:Q14)/SUM($I$9:I14)</f>
        <v>1.1100630895121495</v>
      </c>
      <c r="Z14" s="306">
        <f t="shared" si="12"/>
        <v>1050.4003471981987</v>
      </c>
      <c r="AA14" s="307">
        <f t="shared" si="12"/>
        <v>4629.3093145980492</v>
      </c>
      <c r="AB14" s="307">
        <f t="shared" si="12"/>
        <v>0</v>
      </c>
      <c r="AC14" s="307">
        <f t="shared" si="12"/>
        <v>3421.6634064420364</v>
      </c>
      <c r="AD14" s="307">
        <f t="shared" si="12"/>
        <v>4478.3535760785471</v>
      </c>
      <c r="AE14" s="307">
        <f t="shared" si="12"/>
        <v>201.27431802600213</v>
      </c>
      <c r="AF14" s="308">
        <f t="shared" si="12"/>
        <v>1717.1215256593307</v>
      </c>
    </row>
    <row r="15" spans="1:42">
      <c r="A15" s="225">
        <f t="shared" si="10"/>
        <v>45876</v>
      </c>
      <c r="B15" s="229">
        <v>1400</v>
      </c>
      <c r="C15" s="219">
        <v>0</v>
      </c>
      <c r="D15" s="219">
        <v>280</v>
      </c>
      <c r="E15" s="219">
        <v>580</v>
      </c>
      <c r="F15" s="219">
        <v>590</v>
      </c>
      <c r="G15" s="219">
        <v>400</v>
      </c>
      <c r="H15" s="230">
        <v>250</v>
      </c>
      <c r="I15" s="232">
        <f t="shared" si="0"/>
        <v>3500</v>
      </c>
      <c r="J15" s="229">
        <f>'PCOLP I'!AL14</f>
        <v>0</v>
      </c>
      <c r="K15" s="219">
        <f>'PCOLP II'!AL14</f>
        <v>63</v>
      </c>
      <c r="L15" s="219">
        <f>PCPV!AN14</f>
        <v>0</v>
      </c>
      <c r="M15" s="219">
        <f>Z1PCSPSP!AK14</f>
        <v>570</v>
      </c>
      <c r="N15" s="219">
        <f>Z1PCSPSP!CT14</f>
        <v>594</v>
      </c>
      <c r="O15" s="219">
        <f>Z1PCSPSP!EQ14</f>
        <v>204</v>
      </c>
      <c r="P15" s="230">
        <f>PVT!AI14</f>
        <v>333</v>
      </c>
      <c r="Q15" s="232">
        <f t="shared" si="1"/>
        <v>1764</v>
      </c>
      <c r="R15" s="221">
        <f>SUM(J$9:$J15)/SUM(B$9:$B15)</f>
        <v>0.90841269841269845</v>
      </c>
      <c r="S15" s="221">
        <f>SUM(K$9:$K15)/SUM(C$9:$C15)</f>
        <v>2.1520000000000001</v>
      </c>
      <c r="T15" s="221">
        <f>SUM($L$9:L15)/SUM($D$9:D15)</f>
        <v>0.90092592592592591</v>
      </c>
      <c r="U15" s="221">
        <f>SUM(M$9:$M15)/SUM(E$9:$E15)</f>
        <v>0.95853848147188392</v>
      </c>
      <c r="V15" s="221">
        <f>SUM($N$9:N15)/SUM($F$9:F15)</f>
        <v>1.0353689567430024</v>
      </c>
      <c r="W15" s="221">
        <f>SUM($O$9:O15)/SUM($G$9:G15)</f>
        <v>0.67382550335570468</v>
      </c>
      <c r="X15" s="221">
        <f>SUM($P$9:P15)/SUM($H$9:H15)</f>
        <v>1.0351351351351352</v>
      </c>
      <c r="Y15" s="233">
        <f>SUM($Q$9:Q15)/SUM($I$9:I15)</f>
        <v>1.0013327182326106</v>
      </c>
      <c r="Z15" s="306">
        <f t="shared" si="2"/>
        <v>0</v>
      </c>
      <c r="AA15" s="307">
        <f t="shared" si="3"/>
        <v>396.2588136136917</v>
      </c>
      <c r="AB15" s="307">
        <f t="shared" si="4"/>
        <v>0</v>
      </c>
      <c r="AC15" s="307">
        <f t="shared" si="5"/>
        <v>3585.1987898381631</v>
      </c>
      <c r="AD15" s="307">
        <f t="shared" si="6"/>
        <v>3736.1545283576647</v>
      </c>
      <c r="AE15" s="307">
        <f t="shared" si="7"/>
        <v>1283.1237774157637</v>
      </c>
      <c r="AF15" s="308">
        <f t="shared" si="8"/>
        <v>2094.5108719580849</v>
      </c>
    </row>
    <row r="16" spans="1:42">
      <c r="A16" s="225">
        <f t="shared" si="10"/>
        <v>45877</v>
      </c>
      <c r="B16" s="229">
        <v>800</v>
      </c>
      <c r="C16" s="219">
        <v>1000</v>
      </c>
      <c r="D16" s="219">
        <v>280</v>
      </c>
      <c r="E16" s="219">
        <v>580</v>
      </c>
      <c r="F16" s="219">
        <v>590</v>
      </c>
      <c r="G16" s="219">
        <v>350</v>
      </c>
      <c r="H16" s="230">
        <v>290</v>
      </c>
      <c r="I16" s="232">
        <f t="shared" si="0"/>
        <v>3890</v>
      </c>
      <c r="J16" s="229">
        <f>'PCOLP I'!AL15</f>
        <v>30</v>
      </c>
      <c r="K16" s="219">
        <f>'PCOLP II'!AL15</f>
        <v>0</v>
      </c>
      <c r="L16" s="219">
        <f>PCPV!AN15</f>
        <v>0</v>
      </c>
      <c r="M16" s="219">
        <f>Z1PCSPSP!AK15</f>
        <v>572</v>
      </c>
      <c r="N16" s="219">
        <f>Z1PCSPSP!CT15</f>
        <v>640</v>
      </c>
      <c r="O16" s="219">
        <f>Z1PCSPSP!EQ15</f>
        <v>405</v>
      </c>
      <c r="P16" s="230">
        <f>PVT!AI15</f>
        <v>291</v>
      </c>
      <c r="Q16" s="232">
        <f t="shared" si="1"/>
        <v>1938</v>
      </c>
      <c r="R16" s="221">
        <f>SUM(J$9:$J16)/SUM(B$9:$B16)</f>
        <v>0.81028169014084506</v>
      </c>
      <c r="S16" s="221">
        <f>SUM(K$9:$K16)/SUM(C$9:$C16)</f>
        <v>1.0760000000000001</v>
      </c>
      <c r="T16" s="221">
        <f>SUM($L$9:L16)/SUM($D$9:D16)</f>
        <v>0.71544117647058825</v>
      </c>
      <c r="U16" s="221">
        <f>SUM(M$9:$M16)/SUM(E$9:$E16)</f>
        <v>0.96215363820680333</v>
      </c>
      <c r="V16" s="221">
        <f>SUM($N$9:N16)/SUM($F$9:F16)</f>
        <v>1.0418141592920354</v>
      </c>
      <c r="W16" s="221">
        <f>SUM($O$9:O16)/SUM($G$9:G16)</f>
        <v>0.76576086956521738</v>
      </c>
      <c r="X16" s="221">
        <f>SUM($P$9:P16)/SUM($H$9:H16)</f>
        <v>1.030841121495327</v>
      </c>
      <c r="Y16" s="233">
        <f>SUM($Q$9:Q16)/SUM($I$9:I16)</f>
        <v>0.91768879011923588</v>
      </c>
      <c r="Z16" s="306">
        <f t="shared" si="2"/>
        <v>188.694673149377</v>
      </c>
      <c r="AA16" s="307">
        <f t="shared" si="3"/>
        <v>0</v>
      </c>
      <c r="AB16" s="307">
        <f t="shared" si="4"/>
        <v>0</v>
      </c>
      <c r="AC16" s="307">
        <f t="shared" si="5"/>
        <v>3597.7784347147881</v>
      </c>
      <c r="AD16" s="307">
        <f t="shared" si="6"/>
        <v>4025.4863605200426</v>
      </c>
      <c r="AE16" s="307">
        <f t="shared" si="7"/>
        <v>2547.3780875165894</v>
      </c>
      <c r="AF16" s="308">
        <f t="shared" si="8"/>
        <v>1830.3383295489568</v>
      </c>
    </row>
    <row r="17" spans="1:32">
      <c r="A17" s="225">
        <f t="shared" si="10"/>
        <v>45878</v>
      </c>
      <c r="B17" s="229">
        <v>1000</v>
      </c>
      <c r="C17" s="219">
        <v>200</v>
      </c>
      <c r="D17" s="219">
        <v>280</v>
      </c>
      <c r="E17" s="219">
        <v>0</v>
      </c>
      <c r="F17" s="219">
        <v>590</v>
      </c>
      <c r="G17" s="219">
        <v>250</v>
      </c>
      <c r="H17" s="230">
        <v>250</v>
      </c>
      <c r="I17" s="232">
        <f t="shared" si="0"/>
        <v>2570</v>
      </c>
      <c r="J17" s="229">
        <f>'PCOLP I'!AL16</f>
        <v>1520</v>
      </c>
      <c r="K17" s="219">
        <f>'PCOLP II'!AL16</f>
        <v>716</v>
      </c>
      <c r="L17" s="219">
        <f>PCPV!AN16</f>
        <v>0</v>
      </c>
      <c r="M17" s="219">
        <f>Z1PCSPSP!AK16</f>
        <v>475</v>
      </c>
      <c r="N17" s="219">
        <f>Z1PCSPSP!CT16</f>
        <v>472</v>
      </c>
      <c r="O17" s="219">
        <f>Z1PCSPSP!EQ16</f>
        <v>438</v>
      </c>
      <c r="P17" s="230">
        <f>PVT!AI16</f>
        <v>323</v>
      </c>
      <c r="Q17" s="232">
        <f t="shared" si="1"/>
        <v>3944</v>
      </c>
      <c r="R17" s="221">
        <f>SUM(J$9:$J17)/SUM(B$9:$B17)</f>
        <v>0.89790123456790127</v>
      </c>
      <c r="S17" s="221">
        <f>SUM(K$9:$K17)/SUM(C$9:$C17)</f>
        <v>1.3036363636363637</v>
      </c>
      <c r="T17" s="221">
        <f>SUM($L$9:L17)/SUM($D$9:D17)</f>
        <v>0.59329268292682924</v>
      </c>
      <c r="U17" s="221">
        <f>SUM(M$9:$M17)/SUM(E$9:$E17)</f>
        <v>1.0691597206578058</v>
      </c>
      <c r="V17" s="221">
        <f>SUM($N$9:N17)/SUM($F$9:F17)</f>
        <v>1.0138943248532291</v>
      </c>
      <c r="W17" s="221">
        <f>SUM($O$9:O17)/SUM($G$9:G17)</f>
        <v>0.88373205741626792</v>
      </c>
      <c r="X17" s="221">
        <f>SUM($P$9:P17)/SUM($H$9:H17)</f>
        <v>1.0581589958158997</v>
      </c>
      <c r="Y17" s="233">
        <f>SUM($Q$9:Q17)/SUM($I$9:I17)</f>
        <v>0.97874388694212333</v>
      </c>
      <c r="Z17" s="306">
        <f t="shared" si="2"/>
        <v>9560.5301062351009</v>
      </c>
      <c r="AA17" s="307">
        <f t="shared" si="3"/>
        <v>4503.5128658317981</v>
      </c>
      <c r="AB17" s="307">
        <f t="shared" si="4"/>
        <v>0</v>
      </c>
      <c r="AC17" s="307">
        <f t="shared" si="5"/>
        <v>2987.6656581984694</v>
      </c>
      <c r="AD17" s="307">
        <f t="shared" si="6"/>
        <v>2968.7961908835314</v>
      </c>
      <c r="AE17" s="307">
        <f t="shared" si="7"/>
        <v>2754.9422279809041</v>
      </c>
      <c r="AF17" s="308">
        <f t="shared" si="8"/>
        <v>2031.6126475749591</v>
      </c>
    </row>
    <row r="18" spans="1:32">
      <c r="A18" s="225">
        <f t="shared" si="10"/>
        <v>45879</v>
      </c>
      <c r="B18" s="229">
        <v>1500</v>
      </c>
      <c r="C18" s="219">
        <v>800</v>
      </c>
      <c r="D18" s="219">
        <v>280</v>
      </c>
      <c r="E18" s="219">
        <v>0</v>
      </c>
      <c r="F18" s="219">
        <v>590</v>
      </c>
      <c r="G18" s="219">
        <v>170</v>
      </c>
      <c r="H18" s="230">
        <v>300</v>
      </c>
      <c r="I18" s="232">
        <f t="shared" si="0"/>
        <v>3640</v>
      </c>
      <c r="J18" s="229">
        <f>'PCOLP I'!AL17</f>
        <v>529</v>
      </c>
      <c r="K18" s="219">
        <f>'PCOLP II'!AL17</f>
        <v>1030</v>
      </c>
      <c r="L18" s="219">
        <f>PCPV!AN17</f>
        <v>0</v>
      </c>
      <c r="M18" s="219">
        <f>Z1PCSPSP!AK17</f>
        <v>46</v>
      </c>
      <c r="N18" s="219">
        <f>Z1PCSPSP!CT17</f>
        <v>720</v>
      </c>
      <c r="O18" s="219">
        <f>Z1PCSPSP!EQ17</f>
        <v>135</v>
      </c>
      <c r="P18" s="230">
        <f>PVT!AI17</f>
        <v>305</v>
      </c>
      <c r="Q18" s="232">
        <f t="shared" si="1"/>
        <v>2765</v>
      </c>
      <c r="R18" s="221">
        <f>SUM(J$9:$J18)/SUM(B$9:$B18)</f>
        <v>0.81270833333333337</v>
      </c>
      <c r="S18" s="221">
        <f>SUM(K$9:$K18)/SUM(C$9:$C18)</f>
        <v>1.2993333333333332</v>
      </c>
      <c r="T18" s="221">
        <f>SUM($L$9:L18)/SUM($D$9:D18)</f>
        <v>0.50677083333333328</v>
      </c>
      <c r="U18" s="221">
        <f>SUM(M$9:$M18)/SUM(E$9:$E18)</f>
        <v>1.079522414958324</v>
      </c>
      <c r="V18" s="221">
        <f>SUM($N$9:N18)/SUM($F$9:F18)</f>
        <v>1.0352631578947369</v>
      </c>
      <c r="W18" s="221">
        <f>SUM($O$9:O18)/SUM($G$9:G18)</f>
        <v>0.87699115044247788</v>
      </c>
      <c r="X18" s="221">
        <f>SUM($P$9:P18)/SUM($H$9:H18)</f>
        <v>1.0535315985130111</v>
      </c>
      <c r="Y18" s="233">
        <f>SUM($Q$9:Q18)/SUM($I$9:I18)</f>
        <v>0.95180519436657773</v>
      </c>
      <c r="Z18" s="306">
        <f t="shared" si="2"/>
        <v>3327.3160698673478</v>
      </c>
      <c r="AA18" s="307">
        <f t="shared" si="3"/>
        <v>6478.5171114619434</v>
      </c>
      <c r="AB18" s="307">
        <f t="shared" si="4"/>
        <v>0</v>
      </c>
      <c r="AC18" s="307">
        <f t="shared" si="5"/>
        <v>289.33183216237808</v>
      </c>
      <c r="AD18" s="307">
        <f t="shared" si="6"/>
        <v>4528.6721555850481</v>
      </c>
      <c r="AE18" s="307">
        <f t="shared" si="7"/>
        <v>849.12602917219647</v>
      </c>
      <c r="AF18" s="308">
        <f t="shared" si="8"/>
        <v>1918.3958436853329</v>
      </c>
    </row>
    <row r="19" spans="1:32">
      <c r="A19" s="225">
        <f t="shared" si="10"/>
        <v>45880</v>
      </c>
      <c r="B19" s="229">
        <v>1600</v>
      </c>
      <c r="C19" s="219">
        <v>300</v>
      </c>
      <c r="D19" s="219">
        <v>280</v>
      </c>
      <c r="E19" s="219">
        <v>0</v>
      </c>
      <c r="F19" s="219">
        <v>590</v>
      </c>
      <c r="G19" s="219">
        <v>170</v>
      </c>
      <c r="H19" s="230">
        <v>300</v>
      </c>
      <c r="I19" s="232">
        <f t="shared" si="0"/>
        <v>3240</v>
      </c>
      <c r="J19" s="229">
        <f>'PCOLP I'!AL18</f>
        <v>1107</v>
      </c>
      <c r="K19" s="219">
        <f>'PCOLP II'!AL18</f>
        <v>0</v>
      </c>
      <c r="L19" s="219">
        <f>PCPV!AN18</f>
        <v>0</v>
      </c>
      <c r="M19" s="219">
        <f>Z1PCSPSP!AK18</f>
        <v>10</v>
      </c>
      <c r="N19" s="219">
        <f>Z1PCSPSP!CT18</f>
        <v>680</v>
      </c>
      <c r="O19" s="219">
        <f>Z1PCSPSP!EQ18</f>
        <v>88</v>
      </c>
      <c r="P19" s="230">
        <f>PVT!AI18</f>
        <v>315</v>
      </c>
      <c r="Q19" s="232">
        <f t="shared" si="1"/>
        <v>2200</v>
      </c>
      <c r="R19" s="221">
        <f>SUM(J$9:$J19)/SUM(B$9:$B19)</f>
        <v>0.79544642857142855</v>
      </c>
      <c r="S19" s="221">
        <f>SUM(K$9:$K19)/SUM(C$9:$C19)</f>
        <v>1.1812121212121212</v>
      </c>
      <c r="T19" s="221">
        <f>SUM($L$9:L19)/SUM($D$9:D19)</f>
        <v>0.44227272727272726</v>
      </c>
      <c r="U19" s="221">
        <f>SUM(M$9:$M19)/SUM(E$9:$E19)</f>
        <v>1.0817751745888713</v>
      </c>
      <c r="V19" s="221">
        <f>SUM($N$9:N19)/SUM($F$9:F19)</f>
        <v>1.0462639109697933</v>
      </c>
      <c r="W19" s="221">
        <f>SUM($O$9:O19)/SUM($G$9:G19)</f>
        <v>0.85185185185185186</v>
      </c>
      <c r="X19" s="221">
        <f>SUM($P$9:P19)/SUM($H$9:H19)</f>
        <v>1.0531772575250835</v>
      </c>
      <c r="Y19" s="233">
        <f>SUM($Q$9:Q19)/SUM($I$9:I19)</f>
        <v>0.92489877926268682</v>
      </c>
      <c r="Z19" s="306">
        <f t="shared" si="2"/>
        <v>6962.8334392120114</v>
      </c>
      <c r="AA19" s="307">
        <f t="shared" si="3"/>
        <v>0</v>
      </c>
      <c r="AB19" s="307">
        <f t="shared" si="4"/>
        <v>0</v>
      </c>
      <c r="AC19" s="307">
        <f t="shared" si="5"/>
        <v>62.898224383125665</v>
      </c>
      <c r="AD19" s="307">
        <f t="shared" si="6"/>
        <v>4277.0792580525449</v>
      </c>
      <c r="AE19" s="307">
        <f t="shared" si="7"/>
        <v>553.50437457150588</v>
      </c>
      <c r="AF19" s="308">
        <f t="shared" si="8"/>
        <v>1981.2940680684585</v>
      </c>
    </row>
    <row r="20" spans="1:32">
      <c r="A20" s="225">
        <f t="shared" si="10"/>
        <v>45881</v>
      </c>
      <c r="B20" s="229">
        <v>1550</v>
      </c>
      <c r="C20" s="219">
        <v>500</v>
      </c>
      <c r="D20" s="219">
        <v>150</v>
      </c>
      <c r="E20" s="219">
        <v>480</v>
      </c>
      <c r="F20" s="219">
        <v>590</v>
      </c>
      <c r="G20" s="219">
        <v>170</v>
      </c>
      <c r="H20" s="230">
        <v>280</v>
      </c>
      <c r="I20" s="232">
        <f t="shared" si="0"/>
        <v>3720</v>
      </c>
      <c r="J20" s="229">
        <f>'PCOLP I'!AL19</f>
        <v>1208</v>
      </c>
      <c r="K20" s="219">
        <f>'PCOLP II'!AL19</f>
        <v>536</v>
      </c>
      <c r="L20" s="219">
        <f>PCPV!AN19</f>
        <v>0</v>
      </c>
      <c r="M20" s="219">
        <f>Z1PCSPSP!AK19</f>
        <v>0</v>
      </c>
      <c r="N20" s="219">
        <f>Z1PCSPSP!CT19</f>
        <v>676</v>
      </c>
      <c r="O20" s="219">
        <f>Z1PCSPSP!EQ19</f>
        <v>207</v>
      </c>
      <c r="P20" s="230">
        <f>PVT!AI19</f>
        <v>304</v>
      </c>
      <c r="Q20" s="232">
        <f t="shared" si="1"/>
        <v>2931</v>
      </c>
      <c r="R20" s="221">
        <f>SUM(J$9:$J20)/SUM(B$9:$B20)</f>
        <v>0.79349019607843141</v>
      </c>
      <c r="S20" s="221">
        <f>SUM(K$9:$K20)/SUM(C$9:$C20)</f>
        <v>1.1668421052631579</v>
      </c>
      <c r="T20" s="221">
        <f>SUM($L$9:L20)/SUM($D$9:D20)</f>
        <v>0.41404255319148936</v>
      </c>
      <c r="U20" s="221">
        <f>SUM(M$9:$M20)/SUM(E$9:$E20)</f>
        <v>0.97621467778003657</v>
      </c>
      <c r="V20" s="221">
        <f>SUM($N$9:N20)/SUM($F$9:F20)</f>
        <v>1.054796511627907</v>
      </c>
      <c r="W20" s="221">
        <f>SUM($O$9:O20)/SUM($G$9:G20)</f>
        <v>0.87576923076923074</v>
      </c>
      <c r="X20" s="221">
        <f>SUM($P$9:P20)/SUM($H$9:H20)</f>
        <v>1.0559633027522937</v>
      </c>
      <c r="Y20" s="233">
        <f>SUM($Q$9:Q20)/SUM($I$9:I20)</f>
        <v>0.91096283737591954</v>
      </c>
      <c r="Z20" s="306">
        <f t="shared" si="2"/>
        <v>7598.1055054815806</v>
      </c>
      <c r="AA20" s="307">
        <f t="shared" si="3"/>
        <v>3371.3448269355358</v>
      </c>
      <c r="AB20" s="307">
        <f t="shared" si="4"/>
        <v>0</v>
      </c>
      <c r="AC20" s="307">
        <f t="shared" si="5"/>
        <v>0</v>
      </c>
      <c r="AD20" s="307">
        <f t="shared" si="6"/>
        <v>4251.9199682992949</v>
      </c>
      <c r="AE20" s="307">
        <f t="shared" si="7"/>
        <v>1301.9932447307012</v>
      </c>
      <c r="AF20" s="308">
        <f t="shared" si="8"/>
        <v>1912.1060212470202</v>
      </c>
    </row>
    <row r="21" spans="1:32">
      <c r="A21" s="225">
        <f t="shared" si="10"/>
        <v>45882</v>
      </c>
      <c r="B21" s="229">
        <v>1450</v>
      </c>
      <c r="C21" s="219">
        <v>700</v>
      </c>
      <c r="D21" s="219">
        <v>150</v>
      </c>
      <c r="E21" s="219">
        <v>580</v>
      </c>
      <c r="F21" s="219">
        <v>587</v>
      </c>
      <c r="G21" s="219">
        <v>170</v>
      </c>
      <c r="H21" s="230">
        <v>300</v>
      </c>
      <c r="I21" s="232">
        <f t="shared" si="0"/>
        <v>3937</v>
      </c>
      <c r="J21" s="229">
        <f>'PCOLP I'!AL20</f>
        <v>1610</v>
      </c>
      <c r="K21" s="219">
        <f>'PCOLP II'!AL20</f>
        <v>151</v>
      </c>
      <c r="L21" s="219">
        <f>PCPV!AN20</f>
        <v>0</v>
      </c>
      <c r="M21" s="219">
        <f>Z1PCSPSP!AK20</f>
        <v>438</v>
      </c>
      <c r="N21" s="219">
        <f>Z1PCSPSP!CT20</f>
        <v>601</v>
      </c>
      <c r="O21" s="219">
        <f>Z1PCSPSP!EQ20</f>
        <v>155</v>
      </c>
      <c r="P21" s="230">
        <f>PVT!AI20</f>
        <v>285</v>
      </c>
      <c r="Q21" s="232">
        <f t="shared" si="1"/>
        <v>3240</v>
      </c>
      <c r="R21" s="221">
        <f>SUM(J$9:$J21)/SUM(B$9:$B21)</f>
        <v>0.82584507042253519</v>
      </c>
      <c r="S21" s="221">
        <f>SUM(K$9:$K21)/SUM(C$9:$C21)</f>
        <v>1.018888888888889</v>
      </c>
      <c r="T21" s="221">
        <f>SUM($L$9:L21)/SUM($D$9:D21)</f>
        <v>0.38919999999999999</v>
      </c>
      <c r="U21" s="221">
        <f>SUM(M$9:$M21)/SUM(E$9:$E21)</f>
        <v>0.95290052736861253</v>
      </c>
      <c r="V21" s="221">
        <f>SUM($N$9:N21)/SUM($F$9:F21)</f>
        <v>1.0523637337618856</v>
      </c>
      <c r="W21" s="221">
        <f>SUM($O$9:O21)/SUM($G$9:G21)</f>
        <v>0.87797833935018055</v>
      </c>
      <c r="X21" s="221">
        <f>SUM($P$9:P21)/SUM($H$9:H21)</f>
        <v>1.0470588235294118</v>
      </c>
      <c r="Y21" s="233">
        <f>SUM($Q$9:Q21)/SUM($I$9:I21)</f>
        <v>0.90240951957734661</v>
      </c>
      <c r="Z21" s="306">
        <f t="shared" si="2"/>
        <v>10126.614125683232</v>
      </c>
      <c r="AA21" s="307">
        <f t="shared" si="3"/>
        <v>949.76318818519758</v>
      </c>
      <c r="AB21" s="307">
        <f t="shared" si="4"/>
        <v>0</v>
      </c>
      <c r="AC21" s="307">
        <f t="shared" si="5"/>
        <v>2754.9422279809041</v>
      </c>
      <c r="AD21" s="307">
        <f t="shared" si="6"/>
        <v>3780.1832854258528</v>
      </c>
      <c r="AE21" s="307">
        <f t="shared" si="7"/>
        <v>974.92247793844786</v>
      </c>
      <c r="AF21" s="308">
        <f t="shared" si="8"/>
        <v>1792.5993949190815</v>
      </c>
    </row>
    <row r="22" spans="1:32">
      <c r="A22" s="225">
        <f t="shared" si="10"/>
        <v>45883</v>
      </c>
      <c r="B22" s="229">
        <v>1450</v>
      </c>
      <c r="C22" s="219">
        <v>900</v>
      </c>
      <c r="D22" s="219">
        <v>150</v>
      </c>
      <c r="E22" s="219">
        <v>580</v>
      </c>
      <c r="F22" s="219">
        <v>587</v>
      </c>
      <c r="G22" s="219">
        <v>170</v>
      </c>
      <c r="H22" s="230">
        <v>250</v>
      </c>
      <c r="I22" s="232">
        <f t="shared" si="0"/>
        <v>4087</v>
      </c>
      <c r="J22" s="229">
        <f>'PCOLP I'!AL21</f>
        <v>1612</v>
      </c>
      <c r="K22" s="219">
        <f>'PCOLP II'!AL21</f>
        <v>0</v>
      </c>
      <c r="L22" s="219">
        <f>PCPV!AN21</f>
        <v>0</v>
      </c>
      <c r="M22" s="219">
        <f>Z1PCSPSP!AK21</f>
        <v>578</v>
      </c>
      <c r="N22" s="219">
        <f>Z1PCSPSP!CT21</f>
        <v>619</v>
      </c>
      <c r="O22" s="219">
        <f>Z1PCSPSP!EQ21</f>
        <v>186</v>
      </c>
      <c r="P22" s="230">
        <f>PVT!AI21</f>
        <v>303</v>
      </c>
      <c r="Q22" s="232">
        <f t="shared" si="1"/>
        <v>3298</v>
      </c>
      <c r="R22" s="221">
        <f>SUM(J$9:$J22)/SUM(B$9:$B22)</f>
        <v>0.85233226837060705</v>
      </c>
      <c r="S22" s="221">
        <f>SUM(K$9:$K22)/SUM(C$9:$C22)</f>
        <v>0.84907407407407409</v>
      </c>
      <c r="T22" s="221">
        <f>SUM($L$9:L22)/SUM($D$9:D22)</f>
        <v>0.36716981132075471</v>
      </c>
      <c r="U22" s="221">
        <f>SUM(M$9:$M22)/SUM(E$9:$E22)</f>
        <v>0.95706530679388058</v>
      </c>
      <c r="V22" s="221">
        <f>SUM($N$9:N22)/SUM($F$9:F22)</f>
        <v>1.052520486714676</v>
      </c>
      <c r="W22" s="221">
        <f>SUM($O$9:O22)/SUM($G$9:G22)</f>
        <v>0.89047619047619042</v>
      </c>
      <c r="X22" s="221">
        <f>SUM($P$9:P22)/SUM($H$9:H22)</f>
        <v>1.0578534031413613</v>
      </c>
      <c r="Y22" s="233">
        <f>SUM($Q$9:Q22)/SUM($I$9:I22)</f>
        <v>0.89366043997936895</v>
      </c>
      <c r="Z22" s="306">
        <f t="shared" si="2"/>
        <v>10139.193770559858</v>
      </c>
      <c r="AA22" s="307">
        <f t="shared" si="3"/>
        <v>0</v>
      </c>
      <c r="AB22" s="307">
        <f t="shared" si="4"/>
        <v>0</v>
      </c>
      <c r="AC22" s="307">
        <f t="shared" si="5"/>
        <v>3635.5173693446636</v>
      </c>
      <c r="AD22" s="307">
        <f t="shared" si="6"/>
        <v>3893.4000893154789</v>
      </c>
      <c r="AE22" s="307">
        <f t="shared" si="7"/>
        <v>1169.9069735261373</v>
      </c>
      <c r="AF22" s="308">
        <f t="shared" si="8"/>
        <v>1905.8161988087077</v>
      </c>
    </row>
    <row r="23" spans="1:32">
      <c r="A23" s="225">
        <f t="shared" si="10"/>
        <v>45884</v>
      </c>
      <c r="B23" s="229">
        <v>1400</v>
      </c>
      <c r="C23" s="219">
        <v>0</v>
      </c>
      <c r="D23" s="219">
        <v>150</v>
      </c>
      <c r="E23" s="219">
        <v>500</v>
      </c>
      <c r="F23" s="219">
        <v>590</v>
      </c>
      <c r="G23" s="219">
        <v>170</v>
      </c>
      <c r="H23" s="230">
        <v>300</v>
      </c>
      <c r="I23" s="232">
        <f t="shared" si="0"/>
        <v>3110</v>
      </c>
      <c r="J23" s="229">
        <f>'PCOLP I'!AL22</f>
        <v>1742</v>
      </c>
      <c r="K23" s="219">
        <f>'PCOLP II'!AL22</f>
        <v>927</v>
      </c>
      <c r="L23" s="219">
        <f>PCPV!AN22</f>
        <v>0</v>
      </c>
      <c r="M23" s="219">
        <f>Z1PCSPSP!AK22</f>
        <v>586</v>
      </c>
      <c r="N23" s="219">
        <f>Z1PCSPSP!CT22</f>
        <v>568</v>
      </c>
      <c r="O23" s="219">
        <f>Z1PCSPSP!EQ22</f>
        <v>199</v>
      </c>
      <c r="P23" s="230">
        <f>PVT!AI22</f>
        <v>140</v>
      </c>
      <c r="Q23" s="232">
        <f t="shared" si="1"/>
        <v>4162</v>
      </c>
      <c r="R23" s="221">
        <f>SUM(J$9:$J23)/SUM(B$9:$B23)</f>
        <v>0.88451612903225807</v>
      </c>
      <c r="S23" s="221">
        <f>SUM(K$9:$K23)/SUM(C$9:$C23)</f>
        <v>1.0207407407407407</v>
      </c>
      <c r="T23" s="221">
        <f>SUM($L$9:L23)/SUM($D$9:D23)</f>
        <v>0.34749999999999998</v>
      </c>
      <c r="U23" s="221">
        <f>SUM(M$9:$M23)/SUM(E$9:$E23)</f>
        <v>0.97340021279829758</v>
      </c>
      <c r="V23" s="221">
        <f>SUM($N$9:N23)/SUM($F$9:F23)</f>
        <v>1.0463905599259602</v>
      </c>
      <c r="W23" s="221">
        <f>SUM($O$9:O23)/SUM($G$9:G23)</f>
        <v>0.90578778135048232</v>
      </c>
      <c r="X23" s="221">
        <f>SUM($P$9:P23)/SUM($H$9:H23)</f>
        <v>1.0148058252427183</v>
      </c>
      <c r="Y23" s="233">
        <f>SUM($Q$9:Q23)/SUM($I$9:I23)</f>
        <v>0.92264637444185904</v>
      </c>
      <c r="Z23" s="234">
        <f t="shared" si="2"/>
        <v>10956.870687540491</v>
      </c>
      <c r="AA23" s="222">
        <f t="shared" si="3"/>
        <v>5830.6654003157491</v>
      </c>
      <c r="AB23" s="222">
        <f t="shared" si="4"/>
        <v>0</v>
      </c>
      <c r="AC23" s="222">
        <f t="shared" si="5"/>
        <v>3685.8359488511642</v>
      </c>
      <c r="AD23" s="222">
        <f t="shared" si="6"/>
        <v>3572.619144961538</v>
      </c>
      <c r="AE23" s="222">
        <f t="shared" si="7"/>
        <v>1251.6746652242007</v>
      </c>
      <c r="AF23" s="235">
        <f t="shared" si="8"/>
        <v>880.57514136375937</v>
      </c>
    </row>
    <row r="24" spans="1:32">
      <c r="A24" s="225">
        <f t="shared" si="10"/>
        <v>45885</v>
      </c>
      <c r="B24" s="229">
        <v>1500</v>
      </c>
      <c r="C24" s="219">
        <v>600</v>
      </c>
      <c r="D24" s="219">
        <v>150</v>
      </c>
      <c r="E24" s="219">
        <v>100</v>
      </c>
      <c r="F24" s="219">
        <v>590</v>
      </c>
      <c r="G24" s="219">
        <v>0</v>
      </c>
      <c r="H24" s="230">
        <v>300</v>
      </c>
      <c r="I24" s="232">
        <f t="shared" si="0"/>
        <v>3240</v>
      </c>
      <c r="J24" s="229">
        <f>'PCOLP I'!AL23</f>
        <v>873</v>
      </c>
      <c r="K24" s="219">
        <f>'PCOLP II'!AL23</f>
        <v>893</v>
      </c>
      <c r="L24" s="219">
        <f>PCPV!AN23</f>
        <v>0</v>
      </c>
      <c r="M24" s="219">
        <f>Z1PCSPSP!AK23</f>
        <v>410</v>
      </c>
      <c r="N24" s="219">
        <f>Z1PCSPSP!CT23</f>
        <v>604</v>
      </c>
      <c r="O24" s="219">
        <f>Z1PCSPSP!EQ23</f>
        <v>36</v>
      </c>
      <c r="P24" s="230">
        <f>PVT!AI23</f>
        <v>305</v>
      </c>
      <c r="Q24" s="232">
        <f t="shared" si="1"/>
        <v>3121</v>
      </c>
      <c r="R24" s="221">
        <f>SUM(J$9:$J24)/SUM(B$9:$B24)</f>
        <v>0.86005390835579509</v>
      </c>
      <c r="S24" s="221">
        <f>SUM(K$9:$K24)/SUM(C$9:$C24)</f>
        <v>1.0674999999999999</v>
      </c>
      <c r="T24" s="221">
        <f>SUM($L$9:L24)/SUM($D$9:D24)</f>
        <v>0.32983050847457629</v>
      </c>
      <c r="U24" s="221">
        <f>SUM(M$9:$M24)/SUM(E$9:$E24)</f>
        <v>1.0202126066776465</v>
      </c>
      <c r="V24" s="221">
        <f>SUM($N$9:N24)/SUM($F$9:F24)</f>
        <v>1.0449426034221356</v>
      </c>
      <c r="W24" s="221">
        <f>SUM($O$9:O24)/SUM($G$9:G24)</f>
        <v>0.91736334405144693</v>
      </c>
      <c r="X24" s="221">
        <f>SUM($P$9:P24)/SUM($H$9:H24)</f>
        <v>1.0149321266968325</v>
      </c>
      <c r="Y24" s="233">
        <f>SUM($Q$9:Q24)/SUM($I$9:I24)</f>
        <v>0.92523015919753449</v>
      </c>
      <c r="Z24" s="234">
        <f t="shared" si="2"/>
        <v>5491.0149886468707</v>
      </c>
      <c r="AA24" s="222">
        <f t="shared" si="3"/>
        <v>5616.8114374131219</v>
      </c>
      <c r="AB24" s="222">
        <f t="shared" si="4"/>
        <v>0</v>
      </c>
      <c r="AC24" s="222">
        <f t="shared" si="5"/>
        <v>2578.8271997081524</v>
      </c>
      <c r="AD24" s="222">
        <f t="shared" si="6"/>
        <v>3799.0527527407903</v>
      </c>
      <c r="AE24" s="222">
        <f t="shared" si="7"/>
        <v>226.43360777925241</v>
      </c>
      <c r="AF24" s="235">
        <f t="shared" si="8"/>
        <v>1918.3958436853329</v>
      </c>
    </row>
    <row r="25" spans="1:32">
      <c r="A25" s="225">
        <f t="shared" si="10"/>
        <v>45886</v>
      </c>
      <c r="B25" s="229">
        <v>1500</v>
      </c>
      <c r="C25" s="219">
        <v>0</v>
      </c>
      <c r="D25" s="219">
        <v>150</v>
      </c>
      <c r="E25" s="219">
        <v>0</v>
      </c>
      <c r="F25" s="219">
        <v>590</v>
      </c>
      <c r="G25" s="219">
        <v>100</v>
      </c>
      <c r="H25" s="230">
        <v>290</v>
      </c>
      <c r="I25" s="232">
        <f t="shared" si="0"/>
        <v>2630</v>
      </c>
      <c r="J25" s="229">
        <f>'PCOLP I'!AL24</f>
        <v>1707</v>
      </c>
      <c r="K25" s="219">
        <f>'PCOLP II'!AL24</f>
        <v>233</v>
      </c>
      <c r="L25" s="219">
        <f>PCPV!AN24</f>
        <v>0</v>
      </c>
      <c r="M25" s="219">
        <f>Z1PCSPSP!AK24</f>
        <v>34</v>
      </c>
      <c r="N25" s="219">
        <f>Z1PCSPSP!CT24</f>
        <v>637</v>
      </c>
      <c r="O25" s="219">
        <f>Z1PCSPSP!EQ24</f>
        <v>0</v>
      </c>
      <c r="P25" s="230">
        <f>PVT!AI24</f>
        <v>265</v>
      </c>
      <c r="Q25" s="232">
        <f t="shared" si="1"/>
        <v>2876</v>
      </c>
      <c r="R25" s="221">
        <f>SUM(J$9:$J25)/SUM(B$9:$B25)</f>
        <v>0.88084788029925187</v>
      </c>
      <c r="S25" s="221">
        <f>SUM(K$9:$K25)/SUM(C$9:$C25)</f>
        <v>1.1063333333333334</v>
      </c>
      <c r="T25" s="221">
        <f>SUM($L$9:L25)/SUM($D$9:D25)</f>
        <v>0.31387096774193546</v>
      </c>
      <c r="U25" s="221">
        <f>SUM(M$9:$M25)/SUM(E$9:$E25)</f>
        <v>1.0253031891001647</v>
      </c>
      <c r="V25" s="221">
        <f>SUM($N$9:N25)/SUM($F$9:F25)</f>
        <v>1.047027687296417</v>
      </c>
      <c r="W25" s="221">
        <f>SUM($O$9:O25)/SUM($G$9:G25)</f>
        <v>0.88878504672897196</v>
      </c>
      <c r="X25" s="221">
        <f>SUM($P$9:P25)/SUM($H$9:H25)</f>
        <v>1.0087048832271763</v>
      </c>
      <c r="Y25" s="233">
        <f>SUM($Q$9:Q25)/SUM($I$9:I25)</f>
        <v>0.93349261754988522</v>
      </c>
      <c r="Z25" s="236">
        <f t="shared" si="2"/>
        <v>10736.726902199551</v>
      </c>
      <c r="AA25" s="223">
        <f t="shared" si="3"/>
        <v>1465.5286281268279</v>
      </c>
      <c r="AB25" s="223">
        <f t="shared" si="4"/>
        <v>0</v>
      </c>
      <c r="AC25" s="223">
        <f t="shared" si="5"/>
        <v>213.85396290262727</v>
      </c>
      <c r="AD25" s="223">
        <f t="shared" si="6"/>
        <v>4006.616893205105</v>
      </c>
      <c r="AE25" s="223">
        <f t="shared" si="7"/>
        <v>0</v>
      </c>
      <c r="AF25" s="237">
        <f t="shared" si="8"/>
        <v>1666.8029461528301</v>
      </c>
    </row>
    <row r="26" spans="1:32">
      <c r="A26" s="225">
        <f t="shared" si="10"/>
        <v>45887</v>
      </c>
      <c r="B26" s="229">
        <v>1500</v>
      </c>
      <c r="C26" s="219">
        <v>900</v>
      </c>
      <c r="D26" s="219">
        <v>150</v>
      </c>
      <c r="E26" s="219">
        <v>400</v>
      </c>
      <c r="F26" s="219">
        <v>590</v>
      </c>
      <c r="G26" s="219">
        <v>170</v>
      </c>
      <c r="H26" s="230">
        <v>290</v>
      </c>
      <c r="I26" s="232">
        <f t="shared" si="0"/>
        <v>4000</v>
      </c>
      <c r="J26" s="229">
        <f>'PCOLP I'!AL25</f>
        <v>1789</v>
      </c>
      <c r="K26" s="219">
        <f>'PCOLP II'!AL25</f>
        <v>0</v>
      </c>
      <c r="L26" s="219">
        <f>PCPV!AN25</f>
        <v>0</v>
      </c>
      <c r="M26" s="219">
        <f>Z1PCSPSP!AK25</f>
        <v>392</v>
      </c>
      <c r="N26" s="219">
        <f>Z1PCSPSP!CT25</f>
        <v>714</v>
      </c>
      <c r="O26" s="219">
        <f>Z1PCSPSP!EQ25</f>
        <v>107</v>
      </c>
      <c r="P26" s="230">
        <f>PVT!AI25</f>
        <v>330</v>
      </c>
      <c r="Q26" s="232">
        <f t="shared" si="1"/>
        <v>3332</v>
      </c>
      <c r="R26" s="301">
        <f>SUM(J$9:$J26)/SUM(B$9:$B26)</f>
        <v>0.90255220417633408</v>
      </c>
      <c r="S26" s="301">
        <f>SUM(K$9:$K26)/SUM(C$9:$C26)</f>
        <v>0.96202898550724636</v>
      </c>
      <c r="T26" s="221">
        <f>SUM($L$9:L26)/SUM($D$9:D26)</f>
        <v>0.29938461538461536</v>
      </c>
      <c r="U26" s="301">
        <f>SUM(M$9:$M26)/SUM(E$9:$E26)</f>
        <v>1.0227433253284361</v>
      </c>
      <c r="V26" s="301">
        <f>SUM($N$9:N26)/SUM($F$9:F26)</f>
        <v>1.0562704052237373</v>
      </c>
      <c r="W26" s="301">
        <f>SUM($O$9:O26)/SUM($G$9:G26)</f>
        <v>0.87573964497041423</v>
      </c>
      <c r="X26" s="301">
        <f>SUM($P$9:P26)/SUM($H$9:H26)</f>
        <v>1.0162</v>
      </c>
      <c r="Y26" s="302">
        <f>SUM($Q$9:Q26)/SUM($I$9:I26)</f>
        <v>0.92651069077518977</v>
      </c>
      <c r="Z26" s="236">
        <f t="shared" si="2"/>
        <v>11252.492342141182</v>
      </c>
      <c r="AA26" s="223">
        <f t="shared" si="3"/>
        <v>0</v>
      </c>
      <c r="AB26" s="223">
        <f t="shared" si="4"/>
        <v>0</v>
      </c>
      <c r="AC26" s="223">
        <f t="shared" si="5"/>
        <v>2465.6103958185263</v>
      </c>
      <c r="AD26" s="223">
        <f t="shared" si="6"/>
        <v>4490.9332209551721</v>
      </c>
      <c r="AE26" s="223">
        <f t="shared" si="7"/>
        <v>673.01100089944464</v>
      </c>
      <c r="AF26" s="237">
        <f t="shared" si="8"/>
        <v>2075.6414046431469</v>
      </c>
    </row>
    <row r="27" spans="1:32">
      <c r="A27" s="225">
        <f t="shared" si="10"/>
        <v>45888</v>
      </c>
      <c r="B27" s="229">
        <v>1600</v>
      </c>
      <c r="C27" s="219">
        <v>900</v>
      </c>
      <c r="D27" s="219">
        <v>150</v>
      </c>
      <c r="E27" s="219">
        <v>580</v>
      </c>
      <c r="F27" s="219">
        <v>590</v>
      </c>
      <c r="G27" s="219">
        <v>170</v>
      </c>
      <c r="H27" s="230">
        <v>300</v>
      </c>
      <c r="I27" s="232">
        <f t="shared" si="0"/>
        <v>4290</v>
      </c>
      <c r="J27" s="229">
        <f>'PCOLP I'!AL26</f>
        <v>1415</v>
      </c>
      <c r="K27" s="219">
        <f>'PCOLP II'!AL26</f>
        <v>574</v>
      </c>
      <c r="L27" s="219">
        <f>PCPV!AN26</f>
        <v>0</v>
      </c>
      <c r="M27" s="219">
        <f>Z1PCSPSP!AK26</f>
        <v>586</v>
      </c>
      <c r="N27" s="219">
        <f>Z1PCSPSP!CT26</f>
        <v>667</v>
      </c>
      <c r="O27" s="219">
        <f>Z1PCSPSP!EQ26</f>
        <v>161</v>
      </c>
      <c r="P27" s="230">
        <f>PVT!AI26</f>
        <v>305</v>
      </c>
      <c r="Q27" s="232">
        <f t="shared" si="1"/>
        <v>3708</v>
      </c>
      <c r="R27" s="301">
        <f>SUM(J$9:$J27)/SUM(B$9:$B27)</f>
        <v>0.90129589632829377</v>
      </c>
      <c r="S27" s="301">
        <f>SUM(K$9:$K27)/SUM(C$9:$C27)</f>
        <v>0.92461538461538462</v>
      </c>
      <c r="T27" s="221">
        <f>SUM($L$9:L27)/SUM($D$9:D27)</f>
        <v>0.28617647058823531</v>
      </c>
      <c r="U27" s="301">
        <f>SUM(M$9:$M27)/SUM(E$9:$E27)</f>
        <v>1.0218044131087609</v>
      </c>
      <c r="V27" s="301">
        <f>SUM($N$9:N27)/SUM($F$9:F27)</f>
        <v>1.0602508178844057</v>
      </c>
      <c r="W27" s="301">
        <f>SUM($O$9:O27)/SUM($G$9:G27)</f>
        <v>0.87915492957746477</v>
      </c>
      <c r="X27" s="301">
        <f>SUM($P$9:P27)/SUM($H$9:H27)</f>
        <v>1.0162264150943396</v>
      </c>
      <c r="Y27" s="302">
        <f>SUM($Q$9:Q27)/SUM($I$9:I27)</f>
        <v>0.922199052745583</v>
      </c>
      <c r="Z27" s="234">
        <f t="shared" si="2"/>
        <v>8900.0987502122825</v>
      </c>
      <c r="AA27" s="222">
        <f t="shared" si="3"/>
        <v>3610.3580795914131</v>
      </c>
      <c r="AB27" s="222">
        <f t="shared" si="4"/>
        <v>0</v>
      </c>
      <c r="AC27" s="222">
        <f t="shared" si="5"/>
        <v>3685.8359488511642</v>
      </c>
      <c r="AD27" s="222">
        <f t="shared" si="6"/>
        <v>4195.3115663544822</v>
      </c>
      <c r="AE27" s="222">
        <f t="shared" si="7"/>
        <v>1012.6614125683233</v>
      </c>
      <c r="AF27" s="235">
        <f t="shared" si="8"/>
        <v>1918.3958436853329</v>
      </c>
    </row>
    <row r="28" spans="1:32">
      <c r="A28" s="225">
        <f t="shared" si="10"/>
        <v>45889</v>
      </c>
      <c r="B28" s="229">
        <v>1400</v>
      </c>
      <c r="C28" s="219">
        <v>0</v>
      </c>
      <c r="D28" s="219">
        <v>150</v>
      </c>
      <c r="E28" s="219">
        <v>580</v>
      </c>
      <c r="F28" s="219">
        <v>590</v>
      </c>
      <c r="G28" s="219">
        <v>100</v>
      </c>
      <c r="H28" s="230">
        <v>200</v>
      </c>
      <c r="I28" s="232">
        <f t="shared" si="0"/>
        <v>3020</v>
      </c>
      <c r="J28" s="229">
        <f>'PCOLP I'!AL27</f>
        <v>645</v>
      </c>
      <c r="K28" s="219">
        <f>'PCOLP II'!AL27</f>
        <v>642</v>
      </c>
      <c r="L28" s="219">
        <f>PCPV!AN27</f>
        <v>0</v>
      </c>
      <c r="M28" s="219">
        <f>Z1PCSPSP!AK27</f>
        <v>596</v>
      </c>
      <c r="N28" s="219">
        <f>Z1PCSPSP!CT27</f>
        <v>559</v>
      </c>
      <c r="O28" s="219">
        <f>Z1PCSPSP!EQ27</f>
        <v>186</v>
      </c>
      <c r="P28" s="230">
        <f>PVT!AI27</f>
        <v>279</v>
      </c>
      <c r="Q28" s="232">
        <f t="shared" si="1"/>
        <v>2907</v>
      </c>
      <c r="R28" s="221">
        <f>SUM(J$9:$J28)/SUM(B$9:$B28)</f>
        <v>0.87617107942973527</v>
      </c>
      <c r="S28" s="221">
        <f>SUM(K$9:$K28)/SUM(C$9:$C28)</f>
        <v>1.006923076923077</v>
      </c>
      <c r="T28" s="221">
        <f>SUM($L$9:L28)/SUM($D$9:D28)</f>
        <v>0.27408450704225351</v>
      </c>
      <c r="U28" s="221">
        <f>SUM(M$9:$M28)/SUM(E$9:$E28)</f>
        <v>1.0222114334263868</v>
      </c>
      <c r="V28" s="221">
        <f>SUM($N$9:N28)/SUM($F$9:F28)</f>
        <v>1.0545109539416939</v>
      </c>
      <c r="W28" s="221">
        <f>SUM($O$9:O28)/SUM($G$9:G28)</f>
        <v>0.90602739726027393</v>
      </c>
      <c r="X28" s="221">
        <f>SUM($P$9:P28)/SUM($H$9:H28)</f>
        <v>1.03</v>
      </c>
      <c r="Y28" s="233">
        <f>SUM($Q$9:Q28)/SUM($I$9:I28)</f>
        <v>0.92407872632276555</v>
      </c>
      <c r="Z28" s="234">
        <f t="shared" si="2"/>
        <v>4056.9354727116056</v>
      </c>
      <c r="AA28" s="222">
        <f t="shared" si="3"/>
        <v>4038.0660053966676</v>
      </c>
      <c r="AB28" s="222">
        <f t="shared" si="4"/>
        <v>0</v>
      </c>
      <c r="AC28" s="222">
        <f t="shared" si="5"/>
        <v>3748.7341732342898</v>
      </c>
      <c r="AD28" s="222">
        <f t="shared" si="6"/>
        <v>3516.010743016725</v>
      </c>
      <c r="AE28" s="222">
        <f t="shared" si="7"/>
        <v>1169.9069735261373</v>
      </c>
      <c r="AF28" s="235">
        <f t="shared" si="8"/>
        <v>1754.860460289206</v>
      </c>
    </row>
    <row r="29" spans="1:32">
      <c r="A29" s="225">
        <f t="shared" si="10"/>
        <v>45890</v>
      </c>
      <c r="B29" s="229">
        <v>1400</v>
      </c>
      <c r="C29" s="219">
        <v>0</v>
      </c>
      <c r="D29" s="219">
        <v>150</v>
      </c>
      <c r="E29" s="219">
        <v>200</v>
      </c>
      <c r="F29" s="219">
        <v>590</v>
      </c>
      <c r="G29" s="219">
        <v>150</v>
      </c>
      <c r="H29" s="230">
        <v>240</v>
      </c>
      <c r="I29" s="232">
        <f t="shared" si="0"/>
        <v>2730</v>
      </c>
      <c r="J29" s="229">
        <f>'PCOLP I'!AL28</f>
        <v>900</v>
      </c>
      <c r="K29" s="219">
        <f>'PCOLP II'!AL28</f>
        <v>334</v>
      </c>
      <c r="L29" s="219">
        <f>PCPV!AN28</f>
        <v>0</v>
      </c>
      <c r="M29" s="219">
        <f>Z1PCSPSP!AK28</f>
        <v>187</v>
      </c>
      <c r="N29" s="219">
        <f>Z1PCSPSP!CT28</f>
        <v>206</v>
      </c>
      <c r="O29" s="219">
        <f>Z1PCSPSP!EQ28</f>
        <v>189</v>
      </c>
      <c r="P29" s="230">
        <f>PVT!AI28</f>
        <v>296</v>
      </c>
      <c r="Q29" s="232">
        <f t="shared" si="1"/>
        <v>2112</v>
      </c>
      <c r="R29" s="221">
        <f>SUM(J$9:$J29)/SUM(B$9:$B29)</f>
        <v>0.86358381502890169</v>
      </c>
      <c r="S29" s="221">
        <f>SUM(K$9:$K29)/SUM(C$9:$C29)</f>
        <v>1.0497435897435898</v>
      </c>
      <c r="T29" s="221">
        <f>SUM($L$9:L29)/SUM($D$9:D29)</f>
        <v>0.26297297297297295</v>
      </c>
      <c r="U29" s="221">
        <f>SUM(M$9:$M29)/SUM(E$9:$E29)</f>
        <v>1.0201445668918119</v>
      </c>
      <c r="V29" s="221">
        <f>SUM($N$9:N29)/SUM($F$9:F29)</f>
        <v>1.0203545633617859</v>
      </c>
      <c r="W29" s="221">
        <f>SUM($O$9:O29)/SUM($G$9:G29)</f>
        <v>0.92</v>
      </c>
      <c r="X29" s="221">
        <f>SUM($P$9:P29)/SUM($H$9:H29)</f>
        <v>1.0385017421602787</v>
      </c>
      <c r="Y29" s="233">
        <f>SUM($Q$9:Q29)/SUM($I$9:I29)</f>
        <v>0.91800393415467441</v>
      </c>
      <c r="Z29" s="234">
        <f t="shared" si="2"/>
        <v>5660.8401944813104</v>
      </c>
      <c r="AA29" s="222">
        <f t="shared" si="3"/>
        <v>2100.8006943963974</v>
      </c>
      <c r="AB29" s="222">
        <f t="shared" si="4"/>
        <v>0</v>
      </c>
      <c r="AC29" s="222">
        <f t="shared" si="5"/>
        <v>1176.1967959644501</v>
      </c>
      <c r="AD29" s="222">
        <f t="shared" si="6"/>
        <v>1295.7034222923887</v>
      </c>
      <c r="AE29" s="222">
        <f t="shared" si="7"/>
        <v>1188.7764408410751</v>
      </c>
      <c r="AF29" s="235">
        <f t="shared" si="8"/>
        <v>1861.7874417405196</v>
      </c>
    </row>
    <row r="30" spans="1:32">
      <c r="A30" s="225">
        <f t="shared" si="10"/>
        <v>45891</v>
      </c>
      <c r="B30" s="229">
        <v>1400</v>
      </c>
      <c r="C30" s="219">
        <v>800</v>
      </c>
      <c r="D30" s="219">
        <v>150</v>
      </c>
      <c r="E30" s="219">
        <v>0</v>
      </c>
      <c r="F30" s="219">
        <v>590</v>
      </c>
      <c r="G30" s="219">
        <v>170</v>
      </c>
      <c r="H30" s="230">
        <v>0</v>
      </c>
      <c r="I30" s="232">
        <f t="shared" si="0"/>
        <v>3110</v>
      </c>
      <c r="J30" s="229">
        <f>'PCOLP I'!AL29</f>
        <v>800</v>
      </c>
      <c r="K30" s="219">
        <f>'PCOLP II'!AL29</f>
        <v>1795</v>
      </c>
      <c r="L30" s="219">
        <f>PCPV!AN29</f>
        <v>0</v>
      </c>
      <c r="M30" s="219">
        <f>Z1PCSPSP!AK29</f>
        <v>0</v>
      </c>
      <c r="N30" s="219">
        <f>Z1PCSPSP!CT29</f>
        <v>579</v>
      </c>
      <c r="O30" s="219">
        <f>Z1PCSPSP!EQ29</f>
        <v>25</v>
      </c>
      <c r="P30" s="230">
        <f>PVT!AI29</f>
        <v>28</v>
      </c>
      <c r="Q30" s="232">
        <f t="shared" si="1"/>
        <v>3227</v>
      </c>
      <c r="R30" s="221">
        <f>SUM(J$9:$J30)/SUM(B$9:$B30)</f>
        <v>0.84862888482632537</v>
      </c>
      <c r="S30" s="221">
        <f>SUM(K$9:$K30)/SUM(C$9:$C30)</f>
        <v>1.1608139534883721</v>
      </c>
      <c r="T30" s="221">
        <f>SUM($L$9:L30)/SUM($D$9:D30)</f>
        <v>0.25272727272727274</v>
      </c>
      <c r="U30" s="221">
        <f>SUM(M$9:$M30)/SUM(E$9:$E30)</f>
        <v>1.0201445668918119</v>
      </c>
      <c r="V30" s="221">
        <f>SUM($N$9:N30)/SUM($F$9:F30)</f>
        <v>1.0185533114138092</v>
      </c>
      <c r="W30" s="221">
        <f>SUM($O$9:O30)/SUM($G$9:G30)</f>
        <v>0.88690176322418135</v>
      </c>
      <c r="X30" s="221">
        <f>SUM($P$9:P30)/SUM($H$9:H30)</f>
        <v>1.0433797909407665</v>
      </c>
      <c r="Y30" s="233">
        <f>SUM($Q$9:Q30)/SUM($I$9:I30)</f>
        <v>0.923264001809878</v>
      </c>
      <c r="Z30" s="234">
        <f t="shared" si="2"/>
        <v>5031.8579506500537</v>
      </c>
      <c r="AA30" s="222">
        <f t="shared" si="3"/>
        <v>11290.231276771057</v>
      </c>
      <c r="AB30" s="222">
        <f t="shared" si="4"/>
        <v>0</v>
      </c>
      <c r="AC30" s="222">
        <f t="shared" si="5"/>
        <v>0</v>
      </c>
      <c r="AD30" s="222">
        <f t="shared" si="6"/>
        <v>3641.8071917829761</v>
      </c>
      <c r="AE30" s="222">
        <f t="shared" si="7"/>
        <v>157.24556095781418</v>
      </c>
      <c r="AF30" s="235">
        <f t="shared" si="8"/>
        <v>176.11502827275186</v>
      </c>
    </row>
    <row r="31" spans="1:32">
      <c r="A31" s="225">
        <f t="shared" si="10"/>
        <v>45892</v>
      </c>
      <c r="B31" s="229">
        <v>700</v>
      </c>
      <c r="C31" s="219">
        <v>700</v>
      </c>
      <c r="D31" s="219">
        <v>150</v>
      </c>
      <c r="E31" s="219">
        <v>0</v>
      </c>
      <c r="F31" s="219">
        <v>590</v>
      </c>
      <c r="G31" s="219">
        <v>180</v>
      </c>
      <c r="H31" s="230">
        <v>260</v>
      </c>
      <c r="I31" s="232">
        <f t="shared" si="0"/>
        <v>2580</v>
      </c>
      <c r="J31" s="229">
        <f>'PCOLP I'!AL30</f>
        <v>1715</v>
      </c>
      <c r="K31" s="219">
        <f>'PCOLP II'!AL30</f>
        <v>628</v>
      </c>
      <c r="L31" s="219">
        <f>PCPV!AN30</f>
        <v>0</v>
      </c>
      <c r="M31" s="219">
        <f>Z1PCSPSP!AK30</f>
        <v>0</v>
      </c>
      <c r="N31" s="219">
        <f>Z1PCSPSP!CT30</f>
        <v>624</v>
      </c>
      <c r="O31" s="219">
        <f>Z1PCSPSP!EQ30</f>
        <v>62</v>
      </c>
      <c r="P31" s="230">
        <f>PVT!AI30</f>
        <v>227</v>
      </c>
      <c r="Q31" s="232">
        <f t="shared" si="1"/>
        <v>3256</v>
      </c>
      <c r="R31" s="221">
        <f>SUM(J$9:$J31)/SUM(B$9:$B31)</f>
        <v>0.8885918003565062</v>
      </c>
      <c r="S31" s="221">
        <f>SUM(K$9:$K31)/SUM(C$9:$C31)</f>
        <v>1.1409677419354838</v>
      </c>
      <c r="T31" s="221">
        <f>SUM($L$9:L31)/SUM($D$9:D31)</f>
        <v>0.24324999999999999</v>
      </c>
      <c r="U31" s="221">
        <f>SUM(M$9:$M31)/SUM(E$9:$E31)</f>
        <v>1.0201445668918119</v>
      </c>
      <c r="V31" s="221">
        <f>SUM($N$9:N31)/SUM($F$9:F31)</f>
        <v>1.0202783597725231</v>
      </c>
      <c r="W31" s="221">
        <f>SUM($O$9:O31)/SUM($G$9:G31)</f>
        <v>0.86337349397590357</v>
      </c>
      <c r="X31" s="221">
        <f>SUM($P$9:P31)/SUM($H$9:H31)</f>
        <v>1.036</v>
      </c>
      <c r="Y31" s="233">
        <f>SUM($Q$9:Q31)/SUM($I$9:I31)</f>
        <v>0.93518682727855618</v>
      </c>
      <c r="Z31" s="234">
        <f t="shared" si="2"/>
        <v>10787.045481706053</v>
      </c>
      <c r="AA31" s="222">
        <f t="shared" si="3"/>
        <v>3950.008491260292</v>
      </c>
      <c r="AB31" s="222">
        <f t="shared" si="4"/>
        <v>0</v>
      </c>
      <c r="AC31" s="222">
        <f t="shared" si="5"/>
        <v>0</v>
      </c>
      <c r="AD31" s="222">
        <f t="shared" si="6"/>
        <v>3924.8492015070415</v>
      </c>
      <c r="AE31" s="222">
        <f t="shared" si="7"/>
        <v>389.96899117537913</v>
      </c>
      <c r="AF31" s="235">
        <f t="shared" si="8"/>
        <v>1427.7896934969526</v>
      </c>
    </row>
    <row r="32" spans="1:32">
      <c r="A32" s="225">
        <f t="shared" si="10"/>
        <v>45893</v>
      </c>
      <c r="B32" s="229">
        <v>0</v>
      </c>
      <c r="C32" s="219">
        <v>0</v>
      </c>
      <c r="D32" s="219">
        <v>150</v>
      </c>
      <c r="E32" s="219">
        <v>0</v>
      </c>
      <c r="F32" s="219">
        <v>590</v>
      </c>
      <c r="G32" s="219">
        <v>0</v>
      </c>
      <c r="H32" s="230">
        <v>260</v>
      </c>
      <c r="I32" s="232">
        <f t="shared" si="0"/>
        <v>1000</v>
      </c>
      <c r="J32" s="229">
        <f>'PCOLP I'!AL31</f>
        <v>1776</v>
      </c>
      <c r="K32" s="219">
        <f>'PCOLP II'!AL31</f>
        <v>379</v>
      </c>
      <c r="L32" s="219">
        <f>PCPV!AN31</f>
        <v>0</v>
      </c>
      <c r="M32" s="219">
        <f>Z1PCSPSP!AK31</f>
        <v>0</v>
      </c>
      <c r="N32" s="219">
        <f>Z1PCSPSP!CT31</f>
        <v>607</v>
      </c>
      <c r="O32" s="219">
        <f>Z1PCSPSP!EQ31</f>
        <v>289</v>
      </c>
      <c r="P32" s="230">
        <f>PVT!AI31</f>
        <v>302</v>
      </c>
      <c r="Q32" s="232">
        <f t="shared" si="1"/>
        <v>3353</v>
      </c>
      <c r="R32" s="221">
        <f>SUM(J$9:$J32)/SUM(B$9:$B32)</f>
        <v>0.95190730837789661</v>
      </c>
      <c r="S32" s="221">
        <f>SUM(K$9:$K32)/SUM(C$9:$C32)</f>
        <v>1.1817204301075268</v>
      </c>
      <c r="T32" s="221">
        <f>SUM($L$9:L32)/SUM($D$9:D32)</f>
        <v>0.23445783132530121</v>
      </c>
      <c r="U32" s="221">
        <f>SUM(M$9:$M32)/SUM(E$9:$E32)</f>
        <v>1.0201445668918119</v>
      </c>
      <c r="V32" s="221">
        <f>SUM($N$9:N32)/SUM($F$9:F32)</f>
        <v>1.0206392432277482</v>
      </c>
      <c r="W32" s="221">
        <f>SUM($O$9:O32)/SUM($G$9:G32)</f>
        <v>0.93301204819277106</v>
      </c>
      <c r="X32" s="221">
        <f>SUM($P$9:P32)/SUM($H$9:H32)</f>
        <v>1.0412140575079871</v>
      </c>
      <c r="Y32" s="233">
        <f>SUM($Q$9:Q32)/SUM($I$9:I32)</f>
        <v>0.96772674050845864</v>
      </c>
      <c r="Z32" s="234">
        <f t="shared" si="2"/>
        <v>11170.724650443119</v>
      </c>
      <c r="AA32" s="222">
        <f t="shared" si="3"/>
        <v>2383.8427041204627</v>
      </c>
      <c r="AB32" s="222">
        <f t="shared" si="4"/>
        <v>0</v>
      </c>
      <c r="AC32" s="222">
        <f t="shared" si="5"/>
        <v>0</v>
      </c>
      <c r="AD32" s="222">
        <f t="shared" si="6"/>
        <v>3817.9222200557278</v>
      </c>
      <c r="AE32" s="222">
        <f t="shared" si="7"/>
        <v>1817.7586846723318</v>
      </c>
      <c r="AF32" s="235">
        <f t="shared" si="8"/>
        <v>1899.5263763703952</v>
      </c>
    </row>
    <row r="33" spans="1:32">
      <c r="A33" s="225">
        <f t="shared" si="10"/>
        <v>45894</v>
      </c>
      <c r="B33" s="229">
        <v>0</v>
      </c>
      <c r="C33" s="219">
        <v>300</v>
      </c>
      <c r="D33" s="219">
        <v>150</v>
      </c>
      <c r="E33" s="219">
        <v>480</v>
      </c>
      <c r="F33" s="219">
        <v>560</v>
      </c>
      <c r="G33" s="219">
        <v>350</v>
      </c>
      <c r="H33" s="230">
        <v>280</v>
      </c>
      <c r="I33" s="232">
        <f t="shared" si="0"/>
        <v>2120</v>
      </c>
      <c r="J33" s="229">
        <f>'PCOLP I'!AL32</f>
        <v>504</v>
      </c>
      <c r="K33" s="219">
        <f>'PCOLP II'!AL32</f>
        <v>53</v>
      </c>
      <c r="L33" s="219">
        <f>PCPV!AN32</f>
        <v>0</v>
      </c>
      <c r="M33" s="219">
        <f>Z1PCSPSP!AK32</f>
        <v>217</v>
      </c>
      <c r="N33" s="219">
        <f>Z1PCSPSP!CT32</f>
        <v>571</v>
      </c>
      <c r="O33" s="219">
        <f>Z1PCSPSP!EQ32</f>
        <v>207</v>
      </c>
      <c r="P33" s="230">
        <f>PVT!AI32</f>
        <v>297</v>
      </c>
      <c r="Q33" s="232">
        <f t="shared" si="1"/>
        <v>1849</v>
      </c>
      <c r="R33" s="221">
        <f>SUM(J$9:$J33)/SUM(B$9:$B33)</f>
        <v>0.96987522281639926</v>
      </c>
      <c r="S33" s="221">
        <f>SUM(K$9:$K33)/SUM(C$9:$C33)</f>
        <v>1.1503125000000001</v>
      </c>
      <c r="T33" s="221">
        <f>SUM($L$9:L33)/SUM($D$9:D33)</f>
        <v>0.22627906976744186</v>
      </c>
      <c r="U33" s="221">
        <f>SUM(M$9:$M33)/SUM(E$9:$E33)</f>
        <v>0.98957282206525399</v>
      </c>
      <c r="V33" s="221">
        <f>SUM($N$9:N33)/SUM($F$9:F33)</f>
        <v>1.0206007992283312</v>
      </c>
      <c r="W33" s="221">
        <f>SUM($O$9:O33)/SUM($G$9:G33)</f>
        <v>0.9064444444444445</v>
      </c>
      <c r="X33" s="221">
        <f>SUM($P$9:P33)/SUM($H$9:H33)</f>
        <v>1.0420489296636086</v>
      </c>
      <c r="Y33" s="233">
        <f>SUM($Q$9:Q33)/SUM($I$9:I33)</f>
        <v>0.96507595880821218</v>
      </c>
      <c r="Z33" s="234">
        <f t="shared" si="2"/>
        <v>3170.0705089095336</v>
      </c>
      <c r="AA33" s="222">
        <f t="shared" si="3"/>
        <v>333.36058923056601</v>
      </c>
      <c r="AB33" s="222">
        <f t="shared" si="4"/>
        <v>0</v>
      </c>
      <c r="AC33" s="222">
        <f t="shared" si="5"/>
        <v>1364.891469113827</v>
      </c>
      <c r="AD33" s="222">
        <f t="shared" si="6"/>
        <v>3591.4886122764756</v>
      </c>
      <c r="AE33" s="222">
        <f t="shared" si="7"/>
        <v>1301.9932447307012</v>
      </c>
      <c r="AF33" s="235">
        <f t="shared" si="8"/>
        <v>1868.0772641788324</v>
      </c>
    </row>
    <row r="34" spans="1:32">
      <c r="A34" s="225">
        <f t="shared" si="10"/>
        <v>45895</v>
      </c>
      <c r="B34" s="229">
        <v>1300</v>
      </c>
      <c r="C34" s="219">
        <v>0</v>
      </c>
      <c r="D34" s="219">
        <v>150</v>
      </c>
      <c r="E34" s="219">
        <v>580</v>
      </c>
      <c r="F34" s="219">
        <v>580</v>
      </c>
      <c r="G34" s="219">
        <v>350</v>
      </c>
      <c r="H34" s="230">
        <v>280</v>
      </c>
      <c r="I34" s="232">
        <f t="shared" si="0"/>
        <v>3240</v>
      </c>
      <c r="J34" s="229">
        <f>'PCOLP I'!AL33</f>
        <v>1769</v>
      </c>
      <c r="K34" s="219">
        <f>'PCOLP II'!AL33</f>
        <v>0</v>
      </c>
      <c r="L34" s="219">
        <f>PCPV!AN33</f>
        <v>0</v>
      </c>
      <c r="M34" s="219">
        <f>Z1PCSPSP!AK33</f>
        <v>601</v>
      </c>
      <c r="N34" s="219">
        <f>Z1PCSPSP!CT33</f>
        <v>612</v>
      </c>
      <c r="O34" s="219">
        <f>Z1PCSPSP!EQ33</f>
        <v>322</v>
      </c>
      <c r="P34" s="230">
        <f>PVT!AI33</f>
        <v>309</v>
      </c>
      <c r="Q34" s="232">
        <f t="shared" si="1"/>
        <v>3613</v>
      </c>
      <c r="R34" s="221">
        <f>SUM(J$9:$J34)/SUM(B$9:$B34)</f>
        <v>0.98718909710391822</v>
      </c>
      <c r="S34" s="221">
        <f>SUM(K$9:$K34)/SUM(C$9:$C34)</f>
        <v>1.1503125000000001</v>
      </c>
      <c r="T34" s="221">
        <f>SUM($L$9:L34)/SUM($D$9:D34)</f>
        <v>0.21865168539325844</v>
      </c>
      <c r="U34" s="221">
        <f>SUM(M$9:$M34)/SUM(E$9:$E34)</f>
        <v>0.99242025476365936</v>
      </c>
      <c r="V34" s="221">
        <f>SUM($N$9:N34)/SUM($F$9:F34)</f>
        <v>1.0219292434079768</v>
      </c>
      <c r="W34" s="221">
        <f>SUM($O$9:O34)/SUM($G$9:G34)</f>
        <v>0.90742268041237117</v>
      </c>
      <c r="X34" s="221">
        <f>SUM($P$9:P34)/SUM($H$9:H34)</f>
        <v>1.0445747800586511</v>
      </c>
      <c r="Y34" s="233">
        <f>SUM($Q$9:Q34)/SUM($I$9:I34)</f>
        <v>0.97117858980957283</v>
      </c>
      <c r="Z34" s="234">
        <f t="shared" si="2"/>
        <v>11126.69589337493</v>
      </c>
      <c r="AA34" s="222">
        <f t="shared" si="3"/>
        <v>0</v>
      </c>
      <c r="AB34" s="222">
        <f t="shared" si="4"/>
        <v>0</v>
      </c>
      <c r="AC34" s="222">
        <f t="shared" si="5"/>
        <v>3780.1832854258528</v>
      </c>
      <c r="AD34" s="222">
        <f t="shared" si="6"/>
        <v>3849.3713322472909</v>
      </c>
      <c r="AE34" s="222">
        <f t="shared" si="7"/>
        <v>2025.3228251366465</v>
      </c>
      <c r="AF34" s="235">
        <f t="shared" si="8"/>
        <v>1943.5551334385832</v>
      </c>
    </row>
    <row r="35" spans="1:32">
      <c r="A35" s="225">
        <f t="shared" si="10"/>
        <v>45896</v>
      </c>
      <c r="B35" s="229">
        <v>1500</v>
      </c>
      <c r="C35" s="219">
        <v>1000</v>
      </c>
      <c r="D35" s="219">
        <v>150</v>
      </c>
      <c r="E35" s="219">
        <v>580</v>
      </c>
      <c r="F35" s="219">
        <v>560</v>
      </c>
      <c r="G35" s="219">
        <v>300</v>
      </c>
      <c r="H35" s="230">
        <v>280</v>
      </c>
      <c r="I35" s="232">
        <f t="shared" si="0"/>
        <v>4370</v>
      </c>
      <c r="J35" s="229">
        <f>'PCOLP I'!AL34</f>
        <v>1429</v>
      </c>
      <c r="K35" s="219">
        <f>'PCOLP II'!AL34</f>
        <v>1176</v>
      </c>
      <c r="L35" s="219">
        <f>PCPV!AN34</f>
        <v>0</v>
      </c>
      <c r="M35" s="219">
        <f>Z1PCSPSP!AK34</f>
        <v>617</v>
      </c>
      <c r="N35" s="219">
        <f>Z1PCSPSP!CT34</f>
        <v>559</v>
      </c>
      <c r="O35" s="219">
        <f>Z1PCSPSP!EQ34</f>
        <v>244</v>
      </c>
      <c r="P35" s="230">
        <f>PVT!AI34</f>
        <v>293</v>
      </c>
      <c r="Q35" s="232">
        <f t="shared" si="1"/>
        <v>4318</v>
      </c>
      <c r="R35" s="221">
        <f>SUM(J$9:$J35)/SUM(B$9:$B35)</f>
        <v>0.98551053484602913</v>
      </c>
      <c r="S35" s="221">
        <f>SUM(K$9:$K35)/SUM(C$9:$C35)</f>
        <v>1.1527358490566038</v>
      </c>
      <c r="T35" s="221">
        <f>SUM($L$9:L35)/SUM($D$9:D35)</f>
        <v>0.21152173913043479</v>
      </c>
      <c r="U35" s="221">
        <f>SUM(M$9:$M35)/SUM(E$9:$E35)</f>
        <v>0.9965274332771108</v>
      </c>
      <c r="V35" s="221">
        <f>SUM($N$9:N35)/SUM($F$9:F35)</f>
        <v>1.0210808738980452</v>
      </c>
      <c r="W35" s="221">
        <f>SUM($O$9:O35)/SUM($G$9:G35)</f>
        <v>0.90194174757281553</v>
      </c>
      <c r="X35" s="221">
        <f>SUM($P$9:P35)/SUM($H$9:H35)</f>
        <v>1.0446478873239438</v>
      </c>
      <c r="Y35" s="233">
        <f>SUM($Q$9:Q35)/SUM($I$9:I35)</f>
        <v>0.97205859602775102</v>
      </c>
      <c r="Z35" s="234">
        <f t="shared" si="2"/>
        <v>8988.1562643486577</v>
      </c>
      <c r="AA35" s="222">
        <f t="shared" si="3"/>
        <v>7396.8311874555784</v>
      </c>
      <c r="AB35" s="222">
        <f t="shared" si="4"/>
        <v>0</v>
      </c>
      <c r="AC35" s="222">
        <f t="shared" si="5"/>
        <v>3880.8204444388534</v>
      </c>
      <c r="AD35" s="222">
        <f t="shared" si="6"/>
        <v>3516.010743016725</v>
      </c>
      <c r="AE35" s="222">
        <f t="shared" si="7"/>
        <v>1534.7166749482662</v>
      </c>
      <c r="AF35" s="235">
        <f t="shared" si="8"/>
        <v>1842.9179744255821</v>
      </c>
    </row>
    <row r="36" spans="1:32">
      <c r="A36" s="225">
        <f t="shared" si="10"/>
        <v>45897</v>
      </c>
      <c r="B36" s="229">
        <v>700</v>
      </c>
      <c r="C36" s="219">
        <v>900</v>
      </c>
      <c r="D36" s="219">
        <v>150</v>
      </c>
      <c r="E36" s="219">
        <v>0</v>
      </c>
      <c r="F36" s="219">
        <v>0</v>
      </c>
      <c r="G36" s="219">
        <v>170</v>
      </c>
      <c r="H36" s="230">
        <v>280</v>
      </c>
      <c r="I36" s="232">
        <f t="shared" si="0"/>
        <v>2200</v>
      </c>
      <c r="J36" s="229">
        <f>'PCOLP I'!AL35</f>
        <v>1550</v>
      </c>
      <c r="K36" s="219">
        <f>'PCOLP II'!AL35</f>
        <v>930</v>
      </c>
      <c r="L36" s="219">
        <f>PCPV!AN35</f>
        <v>0</v>
      </c>
      <c r="M36" s="219">
        <f>Z1PCSPSP!AK35</f>
        <v>300</v>
      </c>
      <c r="N36" s="219">
        <f>Z1PCSPSP!CT35</f>
        <v>0</v>
      </c>
      <c r="O36" s="219">
        <f>Z1PCSPSP!EQ35</f>
        <v>200</v>
      </c>
      <c r="P36" s="230">
        <f>PVT!AI35</f>
        <v>300</v>
      </c>
      <c r="Q36" s="232">
        <f t="shared" ref="Q36:Q39" si="15">SUM(J36:P36)</f>
        <v>3280</v>
      </c>
      <c r="R36" s="221">
        <f>SUM(J$9:$J36)/SUM(B$9:$B36)</f>
        <v>1.0127733755942947</v>
      </c>
      <c r="S36" s="221">
        <f>SUM(K$9:$K36)/SUM(C$9:$C36)</f>
        <v>1.1433913043478261</v>
      </c>
      <c r="T36" s="221">
        <f>SUM($L$9:L36)/SUM($D$9:D36)</f>
        <v>0.20484210526315788</v>
      </c>
      <c r="U36" s="221">
        <f>SUM(M$9:$M36)/SUM(E$9:$E36)</f>
        <v>1.0262922909018752</v>
      </c>
      <c r="V36" s="221">
        <f>SUM($N$9:N36)/SUM($F$9:F36)</f>
        <v>1.0210808738980452</v>
      </c>
      <c r="W36" s="221">
        <f>SUM($O$9:O36)/SUM($G$9:G36)</f>
        <v>0.9107142857142857</v>
      </c>
      <c r="X36" s="221">
        <f>SUM($P$9:P36)/SUM($H$9:H36)</f>
        <v>1.0456639566395665</v>
      </c>
      <c r="Y36" s="233">
        <f>SUM($Q$9:Q36)/SUM($I$9:I36)</f>
        <v>0.98529565247643014</v>
      </c>
      <c r="Z36" s="234">
        <f t="shared" si="2"/>
        <v>9749.2247793844781</v>
      </c>
      <c r="AA36" s="222">
        <f t="shared" si="3"/>
        <v>5849.5348676306867</v>
      </c>
      <c r="AB36" s="222">
        <f t="shared" si="4"/>
        <v>0</v>
      </c>
      <c r="AC36" s="222">
        <f t="shared" si="5"/>
        <v>1886.9467314937699</v>
      </c>
      <c r="AD36" s="222">
        <f t="shared" si="6"/>
        <v>0</v>
      </c>
      <c r="AE36" s="222">
        <f t="shared" si="7"/>
        <v>1257.9644876625134</v>
      </c>
      <c r="AF36" s="235">
        <f t="shared" si="8"/>
        <v>1886.9467314937699</v>
      </c>
    </row>
    <row r="37" spans="1:32">
      <c r="A37" s="225">
        <f t="shared" si="10"/>
        <v>45898</v>
      </c>
      <c r="B37" s="229">
        <v>0</v>
      </c>
      <c r="C37" s="219">
        <v>0</v>
      </c>
      <c r="D37" s="219">
        <v>100</v>
      </c>
      <c r="E37" s="219">
        <v>0</v>
      </c>
      <c r="F37" s="219">
        <v>480</v>
      </c>
      <c r="G37" s="219">
        <v>170</v>
      </c>
      <c r="H37" s="230">
        <v>250</v>
      </c>
      <c r="I37" s="232">
        <f t="shared" si="0"/>
        <v>1000</v>
      </c>
      <c r="J37" s="229">
        <f>'PCOLP I'!AL36</f>
        <v>1400</v>
      </c>
      <c r="K37" s="219">
        <f>'PCOLP II'!AL36</f>
        <v>400</v>
      </c>
      <c r="L37" s="219">
        <f>PCPV!AN36</f>
        <v>0</v>
      </c>
      <c r="M37" s="219">
        <f>Z1PCSPSP!AK36</f>
        <v>0</v>
      </c>
      <c r="N37" s="219">
        <f>Z1PCSPSP!CT36</f>
        <v>580</v>
      </c>
      <c r="O37" s="219">
        <f>Z1PCSPSP!EQ36</f>
        <v>200</v>
      </c>
      <c r="P37" s="230">
        <f>PVT!AI36</f>
        <v>300</v>
      </c>
      <c r="Q37" s="232">
        <f t="shared" si="15"/>
        <v>2880</v>
      </c>
      <c r="R37" s="221">
        <f>SUM(J$9:$J37)/SUM(B$9:$B37)</f>
        <v>1.0571473851030111</v>
      </c>
      <c r="S37" s="221">
        <f>SUM(K$9:$K37)/SUM(C$9:$C37)</f>
        <v>1.1781739130434783</v>
      </c>
      <c r="T37" s="221">
        <f>SUM($L$9:L37)/SUM($D$9:D37)</f>
        <v>0.20061855670103093</v>
      </c>
      <c r="U37" s="221">
        <f>SUM(M$9:$M37)/SUM(E$9:$E37)</f>
        <v>1.0262922909018752</v>
      </c>
      <c r="V37" s="221">
        <f>SUM($N$9:N37)/SUM($F$9:F37)</f>
        <v>1.0266517912482955</v>
      </c>
      <c r="W37" s="221">
        <f>SUM($O$9:O37)/SUM($G$9:G37)</f>
        <v>0.91894353369763204</v>
      </c>
      <c r="X37" s="221">
        <f>SUM($P$9:P37)/SUM($H$9:H37)</f>
        <v>1.0507208387942333</v>
      </c>
      <c r="Y37" s="233">
        <f>SUM($Q$9:Q37)/SUM($I$9:I37)</f>
        <v>1.0070156936021919</v>
      </c>
      <c r="Z37" s="234"/>
      <c r="AA37" s="222"/>
      <c r="AB37" s="222"/>
      <c r="AC37" s="222"/>
      <c r="AD37" s="222"/>
      <c r="AE37" s="222"/>
      <c r="AF37" s="235"/>
    </row>
    <row r="38" spans="1:32">
      <c r="A38" s="225">
        <f t="shared" si="10"/>
        <v>45899</v>
      </c>
      <c r="B38" s="229">
        <v>1400</v>
      </c>
      <c r="C38" s="219">
        <v>800</v>
      </c>
      <c r="D38" s="219">
        <v>0</v>
      </c>
      <c r="E38" s="219">
        <v>0</v>
      </c>
      <c r="F38" s="219">
        <v>490</v>
      </c>
      <c r="G38" s="219">
        <v>0</v>
      </c>
      <c r="H38" s="230">
        <v>250</v>
      </c>
      <c r="I38" s="232">
        <f t="shared" si="0"/>
        <v>2940</v>
      </c>
      <c r="J38" s="229">
        <f>'PCOLP I'!AL37</f>
        <v>1400</v>
      </c>
      <c r="K38" s="219">
        <f>'PCOLP II'!AL37</f>
        <v>1100</v>
      </c>
      <c r="L38" s="219">
        <f>PCPV!AN37</f>
        <v>0</v>
      </c>
      <c r="M38" s="219">
        <f>Z1PCSPSP!AK37</f>
        <v>0</v>
      </c>
      <c r="N38" s="219">
        <f>Z1PCSPSP!CT37</f>
        <v>590</v>
      </c>
      <c r="O38" s="219">
        <f>Z1PCSPSP!EQ37</f>
        <v>100</v>
      </c>
      <c r="P38" s="230">
        <f>PVT!AI37</f>
        <v>280</v>
      </c>
      <c r="Q38" s="232">
        <f t="shared" si="15"/>
        <v>3470</v>
      </c>
      <c r="R38" s="221">
        <f>SUM(J$9:$J38)/SUM(B$9:$B38)</f>
        <v>1.0547192716236722</v>
      </c>
      <c r="S38" s="221">
        <f>SUM(K$9:$K38)/SUM(C$9:$C38)</f>
        <v>1.1909756097560975</v>
      </c>
      <c r="T38" s="221">
        <f>SUM($L$9:L38)/SUM($D$9:D38)</f>
        <v>0.20061855670103093</v>
      </c>
      <c r="U38" s="221">
        <f>SUM(M$9:$M38)/SUM(E$9:$E38)</f>
        <v>1.0262922909018752</v>
      </c>
      <c r="V38" s="221">
        <f>SUM($N$9:N38)/SUM($F$9:F38)</f>
        <v>1.0318816169393648</v>
      </c>
      <c r="W38" s="221">
        <f>SUM($O$9:O38)/SUM($G$9:G38)</f>
        <v>0.93715846994535523</v>
      </c>
      <c r="X38" s="221">
        <f>SUM($P$9:P38)/SUM($H$9:H38)</f>
        <v>1.0529187817258883</v>
      </c>
      <c r="Y38" s="233">
        <f>SUM($Q$9:Q38)/SUM($I$9:I38)</f>
        <v>1.0126645448194027</v>
      </c>
      <c r="Z38" s="234"/>
      <c r="AA38" s="222"/>
      <c r="AB38" s="222"/>
      <c r="AC38" s="222"/>
      <c r="AD38" s="222"/>
      <c r="AE38" s="222"/>
      <c r="AF38" s="235"/>
    </row>
    <row r="39" spans="1:32" ht="15" thickBot="1">
      <c r="A39" s="225">
        <f t="shared" si="10"/>
        <v>45900</v>
      </c>
      <c r="B39" s="229">
        <v>0</v>
      </c>
      <c r="C39" s="219">
        <v>0</v>
      </c>
      <c r="D39" s="219">
        <v>0</v>
      </c>
      <c r="E39" s="219">
        <v>0</v>
      </c>
      <c r="F39" s="219">
        <v>590</v>
      </c>
      <c r="G39" s="219">
        <v>100</v>
      </c>
      <c r="H39" s="230">
        <v>0</v>
      </c>
      <c r="I39" s="232">
        <f t="shared" si="0"/>
        <v>690</v>
      </c>
      <c r="J39" s="229">
        <f>'PCOLP I'!AL38</f>
        <v>1350</v>
      </c>
      <c r="K39" s="219">
        <f>'PCOLP II'!AL38</f>
        <v>700</v>
      </c>
      <c r="L39" s="219">
        <f>PCPV!AN38</f>
        <v>0</v>
      </c>
      <c r="M39" s="219">
        <f>Z1PCSPSP!AK38</f>
        <v>0</v>
      </c>
      <c r="N39" s="219">
        <f>Z1PCSPSP!CT38</f>
        <v>590</v>
      </c>
      <c r="O39" s="219">
        <f>Z1PCSPSP!EQ38</f>
        <v>0</v>
      </c>
      <c r="P39" s="230">
        <f>PVT!AI38</f>
        <v>0</v>
      </c>
      <c r="Q39" s="232">
        <f t="shared" si="15"/>
        <v>2640</v>
      </c>
      <c r="R39" s="221">
        <f>SUM(J$9:$J39)/SUM(B$9:$B39)</f>
        <v>1.0956904400606979</v>
      </c>
      <c r="S39" s="221">
        <f>SUM(K$9:$K39)/SUM(C$9:$C39)</f>
        <v>1.2478861788617885</v>
      </c>
      <c r="T39" s="221">
        <f>SUM($L$9:L39)/SUM($D$9:D39)</f>
        <v>0.20061855670103093</v>
      </c>
      <c r="U39" s="221">
        <f>SUM(M$9:$M39)/SUM(E$9:$E39)</f>
        <v>1.0262922909018752</v>
      </c>
      <c r="V39" s="221">
        <f>SUM($N$9:N39)/SUM($F$9:F39)</f>
        <v>1.0307888927617055</v>
      </c>
      <c r="W39" s="221">
        <f>SUM($O$9:O39)/SUM($G$9:G39)</f>
        <v>0.92039355992844363</v>
      </c>
      <c r="X39" s="221">
        <f>SUM($P$9:P39)/SUM($H$9:H39)</f>
        <v>1.0529187817258883</v>
      </c>
      <c r="Y39" s="233">
        <f>SUM($Q$9:Q39)/SUM($I$9:I39)</f>
        <v>1.0340292528311854</v>
      </c>
      <c r="Z39" s="238"/>
      <c r="AA39" s="239"/>
      <c r="AB39" s="239"/>
      <c r="AC39" s="239"/>
      <c r="AD39" s="239"/>
      <c r="AE39" s="239"/>
      <c r="AF39" s="240"/>
    </row>
    <row r="40" spans="1:32" ht="15" thickBot="1">
      <c r="A40" s="246" t="s">
        <v>72</v>
      </c>
      <c r="B40" s="247">
        <f>SUM(B9:B39)</f>
        <v>32950</v>
      </c>
      <c r="C40" s="247">
        <f t="shared" ref="C40:Q40" si="16">SUM(C9:C39)</f>
        <v>12300</v>
      </c>
      <c r="D40" s="247">
        <f t="shared" si="16"/>
        <v>4850</v>
      </c>
      <c r="E40" s="247">
        <f t="shared" si="16"/>
        <v>10079</v>
      </c>
      <c r="F40" s="247">
        <f t="shared" si="16"/>
        <v>17214</v>
      </c>
      <c r="G40" s="247">
        <f t="shared" si="16"/>
        <v>5590</v>
      </c>
      <c r="H40" s="247">
        <f t="shared" si="16"/>
        <v>7880</v>
      </c>
      <c r="I40" s="248">
        <f t="shared" si="16"/>
        <v>90863</v>
      </c>
      <c r="J40" s="249">
        <f t="shared" si="16"/>
        <v>36103</v>
      </c>
      <c r="K40" s="247">
        <f t="shared" si="16"/>
        <v>15349</v>
      </c>
      <c r="L40" s="247">
        <f t="shared" si="16"/>
        <v>973</v>
      </c>
      <c r="M40" s="247">
        <f t="shared" si="16"/>
        <v>10344</v>
      </c>
      <c r="N40" s="247">
        <f t="shared" si="16"/>
        <v>17744</v>
      </c>
      <c r="O40" s="247">
        <f t="shared" si="16"/>
        <v>5145</v>
      </c>
      <c r="P40" s="247">
        <f t="shared" si="16"/>
        <v>8297</v>
      </c>
      <c r="Q40" s="248">
        <f t="shared" si="16"/>
        <v>93955</v>
      </c>
      <c r="R40" s="250">
        <f>R39</f>
        <v>1.0956904400606979</v>
      </c>
      <c r="S40" s="250">
        <f t="shared" ref="S40:Y40" si="17">S39</f>
        <v>1.2478861788617885</v>
      </c>
      <c r="T40" s="250">
        <f t="shared" si="17"/>
        <v>0.20061855670103093</v>
      </c>
      <c r="U40" s="250">
        <f t="shared" si="17"/>
        <v>1.0262922909018752</v>
      </c>
      <c r="V40" s="250">
        <f t="shared" si="17"/>
        <v>1.0307888927617055</v>
      </c>
      <c r="W40" s="250">
        <f t="shared" si="17"/>
        <v>0.92039355992844363</v>
      </c>
      <c r="X40" s="250">
        <f t="shared" si="17"/>
        <v>1.0529187817258883</v>
      </c>
      <c r="Y40" s="250">
        <f t="shared" si="17"/>
        <v>1.0340292528311854</v>
      </c>
      <c r="Z40" s="249"/>
      <c r="AA40" s="247"/>
      <c r="AB40" s="247"/>
      <c r="AC40" s="247"/>
      <c r="AD40" s="247"/>
      <c r="AE40" s="247"/>
      <c r="AF40" s="251"/>
    </row>
    <row r="41" spans="1:32">
      <c r="R41" s="220"/>
      <c r="Z41" s="208"/>
      <c r="AA41" s="208"/>
      <c r="AB41" s="208"/>
      <c r="AC41" s="208"/>
      <c r="AD41" s="208"/>
      <c r="AE41" s="208"/>
      <c r="AF41" s="208"/>
    </row>
    <row r="42" spans="1:32">
      <c r="A42" s="208" t="s">
        <v>149</v>
      </c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24"/>
      <c r="AA42" s="224"/>
      <c r="AB42" s="224"/>
      <c r="AC42" s="224"/>
      <c r="AD42" s="224"/>
      <c r="AE42" s="224"/>
      <c r="AF42" s="224"/>
    </row>
  </sheetData>
  <mergeCells count="6">
    <mergeCell ref="A7:I7"/>
    <mergeCell ref="J7:Q7"/>
    <mergeCell ref="R7:Y7"/>
    <mergeCell ref="Z7:AF7"/>
    <mergeCell ref="A3:Y3"/>
    <mergeCell ref="A4:Y4"/>
  </mergeCells>
  <conditionalFormatting sqref="A9:A39">
    <cfRule type="cellIs" dxfId="8" priority="1" operator="equal">
      <formula>"hoy()"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5</vt:i4>
      </vt:variant>
    </vt:vector>
  </HeadingPairs>
  <TitlesOfParts>
    <vt:vector size="18" baseType="lpstr">
      <vt:lpstr>NOMINACIÓN</vt:lpstr>
      <vt:lpstr>Z1PCSPSP</vt:lpstr>
      <vt:lpstr>PVT</vt:lpstr>
      <vt:lpstr>PCOLP I</vt:lpstr>
      <vt:lpstr>PCOLP II</vt:lpstr>
      <vt:lpstr>PCPV</vt:lpstr>
      <vt:lpstr>GLP CBBA</vt:lpstr>
      <vt:lpstr>CAP UTILIZADA</vt:lpstr>
      <vt:lpstr>CUMP ACUM</vt:lpstr>
      <vt:lpstr>CUMP DIA</vt:lpstr>
      <vt:lpstr>CONT FIRME YPFB</vt:lpstr>
      <vt:lpstr>ANH 15</vt:lpstr>
      <vt:lpstr>VOL ENTREGA</vt:lpstr>
      <vt:lpstr>'PCOLP I'!Área_de_impresión</vt:lpstr>
      <vt:lpstr>'PCOLP II'!Área_de_impresión</vt:lpstr>
      <vt:lpstr>PCPV!Área_de_impresión</vt:lpstr>
      <vt:lpstr>PVT!Área_de_impresión</vt:lpstr>
      <vt:lpstr>Z1PCSPSP!Área_de_impresión</vt:lpstr>
    </vt:vector>
  </TitlesOfParts>
  <Manager/>
  <Company>YPFB Transporte S.A.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Walter Guzman</dc:creator>
  <cp:keywords/>
  <dc:description/>
  <cp:lastModifiedBy>Walter Guzman</cp:lastModifiedBy>
  <cp:revision/>
  <cp:lastPrinted>2025-08-27T12:08:52Z</cp:lastPrinted>
  <dcterms:created xsi:type="dcterms:W3CDTF">2020-12-15T13:07:03Z</dcterms:created>
  <dcterms:modified xsi:type="dcterms:W3CDTF">2025-08-28T14:46:14Z</dcterms:modified>
  <cp:category/>
  <cp:contentStatus/>
</cp:coreProperties>
</file>