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bookViews>
    <workbookView xWindow="-36420" yWindow="-1395" windowWidth="21840" windowHeight="19845" tabRatio="732"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62" i="14" l="1"/>
  <c r="B74" i="14"/>
  <c r="C74" i="14"/>
  <c r="C79" i="14"/>
  <c r="D62" i="14"/>
  <c r="D74" i="14"/>
  <c r="D79" i="14"/>
  <c r="E62" i="14"/>
  <c r="E74" i="14"/>
  <c r="E79" i="14"/>
  <c r="I79" i="14"/>
  <c r="C83" i="14"/>
  <c r="B83" i="14"/>
  <c r="E83" i="14"/>
  <c r="E137" i="14"/>
  <c r="P79" i="14"/>
  <c r="C78" i="14"/>
  <c r="D78" i="14"/>
  <c r="E78" i="14"/>
  <c r="I78" i="14"/>
  <c r="P78" i="14"/>
  <c r="C77" i="14"/>
  <c r="D77" i="14"/>
  <c r="E77" i="14"/>
  <c r="I77" i="14"/>
  <c r="P77" i="14"/>
  <c r="C76" i="14"/>
  <c r="D76" i="14"/>
  <c r="E76" i="14"/>
  <c r="I76" i="14"/>
  <c r="P76" i="14"/>
  <c r="C75" i="14"/>
  <c r="D75" i="14"/>
  <c r="E75" i="14"/>
  <c r="I75" i="14"/>
  <c r="P75" i="14"/>
  <c r="I74" i="14"/>
  <c r="P74" i="14"/>
  <c r="F62" i="14"/>
  <c r="F74" i="14"/>
  <c r="F79" i="14"/>
  <c r="G62" i="14"/>
  <c r="G74" i="14"/>
  <c r="G79" i="14"/>
  <c r="H62" i="14"/>
  <c r="H74" i="14"/>
  <c r="H79" i="14"/>
  <c r="J79" i="14"/>
  <c r="D83" i="14"/>
  <c r="F83" i="14"/>
  <c r="G137" i="14"/>
  <c r="Q79" i="14"/>
  <c r="F78" i="14"/>
  <c r="G78" i="14"/>
  <c r="H78" i="14"/>
  <c r="J78" i="14"/>
  <c r="Q78" i="14"/>
  <c r="F77" i="14"/>
  <c r="G77" i="14"/>
  <c r="H77" i="14"/>
  <c r="J77" i="14"/>
  <c r="Q77" i="14"/>
  <c r="F75" i="14"/>
  <c r="G75" i="14"/>
  <c r="H75" i="14"/>
  <c r="J75" i="14"/>
  <c r="Q75" i="14"/>
  <c r="F76" i="14"/>
  <c r="G76" i="14"/>
  <c r="H76" i="14"/>
  <c r="J76" i="14"/>
  <c r="Q76" i="14"/>
  <c r="J74" i="14"/>
  <c r="Q74" i="14"/>
  <c r="K27" i="14"/>
  <c r="J210" i="14"/>
  <c r="B202" i="14"/>
  <c r="B210" i="14"/>
  <c r="M210" i="14"/>
  <c r="J209" i="14"/>
  <c r="B201" i="14"/>
  <c r="B209" i="14"/>
  <c r="M209" i="14"/>
  <c r="I210" i="14"/>
  <c r="L210" i="14"/>
  <c r="I209" i="14"/>
  <c r="L209" i="14"/>
  <c r="J207" i="14"/>
  <c r="B199" i="14"/>
  <c r="B207" i="14"/>
  <c r="M207" i="14"/>
  <c r="J208" i="14"/>
  <c r="B200" i="14"/>
  <c r="B208" i="14"/>
  <c r="M208" i="14"/>
  <c r="I208" i="14"/>
  <c r="L208" i="14"/>
  <c r="I207" i="14"/>
  <c r="L207" i="14"/>
  <c r="B216" i="14"/>
  <c r="B217" i="14"/>
  <c r="B218" i="14"/>
  <c r="B215" i="14"/>
  <c r="P171" i="14"/>
  <c r="E64" i="14"/>
  <c r="H63" i="14"/>
  <c r="C64" i="14"/>
  <c r="J63" i="14"/>
  <c r="J64" i="14"/>
  <c r="L64" i="14"/>
  <c r="L171" i="14"/>
  <c r="B4" i="14"/>
  <c r="J154" i="14"/>
  <c r="G157" i="14"/>
  <c r="E155" i="14"/>
  <c r="C155" i="14"/>
  <c r="H157" i="14"/>
  <c r="L157" i="14"/>
  <c r="I157" i="14"/>
  <c r="J155" i="14"/>
  <c r="H155" i="14"/>
  <c r="J157" i="14"/>
  <c r="M157" i="14"/>
  <c r="G158" i="14"/>
  <c r="H158" i="14"/>
  <c r="L158" i="14"/>
  <c r="I158" i="14"/>
  <c r="J158" i="14"/>
  <c r="M158" i="14"/>
  <c r="G159" i="14"/>
  <c r="H159" i="14"/>
  <c r="L159" i="14"/>
  <c r="I159" i="14"/>
  <c r="J159" i="14"/>
  <c r="M159" i="14"/>
  <c r="E67" i="14"/>
  <c r="H66" i="14"/>
  <c r="C67" i="14"/>
  <c r="J66" i="14"/>
  <c r="J67" i="14"/>
  <c r="L67" i="14"/>
  <c r="J81" i="14"/>
  <c r="H81" i="14"/>
  <c r="J83" i="14"/>
  <c r="L83" i="14"/>
  <c r="B96" i="14"/>
  <c r="E84" i="14"/>
  <c r="C96" i="14"/>
  <c r="F84" i="14"/>
  <c r="D96" i="14"/>
  <c r="B97" i="14"/>
  <c r="C97" i="14"/>
  <c r="D97" i="14"/>
  <c r="B98" i="14"/>
  <c r="C98" i="14"/>
  <c r="D98" i="14"/>
  <c r="B99" i="14"/>
  <c r="C99" i="14"/>
  <c r="D99" i="14"/>
  <c r="B100" i="14"/>
  <c r="C100" i="14"/>
  <c r="D100" i="14"/>
  <c r="B101" i="14"/>
  <c r="C101" i="14"/>
  <c r="D101" i="14"/>
  <c r="J95" i="14"/>
  <c r="L95" i="14"/>
  <c r="U86" i="14"/>
  <c r="V86" i="14"/>
  <c r="W86" i="14"/>
  <c r="X86" i="14"/>
  <c r="Y86" i="14"/>
  <c r="Z86" i="14"/>
  <c r="L214" i="14"/>
  <c r="C137" i="14"/>
  <c r="R171" i="14"/>
  <c r="Q171" i="14"/>
  <c r="V48" i="8"/>
  <c r="N48" i="8"/>
  <c r="X48" i="8"/>
  <c r="V49" i="8"/>
  <c r="N49" i="8"/>
  <c r="X49" i="8"/>
  <c r="V50" i="8"/>
  <c r="N50" i="8"/>
  <c r="X50" i="8"/>
  <c r="V47" i="8"/>
  <c r="N47" i="8"/>
  <c r="X47" i="8"/>
  <c r="U48" i="8"/>
  <c r="W48" i="8"/>
  <c r="U49" i="8"/>
  <c r="W49" i="8"/>
  <c r="U50" i="8"/>
  <c r="W50" i="8"/>
  <c r="U47" i="8"/>
  <c r="W47" i="8"/>
  <c r="O47" i="8"/>
  <c r="P47" i="8"/>
  <c r="Q47" i="8"/>
  <c r="R47" i="8"/>
  <c r="S47" i="8"/>
  <c r="T47" i="8"/>
  <c r="O48" i="8"/>
  <c r="P48" i="8"/>
  <c r="Q48" i="8"/>
  <c r="R48" i="8"/>
  <c r="S48" i="8"/>
  <c r="T48" i="8"/>
  <c r="O49" i="8"/>
  <c r="P49" i="8"/>
  <c r="Q49" i="8"/>
  <c r="R49" i="8"/>
  <c r="S49" i="8"/>
  <c r="T49" i="8"/>
  <c r="O50" i="8"/>
  <c r="P50" i="8"/>
  <c r="Q50" i="8"/>
  <c r="R50" i="8"/>
  <c r="S50" i="8"/>
  <c r="T50" i="8"/>
  <c r="C215" i="14"/>
  <c r="D215" i="14"/>
  <c r="C216" i="14"/>
  <c r="D216" i="14"/>
  <c r="C217" i="14"/>
  <c r="C218" i="14"/>
  <c r="D217" i="14"/>
  <c r="D218" i="14"/>
  <c r="J214" i="14"/>
  <c r="B192" i="14"/>
  <c r="B193" i="14"/>
  <c r="B194" i="14"/>
  <c r="B191" i="14"/>
  <c r="B184" i="14"/>
  <c r="B185" i="14"/>
  <c r="B186" i="14"/>
  <c r="B183" i="14"/>
  <c r="F217" i="14"/>
  <c r="F216" i="14"/>
  <c r="E217" i="14"/>
  <c r="E216" i="14"/>
  <c r="F219" i="14"/>
  <c r="E219" i="14"/>
  <c r="D98" i="1"/>
  <c r="D97" i="1"/>
  <c r="D96" i="1"/>
  <c r="D95" i="1"/>
  <c r="D94" i="1"/>
  <c r="N169" i="14"/>
  <c r="M169" i="14"/>
  <c r="AB5" i="1"/>
  <c r="AB6" i="1"/>
  <c r="AB7" i="1"/>
  <c r="AB8" i="1"/>
  <c r="AB9" i="1"/>
  <c r="AB10" i="1"/>
  <c r="AB11" i="1"/>
  <c r="AB12" i="1"/>
  <c r="AB13" i="1"/>
  <c r="AB14" i="1"/>
  <c r="AB15" i="1"/>
  <c r="AB16" i="1"/>
  <c r="Z3" i="1"/>
  <c r="AB3" i="1"/>
  <c r="W3" i="1"/>
  <c r="Y3" i="1"/>
  <c r="AC3" i="1"/>
  <c r="AE3" i="1"/>
  <c r="AE4" i="1"/>
  <c r="AE5" i="1"/>
  <c r="AE6" i="1"/>
  <c r="AE7" i="1"/>
  <c r="AE8" i="1"/>
  <c r="AE9" i="1"/>
  <c r="AE10" i="1"/>
  <c r="AE11" i="1"/>
  <c r="AE12" i="1"/>
  <c r="AE13" i="1"/>
  <c r="AE14" i="1"/>
  <c r="AE15" i="1"/>
  <c r="AE16" i="1"/>
  <c r="Y5" i="1"/>
  <c r="Y6" i="1"/>
  <c r="Y7" i="1"/>
  <c r="Y8" i="1"/>
  <c r="Y9" i="1"/>
  <c r="Y10" i="1"/>
  <c r="Y11" i="1"/>
  <c r="Y12" i="1"/>
  <c r="Y13" i="1"/>
  <c r="Y14" i="1"/>
  <c r="Y15" i="1"/>
  <c r="Y16" i="1"/>
  <c r="Q3" i="1"/>
  <c r="S3" i="1"/>
  <c r="S4" i="1"/>
  <c r="S5" i="1"/>
  <c r="S6" i="1"/>
  <c r="S7" i="1"/>
  <c r="S8" i="1"/>
  <c r="S9" i="1"/>
  <c r="S10" i="1"/>
  <c r="S11" i="1"/>
  <c r="S12" i="1"/>
  <c r="S13" i="1"/>
  <c r="S14" i="1"/>
  <c r="S15" i="1"/>
  <c r="S16" i="1"/>
  <c r="N3" i="1"/>
  <c r="P3" i="1"/>
  <c r="P4" i="1"/>
  <c r="P5" i="1"/>
  <c r="P6" i="1"/>
  <c r="P7" i="1"/>
  <c r="P8" i="1"/>
  <c r="P9" i="1"/>
  <c r="P10" i="1"/>
  <c r="P11" i="1"/>
  <c r="P12" i="1"/>
  <c r="P13" i="1"/>
  <c r="P14" i="1"/>
  <c r="P15" i="1"/>
  <c r="P16" i="1"/>
  <c r="K3" i="1"/>
  <c r="M3" i="1"/>
  <c r="M4" i="1"/>
  <c r="M5" i="1"/>
  <c r="M6" i="1"/>
  <c r="M7" i="1"/>
  <c r="M8" i="1"/>
  <c r="M9" i="1"/>
  <c r="M10" i="1"/>
  <c r="M11" i="1"/>
  <c r="M12" i="1"/>
  <c r="M13" i="1"/>
  <c r="M14" i="1"/>
  <c r="M15" i="1"/>
  <c r="M16" i="1"/>
  <c r="H3" i="1"/>
  <c r="J3" i="1"/>
  <c r="J4" i="1"/>
  <c r="J5" i="1"/>
  <c r="J6" i="1"/>
  <c r="J7" i="1"/>
  <c r="J8" i="1"/>
  <c r="J9" i="1"/>
  <c r="J10" i="1"/>
  <c r="J11" i="1"/>
  <c r="J12" i="1"/>
  <c r="J13" i="1"/>
  <c r="J14" i="1"/>
  <c r="J15" i="1"/>
  <c r="J16" i="1"/>
  <c r="E3" i="1"/>
  <c r="G3" i="1"/>
  <c r="G4" i="1"/>
  <c r="G5" i="1"/>
  <c r="G6" i="1"/>
  <c r="G7" i="1"/>
  <c r="G8" i="1"/>
  <c r="G9" i="1"/>
  <c r="G10" i="1"/>
  <c r="G11" i="1"/>
  <c r="G12" i="1"/>
  <c r="G13" i="1"/>
  <c r="G14" i="1"/>
  <c r="G15" i="1"/>
  <c r="G16" i="1"/>
  <c r="B3" i="1"/>
  <c r="D3" i="1"/>
  <c r="D4" i="1"/>
  <c r="D5" i="1"/>
  <c r="D6" i="1"/>
  <c r="D7" i="1"/>
  <c r="D8" i="1"/>
  <c r="D9" i="1"/>
  <c r="D10" i="1"/>
  <c r="D11" i="1"/>
  <c r="D12" i="1"/>
  <c r="D13" i="1"/>
  <c r="D14" i="1"/>
  <c r="D15" i="1"/>
  <c r="D16" i="1"/>
  <c r="V5" i="1"/>
  <c r="V6" i="1"/>
  <c r="V7" i="1"/>
  <c r="V8" i="1"/>
  <c r="V9" i="1"/>
  <c r="V10" i="1"/>
  <c r="V11" i="1"/>
  <c r="T3" i="1"/>
  <c r="V3" i="1"/>
  <c r="C4" i="14"/>
  <c r="D21" i="14"/>
  <c r="L10" i="14"/>
  <c r="C46" i="14"/>
  <c r="D46" i="14"/>
  <c r="K10" i="14"/>
  <c r="C45" i="14"/>
  <c r="D45" i="14"/>
  <c r="L22" i="14"/>
  <c r="L24" i="14"/>
  <c r="D41" i="14"/>
  <c r="L23" i="14"/>
  <c r="D40" i="14"/>
  <c r="K22" i="14"/>
  <c r="K24" i="14"/>
  <c r="J22" i="14"/>
  <c r="J24" i="14"/>
  <c r="K23" i="14"/>
  <c r="J23" i="14"/>
  <c r="D26" i="12"/>
  <c r="C26" i="12"/>
  <c r="I4" i="12"/>
  <c r="F5" i="12"/>
  <c r="D27" i="12"/>
  <c r="C27" i="12"/>
  <c r="G5" i="12"/>
  <c r="D28" i="12"/>
  <c r="C28" i="12"/>
  <c r="H5" i="12"/>
  <c r="D29" i="12"/>
  <c r="C29" i="12"/>
  <c r="B5" i="12"/>
  <c r="D30" i="12"/>
  <c r="C30" i="12"/>
  <c r="D31" i="12"/>
  <c r="C31" i="12"/>
  <c r="D5" i="12"/>
  <c r="D32" i="12"/>
  <c r="C32" i="12"/>
  <c r="D33" i="12"/>
  <c r="C33" i="12"/>
  <c r="D34" i="12"/>
  <c r="C34" i="12"/>
  <c r="D35" i="12"/>
  <c r="C35" i="12"/>
  <c r="J23" i="12"/>
  <c r="D36" i="12"/>
  <c r="C36" i="12"/>
  <c r="J24" i="12"/>
  <c r="D37" i="12"/>
  <c r="C37" i="12"/>
  <c r="K23" i="12"/>
  <c r="D38" i="12"/>
  <c r="C38" i="12"/>
  <c r="K24" i="12"/>
  <c r="D39" i="12"/>
  <c r="C39" i="12"/>
  <c r="K32" i="12"/>
  <c r="K33" i="12"/>
  <c r="D40" i="12"/>
  <c r="C40" i="12"/>
  <c r="K34" i="12"/>
  <c r="D41" i="12"/>
  <c r="C41" i="12"/>
  <c r="K27" i="12"/>
  <c r="K28" i="12"/>
  <c r="D42" i="12"/>
  <c r="C42" i="12"/>
  <c r="K29" i="12"/>
  <c r="D43" i="12"/>
  <c r="C43" i="12"/>
  <c r="D44" i="12"/>
  <c r="C44" i="12"/>
  <c r="J4" i="12"/>
  <c r="J5" i="12"/>
  <c r="D45" i="12"/>
  <c r="C45" i="12"/>
  <c r="K4" i="12"/>
  <c r="K5" i="12"/>
  <c r="D46" i="12"/>
  <c r="C46" i="12"/>
  <c r="E5" i="12"/>
  <c r="D22" i="12"/>
  <c r="C22" i="12"/>
  <c r="D23" i="12"/>
  <c r="C23" i="12"/>
  <c r="D24" i="12"/>
  <c r="C24" i="12"/>
  <c r="D25" i="12"/>
  <c r="C25" i="12"/>
  <c r="C47" i="12"/>
  <c r="D47" i="12"/>
  <c r="L5" i="14"/>
  <c r="D26" i="14"/>
  <c r="C26" i="14"/>
  <c r="I4" i="14"/>
  <c r="F5" i="14"/>
  <c r="D27" i="14"/>
  <c r="C27" i="14"/>
  <c r="G5" i="14"/>
  <c r="D28" i="14"/>
  <c r="C28" i="14"/>
  <c r="H5" i="14"/>
  <c r="D29" i="14"/>
  <c r="C29" i="14"/>
  <c r="B5" i="14"/>
  <c r="D30" i="14"/>
  <c r="C30" i="14"/>
  <c r="D31" i="14"/>
  <c r="C31" i="14"/>
  <c r="D4" i="14"/>
  <c r="D5" i="14"/>
  <c r="D32" i="14"/>
  <c r="C32" i="14"/>
  <c r="D33" i="14"/>
  <c r="C33" i="14"/>
  <c r="D34" i="14"/>
  <c r="C34" i="14"/>
  <c r="D35" i="14"/>
  <c r="C35" i="14"/>
  <c r="D36" i="14"/>
  <c r="C36" i="14"/>
  <c r="D37" i="14"/>
  <c r="C37" i="14"/>
  <c r="D38" i="14"/>
  <c r="C38" i="14"/>
  <c r="D39" i="14"/>
  <c r="C39" i="14"/>
  <c r="C40" i="14"/>
  <c r="C41" i="14"/>
  <c r="K28" i="14"/>
  <c r="D42" i="14"/>
  <c r="C42" i="14"/>
  <c r="K29" i="14"/>
  <c r="D43" i="14"/>
  <c r="C43" i="14"/>
  <c r="F4" i="14"/>
  <c r="D44" i="14"/>
  <c r="C44" i="14"/>
  <c r="E4" i="14"/>
  <c r="E5" i="14"/>
  <c r="D22" i="14"/>
  <c r="C22" i="14"/>
  <c r="D23" i="14"/>
  <c r="C23" i="14"/>
  <c r="D24" i="14"/>
  <c r="C24" i="14"/>
  <c r="D25" i="14"/>
  <c r="C25" i="14"/>
  <c r="C47" i="14"/>
  <c r="D47" i="14"/>
  <c r="G4" i="14"/>
  <c r="H4" i="14"/>
  <c r="J88" i="14"/>
  <c r="J89" i="14"/>
  <c r="J90" i="14"/>
  <c r="J91" i="14"/>
  <c r="J92" i="14"/>
  <c r="J87" i="14"/>
  <c r="I89" i="14"/>
  <c r="I90" i="14"/>
  <c r="I91" i="14"/>
  <c r="I92" i="14"/>
  <c r="I87" i="14"/>
  <c r="G87" i="14"/>
  <c r="H87" i="14"/>
  <c r="G88" i="14"/>
  <c r="H88" i="14"/>
  <c r="G89" i="14"/>
  <c r="H89" i="14"/>
  <c r="G90" i="14"/>
  <c r="H90" i="14"/>
  <c r="G91" i="14"/>
  <c r="H91" i="14"/>
  <c r="G92" i="14"/>
  <c r="H92" i="14"/>
  <c r="F88" i="14"/>
  <c r="F89" i="14"/>
  <c r="F90" i="14"/>
  <c r="F91" i="14"/>
  <c r="F92" i="14"/>
  <c r="F87" i="14"/>
  <c r="D87" i="14"/>
  <c r="E87" i="14"/>
  <c r="D88" i="14"/>
  <c r="E88" i="14"/>
  <c r="D89" i="14"/>
  <c r="E89" i="14"/>
  <c r="D90" i="14"/>
  <c r="E90" i="14"/>
  <c r="D91" i="14"/>
  <c r="E91" i="14"/>
  <c r="D92" i="14"/>
  <c r="E92" i="14"/>
  <c r="C88" i="14"/>
  <c r="C89" i="14"/>
  <c r="C90" i="14"/>
  <c r="C91" i="14"/>
  <c r="C92" i="14"/>
  <c r="C87" i="14"/>
  <c r="F97" i="14"/>
  <c r="F98" i="14"/>
  <c r="F99" i="14"/>
  <c r="F101" i="14"/>
  <c r="F100" i="14"/>
  <c r="B92" i="14"/>
  <c r="B91" i="14"/>
  <c r="B90" i="14"/>
  <c r="B89" i="14"/>
  <c r="B88" i="14"/>
  <c r="B87" i="14"/>
  <c r="B79" i="14"/>
  <c r="U76" i="14"/>
  <c r="V76" i="14"/>
  <c r="W76" i="14"/>
  <c r="X76" i="14"/>
  <c r="Y76" i="14"/>
  <c r="Z76" i="14"/>
  <c r="U77" i="14"/>
  <c r="V77" i="14"/>
  <c r="W77" i="14"/>
  <c r="X77" i="14"/>
  <c r="Y77" i="14"/>
  <c r="Z77" i="14"/>
  <c r="U78" i="14"/>
  <c r="V78" i="14"/>
  <c r="W78" i="14"/>
  <c r="X78" i="14"/>
  <c r="Y78" i="14"/>
  <c r="Z78" i="14"/>
  <c r="U79" i="14"/>
  <c r="V79" i="14"/>
  <c r="W79" i="14"/>
  <c r="X79" i="14"/>
  <c r="Y79" i="14"/>
  <c r="Z79" i="14"/>
  <c r="V75" i="14"/>
  <c r="W75" i="14"/>
  <c r="X75" i="14"/>
  <c r="Y75" i="14"/>
  <c r="Z75" i="14"/>
  <c r="U75" i="14"/>
  <c r="Z81" i="14"/>
  <c r="Y81" i="14"/>
  <c r="X81" i="14"/>
  <c r="W81" i="14"/>
  <c r="V81" i="14"/>
  <c r="U81" i="14"/>
  <c r="K15" i="14"/>
  <c r="M77" i="14"/>
  <c r="K13" i="14"/>
  <c r="M75" i="14"/>
  <c r="K12" i="14"/>
  <c r="M74" i="14"/>
  <c r="K14" i="14"/>
  <c r="M76" i="14"/>
  <c r="K16" i="14"/>
  <c r="M78" i="14"/>
  <c r="K17" i="14"/>
  <c r="M79" i="14"/>
  <c r="M80" i="14"/>
  <c r="L15" i="14"/>
  <c r="N77" i="14"/>
  <c r="L13" i="14"/>
  <c r="N75" i="14"/>
  <c r="L14" i="14"/>
  <c r="N76" i="14"/>
  <c r="L16" i="14"/>
  <c r="N78" i="14"/>
  <c r="L17" i="14"/>
  <c r="N79" i="14"/>
  <c r="N80" i="14"/>
  <c r="L12" i="14"/>
  <c r="N74" i="14"/>
  <c r="R74" i="14"/>
  <c r="S74" i="14"/>
  <c r="B75" i="14"/>
  <c r="R76" i="14"/>
  <c r="B76" i="14"/>
  <c r="S76" i="14"/>
  <c r="R77" i="14"/>
  <c r="B77" i="14"/>
  <c r="S77" i="14"/>
  <c r="R78" i="14"/>
  <c r="B78" i="14"/>
  <c r="S78" i="14"/>
  <c r="R79" i="14"/>
  <c r="S79" i="14"/>
  <c r="T3" i="8"/>
  <c r="AE20" i="1"/>
  <c r="W3" i="8"/>
  <c r="X3" i="8"/>
  <c r="S3" i="8"/>
  <c r="D19" i="12"/>
  <c r="D19" i="13"/>
  <c r="D19" i="14"/>
  <c r="F4" i="13"/>
  <c r="F142" i="14"/>
  <c r="R7" i="8"/>
  <c r="G142" i="14"/>
  <c r="S7" i="8"/>
  <c r="H142" i="14"/>
  <c r="T7" i="8"/>
  <c r="F143" i="14"/>
  <c r="R8" i="8"/>
  <c r="G143" i="14"/>
  <c r="S8" i="8"/>
  <c r="H143" i="14"/>
  <c r="T8" i="8"/>
  <c r="G144" i="14"/>
  <c r="S9" i="8"/>
  <c r="H144" i="14"/>
  <c r="T9" i="8"/>
  <c r="F145" i="14"/>
  <c r="R10" i="8"/>
  <c r="G145" i="14"/>
  <c r="S10" i="8"/>
  <c r="H145" i="14"/>
  <c r="T10" i="8"/>
  <c r="G146" i="14"/>
  <c r="S11" i="8"/>
  <c r="H146" i="14"/>
  <c r="T11" i="8"/>
  <c r="F141" i="14"/>
  <c r="G141" i="14"/>
  <c r="S6" i="8"/>
  <c r="H141" i="14"/>
  <c r="T6" i="8"/>
  <c r="C142" i="14"/>
  <c r="O7" i="8"/>
  <c r="D142" i="14"/>
  <c r="P7" i="8"/>
  <c r="E142" i="14"/>
  <c r="Q7" i="8"/>
  <c r="C143" i="14"/>
  <c r="O8" i="8"/>
  <c r="D143" i="14"/>
  <c r="P8" i="8"/>
  <c r="E143" i="14"/>
  <c r="C144" i="14"/>
  <c r="O9" i="8"/>
  <c r="E144" i="14"/>
  <c r="Q9" i="8"/>
  <c r="C145" i="14"/>
  <c r="O10" i="8"/>
  <c r="D145" i="14"/>
  <c r="P10" i="8"/>
  <c r="E145" i="14"/>
  <c r="Q10" i="8"/>
  <c r="C146" i="14"/>
  <c r="D146" i="14"/>
  <c r="P11" i="8"/>
  <c r="E146" i="14"/>
  <c r="Q11" i="8"/>
  <c r="C141" i="14"/>
  <c r="O6" i="8"/>
  <c r="D141" i="14"/>
  <c r="P6" i="8"/>
  <c r="E141" i="14"/>
  <c r="K32" i="14"/>
  <c r="K33" i="14"/>
  <c r="N72" i="14"/>
  <c r="M72" i="14"/>
  <c r="K34" i="14"/>
  <c r="B83" i="10"/>
  <c r="O5" i="8"/>
  <c r="P5" i="8"/>
  <c r="Q5" i="8"/>
  <c r="R5" i="8"/>
  <c r="S5" i="8"/>
  <c r="T5" i="8"/>
  <c r="U5" i="8"/>
  <c r="V5" i="8"/>
  <c r="W5" i="8"/>
  <c r="X5" i="8"/>
  <c r="L5" i="8"/>
  <c r="I5" i="8"/>
  <c r="J5" i="8"/>
  <c r="K5" i="8"/>
  <c r="N5" i="8"/>
  <c r="C5" i="8"/>
  <c r="D5" i="8"/>
  <c r="E5" i="8"/>
  <c r="F5" i="8"/>
  <c r="G5" i="8"/>
  <c r="H5" i="8"/>
  <c r="B5" i="8"/>
  <c r="L5" i="13"/>
  <c r="D26" i="13"/>
  <c r="S5" i="14"/>
  <c r="R5" i="14"/>
  <c r="Q5" i="14"/>
  <c r="P5" i="14"/>
  <c r="AF9" i="14"/>
  <c r="S5" i="13"/>
  <c r="R5" i="13"/>
  <c r="Q5" i="13"/>
  <c r="P5" i="13"/>
  <c r="AF9" i="13"/>
  <c r="J56" i="13"/>
  <c r="C57" i="13"/>
  <c r="J57" i="13"/>
  <c r="L57" i="13"/>
  <c r="J53" i="13"/>
  <c r="H53" i="13"/>
  <c r="C54" i="13"/>
  <c r="J54" i="13"/>
  <c r="L54" i="13"/>
  <c r="C89" i="13"/>
  <c r="S5" i="12"/>
  <c r="R5" i="12"/>
  <c r="Q5" i="12"/>
  <c r="P5" i="12"/>
  <c r="AF9" i="12"/>
  <c r="B5" i="2"/>
  <c r="B146" i="14"/>
  <c r="N11" i="8"/>
  <c r="B145" i="14"/>
  <c r="N10" i="8"/>
  <c r="B144" i="14"/>
  <c r="N9" i="8"/>
  <c r="B143" i="14"/>
  <c r="N8" i="8"/>
  <c r="B142" i="14"/>
  <c r="N7" i="8"/>
  <c r="B141" i="14"/>
  <c r="N6" i="8"/>
  <c r="N86" i="14"/>
  <c r="M86" i="14"/>
  <c r="L86" i="14"/>
  <c r="L79" i="14"/>
  <c r="L78" i="14"/>
  <c r="L77" i="14"/>
  <c r="L76" i="14"/>
  <c r="L75" i="14"/>
  <c r="L74" i="14"/>
  <c r="N73" i="14"/>
  <c r="M73" i="14"/>
  <c r="L73" i="14"/>
  <c r="N71" i="14"/>
  <c r="M71" i="14"/>
  <c r="L87" i="14"/>
  <c r="L88" i="14"/>
  <c r="L89" i="14"/>
  <c r="L90" i="14"/>
  <c r="L91" i="14"/>
  <c r="L92" i="14"/>
  <c r="C21" i="14"/>
  <c r="C4" i="13"/>
  <c r="D21" i="13"/>
  <c r="C21" i="13"/>
  <c r="D4" i="13"/>
  <c r="E4" i="13"/>
  <c r="E5" i="13"/>
  <c r="B4" i="13"/>
  <c r="B5" i="13"/>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5" i="13"/>
  <c r="C5" i="13"/>
  <c r="K4" i="13"/>
  <c r="K5" i="13"/>
  <c r="D46" i="13"/>
  <c r="C46" i="13"/>
  <c r="J4" i="13"/>
  <c r="J5" i="13"/>
  <c r="D45" i="13"/>
  <c r="C45" i="13"/>
  <c r="I4" i="13"/>
  <c r="G5" i="13"/>
  <c r="D28" i="13"/>
  <c r="E89" i="13"/>
  <c r="B19" i="12"/>
  <c r="C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90" i="10"/>
  <c r="B91" i="10"/>
  <c r="B92" i="10"/>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c r="B21" i="12"/>
  <c r="E20" i="12"/>
  <c r="B20" i="12"/>
  <c r="B18" i="12"/>
  <c r="B17" i="12"/>
  <c r="B16" i="12"/>
  <c r="B15" i="12"/>
  <c r="B14" i="12"/>
  <c r="B13" i="12"/>
  <c r="B12" i="12"/>
  <c r="B11" i="12"/>
  <c r="B10" i="12"/>
  <c r="B9" i="12"/>
  <c r="E6" i="12"/>
  <c r="D6" i="12"/>
  <c r="C6" i="12"/>
  <c r="B6" i="12"/>
  <c r="R4" i="5"/>
  <c r="S4" i="5"/>
  <c r="T4" i="5"/>
  <c r="U4" i="5"/>
  <c r="V4" i="5"/>
  <c r="W4" i="5"/>
  <c r="X4" i="5"/>
  <c r="Y4" i="5"/>
  <c r="Z4" i="5"/>
  <c r="AA4" i="5"/>
  <c r="AB4" i="5"/>
  <c r="AC4" i="5"/>
  <c r="AD4" i="5"/>
  <c r="AE4" i="5"/>
  <c r="AF4" i="5"/>
  <c r="Q5" i="5"/>
  <c r="R5" i="5"/>
  <c r="S5" i="5"/>
  <c r="T5" i="5"/>
  <c r="U5" i="5"/>
  <c r="V5" i="5"/>
  <c r="W5" i="5"/>
  <c r="X5" i="5"/>
  <c r="Y5" i="5"/>
  <c r="Z5" i="5"/>
  <c r="AA5" i="5"/>
  <c r="AB5" i="5"/>
  <c r="AC5" i="5"/>
  <c r="AD5" i="5"/>
  <c r="AE5" i="5"/>
  <c r="AF5" i="5"/>
  <c r="Q6" i="5"/>
  <c r="R6" i="5"/>
  <c r="S6" i="5"/>
  <c r="T6" i="5"/>
  <c r="U6" i="5"/>
  <c r="V6" i="5"/>
  <c r="W6" i="5"/>
  <c r="X6" i="5"/>
  <c r="Y6" i="5"/>
  <c r="Z6" i="5"/>
  <c r="AA6" i="5"/>
  <c r="AB6" i="5"/>
  <c r="AC6" i="5"/>
  <c r="AD6" i="5"/>
  <c r="AE6" i="5"/>
  <c r="AF6" i="5"/>
  <c r="Q7" i="5"/>
  <c r="R7" i="5"/>
  <c r="S7" i="5"/>
  <c r="T7" i="5"/>
  <c r="U7" i="5"/>
  <c r="V7" i="5"/>
  <c r="W7" i="5"/>
  <c r="X7" i="5"/>
  <c r="Y7" i="5"/>
  <c r="Z7" i="5"/>
  <c r="AA7" i="5"/>
  <c r="AB7" i="5"/>
  <c r="AC7" i="5"/>
  <c r="AD7" i="5"/>
  <c r="AE7" i="5"/>
  <c r="AF7" i="5"/>
  <c r="Q8" i="5"/>
  <c r="R8" i="5"/>
  <c r="S8" i="5"/>
  <c r="T8" i="5"/>
  <c r="U8" i="5"/>
  <c r="V8" i="5"/>
  <c r="W8" i="5"/>
  <c r="X8" i="5"/>
  <c r="Y8" i="5"/>
  <c r="Z8" i="5"/>
  <c r="AA8" i="5"/>
  <c r="AB8" i="5"/>
  <c r="AC8" i="5"/>
  <c r="AD8" i="5"/>
  <c r="AE8" i="5"/>
  <c r="AF8" i="5"/>
  <c r="Q9" i="5"/>
  <c r="R9" i="5"/>
  <c r="S9" i="5"/>
  <c r="T9" i="5"/>
  <c r="U9" i="5"/>
  <c r="V9" i="5"/>
  <c r="W9" i="5"/>
  <c r="X9" i="5"/>
  <c r="Y9" i="5"/>
  <c r="Z9" i="5"/>
  <c r="AA9" i="5"/>
  <c r="AB9" i="5"/>
  <c r="AC9" i="5"/>
  <c r="AD9" i="5"/>
  <c r="AE9" i="5"/>
  <c r="AF9" i="5"/>
  <c r="W34" i="5"/>
  <c r="U40" i="12"/>
  <c r="I5" i="12"/>
  <c r="C5" i="12"/>
  <c r="H4" i="12"/>
  <c r="D15" i="12"/>
  <c r="C15" i="12"/>
  <c r="G4" i="12"/>
  <c r="D20" i="12"/>
  <c r="C20" i="12"/>
  <c r="C66" i="9"/>
  <c r="G4" i="13"/>
  <c r="D20" i="13"/>
  <c r="C20" i="13"/>
  <c r="H4" i="13"/>
  <c r="D14" i="13"/>
  <c r="C14" i="13"/>
  <c r="D20" i="14"/>
  <c r="C20" i="14"/>
  <c r="L92" i="10"/>
  <c r="B146" i="10"/>
  <c r="B11" i="8"/>
  <c r="L88" i="10"/>
  <c r="B142" i="10"/>
  <c r="B7" i="8"/>
  <c r="L91" i="10"/>
  <c r="B145" i="10"/>
  <c r="B10" i="8"/>
  <c r="L90" i="10"/>
  <c r="B144" i="10"/>
  <c r="B9" i="8"/>
  <c r="L87" i="10"/>
  <c r="B141" i="10"/>
  <c r="B6" i="8"/>
  <c r="L89" i="10"/>
  <c r="B143" i="10"/>
  <c r="B8" i="8"/>
  <c r="U14" i="5"/>
  <c r="V14" i="5"/>
  <c r="W14" i="5"/>
  <c r="X14" i="5"/>
  <c r="Y14" i="5"/>
  <c r="Z14" i="5"/>
  <c r="AA14" i="5"/>
  <c r="AB14" i="5"/>
  <c r="AC14" i="5"/>
  <c r="AD14" i="5"/>
  <c r="AE14" i="5"/>
  <c r="AF14" i="5"/>
  <c r="R35" i="5"/>
  <c r="S35" i="5"/>
  <c r="T35" i="5"/>
  <c r="U35" i="5"/>
  <c r="V35" i="5"/>
  <c r="W35" i="5"/>
  <c r="X35" i="5"/>
  <c r="Y35" i="5"/>
  <c r="W41" i="14"/>
  <c r="D18" i="14"/>
  <c r="C18" i="14"/>
  <c r="D16" i="14"/>
  <c r="D14" i="14"/>
  <c r="C14" i="14"/>
  <c r="D17" i="14"/>
  <c r="C17" i="14"/>
  <c r="D15" i="14"/>
  <c r="R12" i="14"/>
  <c r="D13" i="14"/>
  <c r="C13" i="14"/>
  <c r="D10" i="14"/>
  <c r="C10" i="14"/>
  <c r="D12" i="14"/>
  <c r="C12" i="14"/>
  <c r="D9" i="14"/>
  <c r="C9" i="14"/>
  <c r="D11" i="14"/>
  <c r="C11" i="14"/>
  <c r="D44" i="13"/>
  <c r="C44" i="13"/>
  <c r="C19" i="13"/>
  <c r="D16" i="13"/>
  <c r="S12" i="13"/>
  <c r="D17" i="13"/>
  <c r="D30" i="13"/>
  <c r="C30" i="13"/>
  <c r="D31" i="13"/>
  <c r="C31" i="13"/>
  <c r="D34" i="13"/>
  <c r="C34" i="13"/>
  <c r="D32" i="13"/>
  <c r="C32" i="13"/>
  <c r="D35" i="13"/>
  <c r="C35" i="13"/>
  <c r="D33" i="13"/>
  <c r="C33" i="13"/>
  <c r="D10" i="13"/>
  <c r="C10" i="13"/>
  <c r="D24" i="13"/>
  <c r="D22" i="13"/>
  <c r="D25" i="13"/>
  <c r="D23" i="13"/>
  <c r="D43" i="13"/>
  <c r="C43" i="13"/>
  <c r="D42" i="13"/>
  <c r="C42" i="13"/>
  <c r="D40" i="13"/>
  <c r="C40" i="13"/>
  <c r="D38" i="13"/>
  <c r="C38" i="13"/>
  <c r="D36" i="13"/>
  <c r="C36" i="13"/>
  <c r="D41" i="13"/>
  <c r="C41" i="13"/>
  <c r="D39" i="13"/>
  <c r="C39" i="13"/>
  <c r="D37" i="13"/>
  <c r="C37" i="13"/>
  <c r="D11" i="13"/>
  <c r="C11" i="13"/>
  <c r="R6" i="12"/>
  <c r="D11" i="12"/>
  <c r="C11" i="12"/>
  <c r="D13" i="12"/>
  <c r="D18" i="12"/>
  <c r="C18" i="12"/>
  <c r="D16" i="12"/>
  <c r="C16" i="12"/>
  <c r="D14" i="12"/>
  <c r="Q12" i="12"/>
  <c r="D12" i="12"/>
  <c r="O12" i="12"/>
  <c r="D10" i="12"/>
  <c r="C10" i="12"/>
  <c r="D9" i="12"/>
  <c r="C9" i="12"/>
  <c r="D17" i="12"/>
  <c r="C17" i="12"/>
  <c r="D9" i="13"/>
  <c r="D15" i="13"/>
  <c r="C15" i="13"/>
  <c r="D12" i="13"/>
  <c r="O12" i="13"/>
  <c r="D18" i="13"/>
  <c r="C18" i="13"/>
  <c r="D13" i="13"/>
  <c r="C19" i="14"/>
  <c r="S6" i="14"/>
  <c r="R6" i="14"/>
  <c r="Q6" i="14"/>
  <c r="P6" i="14"/>
  <c r="C23" i="13"/>
  <c r="Q6" i="13"/>
  <c r="C22" i="13"/>
  <c r="P6" i="13"/>
  <c r="C25" i="13"/>
  <c r="S6" i="13"/>
  <c r="C24" i="13"/>
  <c r="R6" i="13"/>
  <c r="Q6" i="12"/>
  <c r="S6" i="12"/>
  <c r="P6" i="12"/>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c r="C26" i="10"/>
  <c r="I5" i="10"/>
  <c r="E5" i="10"/>
  <c r="D5" i="10"/>
  <c r="D34" i="10"/>
  <c r="C34" i="10"/>
  <c r="C5" i="10"/>
  <c r="D30" i="10"/>
  <c r="C30" i="10"/>
  <c r="I4" i="10"/>
  <c r="F5" i="10"/>
  <c r="D27" i="10"/>
  <c r="AC25" i="5"/>
  <c r="AD25" i="5"/>
  <c r="AB31" i="10"/>
  <c r="H4" i="10"/>
  <c r="G4" i="10"/>
  <c r="J56" i="9"/>
  <c r="J53" i="9"/>
  <c r="H53" i="9"/>
  <c r="J60" i="9"/>
  <c r="D61" i="9"/>
  <c r="D69" i="9"/>
  <c r="E61" i="9"/>
  <c r="E69" i="9"/>
  <c r="F61" i="9"/>
  <c r="F69" i="9"/>
  <c r="G61" i="9"/>
  <c r="G69" i="9"/>
  <c r="H61" i="9"/>
  <c r="H69" i="9"/>
  <c r="I61" i="9"/>
  <c r="I69" i="9"/>
  <c r="C61" i="9"/>
  <c r="C69" i="9"/>
  <c r="B62" i="9"/>
  <c r="E62" i="9"/>
  <c r="C57" i="9"/>
  <c r="J57" i="9"/>
  <c r="L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c r="C26" i="9"/>
  <c r="I5" i="9"/>
  <c r="D37" i="9"/>
  <c r="C37" i="9"/>
  <c r="E5" i="9"/>
  <c r="D25" i="9"/>
  <c r="C25" i="9"/>
  <c r="D5" i="9"/>
  <c r="D35" i="9"/>
  <c r="C35" i="9"/>
  <c r="C5" i="9"/>
  <c r="D31" i="9"/>
  <c r="C31" i="9"/>
  <c r="K4" i="9"/>
  <c r="K5" i="9"/>
  <c r="D46" i="9"/>
  <c r="C46" i="9"/>
  <c r="J4" i="9"/>
  <c r="J5" i="9"/>
  <c r="D45" i="9"/>
  <c r="C45" i="9"/>
  <c r="I4" i="9"/>
  <c r="G5" i="9"/>
  <c r="D28" i="9"/>
  <c r="X21" i="5"/>
  <c r="Y21" i="5"/>
  <c r="Z21" i="5"/>
  <c r="X27" i="9"/>
  <c r="H4" i="9"/>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c r="AB11" i="2"/>
  <c r="G4" i="2"/>
  <c r="I5" i="2"/>
  <c r="D37" i="2"/>
  <c r="C37" i="2"/>
  <c r="D21" i="2"/>
  <c r="C21" i="2"/>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Q10" i="14"/>
  <c r="Q10" i="13"/>
  <c r="Q10" i="12"/>
  <c r="Q10" i="10"/>
  <c r="Q10" i="9"/>
  <c r="Q10" i="2"/>
  <c r="S74" i="5"/>
  <c r="S39" i="5"/>
  <c r="P10" i="12"/>
  <c r="P10" i="14"/>
  <c r="P10" i="13"/>
  <c r="P10" i="10"/>
  <c r="P10" i="9"/>
  <c r="P10" i="2"/>
  <c r="R39" i="5"/>
  <c r="R74" i="5"/>
  <c r="D18" i="9"/>
  <c r="I74" i="10"/>
  <c r="D17" i="10"/>
  <c r="C17" i="10"/>
  <c r="J67" i="10"/>
  <c r="L67" i="10"/>
  <c r="J74" i="10"/>
  <c r="I79" i="10"/>
  <c r="I76" i="10"/>
  <c r="C83" i="10"/>
  <c r="E83" i="10"/>
  <c r="E137" i="10"/>
  <c r="I78" i="10"/>
  <c r="I77" i="10"/>
  <c r="I75" i="10"/>
  <c r="J79" i="10"/>
  <c r="J76" i="10"/>
  <c r="D83" i="10"/>
  <c r="J78" i="10"/>
  <c r="J77" i="10"/>
  <c r="J75" i="10"/>
  <c r="J64" i="10"/>
  <c r="L64" i="10"/>
  <c r="J54" i="9"/>
  <c r="L54" i="9"/>
  <c r="B66" i="9"/>
  <c r="D66" i="9"/>
  <c r="D43" i="10"/>
  <c r="C43" i="10"/>
  <c r="D42" i="10"/>
  <c r="C42" i="10"/>
  <c r="D40" i="10"/>
  <c r="C40" i="10"/>
  <c r="D41" i="10"/>
  <c r="C41" i="10"/>
  <c r="D39" i="10"/>
  <c r="C39" i="10"/>
  <c r="D9" i="10"/>
  <c r="C9" i="10"/>
  <c r="D10" i="10"/>
  <c r="C10" i="10"/>
  <c r="D12" i="10"/>
  <c r="D14" i="10"/>
  <c r="C14" i="10"/>
  <c r="D16" i="10"/>
  <c r="D18" i="10"/>
  <c r="C18" i="10"/>
  <c r="D20" i="10"/>
  <c r="C20" i="10"/>
  <c r="D22" i="10"/>
  <c r="C22" i="10"/>
  <c r="D24" i="10"/>
  <c r="C24" i="10"/>
  <c r="D32" i="10"/>
  <c r="C32" i="10"/>
  <c r="D36" i="10"/>
  <c r="C36" i="10"/>
  <c r="D38" i="10"/>
  <c r="C38" i="10"/>
  <c r="D11" i="10"/>
  <c r="AD11" i="10"/>
  <c r="D13" i="10"/>
  <c r="C13" i="10"/>
  <c r="D15" i="10"/>
  <c r="D23" i="10"/>
  <c r="C23" i="10"/>
  <c r="D25" i="10"/>
  <c r="C25" i="10"/>
  <c r="D31" i="10"/>
  <c r="C31" i="10"/>
  <c r="D33" i="10"/>
  <c r="C33" i="10"/>
  <c r="D35" i="10"/>
  <c r="C35" i="10"/>
  <c r="D37" i="10"/>
  <c r="C37" i="10"/>
  <c r="C62" i="9"/>
  <c r="H62" i="9"/>
  <c r="F62" i="9"/>
  <c r="D62" i="9"/>
  <c r="I62" i="9"/>
  <c r="G62" i="9"/>
  <c r="D15" i="9"/>
  <c r="C15" i="9"/>
  <c r="D17" i="9"/>
  <c r="C17" i="9"/>
  <c r="D23" i="9"/>
  <c r="C23" i="9"/>
  <c r="D33" i="9"/>
  <c r="C33" i="9"/>
  <c r="D43" i="9"/>
  <c r="C43" i="9"/>
  <c r="D42" i="9"/>
  <c r="C42" i="9"/>
  <c r="D40" i="9"/>
  <c r="C40" i="9"/>
  <c r="D41" i="9"/>
  <c r="C41" i="9"/>
  <c r="D39" i="9"/>
  <c r="C39" i="9"/>
  <c r="D11" i="9"/>
  <c r="C11" i="9"/>
  <c r="D13" i="9"/>
  <c r="C13" i="9"/>
  <c r="D9" i="9"/>
  <c r="C9" i="9"/>
  <c r="D10" i="9"/>
  <c r="D12" i="9"/>
  <c r="C12" i="9"/>
  <c r="D14" i="9"/>
  <c r="D16" i="9"/>
  <c r="C16" i="9"/>
  <c r="D20" i="9"/>
  <c r="C20" i="9"/>
  <c r="D22" i="9"/>
  <c r="C22" i="9"/>
  <c r="D24" i="9"/>
  <c r="C24" i="9"/>
  <c r="D30" i="9"/>
  <c r="C30" i="9"/>
  <c r="D32" i="9"/>
  <c r="C32" i="9"/>
  <c r="D34" i="9"/>
  <c r="C34" i="9"/>
  <c r="D36" i="9"/>
  <c r="C36" i="9"/>
  <c r="D38" i="9"/>
  <c r="C38" i="9"/>
  <c r="D36" i="2"/>
  <c r="C36" i="2"/>
  <c r="D42" i="2"/>
  <c r="C42" i="2"/>
  <c r="D40" i="2"/>
  <c r="C40" i="2"/>
  <c r="D38" i="2"/>
  <c r="C38" i="2"/>
  <c r="D43" i="2"/>
  <c r="C43" i="2"/>
  <c r="D41" i="2"/>
  <c r="C41" i="2"/>
  <c r="D39" i="2"/>
  <c r="C39" i="2"/>
  <c r="F83" i="10"/>
  <c r="G137" i="10"/>
  <c r="R10" i="14"/>
  <c r="R10" i="13"/>
  <c r="R10" i="12"/>
  <c r="R10" i="10"/>
  <c r="R10" i="9"/>
  <c r="R10" i="2"/>
  <c r="T74" i="5"/>
  <c r="T39" i="5"/>
  <c r="J83" i="10"/>
  <c r="L83" i="10"/>
  <c r="L10" i="10"/>
  <c r="C46" i="10"/>
  <c r="D46" i="10"/>
  <c r="K10" i="10"/>
  <c r="C45" i="10"/>
  <c r="D45" i="10"/>
  <c r="K17" i="10"/>
  <c r="J62" i="9"/>
  <c r="L62" i="9"/>
  <c r="K13" i="10"/>
  <c r="S10" i="14"/>
  <c r="S10" i="13"/>
  <c r="S10" i="12"/>
  <c r="S10" i="10"/>
  <c r="S10" i="2"/>
  <c r="S10" i="9"/>
  <c r="U74" i="5"/>
  <c r="U39" i="5"/>
  <c r="K16" i="10"/>
  <c r="K15" i="10"/>
  <c r="K12" i="10"/>
  <c r="K14" i="10"/>
  <c r="M76" i="10"/>
  <c r="N72" i="10"/>
  <c r="L13" i="10"/>
  <c r="N75" i="10"/>
  <c r="L17" i="10"/>
  <c r="N79" i="10"/>
  <c r="N80" i="10"/>
  <c r="L14" i="10"/>
  <c r="N76" i="10"/>
  <c r="L15" i="10"/>
  <c r="N77" i="10"/>
  <c r="L12" i="10"/>
  <c r="N74" i="10"/>
  <c r="L16" i="10"/>
  <c r="N78" i="10"/>
  <c r="N70" i="10"/>
  <c r="M72" i="10"/>
  <c r="M77" i="10"/>
  <c r="M74" i="10"/>
  <c r="M79" i="10"/>
  <c r="M80" i="10"/>
  <c r="M75" i="10"/>
  <c r="M78" i="10"/>
  <c r="M70" i="10"/>
  <c r="T10" i="12"/>
  <c r="T10" i="14"/>
  <c r="T10" i="13"/>
  <c r="T10" i="10"/>
  <c r="T10" i="9"/>
  <c r="T10" i="2"/>
  <c r="V74" i="5"/>
  <c r="V39" i="5"/>
  <c r="C88" i="10"/>
  <c r="E88" i="10"/>
  <c r="E142" i="10"/>
  <c r="E7" i="8"/>
  <c r="H88" i="10"/>
  <c r="H142" i="10"/>
  <c r="H7" i="8"/>
  <c r="D89" i="10"/>
  <c r="F89" i="10"/>
  <c r="C90" i="10"/>
  <c r="C144" i="10"/>
  <c r="E90" i="10"/>
  <c r="E144" i="10"/>
  <c r="E9" i="8"/>
  <c r="H90" i="10"/>
  <c r="H144" i="10"/>
  <c r="H9" i="8"/>
  <c r="D91" i="10"/>
  <c r="D145" i="10"/>
  <c r="D10" i="8"/>
  <c r="F91" i="10"/>
  <c r="F145" i="10"/>
  <c r="C92" i="10"/>
  <c r="C146" i="10"/>
  <c r="C11" i="8"/>
  <c r="E92" i="10"/>
  <c r="E146" i="10"/>
  <c r="E11" i="8"/>
  <c r="H92" i="10"/>
  <c r="H146" i="10"/>
  <c r="H11" i="8"/>
  <c r="E87" i="10"/>
  <c r="E141" i="10"/>
  <c r="E6" i="8"/>
  <c r="H87" i="10"/>
  <c r="D87" i="10"/>
  <c r="D141" i="10"/>
  <c r="D6" i="8"/>
  <c r="C87" i="10"/>
  <c r="D88" i="10"/>
  <c r="D142" i="10"/>
  <c r="D7" i="8"/>
  <c r="F88" i="10"/>
  <c r="C89" i="10"/>
  <c r="C143" i="10"/>
  <c r="E89" i="10"/>
  <c r="E143" i="10"/>
  <c r="E8" i="8"/>
  <c r="H89" i="10"/>
  <c r="H143" i="10"/>
  <c r="H8" i="8"/>
  <c r="D90" i="10"/>
  <c r="D144" i="10"/>
  <c r="D9" i="8"/>
  <c r="F90" i="10"/>
  <c r="C91" i="10"/>
  <c r="C145" i="10"/>
  <c r="C10" i="8"/>
  <c r="E91" i="10"/>
  <c r="E145" i="10"/>
  <c r="E10" i="8"/>
  <c r="H91" i="10"/>
  <c r="H145" i="10"/>
  <c r="H10" i="8"/>
  <c r="D92" i="10"/>
  <c r="F92" i="10"/>
  <c r="F146" i="10"/>
  <c r="F87" i="10"/>
  <c r="F141" i="10"/>
  <c r="G91" i="10"/>
  <c r="G145" i="10"/>
  <c r="G10" i="8"/>
  <c r="G89" i="10"/>
  <c r="G143" i="10"/>
  <c r="G8" i="8"/>
  <c r="G87" i="10"/>
  <c r="G141" i="10"/>
  <c r="G6" i="8"/>
  <c r="G92" i="10"/>
  <c r="G146" i="10"/>
  <c r="G11" i="8"/>
  <c r="G90" i="10"/>
  <c r="G144" i="10"/>
  <c r="G9" i="8"/>
  <c r="G88" i="10"/>
  <c r="G142" i="10"/>
  <c r="G7" i="8"/>
  <c r="U10" i="14"/>
  <c r="U10" i="13"/>
  <c r="U10" i="12"/>
  <c r="U10" i="10"/>
  <c r="U10" i="9"/>
  <c r="U10" i="2"/>
  <c r="W74" i="5"/>
  <c r="W39" i="5"/>
  <c r="V10" i="14"/>
  <c r="V10" i="13"/>
  <c r="V10" i="12"/>
  <c r="V10" i="10"/>
  <c r="V10" i="9"/>
  <c r="V10" i="2"/>
  <c r="X74" i="5"/>
  <c r="X39" i="5"/>
  <c r="W10" i="14"/>
  <c r="W10" i="13"/>
  <c r="W10" i="12"/>
  <c r="W10" i="10"/>
  <c r="W10" i="2"/>
  <c r="W10" i="9"/>
  <c r="Y74" i="5"/>
  <c r="Y39" i="5"/>
  <c r="C6" i="2"/>
  <c r="D6" i="2"/>
  <c r="E6" i="2"/>
  <c r="B6" i="2"/>
  <c r="L5" i="2"/>
  <c r="D26" i="2"/>
  <c r="E5" i="2"/>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c r="D46" i="2"/>
  <c r="J4" i="2"/>
  <c r="J5" i="2"/>
  <c r="D45" i="2"/>
  <c r="D20" i="2"/>
  <c r="F4" i="2"/>
  <c r="F4" i="9"/>
  <c r="I4" i="2"/>
  <c r="G5" i="2"/>
  <c r="D28" i="2"/>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X10" i="12"/>
  <c r="X10" i="14"/>
  <c r="X10" i="13"/>
  <c r="X10" i="10"/>
  <c r="X10" i="2"/>
  <c r="X10" i="9"/>
  <c r="Z74" i="5"/>
  <c r="Z39" i="5"/>
  <c r="C137" i="10"/>
  <c r="C26" i="2"/>
  <c r="C20" i="2"/>
  <c r="C46" i="2"/>
  <c r="C45" i="2"/>
  <c r="D31" i="2"/>
  <c r="D30" i="2"/>
  <c r="D35" i="2"/>
  <c r="D33" i="2"/>
  <c r="D34" i="2"/>
  <c r="D32" i="2"/>
  <c r="D25" i="2"/>
  <c r="D23" i="2"/>
  <c r="D24" i="2"/>
  <c r="D22" i="2"/>
  <c r="D19" i="2"/>
  <c r="D44" i="2"/>
  <c r="D11" i="2"/>
  <c r="AD11" i="2"/>
  <c r="D13" i="2"/>
  <c r="C13" i="2"/>
  <c r="D15" i="2"/>
  <c r="C15" i="2"/>
  <c r="D17" i="2"/>
  <c r="T12" i="2"/>
  <c r="D10" i="2"/>
  <c r="D12" i="2"/>
  <c r="C12" i="2"/>
  <c r="D14" i="2"/>
  <c r="D16" i="2"/>
  <c r="S12" i="2"/>
  <c r="D18" i="2"/>
  <c r="C18" i="2"/>
  <c r="Y10" i="14"/>
  <c r="Y10" i="13"/>
  <c r="Y10" i="12"/>
  <c r="Y10" i="10"/>
  <c r="Y10" i="9"/>
  <c r="Y10" i="2"/>
  <c r="AA74" i="5"/>
  <c r="AA39" i="5"/>
  <c r="C22" i="2"/>
  <c r="C23" i="2"/>
  <c r="C32" i="2"/>
  <c r="C33" i="2"/>
  <c r="C30" i="2"/>
  <c r="C24" i="2"/>
  <c r="C25" i="2"/>
  <c r="C34" i="2"/>
  <c r="C35" i="2"/>
  <c r="C31" i="2"/>
  <c r="C19" i="2"/>
  <c r="C44" i="2"/>
  <c r="Z10" i="14"/>
  <c r="Z10" i="13"/>
  <c r="Z10" i="12"/>
  <c r="Z10" i="10"/>
  <c r="Z10" i="9"/>
  <c r="Z10" i="2"/>
  <c r="AB74" i="5"/>
  <c r="AB39" i="5"/>
  <c r="AA10" i="14"/>
  <c r="AA10" i="13"/>
  <c r="AA10" i="12"/>
  <c r="AA10" i="10"/>
  <c r="AA10" i="2"/>
  <c r="AA10" i="9"/>
  <c r="AC74" i="5"/>
  <c r="AC39" i="5"/>
  <c r="AB10" i="12"/>
  <c r="AB10" i="14"/>
  <c r="AB10" i="13"/>
  <c r="AB10" i="10"/>
  <c r="AB10" i="9"/>
  <c r="AB10" i="2"/>
  <c r="AD74" i="5"/>
  <c r="AD39" i="5"/>
  <c r="AC10" i="14"/>
  <c r="AC10" i="13"/>
  <c r="AC10" i="12"/>
  <c r="AC10" i="10"/>
  <c r="AC10" i="9"/>
  <c r="AC10" i="2"/>
  <c r="AE74" i="5"/>
  <c r="AE39" i="5"/>
  <c r="AD10" i="14"/>
  <c r="AD10" i="13"/>
  <c r="AD10" i="12"/>
  <c r="AD10" i="10"/>
  <c r="AD10" i="9"/>
  <c r="AD10" i="2"/>
  <c r="AF74" i="5"/>
  <c r="AF39" i="5"/>
  <c r="D32" i="1"/>
  <c r="D31" i="1"/>
  <c r="D30" i="1"/>
  <c r="D29" i="1"/>
  <c r="D28" i="1"/>
  <c r="D27" i="1"/>
  <c r="D26" i="1"/>
  <c r="D25" i="1"/>
  <c r="D24" i="1"/>
  <c r="D23" i="1"/>
  <c r="D22" i="1"/>
  <c r="D21" i="1"/>
  <c r="O11" i="14"/>
  <c r="O11" i="13"/>
  <c r="O11" i="12"/>
  <c r="Q75" i="5"/>
  <c r="Q40" i="5"/>
  <c r="O11" i="2"/>
  <c r="I24" i="9"/>
  <c r="J24" i="9"/>
  <c r="P11" i="14"/>
  <c r="P11" i="13"/>
  <c r="P11" i="12"/>
  <c r="P11" i="10"/>
  <c r="P11" i="9"/>
  <c r="R75" i="5"/>
  <c r="P11" i="2"/>
  <c r="R40" i="5"/>
  <c r="K23" i="9"/>
  <c r="K22" i="9"/>
  <c r="K17" i="9"/>
  <c r="K12" i="9"/>
  <c r="K19" i="9"/>
  <c r="K18" i="9"/>
  <c r="K13" i="9"/>
  <c r="K15" i="9"/>
  <c r="K14" i="9"/>
  <c r="K10" i="9"/>
  <c r="K24" i="9"/>
  <c r="K11" i="9"/>
  <c r="K21" i="9"/>
  <c r="K20" i="9"/>
  <c r="K16" i="9"/>
  <c r="I66" i="9"/>
  <c r="J66" i="9"/>
  <c r="Q11" i="12"/>
  <c r="Q11" i="14"/>
  <c r="Q11" i="13"/>
  <c r="Q11" i="10"/>
  <c r="Q11" i="9"/>
  <c r="Q11" i="2"/>
  <c r="S40" i="5"/>
  <c r="S75" i="5"/>
  <c r="E89" i="9"/>
  <c r="R11" i="12"/>
  <c r="R11" i="14"/>
  <c r="R11" i="13"/>
  <c r="R11" i="10"/>
  <c r="R11" i="2"/>
  <c r="R11" i="9"/>
  <c r="T75" i="5"/>
  <c r="T40" i="5"/>
  <c r="F70" i="9"/>
  <c r="D70" i="9"/>
  <c r="G70" i="9"/>
  <c r="H70" i="9"/>
  <c r="E70" i="9"/>
  <c r="I70" i="9"/>
  <c r="C70" i="9"/>
  <c r="F4" i="10"/>
  <c r="D19" i="9"/>
  <c r="S11" i="14"/>
  <c r="S11" i="13"/>
  <c r="S11" i="12"/>
  <c r="S11" i="10"/>
  <c r="S11" i="9"/>
  <c r="U75" i="5"/>
  <c r="S11" i="2"/>
  <c r="U40" i="5"/>
  <c r="J70" i="9"/>
  <c r="C19" i="9"/>
  <c r="O11" i="9"/>
  <c r="D44" i="9"/>
  <c r="D19" i="10"/>
  <c r="D44" i="10"/>
  <c r="T11" i="14"/>
  <c r="T11" i="13"/>
  <c r="T11" i="12"/>
  <c r="T11" i="10"/>
  <c r="T11" i="9"/>
  <c r="V75" i="5"/>
  <c r="T11" i="2"/>
  <c r="V40" i="5"/>
  <c r="L70" i="9"/>
  <c r="C89" i="9"/>
  <c r="O11" i="10"/>
  <c r="C19" i="10"/>
  <c r="C44" i="10"/>
  <c r="C44" i="9"/>
  <c r="U11" i="12"/>
  <c r="U11" i="14"/>
  <c r="U11" i="13"/>
  <c r="U11" i="10"/>
  <c r="U11" i="9"/>
  <c r="U11" i="2"/>
  <c r="W40" i="5"/>
  <c r="W75" i="5"/>
  <c r="V11" i="12"/>
  <c r="V11" i="14"/>
  <c r="V11" i="13"/>
  <c r="V11" i="10"/>
  <c r="V11" i="2"/>
  <c r="V11" i="9"/>
  <c r="X75" i="5"/>
  <c r="X40" i="5"/>
  <c r="W11" i="14"/>
  <c r="W11" i="13"/>
  <c r="W11" i="12"/>
  <c r="W11" i="10"/>
  <c r="W11" i="2"/>
  <c r="Y75" i="5"/>
  <c r="W11" i="9"/>
  <c r="Y40" i="5"/>
  <c r="X11" i="14"/>
  <c r="X11" i="13"/>
  <c r="X11" i="12"/>
  <c r="X11" i="10"/>
  <c r="X11" i="9"/>
  <c r="X11" i="2"/>
  <c r="Z75" i="5"/>
  <c r="Z40" i="5"/>
  <c r="Y11" i="12"/>
  <c r="Y11" i="14"/>
  <c r="Y11" i="13"/>
  <c r="Y11" i="10"/>
  <c r="Y11" i="9"/>
  <c r="Y11" i="2"/>
  <c r="AA40" i="5"/>
  <c r="AA75" i="5"/>
  <c r="Z11" i="12"/>
  <c r="Z11" i="14"/>
  <c r="Z11" i="13"/>
  <c r="Z11" i="10"/>
  <c r="Z11" i="2"/>
  <c r="Z11" i="9"/>
  <c r="AB75" i="5"/>
  <c r="AB40" i="5"/>
  <c r="AA11" i="14"/>
  <c r="AA11" i="13"/>
  <c r="AA11" i="12"/>
  <c r="AA11" i="10"/>
  <c r="AA11" i="9"/>
  <c r="AC75" i="5"/>
  <c r="AA11" i="2"/>
  <c r="AC40" i="5"/>
  <c r="AD75" i="5"/>
  <c r="AD40" i="5"/>
  <c r="AE40" i="5"/>
  <c r="AE75" i="5"/>
  <c r="AF75" i="5"/>
  <c r="AF40" i="5"/>
  <c r="Q76" i="5"/>
  <c r="Q41" i="5"/>
  <c r="R76" i="5"/>
  <c r="R41" i="5"/>
  <c r="S41" i="5"/>
  <c r="S76" i="5"/>
  <c r="T76" i="5"/>
  <c r="T41" i="5"/>
  <c r="U76" i="5"/>
  <c r="U41" i="5"/>
  <c r="V76" i="5"/>
  <c r="V41" i="5"/>
  <c r="W41" i="5"/>
  <c r="W76" i="5"/>
  <c r="V12" i="14"/>
  <c r="V12" i="13"/>
  <c r="V12" i="12"/>
  <c r="V12" i="10"/>
  <c r="V12" i="2"/>
  <c r="V12" i="9"/>
  <c r="X76" i="5"/>
  <c r="X41" i="5"/>
  <c r="W12" i="12"/>
  <c r="W12" i="14"/>
  <c r="W12" i="13"/>
  <c r="W12" i="10"/>
  <c r="W12" i="9"/>
  <c r="Y76" i="5"/>
  <c r="W12" i="2"/>
  <c r="Y41" i="5"/>
  <c r="X12" i="14"/>
  <c r="X12" i="13"/>
  <c r="X12" i="12"/>
  <c r="X12" i="10"/>
  <c r="X12" i="9"/>
  <c r="X12" i="2"/>
  <c r="Z76" i="5"/>
  <c r="Z41" i="5"/>
  <c r="Y12" i="12"/>
  <c r="Y12" i="14"/>
  <c r="Y12" i="13"/>
  <c r="Y12" i="10"/>
  <c r="Y12" i="9"/>
  <c r="Y12" i="2"/>
  <c r="AA41" i="5"/>
  <c r="AA76" i="5"/>
  <c r="Z12" i="14"/>
  <c r="Z12" i="13"/>
  <c r="Z12" i="12"/>
  <c r="Z12" i="10"/>
  <c r="Z12" i="9"/>
  <c r="Z12" i="2"/>
  <c r="AB76" i="5"/>
  <c r="AB41" i="5"/>
  <c r="AA12" i="12"/>
  <c r="AA12" i="14"/>
  <c r="AA12" i="13"/>
  <c r="AA12" i="10"/>
  <c r="AA12" i="2"/>
  <c r="AC76" i="5"/>
  <c r="AA12" i="9"/>
  <c r="AC41" i="5"/>
  <c r="AB12" i="14"/>
  <c r="AB12" i="13"/>
  <c r="AB12" i="12"/>
  <c r="AB12" i="10"/>
  <c r="AB12" i="9"/>
  <c r="AB12" i="2"/>
  <c r="AD76" i="5"/>
  <c r="AD41" i="5"/>
  <c r="AC12" i="12"/>
  <c r="AC12" i="14"/>
  <c r="AC12" i="13"/>
  <c r="AC12" i="10"/>
  <c r="AC12" i="9"/>
  <c r="AC12" i="2"/>
  <c r="AE41" i="5"/>
  <c r="AE76" i="5"/>
  <c r="AD12" i="12"/>
  <c r="AD12" i="14"/>
  <c r="AD12" i="13"/>
  <c r="AF76" i="5"/>
  <c r="AF41" i="5"/>
  <c r="AD12" i="9"/>
  <c r="AD12" i="10"/>
  <c r="AD12" i="2"/>
  <c r="O13" i="14"/>
  <c r="O13" i="13"/>
  <c r="O13" i="12"/>
  <c r="O13" i="10"/>
  <c r="O13" i="9"/>
  <c r="Q77" i="5"/>
  <c r="O13" i="2"/>
  <c r="Q42" i="5"/>
  <c r="P13" i="12"/>
  <c r="P13" i="14"/>
  <c r="P13" i="13"/>
  <c r="P13" i="10"/>
  <c r="P13" i="9"/>
  <c r="R77" i="5"/>
  <c r="P13" i="2"/>
  <c r="R42" i="5"/>
  <c r="Q13" i="12"/>
  <c r="Q13" i="14"/>
  <c r="Q13" i="13"/>
  <c r="Q13" i="10"/>
  <c r="Q13" i="2"/>
  <c r="Q13" i="9"/>
  <c r="S42" i="5"/>
  <c r="S77" i="5"/>
  <c r="R13" i="14"/>
  <c r="R13" i="13"/>
  <c r="R13" i="12"/>
  <c r="R13" i="10"/>
  <c r="R13" i="2"/>
  <c r="R13" i="9"/>
  <c r="T77" i="5"/>
  <c r="T42" i="5"/>
  <c r="S13" i="14"/>
  <c r="S13" i="13"/>
  <c r="S13" i="12"/>
  <c r="S13" i="10"/>
  <c r="S13" i="9"/>
  <c r="U77" i="5"/>
  <c r="S13" i="2"/>
  <c r="U42" i="5"/>
  <c r="T13" i="12"/>
  <c r="T13" i="14"/>
  <c r="T13" i="13"/>
  <c r="T13" i="10"/>
  <c r="T13" i="9"/>
  <c r="V77" i="5"/>
  <c r="T13" i="2"/>
  <c r="V42" i="5"/>
  <c r="U13" i="12"/>
  <c r="U13" i="14"/>
  <c r="U13" i="13"/>
  <c r="U13" i="10"/>
  <c r="U13" i="2"/>
  <c r="U13" i="9"/>
  <c r="W42" i="5"/>
  <c r="W77" i="5"/>
  <c r="V13" i="14"/>
  <c r="V13" i="13"/>
  <c r="V13" i="12"/>
  <c r="V13" i="10"/>
  <c r="V13" i="9"/>
  <c r="V13" i="2"/>
  <c r="X77" i="5"/>
  <c r="X42" i="5"/>
  <c r="W13" i="14"/>
  <c r="W13" i="13"/>
  <c r="W13" i="12"/>
  <c r="W13" i="10"/>
  <c r="W13" i="9"/>
  <c r="W13" i="2"/>
  <c r="Y77" i="5"/>
  <c r="Y42" i="5"/>
  <c r="X13" i="12"/>
  <c r="X13" i="14"/>
  <c r="X13" i="13"/>
  <c r="X13" i="10"/>
  <c r="X13" i="9"/>
  <c r="X13" i="2"/>
  <c r="Z77" i="5"/>
  <c r="Z42" i="5"/>
  <c r="Y13" i="12"/>
  <c r="Y13" i="14"/>
  <c r="Y13" i="13"/>
  <c r="Y13" i="10"/>
  <c r="Y13" i="2"/>
  <c r="Y13" i="9"/>
  <c r="AA42" i="5"/>
  <c r="AA77" i="5"/>
  <c r="Z13" i="12"/>
  <c r="Z13" i="14"/>
  <c r="Z13" i="13"/>
  <c r="AB77" i="5"/>
  <c r="AB42" i="5"/>
  <c r="Z13" i="10"/>
  <c r="Z13" i="9"/>
  <c r="Z13" i="2"/>
  <c r="AA13" i="14"/>
  <c r="AA13" i="13"/>
  <c r="AA13" i="12"/>
  <c r="AA13" i="10"/>
  <c r="AC77" i="5"/>
  <c r="AA13" i="9"/>
  <c r="AA13" i="2"/>
  <c r="AC42" i="5"/>
  <c r="AB13" i="14"/>
  <c r="AB13" i="13"/>
  <c r="AB13" i="12"/>
  <c r="AB13" i="10"/>
  <c r="AB13" i="9"/>
  <c r="AD77" i="5"/>
  <c r="AB13" i="2"/>
  <c r="AD42" i="5"/>
  <c r="AC13" i="12"/>
  <c r="AC13" i="14"/>
  <c r="AC13" i="13"/>
  <c r="AC13" i="10"/>
  <c r="AC13" i="9"/>
  <c r="AC13" i="2"/>
  <c r="AE42" i="5"/>
  <c r="AE77" i="5"/>
  <c r="AD13" i="12"/>
  <c r="AD13" i="14"/>
  <c r="AD13" i="13"/>
  <c r="AD13" i="10"/>
  <c r="AD13" i="2"/>
  <c r="AD13" i="9"/>
  <c r="AF77" i="5"/>
  <c r="AF42" i="5"/>
  <c r="O14" i="12"/>
  <c r="O14" i="14"/>
  <c r="O14" i="13"/>
  <c r="O14" i="10"/>
  <c r="O14" i="9"/>
  <c r="Q78" i="5"/>
  <c r="O14" i="2"/>
  <c r="Q43" i="5"/>
  <c r="P14" i="14"/>
  <c r="P14" i="13"/>
  <c r="P14" i="12"/>
  <c r="P14" i="10"/>
  <c r="R78" i="5"/>
  <c r="P14" i="9"/>
  <c r="P14" i="2"/>
  <c r="R43" i="5"/>
  <c r="Q14" i="12"/>
  <c r="Q14" i="14"/>
  <c r="Q14" i="13"/>
  <c r="Q14" i="10"/>
  <c r="Q14" i="9"/>
  <c r="Q14" i="2"/>
  <c r="S43" i="5"/>
  <c r="S78" i="5"/>
  <c r="R14" i="14"/>
  <c r="R14" i="13"/>
  <c r="R14" i="12"/>
  <c r="R14" i="10"/>
  <c r="R14" i="9"/>
  <c r="R14" i="2"/>
  <c r="T78" i="5"/>
  <c r="T43" i="5"/>
  <c r="S14" i="12"/>
  <c r="S14" i="14"/>
  <c r="S14" i="13"/>
  <c r="S14" i="10"/>
  <c r="S14" i="9"/>
  <c r="S14" i="2"/>
  <c r="U78" i="5"/>
  <c r="U43" i="5"/>
  <c r="T14" i="14"/>
  <c r="T14" i="13"/>
  <c r="T14" i="12"/>
  <c r="T14" i="10"/>
  <c r="T14" i="9"/>
  <c r="T14" i="2"/>
  <c r="V78" i="5"/>
  <c r="V43" i="5"/>
  <c r="U14" i="12"/>
  <c r="U14" i="14"/>
  <c r="U14" i="13"/>
  <c r="U14" i="10"/>
  <c r="U14" i="2"/>
  <c r="U14" i="9"/>
  <c r="W43" i="5"/>
  <c r="W78" i="5"/>
  <c r="V14" i="14"/>
  <c r="V14" i="13"/>
  <c r="V14" i="12"/>
  <c r="V14" i="10"/>
  <c r="V14" i="9"/>
  <c r="V14" i="2"/>
  <c r="X78" i="5"/>
  <c r="X43" i="5"/>
  <c r="W14" i="12"/>
  <c r="W14" i="14"/>
  <c r="W14" i="13"/>
  <c r="W14" i="10"/>
  <c r="W14" i="9"/>
  <c r="Y78" i="5"/>
  <c r="W14" i="2"/>
  <c r="Y43" i="5"/>
  <c r="X14" i="14"/>
  <c r="X14" i="13"/>
  <c r="X14" i="12"/>
  <c r="X14" i="10"/>
  <c r="X14" i="2"/>
  <c r="Z78" i="5"/>
  <c r="X14" i="9"/>
  <c r="Z43" i="5"/>
  <c r="Y14" i="12"/>
  <c r="Y14" i="14"/>
  <c r="Y14" i="13"/>
  <c r="Y14" i="10"/>
  <c r="Y14" i="9"/>
  <c r="Y14" i="2"/>
  <c r="AA43" i="5"/>
  <c r="AA78" i="5"/>
  <c r="Z14" i="14"/>
  <c r="Z14" i="13"/>
  <c r="Z14" i="12"/>
  <c r="Z14" i="10"/>
  <c r="Z14" i="9"/>
  <c r="Z14" i="2"/>
  <c r="AB78" i="5"/>
  <c r="AB43" i="5"/>
  <c r="AA14" i="12"/>
  <c r="AA14" i="14"/>
  <c r="AA14" i="13"/>
  <c r="AA14" i="10"/>
  <c r="AA14" i="9"/>
  <c r="AC78" i="5"/>
  <c r="AA14" i="2"/>
  <c r="AC43" i="5"/>
  <c r="AB14" i="14"/>
  <c r="AB14" i="13"/>
  <c r="AB14" i="12"/>
  <c r="AB14" i="10"/>
  <c r="AB14" i="9"/>
  <c r="AD78" i="5"/>
  <c r="AB14" i="2"/>
  <c r="AD43" i="5"/>
  <c r="AC14" i="12"/>
  <c r="AC14" i="14"/>
  <c r="AC14" i="13"/>
  <c r="AC14" i="10"/>
  <c r="AC14" i="2"/>
  <c r="AC14" i="9"/>
  <c r="AE43" i="5"/>
  <c r="AE78" i="5"/>
  <c r="AD14" i="14"/>
  <c r="AD14" i="13"/>
  <c r="AD14" i="12"/>
  <c r="AD14" i="10"/>
  <c r="AD14" i="9"/>
  <c r="AD14" i="2"/>
  <c r="AF78" i="5"/>
  <c r="AF43" i="5"/>
  <c r="O15" i="14"/>
  <c r="O15" i="13"/>
  <c r="O15" i="12"/>
  <c r="O15" i="10"/>
  <c r="O15" i="9"/>
  <c r="Q79" i="5"/>
  <c r="O15" i="2"/>
  <c r="Q44" i="5"/>
  <c r="P15" i="14"/>
  <c r="P15" i="13"/>
  <c r="P15" i="12"/>
  <c r="P15" i="10"/>
  <c r="P15" i="9"/>
  <c r="R79" i="5"/>
  <c r="P15" i="2"/>
  <c r="R44" i="5"/>
  <c r="Q15" i="12"/>
  <c r="Q15" i="14"/>
  <c r="Q15" i="13"/>
  <c r="Q15" i="10"/>
  <c r="Q15" i="9"/>
  <c r="Q15" i="2"/>
  <c r="S44" i="5"/>
  <c r="S79" i="5"/>
  <c r="R15" i="12"/>
  <c r="R15" i="14"/>
  <c r="R15" i="13"/>
  <c r="R15" i="10"/>
  <c r="R15" i="2"/>
  <c r="R15" i="9"/>
  <c r="T79" i="5"/>
  <c r="T44" i="5"/>
  <c r="S15" i="14"/>
  <c r="S15" i="13"/>
  <c r="S15" i="12"/>
  <c r="S15" i="10"/>
  <c r="S15" i="2"/>
  <c r="U79" i="5"/>
  <c r="S15" i="9"/>
  <c r="U44" i="5"/>
  <c r="T15" i="14"/>
  <c r="T15" i="13"/>
  <c r="T15" i="12"/>
  <c r="T15" i="10"/>
  <c r="T15" i="9"/>
  <c r="T15" i="2"/>
  <c r="V79" i="5"/>
  <c r="V44" i="5"/>
  <c r="U15" i="12"/>
  <c r="U15" i="14"/>
  <c r="U15" i="13"/>
  <c r="U15" i="10"/>
  <c r="U15" i="9"/>
  <c r="U15" i="2"/>
  <c r="W44" i="5"/>
  <c r="W79" i="5"/>
  <c r="V15" i="12"/>
  <c r="V15" i="14"/>
  <c r="V15" i="13"/>
  <c r="V15" i="10"/>
  <c r="V15" i="2"/>
  <c r="V15" i="9"/>
  <c r="X79" i="5"/>
  <c r="X44" i="5"/>
  <c r="W15" i="14"/>
  <c r="W15" i="13"/>
  <c r="W15" i="12"/>
  <c r="W15" i="10"/>
  <c r="W15" i="9"/>
  <c r="Y79" i="5"/>
  <c r="W15" i="2"/>
  <c r="Y44" i="5"/>
  <c r="X15" i="14"/>
  <c r="X15" i="13"/>
  <c r="X15" i="12"/>
  <c r="X15" i="10"/>
  <c r="X15" i="9"/>
  <c r="X15" i="2"/>
  <c r="Z79" i="5"/>
  <c r="Z44" i="5"/>
  <c r="Y15" i="12"/>
  <c r="Y15" i="14"/>
  <c r="Y15" i="13"/>
  <c r="Y15" i="10"/>
  <c r="Y15" i="9"/>
  <c r="Y15" i="2"/>
  <c r="AA44" i="5"/>
  <c r="AA79" i="5"/>
  <c r="Z15" i="13"/>
  <c r="Z15" i="14"/>
  <c r="Z15" i="12"/>
  <c r="AB79" i="5"/>
  <c r="AB44" i="5"/>
  <c r="Z15" i="10"/>
  <c r="Z15" i="9"/>
  <c r="Z15" i="2"/>
  <c r="AA15" i="13"/>
  <c r="AA15" i="12"/>
  <c r="AA15" i="14"/>
  <c r="AC79" i="5"/>
  <c r="AC44" i="5"/>
  <c r="AA15" i="10"/>
  <c r="AA15" i="9"/>
  <c r="AA15" i="2"/>
  <c r="AB15" i="14"/>
  <c r="AB15" i="13"/>
  <c r="AB15" i="12"/>
  <c r="AD79" i="5"/>
  <c r="AD44" i="5"/>
  <c r="AB15" i="10"/>
  <c r="AB15" i="9"/>
  <c r="AB15" i="2"/>
  <c r="AC15" i="14"/>
  <c r="AC15" i="13"/>
  <c r="AC15" i="12"/>
  <c r="AE44" i="5"/>
  <c r="AE79" i="5"/>
  <c r="AC15" i="9"/>
  <c r="AC15" i="10"/>
  <c r="AC15" i="2"/>
  <c r="Q10" i="5"/>
  <c r="AD15" i="12"/>
  <c r="AF79" i="5"/>
  <c r="AF44" i="5"/>
  <c r="AF32" i="5"/>
  <c r="AD12" i="5"/>
  <c r="AA28" i="5"/>
  <c r="Z18" i="5"/>
  <c r="T27" i="5"/>
  <c r="AE22" i="5"/>
  <c r="V24" i="5"/>
  <c r="Q20" i="5"/>
  <c r="S17" i="5"/>
  <c r="W11" i="5"/>
  <c r="Y31" i="5"/>
  <c r="R30" i="5"/>
  <c r="AB15" i="5"/>
  <c r="AD15" i="9"/>
  <c r="AD15" i="10"/>
  <c r="AD15" i="2"/>
  <c r="Y101" i="5"/>
  <c r="Y66" i="5"/>
  <c r="Z31" i="5"/>
  <c r="W37" i="10"/>
  <c r="W37" i="9"/>
  <c r="W37" i="2"/>
  <c r="T97" i="5"/>
  <c r="T62" i="5"/>
  <c r="U27" i="5"/>
  <c r="R33" i="9"/>
  <c r="R33" i="10"/>
  <c r="R33" i="2"/>
  <c r="AB85" i="5"/>
  <c r="AB50" i="5"/>
  <c r="AC15" i="5"/>
  <c r="Z21" i="9"/>
  <c r="Z21" i="10"/>
  <c r="Z21" i="2"/>
  <c r="W46" i="5"/>
  <c r="W81" i="5"/>
  <c r="X11" i="5"/>
  <c r="U17" i="10"/>
  <c r="U17" i="9"/>
  <c r="U17" i="2"/>
  <c r="V94" i="5"/>
  <c r="V59" i="5"/>
  <c r="W24" i="5"/>
  <c r="T30" i="9"/>
  <c r="T30" i="10"/>
  <c r="T30" i="2"/>
  <c r="W104" i="5"/>
  <c r="W69" i="5"/>
  <c r="X34" i="5"/>
  <c r="U40" i="10"/>
  <c r="U40" i="9"/>
  <c r="U40" i="2"/>
  <c r="AA31" i="12"/>
  <c r="AC60" i="5"/>
  <c r="AC95" i="5"/>
  <c r="AA31" i="10"/>
  <c r="AA31" i="9"/>
  <c r="AA31" i="2"/>
  <c r="Q23" i="12"/>
  <c r="S52" i="5"/>
  <c r="S87" i="5"/>
  <c r="T17" i="5"/>
  <c r="Q23" i="10"/>
  <c r="Q23" i="9"/>
  <c r="Q23" i="2"/>
  <c r="U49" i="5"/>
  <c r="U84" i="5"/>
  <c r="S20" i="10"/>
  <c r="S20" i="9"/>
  <c r="S20" i="2"/>
  <c r="AA63" i="5"/>
  <c r="AA98" i="5"/>
  <c r="AB28" i="5"/>
  <c r="Y34" i="10"/>
  <c r="Y34" i="9"/>
  <c r="Y34" i="2"/>
  <c r="R100" i="5"/>
  <c r="S30" i="5"/>
  <c r="R65" i="5"/>
  <c r="P36" i="10"/>
  <c r="P36" i="9"/>
  <c r="P36" i="2"/>
  <c r="Q90" i="5"/>
  <c r="Q55" i="5"/>
  <c r="R20" i="5"/>
  <c r="O26" i="10"/>
  <c r="O26" i="9"/>
  <c r="O26" i="2"/>
  <c r="AF22" i="5"/>
  <c r="AE57" i="5"/>
  <c r="AE92" i="5"/>
  <c r="AC28" i="9"/>
  <c r="AC28" i="10"/>
  <c r="AC28" i="2"/>
  <c r="AD82" i="5"/>
  <c r="AD47" i="5"/>
  <c r="AE12" i="5"/>
  <c r="AB18" i="10"/>
  <c r="AB18" i="9"/>
  <c r="AB18" i="2"/>
  <c r="Q80" i="5"/>
  <c r="Q45" i="5"/>
  <c r="R10" i="5"/>
  <c r="X91" i="5"/>
  <c r="X56" i="5"/>
  <c r="V27" i="10"/>
  <c r="V27" i="9"/>
  <c r="V27" i="2"/>
  <c r="AF102" i="5"/>
  <c r="AF67" i="5"/>
  <c r="Q33" i="5"/>
  <c r="AD38" i="10"/>
  <c r="AD38" i="9"/>
  <c r="AD38" i="2"/>
  <c r="Z53" i="5"/>
  <c r="Z88" i="5"/>
  <c r="AA18" i="5"/>
  <c r="X24" i="9"/>
  <c r="X24" i="10"/>
  <c r="X24" i="2"/>
  <c r="Y91" i="5"/>
  <c r="Y56" i="5"/>
  <c r="AE25" i="5"/>
  <c r="AD95" i="5"/>
  <c r="AD60" i="5"/>
  <c r="AD15" i="5"/>
  <c r="AC85" i="5"/>
  <c r="AC50" i="5"/>
  <c r="T30" i="5"/>
  <c r="S65" i="5"/>
  <c r="S100" i="5"/>
  <c r="AC28" i="5"/>
  <c r="AB98" i="5"/>
  <c r="AB63" i="5"/>
  <c r="Y34" i="5"/>
  <c r="X104" i="5"/>
  <c r="X69" i="5"/>
  <c r="V27" i="5"/>
  <c r="U97" i="5"/>
  <c r="U62" i="5"/>
  <c r="S10" i="5"/>
  <c r="R80" i="5"/>
  <c r="R45" i="5"/>
  <c r="V49" i="5"/>
  <c r="V84" i="5"/>
  <c r="X24" i="5"/>
  <c r="W59" i="5"/>
  <c r="W94" i="5"/>
  <c r="AA31" i="5"/>
  <c r="Z101" i="5"/>
  <c r="Z66" i="5"/>
  <c r="AB18" i="5"/>
  <c r="AA53" i="5"/>
  <c r="AA88" i="5"/>
  <c r="AF12" i="5"/>
  <c r="AE47" i="5"/>
  <c r="AE82" i="5"/>
  <c r="Q103" i="5"/>
  <c r="Q68" i="5"/>
  <c r="AF92" i="5"/>
  <c r="AF57" i="5"/>
  <c r="Q23" i="5"/>
  <c r="S20" i="5"/>
  <c r="R90" i="5"/>
  <c r="R55" i="5"/>
  <c r="U17" i="5"/>
  <c r="T87" i="5"/>
  <c r="T52" i="5"/>
  <c r="Y11" i="5"/>
  <c r="X81" i="5"/>
  <c r="X46" i="5"/>
  <c r="V17" i="5"/>
  <c r="U52" i="5"/>
  <c r="U87" i="5"/>
  <c r="AC18" i="5"/>
  <c r="AB88" i="5"/>
  <c r="AB53" i="5"/>
  <c r="W27" i="5"/>
  <c r="V62" i="5"/>
  <c r="V97" i="5"/>
  <c r="U30" i="5"/>
  <c r="T100" i="5"/>
  <c r="T65" i="5"/>
  <c r="AF25" i="5"/>
  <c r="AE60" i="5"/>
  <c r="AE95" i="5"/>
  <c r="AB31" i="5"/>
  <c r="AA66" i="5"/>
  <c r="AA101" i="5"/>
  <c r="Z34" i="5"/>
  <c r="Y104" i="5"/>
  <c r="Y69" i="5"/>
  <c r="AD28" i="5"/>
  <c r="AC98" i="5"/>
  <c r="AC63" i="5"/>
  <c r="AA21" i="5"/>
  <c r="Z56" i="5"/>
  <c r="Z91" i="5"/>
  <c r="AF82" i="5"/>
  <c r="AF47" i="5"/>
  <c r="Q13" i="5"/>
  <c r="R33" i="5"/>
  <c r="Y24" i="5"/>
  <c r="X94" i="5"/>
  <c r="X59" i="5"/>
  <c r="Z11" i="5"/>
  <c r="Y81" i="5"/>
  <c r="Y46" i="5"/>
  <c r="T20" i="5"/>
  <c r="S55" i="5"/>
  <c r="S90" i="5"/>
  <c r="Q93" i="5"/>
  <c r="Q58" i="5"/>
  <c r="R23" i="5"/>
  <c r="W49" i="5"/>
  <c r="W84" i="5"/>
  <c r="T10" i="5"/>
  <c r="S45" i="5"/>
  <c r="S80" i="5"/>
  <c r="AE15" i="5"/>
  <c r="AD50" i="5"/>
  <c r="AD85" i="5"/>
  <c r="AF15" i="5"/>
  <c r="AE50" i="5"/>
  <c r="AE85" i="5"/>
  <c r="R58" i="5"/>
  <c r="R93" i="5"/>
  <c r="S23" i="5"/>
  <c r="Q48" i="5"/>
  <c r="Q83" i="5"/>
  <c r="R13" i="5"/>
  <c r="X84" i="5"/>
  <c r="X49" i="5"/>
  <c r="AA11" i="5"/>
  <c r="Z46" i="5"/>
  <c r="Z81" i="5"/>
  <c r="AE28" i="5"/>
  <c r="AD63" i="5"/>
  <c r="AD98" i="5"/>
  <c r="AF95" i="5"/>
  <c r="AF60" i="5"/>
  <c r="Q26" i="5"/>
  <c r="Z24" i="5"/>
  <c r="Y94" i="5"/>
  <c r="Y59" i="5"/>
  <c r="S33" i="5"/>
  <c r="R103" i="5"/>
  <c r="R68" i="5"/>
  <c r="AA34" i="5"/>
  <c r="Z104" i="5"/>
  <c r="Z69" i="5"/>
  <c r="V30" i="5"/>
  <c r="U100" i="5"/>
  <c r="U65" i="5"/>
  <c r="U10" i="5"/>
  <c r="R16" i="14"/>
  <c r="R16" i="13"/>
  <c r="R16" i="12"/>
  <c r="T80" i="5"/>
  <c r="T45" i="5"/>
  <c r="R16" i="10"/>
  <c r="R16" i="9"/>
  <c r="R16" i="2"/>
  <c r="AC31" i="5"/>
  <c r="AB101" i="5"/>
  <c r="AB66" i="5"/>
  <c r="X27" i="5"/>
  <c r="W62" i="5"/>
  <c r="W97" i="5"/>
  <c r="W17" i="5"/>
  <c r="V52" i="5"/>
  <c r="V87" i="5"/>
  <c r="AB21" i="5"/>
  <c r="AA56" i="5"/>
  <c r="AA91" i="5"/>
  <c r="U20" i="5"/>
  <c r="T90" i="5"/>
  <c r="T55" i="5"/>
  <c r="AD18" i="5"/>
  <c r="AC88" i="5"/>
  <c r="AC53" i="5"/>
  <c r="V20" i="5"/>
  <c r="S26" i="14"/>
  <c r="S26" i="13"/>
  <c r="S26" i="12"/>
  <c r="U90" i="5"/>
  <c r="U55" i="5"/>
  <c r="S26" i="10"/>
  <c r="S26" i="9"/>
  <c r="S26" i="2"/>
  <c r="Y27" i="5"/>
  <c r="V33" i="14"/>
  <c r="V33" i="13"/>
  <c r="V33" i="12"/>
  <c r="X97" i="5"/>
  <c r="X62" i="5"/>
  <c r="V33" i="10"/>
  <c r="V33" i="9"/>
  <c r="V33" i="2"/>
  <c r="W30" i="5"/>
  <c r="T36" i="14"/>
  <c r="T36" i="13"/>
  <c r="T36" i="12"/>
  <c r="V100" i="5"/>
  <c r="V65" i="5"/>
  <c r="T36" i="10"/>
  <c r="T36" i="9"/>
  <c r="T36" i="2"/>
  <c r="AA24" i="5"/>
  <c r="X30" i="14"/>
  <c r="X30" i="13"/>
  <c r="X30" i="12"/>
  <c r="Z59" i="5"/>
  <c r="Z94" i="5"/>
  <c r="X30" i="10"/>
  <c r="X30" i="9"/>
  <c r="X30" i="2"/>
  <c r="AB11" i="5"/>
  <c r="Y17" i="14"/>
  <c r="Y17" i="13"/>
  <c r="Y17" i="12"/>
  <c r="AA46" i="5"/>
  <c r="AA81" i="5"/>
  <c r="Y17" i="10"/>
  <c r="Y17" i="9"/>
  <c r="Y17" i="2"/>
  <c r="O32" i="14"/>
  <c r="O32" i="13"/>
  <c r="O32" i="12"/>
  <c r="Q96" i="5"/>
  <c r="Q61" i="5"/>
  <c r="R26" i="5"/>
  <c r="O32" i="10"/>
  <c r="O32" i="9"/>
  <c r="O32" i="2"/>
  <c r="W20" i="14"/>
  <c r="W20" i="13"/>
  <c r="W20" i="12"/>
  <c r="Y84" i="5"/>
  <c r="Y49" i="5"/>
  <c r="W20" i="10"/>
  <c r="W20" i="9"/>
  <c r="W20" i="2"/>
  <c r="P19" i="14"/>
  <c r="P19" i="13"/>
  <c r="P19" i="12"/>
  <c r="R48" i="5"/>
  <c r="R83" i="5"/>
  <c r="S13" i="5"/>
  <c r="P19" i="10"/>
  <c r="P19" i="9"/>
  <c r="P19" i="2"/>
  <c r="AD21" i="13"/>
  <c r="AD21" i="14"/>
  <c r="AD21" i="12"/>
  <c r="AF85" i="5"/>
  <c r="AF50" i="5"/>
  <c r="Q16" i="5"/>
  <c r="AD21" i="10"/>
  <c r="AD21" i="9"/>
  <c r="AD21" i="2"/>
  <c r="AC21" i="5"/>
  <c r="Z27" i="13"/>
  <c r="Z27" i="14"/>
  <c r="Z27" i="12"/>
  <c r="AB91" i="5"/>
  <c r="AB56" i="5"/>
  <c r="Z27" i="10"/>
  <c r="Z27" i="9"/>
  <c r="Z27" i="2"/>
  <c r="AD31" i="5"/>
  <c r="AA37" i="14"/>
  <c r="AA37" i="13"/>
  <c r="AA37" i="12"/>
  <c r="AC101" i="5"/>
  <c r="AC66" i="5"/>
  <c r="AA37" i="10"/>
  <c r="AA37" i="9"/>
  <c r="AA37" i="2"/>
  <c r="AE18" i="5"/>
  <c r="AB24" i="14"/>
  <c r="AB24" i="13"/>
  <c r="AB24" i="12"/>
  <c r="AD53" i="5"/>
  <c r="AD88" i="5"/>
  <c r="AB24" i="10"/>
  <c r="AB24" i="9"/>
  <c r="AB24" i="2"/>
  <c r="V10" i="5"/>
  <c r="S16" i="13"/>
  <c r="S16" i="14"/>
  <c r="S16" i="12"/>
  <c r="U80" i="5"/>
  <c r="U45" i="5"/>
  <c r="S16" i="9"/>
  <c r="S16" i="10"/>
  <c r="S16" i="2"/>
  <c r="AB34" i="5"/>
  <c r="Y40" i="13"/>
  <c r="Y40" i="12"/>
  <c r="Y40" i="14"/>
  <c r="AA104" i="5"/>
  <c r="AA69" i="5"/>
  <c r="Y40" i="10"/>
  <c r="Y40" i="9"/>
  <c r="Y40" i="2"/>
  <c r="X17" i="5"/>
  <c r="U23" i="14"/>
  <c r="U23" i="13"/>
  <c r="U23" i="12"/>
  <c r="W52" i="5"/>
  <c r="W87" i="5"/>
  <c r="U23" i="10"/>
  <c r="U23" i="9"/>
  <c r="U23" i="2"/>
  <c r="T33" i="5"/>
  <c r="S103" i="5"/>
  <c r="S68" i="5"/>
  <c r="AF28" i="5"/>
  <c r="AC34" i="13"/>
  <c r="AC34" i="14"/>
  <c r="AC34" i="12"/>
  <c r="AE63" i="5"/>
  <c r="AE98" i="5"/>
  <c r="AC34" i="10"/>
  <c r="AC34" i="9"/>
  <c r="AC34" i="2"/>
  <c r="T23" i="5"/>
  <c r="Q29" i="14"/>
  <c r="Q29" i="13"/>
  <c r="Q29" i="12"/>
  <c r="S58" i="5"/>
  <c r="S93" i="5"/>
  <c r="Q29" i="10"/>
  <c r="Q29" i="9"/>
  <c r="Q29" i="2"/>
  <c r="AC34" i="5"/>
  <c r="Z40" i="14"/>
  <c r="Z40" i="13"/>
  <c r="Z40" i="12"/>
  <c r="AB104" i="5"/>
  <c r="AB69" i="5"/>
  <c r="Z40" i="9"/>
  <c r="Z40" i="10"/>
  <c r="Z40" i="2"/>
  <c r="AD34" i="13"/>
  <c r="AD34" i="14"/>
  <c r="AD34" i="12"/>
  <c r="AF98" i="5"/>
  <c r="AF63" i="5"/>
  <c r="Q29" i="5"/>
  <c r="AD34" i="9"/>
  <c r="AD34" i="10"/>
  <c r="AD34" i="2"/>
  <c r="U33" i="5"/>
  <c r="R39" i="14"/>
  <c r="R39" i="13"/>
  <c r="R39" i="12"/>
  <c r="T103" i="5"/>
  <c r="T68" i="5"/>
  <c r="R39" i="10"/>
  <c r="R39" i="9"/>
  <c r="R39" i="2"/>
  <c r="W10" i="5"/>
  <c r="T16" i="14"/>
  <c r="T16" i="13"/>
  <c r="T16" i="12"/>
  <c r="V45" i="5"/>
  <c r="V80" i="5"/>
  <c r="T16" i="9"/>
  <c r="T16" i="10"/>
  <c r="T16" i="2"/>
  <c r="AF18" i="5"/>
  <c r="AC24" i="14"/>
  <c r="AC24" i="13"/>
  <c r="AC24" i="12"/>
  <c r="AE53" i="5"/>
  <c r="AE88" i="5"/>
  <c r="AC24" i="9"/>
  <c r="AC24" i="10"/>
  <c r="AC24" i="2"/>
  <c r="T13" i="5"/>
  <c r="Q19" i="14"/>
  <c r="Q19" i="13"/>
  <c r="Q19" i="12"/>
  <c r="S48" i="5"/>
  <c r="S83" i="5"/>
  <c r="Q19" i="9"/>
  <c r="Q19" i="10"/>
  <c r="Q19" i="2"/>
  <c r="AC11" i="5"/>
  <c r="Z17" i="14"/>
  <c r="Z17" i="13"/>
  <c r="Z17" i="12"/>
  <c r="AB81" i="5"/>
  <c r="AB46" i="5"/>
  <c r="Z17" i="9"/>
  <c r="Z17" i="10"/>
  <c r="Z17" i="2"/>
  <c r="X30" i="5"/>
  <c r="U36" i="14"/>
  <c r="U36" i="13"/>
  <c r="U36" i="12"/>
  <c r="W65" i="5"/>
  <c r="W100" i="5"/>
  <c r="U36" i="9"/>
  <c r="U36" i="10"/>
  <c r="U36" i="2"/>
  <c r="Y17" i="5"/>
  <c r="V23" i="14"/>
  <c r="V23" i="13"/>
  <c r="V23" i="12"/>
  <c r="X87" i="5"/>
  <c r="X52" i="5"/>
  <c r="V23" i="9"/>
  <c r="V23" i="10"/>
  <c r="V23" i="2"/>
  <c r="AE31" i="5"/>
  <c r="AB37" i="14"/>
  <c r="AB37" i="13"/>
  <c r="AB37" i="12"/>
  <c r="AD101" i="5"/>
  <c r="AD66" i="5"/>
  <c r="AB37" i="9"/>
  <c r="AB37" i="10"/>
  <c r="AB37" i="2"/>
  <c r="AB24" i="5"/>
  <c r="Y30" i="14"/>
  <c r="Y30" i="13"/>
  <c r="Y30" i="12"/>
  <c r="AA59" i="5"/>
  <c r="AA94" i="5"/>
  <c r="Y30" i="9"/>
  <c r="Y30" i="10"/>
  <c r="Y30" i="2"/>
  <c r="Z27" i="5"/>
  <c r="W33" i="13"/>
  <c r="W33" i="14"/>
  <c r="W33" i="12"/>
  <c r="Y62" i="5"/>
  <c r="Y97" i="5"/>
  <c r="W33" i="9"/>
  <c r="W33" i="10"/>
  <c r="W33" i="2"/>
  <c r="U23" i="5"/>
  <c r="R29" i="14"/>
  <c r="R29" i="13"/>
  <c r="R29" i="12"/>
  <c r="T93" i="5"/>
  <c r="T58" i="5"/>
  <c r="R29" i="9"/>
  <c r="R29" i="10"/>
  <c r="R29" i="2"/>
  <c r="AD21" i="5"/>
  <c r="AA27" i="14"/>
  <c r="AA27" i="13"/>
  <c r="AA27" i="12"/>
  <c r="AC56" i="5"/>
  <c r="AC91" i="5"/>
  <c r="AA27" i="9"/>
  <c r="AA27" i="10"/>
  <c r="AA27" i="2"/>
  <c r="O22" i="14"/>
  <c r="O22" i="13"/>
  <c r="O22" i="12"/>
  <c r="Q51" i="5"/>
  <c r="Q86" i="5"/>
  <c r="R16" i="5"/>
  <c r="O22" i="9"/>
  <c r="O22" i="10"/>
  <c r="O22" i="2"/>
  <c r="X20" i="14"/>
  <c r="X20" i="13"/>
  <c r="X20" i="12"/>
  <c r="Z49" i="5"/>
  <c r="Z84" i="5"/>
  <c r="X20" i="9"/>
  <c r="X20" i="10"/>
  <c r="X20" i="2"/>
  <c r="S26" i="5"/>
  <c r="P32" i="14"/>
  <c r="P32" i="13"/>
  <c r="P32" i="12"/>
  <c r="R61" i="5"/>
  <c r="R96" i="5"/>
  <c r="P32" i="9"/>
  <c r="P32" i="10"/>
  <c r="P32" i="2"/>
  <c r="W20" i="5"/>
  <c r="T26" i="14"/>
  <c r="T26" i="13"/>
  <c r="T26" i="12"/>
  <c r="V90" i="5"/>
  <c r="V55" i="5"/>
  <c r="T26" i="9"/>
  <c r="T26" i="10"/>
  <c r="T26" i="2"/>
  <c r="V23" i="5"/>
  <c r="S29" i="14"/>
  <c r="S29" i="13"/>
  <c r="S29" i="12"/>
  <c r="U58" i="5"/>
  <c r="U93" i="5"/>
  <c r="S29" i="10"/>
  <c r="S29" i="9"/>
  <c r="S29" i="2"/>
  <c r="X20" i="5"/>
  <c r="U26" i="14"/>
  <c r="U26" i="13"/>
  <c r="U26" i="12"/>
  <c r="W55" i="5"/>
  <c r="W90" i="5"/>
  <c r="U26" i="10"/>
  <c r="U26" i="9"/>
  <c r="U26" i="2"/>
  <c r="AE21" i="5"/>
  <c r="AB27" i="14"/>
  <c r="AB27" i="13"/>
  <c r="AB27" i="12"/>
  <c r="AD91" i="5"/>
  <c r="AD56" i="5"/>
  <c r="AB27" i="10"/>
  <c r="AB27" i="9"/>
  <c r="AB27" i="2"/>
  <c r="AC24" i="5"/>
  <c r="Z30" i="14"/>
  <c r="Z30" i="13"/>
  <c r="Z30" i="12"/>
  <c r="AB94" i="5"/>
  <c r="AB59" i="5"/>
  <c r="Z30" i="10"/>
  <c r="Z30" i="9"/>
  <c r="Z30" i="2"/>
  <c r="Y30" i="5"/>
  <c r="V36" i="13"/>
  <c r="V36" i="14"/>
  <c r="V36" i="12"/>
  <c r="X100" i="5"/>
  <c r="X65" i="5"/>
  <c r="V36" i="10"/>
  <c r="V36" i="9"/>
  <c r="V36" i="2"/>
  <c r="AD24" i="14"/>
  <c r="AD24" i="13"/>
  <c r="AD24" i="12"/>
  <c r="AF88" i="5"/>
  <c r="AF53" i="5"/>
  <c r="Q19" i="5"/>
  <c r="AD24" i="9"/>
  <c r="AD24" i="10"/>
  <c r="AD24" i="2"/>
  <c r="V33" i="5"/>
  <c r="S39" i="14"/>
  <c r="S39" i="13"/>
  <c r="S39" i="12"/>
  <c r="U103" i="5"/>
  <c r="U68" i="5"/>
  <c r="S39" i="9"/>
  <c r="S39" i="10"/>
  <c r="S39" i="2"/>
  <c r="O35" i="14"/>
  <c r="O35" i="13"/>
  <c r="O35" i="12"/>
  <c r="Q64" i="5"/>
  <c r="Q99" i="5"/>
  <c r="R29" i="5"/>
  <c r="O35" i="10"/>
  <c r="O35" i="9"/>
  <c r="O35" i="2"/>
  <c r="Y20" i="14"/>
  <c r="Y20" i="13"/>
  <c r="Y20" i="12"/>
  <c r="AA49" i="5"/>
  <c r="AA84" i="5"/>
  <c r="Y20" i="9"/>
  <c r="Y20" i="10"/>
  <c r="Y20" i="2"/>
  <c r="T26" i="5"/>
  <c r="Q32" i="14"/>
  <c r="Q32" i="13"/>
  <c r="Q32" i="12"/>
  <c r="S61" i="5"/>
  <c r="S96" i="5"/>
  <c r="Q32" i="10"/>
  <c r="Q32" i="9"/>
  <c r="Q32" i="2"/>
  <c r="P22" i="14"/>
  <c r="P22" i="13"/>
  <c r="P22" i="12"/>
  <c r="R86" i="5"/>
  <c r="R51" i="5"/>
  <c r="S16" i="5"/>
  <c r="P22" i="10"/>
  <c r="P22" i="9"/>
  <c r="P22" i="2"/>
  <c r="AF31" i="5"/>
  <c r="AC37" i="14"/>
  <c r="AC37" i="13"/>
  <c r="AC37" i="12"/>
  <c r="AE66" i="5"/>
  <c r="AE101" i="5"/>
  <c r="AC37" i="10"/>
  <c r="AC37" i="9"/>
  <c r="AC37" i="2"/>
  <c r="AD11" i="5"/>
  <c r="AA17" i="14"/>
  <c r="AA17" i="13"/>
  <c r="AA17" i="12"/>
  <c r="AC81" i="5"/>
  <c r="AC46" i="5"/>
  <c r="AA17" i="10"/>
  <c r="AA17" i="9"/>
  <c r="AA17" i="2"/>
  <c r="X10" i="5"/>
  <c r="U16" i="14"/>
  <c r="U16" i="13"/>
  <c r="U16" i="12"/>
  <c r="W45" i="5"/>
  <c r="W80" i="5"/>
  <c r="U16" i="9"/>
  <c r="U16" i="10"/>
  <c r="U16" i="2"/>
  <c r="AD34" i="5"/>
  <c r="AA40" i="13"/>
  <c r="AA40" i="14"/>
  <c r="AA40" i="12"/>
  <c r="AC104" i="5"/>
  <c r="AC69" i="5"/>
  <c r="AA40" i="10"/>
  <c r="AA40" i="9"/>
  <c r="AA40" i="2"/>
  <c r="AA27" i="5"/>
  <c r="X33" i="14"/>
  <c r="X33" i="13"/>
  <c r="X33" i="12"/>
  <c r="Z97" i="5"/>
  <c r="Z62" i="5"/>
  <c r="X33" i="10"/>
  <c r="X33" i="9"/>
  <c r="X33" i="2"/>
  <c r="Z17" i="5"/>
  <c r="W23" i="14"/>
  <c r="W23" i="13"/>
  <c r="W23" i="12"/>
  <c r="Y52" i="5"/>
  <c r="Y87" i="5"/>
  <c r="W23" i="10"/>
  <c r="W23" i="9"/>
  <c r="W23" i="2"/>
  <c r="U13" i="5"/>
  <c r="R19" i="14"/>
  <c r="R19" i="13"/>
  <c r="R19" i="12"/>
  <c r="T83" i="5"/>
  <c r="T48" i="5"/>
  <c r="R19" i="10"/>
  <c r="R19" i="9"/>
  <c r="R19" i="2"/>
  <c r="AA17" i="5"/>
  <c r="X23" i="14"/>
  <c r="X23" i="13"/>
  <c r="X23" i="12"/>
  <c r="Z52" i="5"/>
  <c r="Z87" i="5"/>
  <c r="X23" i="10"/>
  <c r="X23" i="9"/>
  <c r="X23" i="2"/>
  <c r="Y10" i="5"/>
  <c r="V16" i="14"/>
  <c r="V16" i="13"/>
  <c r="V16" i="12"/>
  <c r="X80" i="5"/>
  <c r="X45" i="5"/>
  <c r="V16" i="10"/>
  <c r="V16" i="9"/>
  <c r="V16" i="2"/>
  <c r="AB27" i="5"/>
  <c r="Y33" i="14"/>
  <c r="Y33" i="13"/>
  <c r="Y33" i="12"/>
  <c r="AA62" i="5"/>
  <c r="AA97" i="5"/>
  <c r="Y33" i="10"/>
  <c r="Y33" i="9"/>
  <c r="Y33" i="2"/>
  <c r="AD24" i="5"/>
  <c r="AA30" i="13"/>
  <c r="AA30" i="14"/>
  <c r="AA30" i="12"/>
  <c r="AC59" i="5"/>
  <c r="AC94" i="5"/>
  <c r="AA30" i="9"/>
  <c r="AA30" i="10"/>
  <c r="AA30" i="2"/>
  <c r="W23" i="5"/>
  <c r="T29" i="14"/>
  <c r="T29" i="13"/>
  <c r="T29" i="12"/>
  <c r="V93" i="5"/>
  <c r="V58" i="5"/>
  <c r="T29" i="9"/>
  <c r="T29" i="10"/>
  <c r="T29" i="2"/>
  <c r="V13" i="5"/>
  <c r="S19" i="14"/>
  <c r="S19" i="13"/>
  <c r="S19" i="12"/>
  <c r="U48" i="5"/>
  <c r="U83" i="5"/>
  <c r="S19" i="10"/>
  <c r="S19" i="9"/>
  <c r="S19" i="2"/>
  <c r="AE11" i="5"/>
  <c r="AB17" i="14"/>
  <c r="AB17" i="13"/>
  <c r="AB17" i="12"/>
  <c r="AD81" i="5"/>
  <c r="AD46" i="5"/>
  <c r="AB17" i="9"/>
  <c r="AB17" i="10"/>
  <c r="AB17" i="2"/>
  <c r="W33" i="5"/>
  <c r="T39" i="14"/>
  <c r="T39" i="13"/>
  <c r="T39" i="12"/>
  <c r="V103" i="5"/>
  <c r="V68" i="5"/>
  <c r="T39" i="10"/>
  <c r="T39" i="9"/>
  <c r="T39" i="2"/>
  <c r="O25" i="14"/>
  <c r="O25" i="13"/>
  <c r="O25" i="12"/>
  <c r="Q54" i="5"/>
  <c r="Q89" i="5"/>
  <c r="R19" i="5"/>
  <c r="O25" i="9"/>
  <c r="O25" i="10"/>
  <c r="O25" i="2"/>
  <c r="AF21" i="5"/>
  <c r="AC27" i="14"/>
  <c r="AC27" i="13"/>
  <c r="AC27" i="12"/>
  <c r="AE56" i="5"/>
  <c r="AE91" i="5"/>
  <c r="AC27" i="10"/>
  <c r="AC27" i="9"/>
  <c r="AC27" i="2"/>
  <c r="AE34" i="5"/>
  <c r="AB40" i="13"/>
  <c r="AB40" i="14"/>
  <c r="AB40" i="12"/>
  <c r="AD104" i="5"/>
  <c r="AD69" i="5"/>
  <c r="AB40" i="10"/>
  <c r="AB40" i="9"/>
  <c r="AB40" i="2"/>
  <c r="U26" i="5"/>
  <c r="R32" i="13"/>
  <c r="R32" i="14"/>
  <c r="R32" i="12"/>
  <c r="T96" i="5"/>
  <c r="T61" i="5"/>
  <c r="R32" i="9"/>
  <c r="R32" i="10"/>
  <c r="R32" i="2"/>
  <c r="AD37" i="14"/>
  <c r="AD37" i="13"/>
  <c r="AD37" i="12"/>
  <c r="AF101" i="5"/>
  <c r="AF66" i="5"/>
  <c r="Q32" i="5"/>
  <c r="AD37" i="9"/>
  <c r="AD37" i="10"/>
  <c r="AD37" i="2"/>
  <c r="Q22" i="14"/>
  <c r="Q22" i="13"/>
  <c r="Q22" i="12"/>
  <c r="S51" i="5"/>
  <c r="S86" i="5"/>
  <c r="T16" i="5"/>
  <c r="Q22" i="10"/>
  <c r="Q22" i="9"/>
  <c r="Q22" i="2"/>
  <c r="Z20" i="14"/>
  <c r="Z20" i="13"/>
  <c r="Z20" i="12"/>
  <c r="AB84" i="5"/>
  <c r="AB49" i="5"/>
  <c r="Z20" i="9"/>
  <c r="Z20" i="10"/>
  <c r="Z20" i="2"/>
  <c r="S29" i="5"/>
  <c r="P35" i="14"/>
  <c r="P35" i="13"/>
  <c r="P35" i="12"/>
  <c r="R99" i="5"/>
  <c r="R64" i="5"/>
  <c r="P35" i="9"/>
  <c r="P35" i="10"/>
  <c r="P35" i="2"/>
  <c r="Z30" i="5"/>
  <c r="W36" i="14"/>
  <c r="W36" i="13"/>
  <c r="W36" i="12"/>
  <c r="Y65" i="5"/>
  <c r="Y100" i="5"/>
  <c r="W36" i="10"/>
  <c r="W36" i="9"/>
  <c r="W36" i="2"/>
  <c r="Y20" i="5"/>
  <c r="V26" i="14"/>
  <c r="V26" i="13"/>
  <c r="V26" i="12"/>
  <c r="X90" i="5"/>
  <c r="X55" i="5"/>
  <c r="V26" i="10"/>
  <c r="V26" i="9"/>
  <c r="V26" i="2"/>
  <c r="Z20" i="5"/>
  <c r="W26" i="14"/>
  <c r="W26" i="13"/>
  <c r="W26" i="12"/>
  <c r="Y55" i="5"/>
  <c r="Y90" i="5"/>
  <c r="W26" i="10"/>
  <c r="W26" i="9"/>
  <c r="W26" i="2"/>
  <c r="AA20" i="14"/>
  <c r="AA20" i="13"/>
  <c r="AA20" i="12"/>
  <c r="AC84" i="5"/>
  <c r="AC49" i="5"/>
  <c r="AA20" i="10"/>
  <c r="AA20" i="9"/>
  <c r="AA20" i="2"/>
  <c r="U16" i="5"/>
  <c r="R22" i="14"/>
  <c r="R22" i="13"/>
  <c r="R22" i="12"/>
  <c r="T86" i="5"/>
  <c r="T51" i="5"/>
  <c r="R22" i="10"/>
  <c r="R22" i="9"/>
  <c r="R22" i="2"/>
  <c r="V26" i="5"/>
  <c r="S32" i="14"/>
  <c r="S32" i="13"/>
  <c r="S32" i="12"/>
  <c r="U96" i="5"/>
  <c r="U61" i="5"/>
  <c r="S32" i="10"/>
  <c r="S32" i="9"/>
  <c r="S32" i="2"/>
  <c r="P25" i="14"/>
  <c r="P25" i="13"/>
  <c r="P25" i="12"/>
  <c r="R89" i="5"/>
  <c r="R54" i="5"/>
  <c r="S19" i="5"/>
  <c r="P25" i="10"/>
  <c r="P25" i="9"/>
  <c r="P25" i="2"/>
  <c r="AA30" i="5"/>
  <c r="X36" i="14"/>
  <c r="X36" i="13"/>
  <c r="X36" i="12"/>
  <c r="Z100" i="5"/>
  <c r="Z65" i="5"/>
  <c r="X36" i="10"/>
  <c r="X36" i="9"/>
  <c r="X36" i="2"/>
  <c r="O38" i="14"/>
  <c r="O38" i="12"/>
  <c r="O38" i="13"/>
  <c r="Q102" i="5"/>
  <c r="Q67" i="5"/>
  <c r="O38" i="10"/>
  <c r="O38" i="9"/>
  <c r="O38" i="2"/>
  <c r="AF34" i="5"/>
  <c r="AC40" i="13"/>
  <c r="AC40" i="14"/>
  <c r="AC40" i="12"/>
  <c r="AE104" i="5"/>
  <c r="AE69" i="5"/>
  <c r="AC40" i="10"/>
  <c r="AC40" i="9"/>
  <c r="AC40" i="2"/>
  <c r="X23" i="5"/>
  <c r="U29" i="14"/>
  <c r="U29" i="13"/>
  <c r="U29" i="12"/>
  <c r="W58" i="5"/>
  <c r="W93" i="5"/>
  <c r="U29" i="10"/>
  <c r="U29" i="9"/>
  <c r="U29" i="2"/>
  <c r="AB17" i="5"/>
  <c r="Y23" i="14"/>
  <c r="Y23" i="13"/>
  <c r="Y23" i="12"/>
  <c r="AA52" i="5"/>
  <c r="AA87" i="5"/>
  <c r="Y23" i="10"/>
  <c r="Y23" i="9"/>
  <c r="Y23" i="2"/>
  <c r="T29" i="5"/>
  <c r="Q35" i="14"/>
  <c r="Q35" i="13"/>
  <c r="Q35" i="12"/>
  <c r="S64" i="5"/>
  <c r="S99" i="5"/>
  <c r="Q35" i="10"/>
  <c r="Q35" i="9"/>
  <c r="Q35" i="2"/>
  <c r="X33" i="5"/>
  <c r="U39" i="13"/>
  <c r="U39" i="14"/>
  <c r="U39" i="12"/>
  <c r="W103" i="5"/>
  <c r="W68" i="5"/>
  <c r="U39" i="9"/>
  <c r="U39" i="10"/>
  <c r="U39" i="2"/>
  <c r="AE24" i="5"/>
  <c r="AB30" i="14"/>
  <c r="AB30" i="13"/>
  <c r="AB30" i="12"/>
  <c r="AD94" i="5"/>
  <c r="AD59" i="5"/>
  <c r="AB30" i="10"/>
  <c r="AB30" i="9"/>
  <c r="AB30" i="2"/>
  <c r="AD27" i="13"/>
  <c r="AD27" i="14"/>
  <c r="AD27" i="12"/>
  <c r="AF91" i="5"/>
  <c r="AF56" i="5"/>
  <c r="Q22" i="5"/>
  <c r="AD27" i="10"/>
  <c r="AD27" i="9"/>
  <c r="AD27" i="2"/>
  <c r="AF11" i="5"/>
  <c r="AC17" i="14"/>
  <c r="AC17" i="13"/>
  <c r="AC17" i="12"/>
  <c r="AE46" i="5"/>
  <c r="AE81" i="5"/>
  <c r="AC17" i="10"/>
  <c r="AC17" i="9"/>
  <c r="AC17" i="2"/>
  <c r="AC27" i="5"/>
  <c r="Z33" i="13"/>
  <c r="Z33" i="14"/>
  <c r="Z33" i="12"/>
  <c r="AB97" i="5"/>
  <c r="AB62" i="5"/>
  <c r="Z33" i="10"/>
  <c r="Z33" i="9"/>
  <c r="Z33" i="2"/>
  <c r="W13" i="5"/>
  <c r="T19" i="14"/>
  <c r="T19" i="13"/>
  <c r="T19" i="12"/>
  <c r="V48" i="5"/>
  <c r="V83" i="5"/>
  <c r="T19" i="10"/>
  <c r="T19" i="9"/>
  <c r="T19" i="2"/>
  <c r="Z10" i="5"/>
  <c r="W16" i="14"/>
  <c r="W16" i="13"/>
  <c r="W16" i="12"/>
  <c r="Y80" i="5"/>
  <c r="Y45" i="5"/>
  <c r="W16" i="9"/>
  <c r="W16" i="10"/>
  <c r="W16" i="2"/>
  <c r="X13" i="5"/>
  <c r="U19" i="14"/>
  <c r="U19" i="13"/>
  <c r="U19" i="12"/>
  <c r="W48" i="5"/>
  <c r="W83" i="5"/>
  <c r="U19" i="9"/>
  <c r="U19" i="10"/>
  <c r="U19" i="2"/>
  <c r="Y33" i="5"/>
  <c r="V39" i="12"/>
  <c r="V39" i="14"/>
  <c r="V39" i="13"/>
  <c r="X103" i="5"/>
  <c r="X68" i="5"/>
  <c r="V39" i="10"/>
  <c r="V39" i="9"/>
  <c r="V39" i="2"/>
  <c r="AF24" i="5"/>
  <c r="AC30" i="14"/>
  <c r="AC30" i="13"/>
  <c r="AC30" i="12"/>
  <c r="AE59" i="5"/>
  <c r="AE94" i="5"/>
  <c r="AC30" i="9"/>
  <c r="AC30" i="10"/>
  <c r="AC30" i="2"/>
  <c r="AC17" i="5"/>
  <c r="Z23" i="13"/>
  <c r="Z23" i="14"/>
  <c r="Z23" i="12"/>
  <c r="AB87" i="5"/>
  <c r="AB52" i="5"/>
  <c r="Z23" i="9"/>
  <c r="Z23" i="10"/>
  <c r="Z23" i="2"/>
  <c r="Y23" i="5"/>
  <c r="V29" i="14"/>
  <c r="V29" i="13"/>
  <c r="V29" i="12"/>
  <c r="X93" i="5"/>
  <c r="X58" i="5"/>
  <c r="V29" i="9"/>
  <c r="V29" i="10"/>
  <c r="V29" i="2"/>
  <c r="AD40" i="14"/>
  <c r="AD40" i="13"/>
  <c r="AD40" i="12"/>
  <c r="AF104" i="5"/>
  <c r="AF69" i="5"/>
  <c r="Q35" i="5"/>
  <c r="AD40" i="9"/>
  <c r="AD40" i="10"/>
  <c r="AD40" i="2"/>
  <c r="W26" i="5"/>
  <c r="T32" i="14"/>
  <c r="T32" i="13"/>
  <c r="T32" i="12"/>
  <c r="V96" i="5"/>
  <c r="V61" i="5"/>
  <c r="T32" i="9"/>
  <c r="T32" i="10"/>
  <c r="T32" i="2"/>
  <c r="AA20" i="5"/>
  <c r="X26" i="14"/>
  <c r="X26" i="13"/>
  <c r="X26" i="12"/>
  <c r="Z90" i="5"/>
  <c r="Z55" i="5"/>
  <c r="X26" i="9"/>
  <c r="X26" i="10"/>
  <c r="X26" i="2"/>
  <c r="AB30" i="5"/>
  <c r="Y36" i="14"/>
  <c r="Y36" i="13"/>
  <c r="Y36" i="12"/>
  <c r="AA65" i="5"/>
  <c r="AA100" i="5"/>
  <c r="Y36" i="9"/>
  <c r="Y36" i="10"/>
  <c r="Y36" i="2"/>
  <c r="V16" i="5"/>
  <c r="S22" i="14"/>
  <c r="S22" i="13"/>
  <c r="S22" i="12"/>
  <c r="U51" i="5"/>
  <c r="U86" i="5"/>
  <c r="S22" i="9"/>
  <c r="S22" i="10"/>
  <c r="S22" i="2"/>
  <c r="AA10" i="5"/>
  <c r="X16" i="14"/>
  <c r="X16" i="13"/>
  <c r="X16" i="12"/>
  <c r="X16" i="10"/>
  <c r="X16" i="9"/>
  <c r="X16" i="2"/>
  <c r="Z45" i="5"/>
  <c r="Z80" i="5"/>
  <c r="AD27" i="5"/>
  <c r="AA33" i="14"/>
  <c r="AA33" i="13"/>
  <c r="AA33" i="12"/>
  <c r="AC97" i="5"/>
  <c r="AC62" i="5"/>
  <c r="AA33" i="9"/>
  <c r="AA33" i="10"/>
  <c r="AA33" i="2"/>
  <c r="Q12" i="5"/>
  <c r="AD17" i="14"/>
  <c r="AD17" i="13"/>
  <c r="AD17" i="12"/>
  <c r="AF81" i="5"/>
  <c r="AF46" i="5"/>
  <c r="R32" i="5"/>
  <c r="AD17" i="9"/>
  <c r="AD17" i="10"/>
  <c r="AD17" i="2"/>
  <c r="O28" i="14"/>
  <c r="O28" i="13"/>
  <c r="O28" i="12"/>
  <c r="Q92" i="5"/>
  <c r="Q57" i="5"/>
  <c r="R22" i="5"/>
  <c r="O28" i="9"/>
  <c r="O28" i="10"/>
  <c r="O28" i="2"/>
  <c r="U29" i="5"/>
  <c r="R35" i="14"/>
  <c r="R35" i="13"/>
  <c r="R35" i="12"/>
  <c r="T99" i="5"/>
  <c r="T64" i="5"/>
  <c r="R35" i="9"/>
  <c r="R35" i="10"/>
  <c r="R35" i="2"/>
  <c r="Q25" i="14"/>
  <c r="Q25" i="13"/>
  <c r="Q25" i="12"/>
  <c r="S54" i="5"/>
  <c r="S89" i="5"/>
  <c r="T19" i="5"/>
  <c r="Q25" i="9"/>
  <c r="Q25" i="10"/>
  <c r="Q25" i="2"/>
  <c r="AB20" i="14"/>
  <c r="AB20" i="13"/>
  <c r="AB20" i="12"/>
  <c r="AD84" i="5"/>
  <c r="AD49" i="5"/>
  <c r="AB20" i="9"/>
  <c r="AB20" i="10"/>
  <c r="AB20" i="2"/>
  <c r="S32" i="5"/>
  <c r="P38" i="14"/>
  <c r="P38" i="13"/>
  <c r="P38" i="12"/>
  <c r="R102" i="5"/>
  <c r="R67" i="5"/>
  <c r="P38" i="9"/>
  <c r="P38" i="10"/>
  <c r="P38" i="2"/>
  <c r="U19" i="5"/>
  <c r="R25" i="13"/>
  <c r="R25" i="14"/>
  <c r="R25" i="12"/>
  <c r="R25" i="10"/>
  <c r="R25" i="9"/>
  <c r="R25" i="2"/>
  <c r="T89" i="5"/>
  <c r="T54" i="5"/>
  <c r="R12" i="5"/>
  <c r="O18" i="14"/>
  <c r="O18" i="13"/>
  <c r="O18" i="12"/>
  <c r="O18" i="10"/>
  <c r="O18" i="9"/>
  <c r="Q82" i="5"/>
  <c r="O18" i="2"/>
  <c r="Q47" i="5"/>
  <c r="W16" i="5"/>
  <c r="T22" i="14"/>
  <c r="T22" i="13"/>
  <c r="T22" i="12"/>
  <c r="T22" i="10"/>
  <c r="T22" i="9"/>
  <c r="T22" i="2"/>
  <c r="V51" i="5"/>
  <c r="V86" i="5"/>
  <c r="AB20" i="5"/>
  <c r="Y26" i="14"/>
  <c r="Y26" i="13"/>
  <c r="Y26" i="12"/>
  <c r="Y26" i="10"/>
  <c r="Y26" i="9"/>
  <c r="Y26" i="2"/>
  <c r="AA55" i="5"/>
  <c r="AA90" i="5"/>
  <c r="Z23" i="5"/>
  <c r="W29" i="14"/>
  <c r="W29" i="13"/>
  <c r="W29" i="12"/>
  <c r="W29" i="10"/>
  <c r="W29" i="9"/>
  <c r="W29" i="2"/>
  <c r="Y93" i="5"/>
  <c r="Y58" i="5"/>
  <c r="P28" i="14"/>
  <c r="P28" i="13"/>
  <c r="P28" i="12"/>
  <c r="P28" i="10"/>
  <c r="P28" i="9"/>
  <c r="P28" i="2"/>
  <c r="R57" i="5"/>
  <c r="R92" i="5"/>
  <c r="S22" i="5"/>
  <c r="AC30" i="5"/>
  <c r="Z36" i="14"/>
  <c r="Z36" i="13"/>
  <c r="Z36" i="12"/>
  <c r="Z36" i="9"/>
  <c r="Z36" i="10"/>
  <c r="Z36" i="2"/>
  <c r="AB100" i="5"/>
  <c r="AB65" i="5"/>
  <c r="X26" i="5"/>
  <c r="U32" i="14"/>
  <c r="U32" i="13"/>
  <c r="U32" i="12"/>
  <c r="U32" i="10"/>
  <c r="U32" i="9"/>
  <c r="U32" i="2"/>
  <c r="W61" i="5"/>
  <c r="W96" i="5"/>
  <c r="AD17" i="5"/>
  <c r="AA23" i="14"/>
  <c r="AA23" i="13"/>
  <c r="AA23" i="12"/>
  <c r="AA23" i="10"/>
  <c r="AA23" i="9"/>
  <c r="AA23" i="2"/>
  <c r="AC87" i="5"/>
  <c r="AC52" i="5"/>
  <c r="Z33" i="5"/>
  <c r="W39" i="14"/>
  <c r="W39" i="13"/>
  <c r="W39" i="12"/>
  <c r="Y103" i="5"/>
  <c r="Y68" i="5"/>
  <c r="W39" i="9"/>
  <c r="W39" i="10"/>
  <c r="W39" i="2"/>
  <c r="V29" i="5"/>
  <c r="S35" i="14"/>
  <c r="S35" i="13"/>
  <c r="S35" i="12"/>
  <c r="S35" i="10"/>
  <c r="S35" i="9"/>
  <c r="S35" i="2"/>
  <c r="U99" i="5"/>
  <c r="U64" i="5"/>
  <c r="O41" i="14"/>
  <c r="O41" i="13"/>
  <c r="O41" i="12"/>
  <c r="O41" i="10"/>
  <c r="O41" i="9"/>
  <c r="O41" i="2"/>
  <c r="Q105" i="5"/>
  <c r="Q70" i="5"/>
  <c r="AD30" i="14"/>
  <c r="AD30" i="13"/>
  <c r="AD30" i="12"/>
  <c r="AD30" i="9"/>
  <c r="AD30" i="10"/>
  <c r="AD30" i="2"/>
  <c r="AF94" i="5"/>
  <c r="AF59" i="5"/>
  <c r="Q25" i="5"/>
  <c r="Y13" i="5"/>
  <c r="V19" i="14"/>
  <c r="V19" i="13"/>
  <c r="V19" i="12"/>
  <c r="V19" i="10"/>
  <c r="V19" i="9"/>
  <c r="V19" i="2"/>
  <c r="X83" i="5"/>
  <c r="X48" i="5"/>
  <c r="AC20" i="14"/>
  <c r="AC20" i="13"/>
  <c r="AC20" i="12"/>
  <c r="AC20" i="10"/>
  <c r="AC20" i="9"/>
  <c r="AC20" i="2"/>
  <c r="AE49" i="5"/>
  <c r="AE84" i="5"/>
  <c r="AE27" i="5"/>
  <c r="AB33" i="14"/>
  <c r="AB33" i="13"/>
  <c r="AB33" i="12"/>
  <c r="AB33" i="9"/>
  <c r="AB33" i="10"/>
  <c r="AB33" i="2"/>
  <c r="AD62" i="5"/>
  <c r="AD97" i="5"/>
  <c r="AB10" i="5"/>
  <c r="Y16" i="12"/>
  <c r="Y16" i="14"/>
  <c r="Y16" i="13"/>
  <c r="Y16" i="10"/>
  <c r="Y16" i="9"/>
  <c r="Y16" i="2"/>
  <c r="AA45" i="5"/>
  <c r="AA80" i="5"/>
  <c r="Z13" i="5"/>
  <c r="W19" i="12"/>
  <c r="W19" i="14"/>
  <c r="W19" i="13"/>
  <c r="W19" i="10"/>
  <c r="W19" i="9"/>
  <c r="W19" i="2"/>
  <c r="Y83" i="5"/>
  <c r="Y48" i="5"/>
  <c r="AC10" i="5"/>
  <c r="Z16" i="14"/>
  <c r="Z16" i="13"/>
  <c r="Z16" i="12"/>
  <c r="Z16" i="10"/>
  <c r="Z16" i="9"/>
  <c r="Z16" i="2"/>
  <c r="AB80" i="5"/>
  <c r="AB45" i="5"/>
  <c r="O31" i="12"/>
  <c r="O31" i="14"/>
  <c r="O31" i="13"/>
  <c r="O31" i="10"/>
  <c r="O31" i="9"/>
  <c r="O31" i="2"/>
  <c r="Q95" i="5"/>
  <c r="Q60" i="5"/>
  <c r="R25" i="5"/>
  <c r="AF27" i="5"/>
  <c r="AC33" i="14"/>
  <c r="AC33" i="12"/>
  <c r="AC33" i="13"/>
  <c r="AC33" i="10"/>
  <c r="AC33" i="9"/>
  <c r="AC33" i="2"/>
  <c r="AE62" i="5"/>
  <c r="AE97" i="5"/>
  <c r="W29" i="5"/>
  <c r="T35" i="12"/>
  <c r="T35" i="14"/>
  <c r="T35" i="13"/>
  <c r="T35" i="10"/>
  <c r="T35" i="9"/>
  <c r="T35" i="2"/>
  <c r="V64" i="5"/>
  <c r="V99" i="5"/>
  <c r="Y26" i="5"/>
  <c r="V32" i="12"/>
  <c r="V32" i="14"/>
  <c r="V32" i="13"/>
  <c r="V32" i="10"/>
  <c r="V32" i="9"/>
  <c r="V32" i="2"/>
  <c r="X96" i="5"/>
  <c r="X61" i="5"/>
  <c r="AA23" i="5"/>
  <c r="X29" i="12"/>
  <c r="X29" i="14"/>
  <c r="X29" i="13"/>
  <c r="X29" i="10"/>
  <c r="X29" i="9"/>
  <c r="X29" i="2"/>
  <c r="Z58" i="5"/>
  <c r="Z93" i="5"/>
  <c r="AD20" i="12"/>
  <c r="AD20" i="14"/>
  <c r="AD20" i="13"/>
  <c r="AD20" i="10"/>
  <c r="AD20" i="9"/>
  <c r="AD20" i="2"/>
  <c r="AF84" i="5"/>
  <c r="AF49" i="5"/>
  <c r="Q15" i="5"/>
  <c r="AA33" i="5"/>
  <c r="X39" i="14"/>
  <c r="X39" i="12"/>
  <c r="X39" i="13"/>
  <c r="X39" i="9"/>
  <c r="X39" i="10"/>
  <c r="X39" i="2"/>
  <c r="Z103" i="5"/>
  <c r="Z68" i="5"/>
  <c r="AC20" i="5"/>
  <c r="Z26" i="12"/>
  <c r="Z26" i="14"/>
  <c r="Z26" i="13"/>
  <c r="Z26" i="10"/>
  <c r="Z26" i="9"/>
  <c r="Z26" i="2"/>
  <c r="AB90" i="5"/>
  <c r="AB55" i="5"/>
  <c r="V19" i="5"/>
  <c r="S25" i="12"/>
  <c r="S25" i="14"/>
  <c r="S25" i="13"/>
  <c r="S25" i="10"/>
  <c r="S25" i="2"/>
  <c r="S25" i="9"/>
  <c r="U54" i="5"/>
  <c r="U89" i="5"/>
  <c r="AE17" i="5"/>
  <c r="AB23" i="12"/>
  <c r="AB23" i="14"/>
  <c r="AB23" i="13"/>
  <c r="AB23" i="10"/>
  <c r="AB23" i="9"/>
  <c r="AB23" i="2"/>
  <c r="AD52" i="5"/>
  <c r="AD87" i="5"/>
  <c r="AD30" i="5"/>
  <c r="AA36" i="12"/>
  <c r="AA36" i="14"/>
  <c r="AA36" i="13"/>
  <c r="AA36" i="10"/>
  <c r="AA36" i="9"/>
  <c r="AA36" i="2"/>
  <c r="AC100" i="5"/>
  <c r="AC65" i="5"/>
  <c r="X16" i="5"/>
  <c r="U22" i="12"/>
  <c r="U22" i="14"/>
  <c r="U22" i="13"/>
  <c r="U22" i="10"/>
  <c r="U22" i="9"/>
  <c r="U22" i="2"/>
  <c r="W51" i="5"/>
  <c r="W86" i="5"/>
  <c r="Q28" i="12"/>
  <c r="Q28" i="14"/>
  <c r="Q28" i="13"/>
  <c r="Q28" i="10"/>
  <c r="Q28" i="9"/>
  <c r="Q28" i="2"/>
  <c r="S57" i="5"/>
  <c r="S92" i="5"/>
  <c r="T22" i="5"/>
  <c r="S12" i="5"/>
  <c r="P18" i="12"/>
  <c r="P18" i="14"/>
  <c r="P18" i="13"/>
  <c r="P18" i="10"/>
  <c r="P18" i="9"/>
  <c r="P18" i="2"/>
  <c r="R82" i="5"/>
  <c r="R47" i="5"/>
  <c r="T32" i="5"/>
  <c r="Q38" i="12"/>
  <c r="Q38" i="14"/>
  <c r="Q38" i="13"/>
  <c r="Q38" i="10"/>
  <c r="Q38" i="9"/>
  <c r="Q38" i="2"/>
  <c r="S67" i="5"/>
  <c r="S102" i="5"/>
  <c r="U22" i="5"/>
  <c r="R28" i="14"/>
  <c r="R28" i="13"/>
  <c r="R28" i="12"/>
  <c r="R28" i="9"/>
  <c r="R28" i="10"/>
  <c r="R28" i="2"/>
  <c r="T92" i="5"/>
  <c r="T57" i="5"/>
  <c r="Y16" i="5"/>
  <c r="V22" i="14"/>
  <c r="V22" i="13"/>
  <c r="V22" i="12"/>
  <c r="V22" i="10"/>
  <c r="V22" i="9"/>
  <c r="V22" i="2"/>
  <c r="X86" i="5"/>
  <c r="X51" i="5"/>
  <c r="W19" i="5"/>
  <c r="T25" i="14"/>
  <c r="T25" i="13"/>
  <c r="T25" i="12"/>
  <c r="T25" i="10"/>
  <c r="T25" i="2"/>
  <c r="T25" i="9"/>
  <c r="V54" i="5"/>
  <c r="V89" i="5"/>
  <c r="O21" i="14"/>
  <c r="O21" i="13"/>
  <c r="O21" i="12"/>
  <c r="O21" i="10"/>
  <c r="O21" i="9"/>
  <c r="O21" i="2"/>
  <c r="Q50" i="5"/>
  <c r="Q85" i="5"/>
  <c r="R15" i="5"/>
  <c r="AD33" i="14"/>
  <c r="AD33" i="13"/>
  <c r="AD33" i="12"/>
  <c r="AD33" i="10"/>
  <c r="AD33" i="9"/>
  <c r="AD33" i="2"/>
  <c r="AF97" i="5"/>
  <c r="AF62" i="5"/>
  <c r="Q28" i="5"/>
  <c r="AD10" i="5"/>
  <c r="AA16" i="12"/>
  <c r="AA16" i="14"/>
  <c r="AA16" i="13"/>
  <c r="AA16" i="10"/>
  <c r="AA16" i="9"/>
  <c r="AA16" i="2"/>
  <c r="AC80" i="5"/>
  <c r="AC45" i="5"/>
  <c r="AE30" i="5"/>
  <c r="AB36" i="14"/>
  <c r="AB36" i="13"/>
  <c r="AB36" i="12"/>
  <c r="AB36" i="10"/>
  <c r="AB36" i="9"/>
  <c r="AB36" i="2"/>
  <c r="AD65" i="5"/>
  <c r="AD100" i="5"/>
  <c r="AD20" i="5"/>
  <c r="AA26" i="14"/>
  <c r="AA26" i="13"/>
  <c r="AA26" i="12"/>
  <c r="AA26" i="10"/>
  <c r="AA26" i="2"/>
  <c r="AA26" i="9"/>
  <c r="AC90" i="5"/>
  <c r="AC55" i="5"/>
  <c r="AB23" i="5"/>
  <c r="Y29" i="14"/>
  <c r="Y29" i="13"/>
  <c r="Y29" i="12"/>
  <c r="Y29" i="10"/>
  <c r="Y29" i="9"/>
  <c r="Y29" i="2"/>
  <c r="AA58" i="5"/>
  <c r="AA93" i="5"/>
  <c r="AA13" i="5"/>
  <c r="X19" i="14"/>
  <c r="X19" i="13"/>
  <c r="X19" i="12"/>
  <c r="X19" i="10"/>
  <c r="X19" i="2"/>
  <c r="X19" i="9"/>
  <c r="Z48" i="5"/>
  <c r="Z83" i="5"/>
  <c r="AB33" i="5"/>
  <c r="Y39" i="12"/>
  <c r="Y39" i="14"/>
  <c r="Y39" i="13"/>
  <c r="Y39" i="10"/>
  <c r="Y39" i="9"/>
  <c r="Y39" i="2"/>
  <c r="AA103" i="5"/>
  <c r="AA68" i="5"/>
  <c r="Z26" i="5"/>
  <c r="W32" i="13"/>
  <c r="W32" i="14"/>
  <c r="W32" i="12"/>
  <c r="W32" i="10"/>
  <c r="W32" i="9"/>
  <c r="W32" i="2"/>
  <c r="Y96" i="5"/>
  <c r="Y61" i="5"/>
  <c r="P31" i="14"/>
  <c r="P31" i="13"/>
  <c r="P31" i="12"/>
  <c r="P31" i="9"/>
  <c r="P31" i="10"/>
  <c r="P31" i="2"/>
  <c r="R60" i="5"/>
  <c r="R95" i="5"/>
  <c r="S25" i="5"/>
  <c r="U32" i="5"/>
  <c r="R38" i="12"/>
  <c r="R38" i="14"/>
  <c r="R38" i="13"/>
  <c r="R38" i="10"/>
  <c r="R38" i="9"/>
  <c r="R38" i="2"/>
  <c r="T102" i="5"/>
  <c r="T67" i="5"/>
  <c r="T12" i="5"/>
  <c r="Q18" i="14"/>
  <c r="Q18" i="13"/>
  <c r="Q18" i="12"/>
  <c r="Q18" i="10"/>
  <c r="Q18" i="9"/>
  <c r="Q18" i="2"/>
  <c r="S47" i="5"/>
  <c r="S82" i="5"/>
  <c r="AF17" i="5"/>
  <c r="AC23" i="14"/>
  <c r="AC23" i="13"/>
  <c r="AC23" i="12"/>
  <c r="AC23" i="10"/>
  <c r="AC23" i="9"/>
  <c r="AC23" i="2"/>
  <c r="AE52" i="5"/>
  <c r="AE87" i="5"/>
  <c r="P41" i="12"/>
  <c r="P41" i="14"/>
  <c r="P41" i="13"/>
  <c r="P41" i="10"/>
  <c r="P41" i="9"/>
  <c r="P41" i="2"/>
  <c r="R105" i="5"/>
  <c r="R70" i="5"/>
  <c r="X29" i="5"/>
  <c r="U35" i="14"/>
  <c r="U35" i="13"/>
  <c r="U35" i="12"/>
  <c r="U35" i="10"/>
  <c r="U35" i="9"/>
  <c r="U35" i="2"/>
  <c r="W64" i="5"/>
  <c r="W99" i="5"/>
  <c r="V32" i="5"/>
  <c r="S38" i="14"/>
  <c r="S38" i="13"/>
  <c r="S38" i="12"/>
  <c r="S38" i="10"/>
  <c r="S38" i="2"/>
  <c r="S38" i="9"/>
  <c r="U102" i="5"/>
  <c r="U67" i="5"/>
  <c r="AC33" i="5"/>
  <c r="Z39" i="14"/>
  <c r="Z39" i="13"/>
  <c r="Z39" i="12"/>
  <c r="Z39" i="10"/>
  <c r="Z39" i="9"/>
  <c r="Z39" i="2"/>
  <c r="AB103" i="5"/>
  <c r="AB68" i="5"/>
  <c r="AC23" i="5"/>
  <c r="Z29" i="14"/>
  <c r="Z29" i="13"/>
  <c r="Z29" i="12"/>
  <c r="Z29" i="9"/>
  <c r="Z29" i="10"/>
  <c r="Z29" i="2"/>
  <c r="AB93" i="5"/>
  <c r="AB58" i="5"/>
  <c r="AB13" i="5"/>
  <c r="Y19" i="12"/>
  <c r="Y19" i="14"/>
  <c r="Y19" i="13"/>
  <c r="Y19" i="10"/>
  <c r="Y19" i="9"/>
  <c r="Y19" i="2"/>
  <c r="AA48" i="5"/>
  <c r="AA83" i="5"/>
  <c r="Y29" i="5"/>
  <c r="V35" i="14"/>
  <c r="V35" i="12"/>
  <c r="V35" i="13"/>
  <c r="V35" i="9"/>
  <c r="V35" i="10"/>
  <c r="V35" i="2"/>
  <c r="X99" i="5"/>
  <c r="X64" i="5"/>
  <c r="Q41" i="14"/>
  <c r="Q41" i="13"/>
  <c r="Q41" i="12"/>
  <c r="Q41" i="10"/>
  <c r="Q41" i="9"/>
  <c r="Q41" i="2"/>
  <c r="S105" i="5"/>
  <c r="S70" i="5"/>
  <c r="AD23" i="14"/>
  <c r="AD23" i="13"/>
  <c r="AD23" i="12"/>
  <c r="AD23" i="10"/>
  <c r="AD23" i="2"/>
  <c r="AD23" i="9"/>
  <c r="AF87" i="5"/>
  <c r="AF52" i="5"/>
  <c r="Q18" i="5"/>
  <c r="AE20" i="5"/>
  <c r="AB26" i="14"/>
  <c r="AB26" i="13"/>
  <c r="AB26" i="12"/>
  <c r="AB26" i="9"/>
  <c r="AB26" i="10"/>
  <c r="AB26" i="2"/>
  <c r="AD55" i="5"/>
  <c r="AD90" i="5"/>
  <c r="P21" i="14"/>
  <c r="P21" i="13"/>
  <c r="P21" i="12"/>
  <c r="P21" i="10"/>
  <c r="P21" i="9"/>
  <c r="P21" i="2"/>
  <c r="R85" i="5"/>
  <c r="R50" i="5"/>
  <c r="S15" i="5"/>
  <c r="Z16" i="5"/>
  <c r="W22" i="14"/>
  <c r="W22" i="13"/>
  <c r="W22" i="12"/>
  <c r="W22" i="10"/>
  <c r="W22" i="9"/>
  <c r="W22" i="2"/>
  <c r="Y51" i="5"/>
  <c r="Y86" i="5"/>
  <c r="AE10" i="5"/>
  <c r="AB16" i="14"/>
  <c r="AB16" i="13"/>
  <c r="AB16" i="12"/>
  <c r="AB16" i="10"/>
  <c r="AB16" i="9"/>
  <c r="AB16" i="2"/>
  <c r="AD80" i="5"/>
  <c r="AD45" i="5"/>
  <c r="V22" i="5"/>
  <c r="S28" i="14"/>
  <c r="S28" i="13"/>
  <c r="S28" i="12"/>
  <c r="S28" i="10"/>
  <c r="S28" i="9"/>
  <c r="S28" i="2"/>
  <c r="U57" i="5"/>
  <c r="U92" i="5"/>
  <c r="T25" i="5"/>
  <c r="Q31" i="12"/>
  <c r="Q31" i="14"/>
  <c r="Q31" i="13"/>
  <c r="Q31" i="10"/>
  <c r="Q31" i="9"/>
  <c r="Q31" i="2"/>
  <c r="S60" i="5"/>
  <c r="S95" i="5"/>
  <c r="U12" i="5"/>
  <c r="R18" i="14"/>
  <c r="R18" i="13"/>
  <c r="R18" i="12"/>
  <c r="R18" i="10"/>
  <c r="R18" i="9"/>
  <c r="R18" i="2"/>
  <c r="T82" i="5"/>
  <c r="T47" i="5"/>
  <c r="AA26" i="5"/>
  <c r="X32" i="12"/>
  <c r="X32" i="14"/>
  <c r="X32" i="13"/>
  <c r="X32" i="9"/>
  <c r="X32" i="10"/>
  <c r="X32" i="2"/>
  <c r="Z96" i="5"/>
  <c r="Z61" i="5"/>
  <c r="AF30" i="5"/>
  <c r="AC36" i="14"/>
  <c r="AC36" i="13"/>
  <c r="AC36" i="12"/>
  <c r="AC36" i="10"/>
  <c r="AC36" i="9"/>
  <c r="AC36" i="2"/>
  <c r="AE65" i="5"/>
  <c r="AE100" i="5"/>
  <c r="O34" i="14"/>
  <c r="O34" i="12"/>
  <c r="O34" i="13"/>
  <c r="O34" i="10"/>
  <c r="O34" i="9"/>
  <c r="O34" i="2"/>
  <c r="Q63" i="5"/>
  <c r="Q98" i="5"/>
  <c r="R28" i="5"/>
  <c r="X19" i="5"/>
  <c r="U25" i="12"/>
  <c r="U25" i="14"/>
  <c r="U25" i="13"/>
  <c r="U25" i="10"/>
  <c r="U25" i="9"/>
  <c r="U25" i="2"/>
  <c r="W54" i="5"/>
  <c r="W89" i="5"/>
  <c r="Y19" i="5"/>
  <c r="V25" i="14"/>
  <c r="V25" i="13"/>
  <c r="V25" i="12"/>
  <c r="V25" i="10"/>
  <c r="V25" i="9"/>
  <c r="V25" i="2"/>
  <c r="X89" i="5"/>
  <c r="X54" i="5"/>
  <c r="Y32" i="14"/>
  <c r="Y32" i="13"/>
  <c r="Y32" i="12"/>
  <c r="Y32" i="10"/>
  <c r="Y32" i="9"/>
  <c r="Y32" i="2"/>
  <c r="AA61" i="5"/>
  <c r="AA96" i="5"/>
  <c r="AB26" i="5"/>
  <c r="AA16" i="5"/>
  <c r="X22" i="14"/>
  <c r="X22" i="13"/>
  <c r="X22" i="12"/>
  <c r="X22" i="10"/>
  <c r="X22" i="9"/>
  <c r="X22" i="2"/>
  <c r="Z51" i="5"/>
  <c r="Z86" i="5"/>
  <c r="W32" i="5"/>
  <c r="T38" i="14"/>
  <c r="T38" i="13"/>
  <c r="T38" i="12"/>
  <c r="T38" i="9"/>
  <c r="T38" i="10"/>
  <c r="T38" i="2"/>
  <c r="V102" i="5"/>
  <c r="V67" i="5"/>
  <c r="P34" i="14"/>
  <c r="P34" i="13"/>
  <c r="P34" i="12"/>
  <c r="P34" i="10"/>
  <c r="P34" i="9"/>
  <c r="P34" i="2"/>
  <c r="R98" i="5"/>
  <c r="R63" i="5"/>
  <c r="S28" i="5"/>
  <c r="V12" i="5"/>
  <c r="S18" i="14"/>
  <c r="S18" i="13"/>
  <c r="S18" i="12"/>
  <c r="S18" i="10"/>
  <c r="S18" i="9"/>
  <c r="S18" i="2"/>
  <c r="U82" i="5"/>
  <c r="U47" i="5"/>
  <c r="W22" i="5"/>
  <c r="T28" i="14"/>
  <c r="T28" i="13"/>
  <c r="T28" i="12"/>
  <c r="T28" i="10"/>
  <c r="T28" i="9"/>
  <c r="T28" i="2"/>
  <c r="V92" i="5"/>
  <c r="V57" i="5"/>
  <c r="Q21" i="14"/>
  <c r="Q21" i="13"/>
  <c r="Q21" i="12"/>
  <c r="Q21" i="10"/>
  <c r="Q21" i="2"/>
  <c r="Q21" i="9"/>
  <c r="S50" i="5"/>
  <c r="S85" i="5"/>
  <c r="T15" i="5"/>
  <c r="O24" i="14"/>
  <c r="O24" i="13"/>
  <c r="O24" i="12"/>
  <c r="O24" i="10"/>
  <c r="O24" i="2"/>
  <c r="O24" i="9"/>
  <c r="Q53" i="5"/>
  <c r="Q88" i="5"/>
  <c r="R18" i="5"/>
  <c r="Z19" i="14"/>
  <c r="Z19" i="13"/>
  <c r="Z19" i="12"/>
  <c r="Z19" i="10"/>
  <c r="Z19" i="9"/>
  <c r="Z19" i="2"/>
  <c r="AB83" i="5"/>
  <c r="AB48" i="5"/>
  <c r="AC13" i="5"/>
  <c r="AF10" i="5"/>
  <c r="AC16" i="14"/>
  <c r="AC16" i="13"/>
  <c r="AC16" i="12"/>
  <c r="AC16" i="10"/>
  <c r="AC16" i="9"/>
  <c r="AC16" i="2"/>
  <c r="AE45" i="5"/>
  <c r="AE80" i="5"/>
  <c r="R41" i="12"/>
  <c r="R41" i="14"/>
  <c r="R41" i="13"/>
  <c r="R41" i="9"/>
  <c r="R41" i="10"/>
  <c r="R41" i="2"/>
  <c r="T105" i="5"/>
  <c r="T70" i="5"/>
  <c r="AD23" i="5"/>
  <c r="AA29" i="14"/>
  <c r="AA29" i="13"/>
  <c r="AA29" i="12"/>
  <c r="AA29" i="10"/>
  <c r="AA29" i="9"/>
  <c r="AA29" i="2"/>
  <c r="AC58" i="5"/>
  <c r="AC93" i="5"/>
  <c r="AD36" i="14"/>
  <c r="AD36" i="13"/>
  <c r="AD36" i="12"/>
  <c r="AD36" i="9"/>
  <c r="AD36" i="10"/>
  <c r="AD36" i="2"/>
  <c r="AF100" i="5"/>
  <c r="AF65" i="5"/>
  <c r="Q31" i="5"/>
  <c r="R31" i="14"/>
  <c r="R31" i="13"/>
  <c r="R31" i="12"/>
  <c r="R31" i="10"/>
  <c r="R31" i="9"/>
  <c r="R31" i="2"/>
  <c r="T95" i="5"/>
  <c r="T60" i="5"/>
  <c r="U25" i="5"/>
  <c r="AC26" i="13"/>
  <c r="AC26" i="14"/>
  <c r="AC26" i="12"/>
  <c r="AC26" i="10"/>
  <c r="AC26" i="9"/>
  <c r="AC26" i="2"/>
  <c r="AE55" i="5"/>
  <c r="AE90" i="5"/>
  <c r="AF20" i="5"/>
  <c r="W35" i="14"/>
  <c r="W35" i="13"/>
  <c r="W35" i="12"/>
  <c r="W35" i="10"/>
  <c r="W35" i="9"/>
  <c r="W35" i="2"/>
  <c r="Y64" i="5"/>
  <c r="Y99" i="5"/>
  <c r="Z29" i="5"/>
  <c r="AD33" i="5"/>
  <c r="AA39" i="12"/>
  <c r="AA39" i="14"/>
  <c r="AA39" i="13"/>
  <c r="AA39" i="10"/>
  <c r="AA39" i="9"/>
  <c r="AA39" i="2"/>
  <c r="AC103" i="5"/>
  <c r="AC68" i="5"/>
  <c r="AD26" i="14"/>
  <c r="AD26" i="13"/>
  <c r="AD26" i="12"/>
  <c r="AD26" i="10"/>
  <c r="AD26" i="9"/>
  <c r="AD26" i="2"/>
  <c r="AF90" i="5"/>
  <c r="Q21" i="5"/>
  <c r="AF55" i="5"/>
  <c r="S41" i="13"/>
  <c r="S41" i="14"/>
  <c r="S41" i="12"/>
  <c r="S41" i="10"/>
  <c r="S41" i="9"/>
  <c r="S41" i="2"/>
  <c r="U105" i="5"/>
  <c r="U70" i="5"/>
  <c r="U15" i="5"/>
  <c r="R21" i="13"/>
  <c r="R21" i="14"/>
  <c r="R21" i="12"/>
  <c r="R21" i="10"/>
  <c r="R21" i="2"/>
  <c r="R21" i="9"/>
  <c r="T85" i="5"/>
  <c r="T50" i="5"/>
  <c r="AB39" i="13"/>
  <c r="AB39" i="14"/>
  <c r="AB39" i="12"/>
  <c r="AB39" i="9"/>
  <c r="AB39" i="10"/>
  <c r="AB39" i="2"/>
  <c r="AD103" i="5"/>
  <c r="AD68" i="5"/>
  <c r="AE33" i="5"/>
  <c r="X35" i="13"/>
  <c r="X35" i="14"/>
  <c r="X35" i="12"/>
  <c r="X35" i="10"/>
  <c r="X35" i="9"/>
  <c r="X35" i="2"/>
  <c r="Z99" i="5"/>
  <c r="Z64" i="5"/>
  <c r="AA29" i="5"/>
  <c r="AE23" i="5"/>
  <c r="AB29" i="14"/>
  <c r="AB29" i="13"/>
  <c r="AB29" i="12"/>
  <c r="AB29" i="10"/>
  <c r="AB29" i="9"/>
  <c r="AB29" i="2"/>
  <c r="AD93" i="5"/>
  <c r="AD58" i="5"/>
  <c r="Q11" i="5"/>
  <c r="AD16" i="14"/>
  <c r="AD16" i="13"/>
  <c r="AD16" i="12"/>
  <c r="AD16" i="10"/>
  <c r="AD16" i="2"/>
  <c r="AD16" i="9"/>
  <c r="AF80" i="5"/>
  <c r="AF45" i="5"/>
  <c r="R31" i="5"/>
  <c r="P24" i="14"/>
  <c r="P24" i="13"/>
  <c r="P24" i="12"/>
  <c r="P24" i="10"/>
  <c r="P24" i="2"/>
  <c r="P24" i="9"/>
  <c r="R88" i="5"/>
  <c r="R53" i="5"/>
  <c r="S18" i="5"/>
  <c r="Q34" i="14"/>
  <c r="Q34" i="13"/>
  <c r="Q34" i="12"/>
  <c r="Q34" i="10"/>
  <c r="Q34" i="9"/>
  <c r="Q34" i="2"/>
  <c r="S63" i="5"/>
  <c r="S98" i="5"/>
  <c r="T28" i="5"/>
  <c r="Z19" i="5"/>
  <c r="W25" i="14"/>
  <c r="W25" i="13"/>
  <c r="W25" i="12"/>
  <c r="W25" i="10"/>
  <c r="W25" i="9"/>
  <c r="W25" i="2"/>
  <c r="Y54" i="5"/>
  <c r="Y89" i="5"/>
  <c r="AA19" i="14"/>
  <c r="AA19" i="13"/>
  <c r="AA19" i="12"/>
  <c r="AA19" i="10"/>
  <c r="AA19" i="9"/>
  <c r="AA19" i="2"/>
  <c r="AC48" i="5"/>
  <c r="AC83" i="5"/>
  <c r="AD13" i="5"/>
  <c r="U38" i="13"/>
  <c r="U38" i="14"/>
  <c r="U38" i="12"/>
  <c r="U38" i="10"/>
  <c r="U38" i="9"/>
  <c r="U38" i="2"/>
  <c r="W102" i="5"/>
  <c r="X32" i="5"/>
  <c r="W67" i="5"/>
  <c r="S31" i="14"/>
  <c r="S31" i="13"/>
  <c r="S31" i="12"/>
  <c r="S31" i="10"/>
  <c r="S31" i="9"/>
  <c r="S31" i="2"/>
  <c r="U60" i="5"/>
  <c r="U95" i="5"/>
  <c r="V25" i="5"/>
  <c r="X22" i="5"/>
  <c r="U28" i="14"/>
  <c r="U28" i="12"/>
  <c r="U28" i="13"/>
  <c r="U28" i="10"/>
  <c r="U28" i="9"/>
  <c r="U28" i="2"/>
  <c r="W57" i="5"/>
  <c r="W92" i="5"/>
  <c r="AB16" i="5"/>
  <c r="Y22" i="13"/>
  <c r="Y22" i="14"/>
  <c r="Y22" i="12"/>
  <c r="Y22" i="10"/>
  <c r="Y22" i="9"/>
  <c r="Y22" i="2"/>
  <c r="AA51" i="5"/>
  <c r="AA86" i="5"/>
  <c r="O37" i="14"/>
  <c r="O37" i="13"/>
  <c r="O37" i="12"/>
  <c r="O37" i="10"/>
  <c r="O37" i="2"/>
  <c r="O37" i="9"/>
  <c r="Q101" i="5"/>
  <c r="Q66" i="5"/>
  <c r="W12" i="5"/>
  <c r="T18" i="14"/>
  <c r="T18" i="13"/>
  <c r="T18" i="12"/>
  <c r="T18" i="10"/>
  <c r="T18" i="2"/>
  <c r="T18" i="9"/>
  <c r="V47" i="5"/>
  <c r="V82" i="5"/>
  <c r="Z32" i="14"/>
  <c r="Z32" i="13"/>
  <c r="Z32" i="12"/>
  <c r="Z32" i="10"/>
  <c r="Z32" i="9"/>
  <c r="Z32" i="2"/>
  <c r="AB96" i="5"/>
  <c r="AB61" i="5"/>
  <c r="AC26" i="5"/>
  <c r="Q24" i="14"/>
  <c r="Q24" i="13"/>
  <c r="Q24" i="12"/>
  <c r="Q24" i="10"/>
  <c r="Q24" i="9"/>
  <c r="Q24" i="2"/>
  <c r="S53" i="5"/>
  <c r="S88" i="5"/>
  <c r="T18" i="5"/>
  <c r="AF33" i="5"/>
  <c r="AC39" i="14"/>
  <c r="AC39" i="13"/>
  <c r="AC39" i="12"/>
  <c r="AC39" i="10"/>
  <c r="AC39" i="9"/>
  <c r="AC39" i="2"/>
  <c r="AE103" i="5"/>
  <c r="AE68" i="5"/>
  <c r="AD26" i="5"/>
  <c r="AA32" i="14"/>
  <c r="AA32" i="13"/>
  <c r="AA32" i="12"/>
  <c r="AA32" i="10"/>
  <c r="AA32" i="9"/>
  <c r="AA32" i="2"/>
  <c r="AC61" i="5"/>
  <c r="AC96" i="5"/>
  <c r="AC16" i="5"/>
  <c r="Z22" i="14"/>
  <c r="Z22" i="13"/>
  <c r="Z22" i="12"/>
  <c r="Z22" i="10"/>
  <c r="Z22" i="2"/>
  <c r="Z22" i="9"/>
  <c r="AB86" i="5"/>
  <c r="AB51" i="5"/>
  <c r="P37" i="14"/>
  <c r="P37" i="13"/>
  <c r="P37" i="12"/>
  <c r="P37" i="9"/>
  <c r="P37" i="10"/>
  <c r="P37" i="2"/>
  <c r="R101" i="5"/>
  <c r="R66" i="5"/>
  <c r="S31" i="5"/>
  <c r="AB29" i="5"/>
  <c r="Y35" i="14"/>
  <c r="Y35" i="13"/>
  <c r="Y35" i="12"/>
  <c r="Y35" i="10"/>
  <c r="Y35" i="9"/>
  <c r="Y35" i="2"/>
  <c r="AA64" i="5"/>
  <c r="AA99" i="5"/>
  <c r="O27" i="14"/>
  <c r="O27" i="13"/>
  <c r="O27" i="12"/>
  <c r="O27" i="10"/>
  <c r="O27" i="9"/>
  <c r="O27" i="2"/>
  <c r="Q91" i="5"/>
  <c r="Q56" i="5"/>
  <c r="R21" i="5"/>
  <c r="AA19" i="5"/>
  <c r="X25" i="14"/>
  <c r="X25" i="13"/>
  <c r="X25" i="12"/>
  <c r="X25" i="10"/>
  <c r="X25" i="2"/>
  <c r="X25" i="9"/>
  <c r="Z54" i="5"/>
  <c r="Z89" i="5"/>
  <c r="X12" i="5"/>
  <c r="U18" i="13"/>
  <c r="U18" i="14"/>
  <c r="U18" i="12"/>
  <c r="U18" i="10"/>
  <c r="U18" i="9"/>
  <c r="U18" i="2"/>
  <c r="W47" i="5"/>
  <c r="W82" i="5"/>
  <c r="Y22" i="5"/>
  <c r="V28" i="14"/>
  <c r="V28" i="13"/>
  <c r="V28" i="12"/>
  <c r="V28" i="9"/>
  <c r="V28" i="10"/>
  <c r="V28" i="2"/>
  <c r="X92" i="5"/>
  <c r="X57" i="5"/>
  <c r="V38" i="14"/>
  <c r="V38" i="13"/>
  <c r="V38" i="12"/>
  <c r="V38" i="10"/>
  <c r="V38" i="9"/>
  <c r="V38" i="2"/>
  <c r="X102" i="5"/>
  <c r="X67" i="5"/>
  <c r="Y32" i="5"/>
  <c r="AE13" i="5"/>
  <c r="AB19" i="14"/>
  <c r="AB19" i="13"/>
  <c r="AB19" i="12"/>
  <c r="AB19" i="10"/>
  <c r="AB19" i="2"/>
  <c r="AB19" i="9"/>
  <c r="AD83" i="5"/>
  <c r="AD48" i="5"/>
  <c r="R11" i="5"/>
  <c r="O17" i="12"/>
  <c r="O17" i="14"/>
  <c r="O17" i="13"/>
  <c r="O17" i="10"/>
  <c r="O17" i="9"/>
  <c r="Q81" i="5"/>
  <c r="O17" i="2"/>
  <c r="Q46" i="5"/>
  <c r="V15" i="5"/>
  <c r="S21" i="14"/>
  <c r="S21" i="13"/>
  <c r="S21" i="12"/>
  <c r="S21" i="10"/>
  <c r="S21" i="9"/>
  <c r="S21" i="2"/>
  <c r="U50" i="5"/>
  <c r="U85" i="5"/>
  <c r="W25" i="5"/>
  <c r="T31" i="14"/>
  <c r="T31" i="13"/>
  <c r="T31" i="12"/>
  <c r="T31" i="9"/>
  <c r="T31" i="10"/>
  <c r="T31" i="2"/>
  <c r="V95" i="5"/>
  <c r="V60" i="5"/>
  <c r="U28" i="5"/>
  <c r="R34" i="14"/>
  <c r="R34" i="13"/>
  <c r="R34" i="12"/>
  <c r="R34" i="9"/>
  <c r="R34" i="10"/>
  <c r="R34" i="2"/>
  <c r="T98" i="5"/>
  <c r="T63" i="5"/>
  <c r="AF23" i="5"/>
  <c r="AC29" i="14"/>
  <c r="AC29" i="13"/>
  <c r="AC29" i="12"/>
  <c r="AC29" i="10"/>
  <c r="AC29" i="2"/>
  <c r="AC29" i="9"/>
  <c r="AE58" i="5"/>
  <c r="AE93" i="5"/>
  <c r="T41" i="14"/>
  <c r="T41" i="12"/>
  <c r="T41" i="13"/>
  <c r="T41" i="10"/>
  <c r="T41" i="9"/>
  <c r="T41" i="2"/>
  <c r="V105" i="5"/>
  <c r="V70" i="5"/>
  <c r="AD29" i="12"/>
  <c r="AD29" i="14"/>
  <c r="AD29" i="13"/>
  <c r="AD29" i="9"/>
  <c r="AD29" i="10"/>
  <c r="AD29" i="2"/>
  <c r="AF93" i="5"/>
  <c r="AF58" i="5"/>
  <c r="Q24" i="5"/>
  <c r="AF13" i="5"/>
  <c r="AC19" i="12"/>
  <c r="AC19" i="14"/>
  <c r="AC19" i="13"/>
  <c r="AC19" i="10"/>
  <c r="AC19" i="2"/>
  <c r="AC19" i="9"/>
  <c r="AE48" i="5"/>
  <c r="AE83" i="5"/>
  <c r="V28" i="5"/>
  <c r="S34" i="12"/>
  <c r="S34" i="14"/>
  <c r="S34" i="13"/>
  <c r="S34" i="10"/>
  <c r="S34" i="9"/>
  <c r="S34" i="2"/>
  <c r="U98" i="5"/>
  <c r="U63" i="5"/>
  <c r="W15" i="5"/>
  <c r="T21" i="12"/>
  <c r="T21" i="13"/>
  <c r="T21" i="14"/>
  <c r="T21" i="10"/>
  <c r="T21" i="9"/>
  <c r="T21" i="2"/>
  <c r="V50" i="5"/>
  <c r="V85" i="5"/>
  <c r="Z32" i="5"/>
  <c r="W38" i="14"/>
  <c r="W38" i="13"/>
  <c r="W38" i="12"/>
  <c r="W38" i="10"/>
  <c r="W38" i="9"/>
  <c r="W38" i="2"/>
  <c r="Y102" i="5"/>
  <c r="Y67" i="5"/>
  <c r="S21" i="5"/>
  <c r="P27" i="12"/>
  <c r="P27" i="14"/>
  <c r="P27" i="13"/>
  <c r="P27" i="10"/>
  <c r="P27" i="9"/>
  <c r="P27" i="2"/>
  <c r="R91" i="5"/>
  <c r="R56" i="5"/>
  <c r="AE26" i="5"/>
  <c r="AB32" i="12"/>
  <c r="AB32" i="14"/>
  <c r="AB32" i="13"/>
  <c r="AB32" i="9"/>
  <c r="AB32" i="10"/>
  <c r="AB32" i="2"/>
  <c r="AD96" i="5"/>
  <c r="AD61" i="5"/>
  <c r="Z22" i="5"/>
  <c r="W28" i="14"/>
  <c r="W28" i="12"/>
  <c r="W28" i="13"/>
  <c r="W28" i="10"/>
  <c r="W28" i="9"/>
  <c r="W28" i="2"/>
  <c r="Y92" i="5"/>
  <c r="Y57" i="5"/>
  <c r="AC29" i="5"/>
  <c r="Z35" i="12"/>
  <c r="Z35" i="14"/>
  <c r="Z35" i="13"/>
  <c r="Z35" i="9"/>
  <c r="Z35" i="10"/>
  <c r="Z35" i="2"/>
  <c r="AB99" i="5"/>
  <c r="AB64" i="5"/>
  <c r="AD39" i="14"/>
  <c r="AD39" i="12"/>
  <c r="AD39" i="13"/>
  <c r="AD39" i="10"/>
  <c r="AD39" i="9"/>
  <c r="AD39" i="2"/>
  <c r="AF103" i="5"/>
  <c r="AF68" i="5"/>
  <c r="Q34" i="5"/>
  <c r="S11" i="5"/>
  <c r="P17" i="13"/>
  <c r="P17" i="12"/>
  <c r="P17" i="14"/>
  <c r="R81" i="5"/>
  <c r="R46" i="5"/>
  <c r="P17" i="2"/>
  <c r="P17" i="9"/>
  <c r="P17" i="10"/>
  <c r="Y12" i="5"/>
  <c r="V18" i="12"/>
  <c r="V18" i="14"/>
  <c r="V18" i="13"/>
  <c r="V18" i="10"/>
  <c r="V18" i="9"/>
  <c r="V18" i="2"/>
  <c r="X82" i="5"/>
  <c r="X47" i="5"/>
  <c r="T31" i="5"/>
  <c r="Q37" i="12"/>
  <c r="Q37" i="14"/>
  <c r="Q37" i="13"/>
  <c r="Q37" i="10"/>
  <c r="Q37" i="9"/>
  <c r="Q37" i="2"/>
  <c r="S66" i="5"/>
  <c r="S101" i="5"/>
  <c r="U18" i="5"/>
  <c r="R24" i="12"/>
  <c r="R24" i="14"/>
  <c r="R24" i="13"/>
  <c r="R24" i="10"/>
  <c r="R24" i="9"/>
  <c r="R24" i="2"/>
  <c r="T88" i="5"/>
  <c r="T53" i="5"/>
  <c r="X25" i="5"/>
  <c r="U31" i="12"/>
  <c r="U31" i="14"/>
  <c r="U31" i="13"/>
  <c r="U31" i="10"/>
  <c r="U31" i="9"/>
  <c r="U31" i="2"/>
  <c r="W60" i="5"/>
  <c r="W95" i="5"/>
  <c r="U41" i="14"/>
  <c r="U41" i="13"/>
  <c r="U41" i="12"/>
  <c r="U41" i="10"/>
  <c r="U41" i="9"/>
  <c r="U41" i="2"/>
  <c r="W105" i="5"/>
  <c r="W70" i="5"/>
  <c r="AB19" i="5"/>
  <c r="Y25" i="12"/>
  <c r="Y25" i="14"/>
  <c r="Y25" i="13"/>
  <c r="Y25" i="10"/>
  <c r="Y25" i="9"/>
  <c r="Y25" i="2"/>
  <c r="AA54" i="5"/>
  <c r="AA89" i="5"/>
  <c r="AD16" i="5"/>
  <c r="AA22" i="12"/>
  <c r="AA22" i="14"/>
  <c r="AA22" i="13"/>
  <c r="AA22" i="10"/>
  <c r="AA22" i="9"/>
  <c r="AA22" i="2"/>
  <c r="AC86" i="5"/>
  <c r="AC51" i="5"/>
  <c r="V18" i="5"/>
  <c r="S24" i="13"/>
  <c r="S24" i="12"/>
  <c r="S24" i="14"/>
  <c r="U53" i="5"/>
  <c r="U88" i="5"/>
  <c r="S24" i="2"/>
  <c r="S24" i="9"/>
  <c r="S24" i="10"/>
  <c r="AC19" i="5"/>
  <c r="Z25" i="13"/>
  <c r="Z25" i="12"/>
  <c r="Z25" i="14"/>
  <c r="AB89" i="5"/>
  <c r="AB54" i="5"/>
  <c r="Z25" i="2"/>
  <c r="Z25" i="10"/>
  <c r="Z25" i="9"/>
  <c r="U31" i="5"/>
  <c r="R37" i="12"/>
  <c r="R37" i="13"/>
  <c r="R37" i="14"/>
  <c r="T101" i="5"/>
  <c r="T66" i="5"/>
  <c r="R37" i="2"/>
  <c r="R37" i="10"/>
  <c r="R37" i="9"/>
  <c r="AA32" i="5"/>
  <c r="X38" i="12"/>
  <c r="X38" i="14"/>
  <c r="X38" i="13"/>
  <c r="X38" i="9"/>
  <c r="X38" i="10"/>
  <c r="X38" i="2"/>
  <c r="Z102" i="5"/>
  <c r="Z67" i="5"/>
  <c r="W28" i="5"/>
  <c r="T34" i="13"/>
  <c r="T34" i="12"/>
  <c r="V63" i="5"/>
  <c r="V98" i="5"/>
  <c r="T34" i="2"/>
  <c r="T34" i="9"/>
  <c r="T34" i="10"/>
  <c r="V41" i="12"/>
  <c r="V41" i="14"/>
  <c r="V41" i="13"/>
  <c r="V41" i="9"/>
  <c r="V41" i="10"/>
  <c r="V41" i="2"/>
  <c r="X105" i="5"/>
  <c r="X70" i="5"/>
  <c r="Z12" i="5"/>
  <c r="W18" i="13"/>
  <c r="W18" i="12"/>
  <c r="W18" i="14"/>
  <c r="Y82" i="5"/>
  <c r="Y47" i="5"/>
  <c r="W18" i="2"/>
  <c r="W18" i="9"/>
  <c r="W18" i="10"/>
  <c r="AD29" i="5"/>
  <c r="AA35" i="13"/>
  <c r="AA35" i="12"/>
  <c r="AC99" i="5"/>
  <c r="AC64" i="5"/>
  <c r="AA35" i="2"/>
  <c r="AA35" i="9"/>
  <c r="AA35" i="10"/>
  <c r="AF26" i="5"/>
  <c r="AC32" i="12"/>
  <c r="AC32" i="13"/>
  <c r="AC32" i="14"/>
  <c r="AE61" i="5"/>
  <c r="AE96" i="5"/>
  <c r="AC32" i="2"/>
  <c r="AC32" i="9"/>
  <c r="AC32" i="10"/>
  <c r="AD19" i="13"/>
  <c r="AD19" i="12"/>
  <c r="AD19" i="14"/>
  <c r="AF83" i="5"/>
  <c r="AF48" i="5"/>
  <c r="R34" i="5"/>
  <c r="Q14" i="5"/>
  <c r="AD19" i="2"/>
  <c r="AD19" i="9"/>
  <c r="AD19" i="10"/>
  <c r="V31" i="13"/>
  <c r="V31" i="12"/>
  <c r="V31" i="14"/>
  <c r="X95" i="5"/>
  <c r="X60" i="5"/>
  <c r="Y25" i="5"/>
  <c r="V31" i="2"/>
  <c r="V31" i="9"/>
  <c r="V31" i="10"/>
  <c r="T11" i="5"/>
  <c r="Q17" i="12"/>
  <c r="Q17" i="13"/>
  <c r="Q17" i="14"/>
  <c r="S46" i="5"/>
  <c r="S81" i="5"/>
  <c r="Q17" i="9"/>
  <c r="Q17" i="10"/>
  <c r="Q17" i="2"/>
  <c r="X28" i="12"/>
  <c r="X28" i="13"/>
  <c r="Z57" i="5"/>
  <c r="Z92" i="5"/>
  <c r="AA22" i="5"/>
  <c r="X28" i="2"/>
  <c r="X28" i="9"/>
  <c r="X28" i="10"/>
  <c r="O30" i="13"/>
  <c r="O30" i="12"/>
  <c r="Q94" i="5"/>
  <c r="Q59" i="5"/>
  <c r="R24" i="5"/>
  <c r="O30" i="2"/>
  <c r="O30" i="10"/>
  <c r="O30" i="9"/>
  <c r="AE16" i="5"/>
  <c r="AB22" i="13"/>
  <c r="AB22" i="12"/>
  <c r="AD51" i="5"/>
  <c r="AD86" i="5"/>
  <c r="AB22" i="2"/>
  <c r="AB22" i="9"/>
  <c r="AB22" i="10"/>
  <c r="O40" i="12"/>
  <c r="O40" i="13"/>
  <c r="O40" i="14"/>
  <c r="O40" i="10"/>
  <c r="O40" i="9"/>
  <c r="O40" i="2"/>
  <c r="Q104" i="5"/>
  <c r="Q69" i="5"/>
  <c r="T21" i="5"/>
  <c r="Q27" i="13"/>
  <c r="Q27" i="12"/>
  <c r="Q27" i="14"/>
  <c r="S56" i="5"/>
  <c r="S91" i="5"/>
  <c r="Q27" i="2"/>
  <c r="Q27" i="9"/>
  <c r="Q27" i="10"/>
  <c r="X15" i="5"/>
  <c r="U21" i="13"/>
  <c r="U21" i="12"/>
  <c r="U21" i="14"/>
  <c r="W50" i="5"/>
  <c r="W85" i="5"/>
  <c r="U21" i="2"/>
  <c r="U21" i="9"/>
  <c r="U21" i="10"/>
  <c r="U11" i="5"/>
  <c r="R17" i="12"/>
  <c r="R17" i="13"/>
  <c r="T81" i="5"/>
  <c r="T46" i="5"/>
  <c r="R17" i="9"/>
  <c r="R17" i="14"/>
  <c r="R17" i="10"/>
  <c r="R17" i="2"/>
  <c r="Y28" i="12"/>
  <c r="Y28" i="13"/>
  <c r="Y28" i="14"/>
  <c r="AA57" i="5"/>
  <c r="AA92" i="5"/>
  <c r="AB22" i="5"/>
  <c r="Y28" i="9"/>
  <c r="Y28" i="10"/>
  <c r="Y28" i="2"/>
  <c r="O20" i="12"/>
  <c r="O20" i="13"/>
  <c r="O20" i="14"/>
  <c r="Q49" i="5"/>
  <c r="Q84" i="5"/>
  <c r="R14" i="5"/>
  <c r="O20" i="9"/>
  <c r="O20" i="10"/>
  <c r="O20" i="2"/>
  <c r="AB35" i="12"/>
  <c r="AB35" i="13"/>
  <c r="AB35" i="14"/>
  <c r="AD64" i="5"/>
  <c r="AD99" i="5"/>
  <c r="AE29" i="5"/>
  <c r="AB35" i="9"/>
  <c r="AB35" i="10"/>
  <c r="AB35" i="2"/>
  <c r="AB32" i="5"/>
  <c r="Y38" i="12"/>
  <c r="Y38" i="13"/>
  <c r="Y38" i="14"/>
  <c r="AA102" i="5"/>
  <c r="AA67" i="5"/>
  <c r="Y38" i="2"/>
  <c r="Y38" i="9"/>
  <c r="Y38" i="10"/>
  <c r="S34" i="5"/>
  <c r="P40" i="13"/>
  <c r="P40" i="12"/>
  <c r="R104" i="5"/>
  <c r="R69" i="5"/>
  <c r="P40" i="2"/>
  <c r="P40" i="9"/>
  <c r="P40" i="10"/>
  <c r="AA12" i="5"/>
  <c r="X18" i="12"/>
  <c r="X18" i="13"/>
  <c r="X18" i="14"/>
  <c r="Z47" i="5"/>
  <c r="Z82" i="5"/>
  <c r="X18" i="9"/>
  <c r="X18" i="10"/>
  <c r="X18" i="2"/>
  <c r="V31" i="5"/>
  <c r="S37" i="12"/>
  <c r="S37" i="13"/>
  <c r="S37" i="14"/>
  <c r="U101" i="5"/>
  <c r="U66" i="5"/>
  <c r="S37" i="9"/>
  <c r="S37" i="10"/>
  <c r="S37" i="2"/>
  <c r="V21" i="12"/>
  <c r="V21" i="13"/>
  <c r="V21" i="14"/>
  <c r="X85" i="5"/>
  <c r="X50" i="5"/>
  <c r="Y15" i="5"/>
  <c r="V21" i="9"/>
  <c r="V21" i="10"/>
  <c r="V21" i="2"/>
  <c r="Z35" i="5"/>
  <c r="W41" i="13"/>
  <c r="W41" i="12"/>
  <c r="Y105" i="5"/>
  <c r="Y70" i="5"/>
  <c r="W41" i="2"/>
  <c r="W41" i="10"/>
  <c r="W41" i="9"/>
  <c r="AA25" i="12"/>
  <c r="AA25" i="13"/>
  <c r="AA25" i="14"/>
  <c r="AC89" i="5"/>
  <c r="AC54" i="5"/>
  <c r="AD19" i="5"/>
  <c r="AA25" i="9"/>
  <c r="AA25" i="10"/>
  <c r="AA25" i="2"/>
  <c r="U21" i="5"/>
  <c r="R27" i="12"/>
  <c r="R27" i="13"/>
  <c r="R27" i="14"/>
  <c r="T91" i="5"/>
  <c r="T56" i="5"/>
  <c r="R27" i="9"/>
  <c r="R27" i="10"/>
  <c r="R27" i="2"/>
  <c r="AF16" i="5"/>
  <c r="AC22" i="12"/>
  <c r="AC22" i="13"/>
  <c r="AC22" i="14"/>
  <c r="AE51" i="5"/>
  <c r="AE86" i="5"/>
  <c r="AC22" i="9"/>
  <c r="AC22" i="10"/>
  <c r="AC22" i="2"/>
  <c r="P30" i="12"/>
  <c r="P30" i="13"/>
  <c r="P30" i="14"/>
  <c r="R59" i="5"/>
  <c r="R94" i="5"/>
  <c r="S24" i="5"/>
  <c r="P30" i="9"/>
  <c r="P30" i="10"/>
  <c r="P30" i="2"/>
  <c r="W31" i="12"/>
  <c r="W31" i="13"/>
  <c r="W31" i="14"/>
  <c r="Y95" i="5"/>
  <c r="Z25" i="5"/>
  <c r="Y60" i="5"/>
  <c r="W31" i="9"/>
  <c r="W31" i="10"/>
  <c r="W31" i="2"/>
  <c r="AD32" i="12"/>
  <c r="AD32" i="13"/>
  <c r="AD32" i="14"/>
  <c r="AF96" i="5"/>
  <c r="AF61" i="5"/>
  <c r="Q27" i="5"/>
  <c r="AD32" i="9"/>
  <c r="AD32" i="10"/>
  <c r="AD32" i="2"/>
  <c r="X28" i="5"/>
  <c r="U34" i="12"/>
  <c r="U34" i="13"/>
  <c r="U34" i="14"/>
  <c r="W63" i="5"/>
  <c r="W98" i="5"/>
  <c r="U34" i="9"/>
  <c r="U34" i="10"/>
  <c r="U34" i="2"/>
  <c r="T24" i="12"/>
  <c r="T24" i="13"/>
  <c r="T24" i="14"/>
  <c r="V53" i="5"/>
  <c r="V88" i="5"/>
  <c r="W18" i="5"/>
  <c r="T24" i="9"/>
  <c r="T24" i="10"/>
  <c r="T24" i="2"/>
  <c r="V21" i="5"/>
  <c r="S27" i="12"/>
  <c r="S27" i="13"/>
  <c r="U91" i="5"/>
  <c r="U56" i="5"/>
  <c r="S27" i="9"/>
  <c r="S27" i="14"/>
  <c r="S27" i="10"/>
  <c r="S27" i="2"/>
  <c r="AB25" i="12"/>
  <c r="AB25" i="13"/>
  <c r="AD54" i="5"/>
  <c r="AD89" i="5"/>
  <c r="AE19" i="5"/>
  <c r="AB25" i="9"/>
  <c r="AB25" i="14"/>
  <c r="AB25" i="10"/>
  <c r="AB25" i="2"/>
  <c r="AD22" i="12"/>
  <c r="AD22" i="13"/>
  <c r="AF86" i="5"/>
  <c r="AF51" i="5"/>
  <c r="Q17" i="5"/>
  <c r="AD22" i="9"/>
  <c r="AD22" i="14"/>
  <c r="AD22" i="10"/>
  <c r="AD22" i="2"/>
  <c r="W31" i="5"/>
  <c r="T37" i="12"/>
  <c r="T37" i="13"/>
  <c r="V101" i="5"/>
  <c r="V66" i="5"/>
  <c r="T37" i="9"/>
  <c r="T37" i="14"/>
  <c r="T37" i="10"/>
  <c r="T37" i="2"/>
  <c r="V34" i="12"/>
  <c r="V34" i="13"/>
  <c r="X98" i="5"/>
  <c r="Y28" i="5"/>
  <c r="X63" i="5"/>
  <c r="V34" i="9"/>
  <c r="V34" i="14"/>
  <c r="V34" i="10"/>
  <c r="V34" i="2"/>
  <c r="O33" i="12"/>
  <c r="O33" i="13"/>
  <c r="Q97" i="5"/>
  <c r="Q62" i="5"/>
  <c r="R27" i="5"/>
  <c r="O33" i="9"/>
  <c r="O33" i="14"/>
  <c r="O33" i="10"/>
  <c r="O33" i="2"/>
  <c r="U24" i="12"/>
  <c r="U24" i="13"/>
  <c r="W53" i="5"/>
  <c r="W88" i="5"/>
  <c r="X18" i="5"/>
  <c r="U24" i="9"/>
  <c r="U24" i="14"/>
  <c r="U24" i="10"/>
  <c r="U24" i="2"/>
  <c r="X41" i="12"/>
  <c r="X41" i="13"/>
  <c r="X41" i="14"/>
  <c r="Z105" i="5"/>
  <c r="Z70" i="5"/>
  <c r="AA35" i="5"/>
  <c r="X41" i="9"/>
  <c r="X41" i="10"/>
  <c r="X41" i="2"/>
  <c r="AB12" i="5"/>
  <c r="Y18" i="12"/>
  <c r="Y18" i="13"/>
  <c r="AA47" i="5"/>
  <c r="AA82" i="5"/>
  <c r="Y18" i="9"/>
  <c r="Y18" i="14"/>
  <c r="Y18" i="10"/>
  <c r="Y18" i="2"/>
  <c r="P20" i="12"/>
  <c r="P20" i="13"/>
  <c r="R49" i="5"/>
  <c r="R84" i="5"/>
  <c r="S14" i="5"/>
  <c r="P20" i="9"/>
  <c r="P20" i="14"/>
  <c r="P20" i="10"/>
  <c r="P20" i="2"/>
  <c r="Q30" i="12"/>
  <c r="Q30" i="13"/>
  <c r="S59" i="5"/>
  <c r="S94" i="5"/>
  <c r="T24" i="5"/>
  <c r="Q30" i="9"/>
  <c r="Q30" i="14"/>
  <c r="Q30" i="10"/>
  <c r="Q30" i="2"/>
  <c r="W21" i="12"/>
  <c r="W21" i="13"/>
  <c r="Y85" i="5"/>
  <c r="Y50" i="5"/>
  <c r="Z15" i="5"/>
  <c r="W21" i="9"/>
  <c r="W21" i="14"/>
  <c r="W21" i="10"/>
  <c r="W21" i="2"/>
  <c r="T34" i="5"/>
  <c r="Q40" i="12"/>
  <c r="Q40" i="13"/>
  <c r="Q40" i="14"/>
  <c r="S104" i="5"/>
  <c r="S69" i="5"/>
  <c r="Q40" i="9"/>
  <c r="Q40" i="10"/>
  <c r="Q40" i="2"/>
  <c r="AC22" i="5"/>
  <c r="Z28" i="12"/>
  <c r="Z28" i="13"/>
  <c r="AB92" i="5"/>
  <c r="AB57" i="5"/>
  <c r="Z28" i="9"/>
  <c r="Z28" i="14"/>
  <c r="Z28" i="10"/>
  <c r="Z28" i="2"/>
  <c r="U81" i="5"/>
  <c r="U46" i="5"/>
  <c r="AA25" i="5"/>
  <c r="X31" i="12"/>
  <c r="X31" i="13"/>
  <c r="Z60" i="5"/>
  <c r="Z95" i="5"/>
  <c r="X31" i="9"/>
  <c r="X31" i="14"/>
  <c r="X31" i="10"/>
  <c r="X31" i="2"/>
  <c r="AC32" i="5"/>
  <c r="Z38" i="12"/>
  <c r="Z38" i="13"/>
  <c r="Z38" i="14"/>
  <c r="AB102" i="5"/>
  <c r="AB67" i="5"/>
  <c r="Z38" i="9"/>
  <c r="Z38" i="10"/>
  <c r="Z38" i="2"/>
  <c r="AF29" i="5"/>
  <c r="AC35" i="12"/>
  <c r="AC35" i="13"/>
  <c r="AE64" i="5"/>
  <c r="AE99" i="5"/>
  <c r="AC35" i="9"/>
  <c r="AC35" i="14"/>
  <c r="AC35" i="10"/>
  <c r="AC35" i="2"/>
  <c r="AA38" i="12"/>
  <c r="AA38" i="13"/>
  <c r="AC102" i="5"/>
  <c r="AC67" i="5"/>
  <c r="AD32" i="5"/>
  <c r="AA38" i="9"/>
  <c r="AA38" i="14"/>
  <c r="AA38" i="10"/>
  <c r="AA38" i="2"/>
  <c r="Z50" i="5"/>
  <c r="Z85" i="5"/>
  <c r="Y41" i="12"/>
  <c r="Y41" i="13"/>
  <c r="AA105" i="5"/>
  <c r="AB35" i="5"/>
  <c r="AA70" i="5"/>
  <c r="Y41" i="9"/>
  <c r="Y41" i="14"/>
  <c r="Y41" i="10"/>
  <c r="Y41" i="2"/>
  <c r="AE54" i="5"/>
  <c r="AE89" i="5"/>
  <c r="AA60" i="5"/>
  <c r="AA95" i="5"/>
  <c r="T94" i="5"/>
  <c r="T59" i="5"/>
  <c r="Y63" i="5"/>
  <c r="Y98" i="5"/>
  <c r="V91" i="5"/>
  <c r="V56" i="5"/>
  <c r="AC57" i="5"/>
  <c r="AC92" i="5"/>
  <c r="S49" i="5"/>
  <c r="S84" i="5"/>
  <c r="X88" i="5"/>
  <c r="X53" i="5"/>
  <c r="W66" i="5"/>
  <c r="W101" i="5"/>
  <c r="AF99" i="5"/>
  <c r="AF64" i="5"/>
  <c r="R40" i="12"/>
  <c r="R40" i="13"/>
  <c r="T104" i="5"/>
  <c r="T69" i="5"/>
  <c r="U34" i="5"/>
  <c r="R40" i="9"/>
  <c r="R40" i="14"/>
  <c r="R40" i="10"/>
  <c r="R40" i="2"/>
  <c r="AB82" i="5"/>
  <c r="AB47" i="5"/>
  <c r="R62" i="5"/>
  <c r="R97" i="5"/>
  <c r="Q52" i="5"/>
  <c r="Q87" i="5"/>
  <c r="U104" i="5"/>
  <c r="U69" i="5"/>
  <c r="AB105" i="5"/>
  <c r="AB70" i="5"/>
  <c r="AD102" i="5"/>
  <c r="AD67" i="5"/>
  <c r="M70" i="14"/>
  <c r="N70" i="14"/>
  <c r="R12" i="2"/>
  <c r="P40" i="14"/>
  <c r="AB22" i="14"/>
  <c r="AF22" i="14"/>
  <c r="AA35" i="14"/>
  <c r="O30" i="14"/>
  <c r="X28" i="14"/>
  <c r="T34" i="14"/>
  <c r="H5" i="10"/>
  <c r="D29" i="10"/>
  <c r="U33" i="10"/>
  <c r="AF10" i="10"/>
  <c r="AF15" i="10"/>
  <c r="AF22" i="10"/>
  <c r="AF32" i="10"/>
  <c r="H5" i="9"/>
  <c r="D29" i="9"/>
  <c r="AB34" i="9"/>
  <c r="F5" i="9"/>
  <c r="D27" i="9"/>
  <c r="U30" i="9"/>
  <c r="N90" i="14"/>
  <c r="AF22" i="13"/>
  <c r="P36" i="12"/>
  <c r="Z21" i="12"/>
  <c r="G5" i="10"/>
  <c r="D28" i="10"/>
  <c r="AC31" i="10"/>
  <c r="V27" i="12"/>
  <c r="AC28" i="12"/>
  <c r="O26" i="12"/>
  <c r="U17" i="12"/>
  <c r="U12" i="12"/>
  <c r="AD11" i="14"/>
  <c r="W37" i="12"/>
  <c r="R33" i="12"/>
  <c r="AD38" i="12"/>
  <c r="T30" i="12"/>
  <c r="S20" i="12"/>
  <c r="Y34" i="12"/>
  <c r="X24" i="12"/>
  <c r="AB18" i="12"/>
  <c r="C9" i="2"/>
  <c r="AF14" i="13"/>
  <c r="AF15" i="12"/>
  <c r="AF15" i="2"/>
  <c r="AF14" i="10"/>
  <c r="AF10" i="14"/>
  <c r="T12" i="9"/>
  <c r="AF22" i="2"/>
  <c r="H5" i="13"/>
  <c r="D29" i="13"/>
  <c r="W30" i="13"/>
  <c r="U12" i="2"/>
  <c r="AC11" i="12"/>
  <c r="P12" i="14"/>
  <c r="F144" i="14"/>
  <c r="J144" i="14"/>
  <c r="R12" i="9"/>
  <c r="H5" i="2"/>
  <c r="D29" i="2"/>
  <c r="R26" i="2"/>
  <c r="Y34" i="13"/>
  <c r="W37" i="13"/>
  <c r="R33" i="13"/>
  <c r="Z21" i="13"/>
  <c r="AD38" i="13"/>
  <c r="AA31" i="13"/>
  <c r="AF32" i="13"/>
  <c r="AF32" i="14"/>
  <c r="T12" i="12"/>
  <c r="AD11" i="12"/>
  <c r="O12" i="9"/>
  <c r="AF22" i="12"/>
  <c r="AF32" i="12"/>
  <c r="C17" i="2"/>
  <c r="C12" i="13"/>
  <c r="R36" i="9"/>
  <c r="AC11" i="14"/>
  <c r="C16" i="2"/>
  <c r="R33" i="14"/>
  <c r="Z21" i="14"/>
  <c r="P36" i="14"/>
  <c r="AD38" i="14"/>
  <c r="U17" i="14"/>
  <c r="O26" i="14"/>
  <c r="X24" i="14"/>
  <c r="T30" i="14"/>
  <c r="AD15" i="14"/>
  <c r="AF15" i="14"/>
  <c r="U40" i="14"/>
  <c r="AC28" i="14"/>
  <c r="AB18" i="14"/>
  <c r="AA31" i="14"/>
  <c r="Q23" i="14"/>
  <c r="W37" i="14"/>
  <c r="S20" i="14"/>
  <c r="Y34" i="14"/>
  <c r="V27" i="14"/>
  <c r="S20" i="13"/>
  <c r="Q23" i="13"/>
  <c r="AD15" i="13"/>
  <c r="AF15" i="13"/>
  <c r="T12" i="14"/>
  <c r="Q12" i="14"/>
  <c r="AD11" i="13"/>
  <c r="J92" i="10"/>
  <c r="N92" i="10"/>
  <c r="AD18" i="9"/>
  <c r="V40" i="10"/>
  <c r="AB18" i="13"/>
  <c r="AC28" i="13"/>
  <c r="U40" i="13"/>
  <c r="U12" i="13"/>
  <c r="P12" i="2"/>
  <c r="P16" i="9"/>
  <c r="X24" i="13"/>
  <c r="T30" i="13"/>
  <c r="P12" i="9"/>
  <c r="F5" i="2"/>
  <c r="D27" i="2"/>
  <c r="Q36" i="2"/>
  <c r="V17" i="10"/>
  <c r="O26" i="13"/>
  <c r="P36" i="13"/>
  <c r="U17" i="13"/>
  <c r="AF13" i="12"/>
  <c r="S12" i="9"/>
  <c r="R12" i="12"/>
  <c r="O12" i="14"/>
  <c r="C15" i="14"/>
  <c r="C26" i="13"/>
  <c r="V30" i="9"/>
  <c r="Y24" i="10"/>
  <c r="V27" i="13"/>
  <c r="U12" i="10"/>
  <c r="AC11" i="13"/>
  <c r="C16" i="13"/>
  <c r="U20" i="13"/>
  <c r="P39" i="13"/>
  <c r="AD31" i="12"/>
  <c r="R26" i="12"/>
  <c r="T23" i="12"/>
  <c r="AD18" i="2"/>
  <c r="Q26" i="2"/>
  <c r="T12" i="10"/>
  <c r="AC11" i="10"/>
  <c r="F146" i="14"/>
  <c r="R11" i="8"/>
  <c r="P39" i="9"/>
  <c r="AD28" i="10"/>
  <c r="X37" i="10"/>
  <c r="AD11" i="9"/>
  <c r="C11" i="2"/>
  <c r="C12" i="12"/>
  <c r="Q12" i="13"/>
  <c r="F5" i="13"/>
  <c r="D27" i="13"/>
  <c r="V40" i="13"/>
  <c r="S12" i="12"/>
  <c r="R12" i="13"/>
  <c r="O12" i="2"/>
  <c r="AB11" i="12"/>
  <c r="I142" i="14"/>
  <c r="U7" i="8"/>
  <c r="U12" i="14"/>
  <c r="AB11" i="14"/>
  <c r="I92" i="10"/>
  <c r="C101" i="10"/>
  <c r="C14" i="12"/>
  <c r="U30" i="10"/>
  <c r="Q12" i="10"/>
  <c r="P12" i="10"/>
  <c r="I143" i="14"/>
  <c r="Q8" i="8"/>
  <c r="H141" i="10"/>
  <c r="H6" i="8"/>
  <c r="J87" i="10"/>
  <c r="F143" i="10"/>
  <c r="J89" i="10"/>
  <c r="AC21" i="12"/>
  <c r="O19" i="12"/>
  <c r="AF19" i="12"/>
  <c r="V20" i="12"/>
  <c r="X40" i="12"/>
  <c r="AA24" i="12"/>
  <c r="Q39" i="12"/>
  <c r="X17" i="12"/>
  <c r="U33" i="12"/>
  <c r="Z37" i="12"/>
  <c r="Q16" i="12"/>
  <c r="P29" i="12"/>
  <c r="AB34" i="12"/>
  <c r="W30" i="12"/>
  <c r="S36" i="12"/>
  <c r="Y27" i="12"/>
  <c r="Q6" i="8"/>
  <c r="I141" i="14"/>
  <c r="C8" i="8"/>
  <c r="J141" i="14"/>
  <c r="R6" i="8"/>
  <c r="AF22" i="9"/>
  <c r="C14" i="2"/>
  <c r="Q12" i="2"/>
  <c r="I91" i="10"/>
  <c r="I144" i="10"/>
  <c r="C9" i="8"/>
  <c r="AC11" i="9"/>
  <c r="C10" i="9"/>
  <c r="C12" i="10"/>
  <c r="O12" i="10"/>
  <c r="J145" i="10"/>
  <c r="F10" i="8"/>
  <c r="AC31" i="2"/>
  <c r="W17" i="2"/>
  <c r="P16" i="2"/>
  <c r="W40" i="2"/>
  <c r="O29" i="2"/>
  <c r="S23" i="2"/>
  <c r="X27" i="2"/>
  <c r="C28" i="2"/>
  <c r="R36" i="2"/>
  <c r="V30" i="2"/>
  <c r="Y37" i="2"/>
  <c r="U20" i="2"/>
  <c r="Z24" i="2"/>
  <c r="AA34" i="2"/>
  <c r="J91" i="10"/>
  <c r="J145" i="14"/>
  <c r="AF32" i="2"/>
  <c r="P39" i="2"/>
  <c r="I145" i="10"/>
  <c r="D146" i="10"/>
  <c r="J90" i="10"/>
  <c r="F144" i="10"/>
  <c r="J88" i="10"/>
  <c r="F142" i="10"/>
  <c r="C9" i="13"/>
  <c r="AB11" i="13"/>
  <c r="T12" i="13"/>
  <c r="C17" i="13"/>
  <c r="C16" i="14"/>
  <c r="S12" i="14"/>
  <c r="AF14" i="14"/>
  <c r="D143" i="10"/>
  <c r="D8" i="8"/>
  <c r="I89" i="10"/>
  <c r="AF32" i="9"/>
  <c r="AF10" i="12"/>
  <c r="J143" i="14"/>
  <c r="J142" i="14"/>
  <c r="I145" i="14"/>
  <c r="T33" i="2"/>
  <c r="AF14" i="9"/>
  <c r="AF13" i="9"/>
  <c r="AF13" i="2"/>
  <c r="AF13" i="14"/>
  <c r="AB11" i="9"/>
  <c r="U12" i="9"/>
  <c r="C18" i="9"/>
  <c r="AF10" i="9"/>
  <c r="AB21" i="2"/>
  <c r="AB11" i="10"/>
  <c r="S12" i="10"/>
  <c r="C16" i="10"/>
  <c r="T33" i="13"/>
  <c r="C28" i="13"/>
  <c r="AC31" i="13"/>
  <c r="W17" i="13"/>
  <c r="P16" i="13"/>
  <c r="Y37" i="13"/>
  <c r="W40" i="13"/>
  <c r="O29" i="13"/>
  <c r="Z24" i="13"/>
  <c r="AD18" i="13"/>
  <c r="AB21" i="13"/>
  <c r="S23" i="13"/>
  <c r="AA34" i="13"/>
  <c r="X27" i="13"/>
  <c r="R36" i="13"/>
  <c r="Q26" i="13"/>
  <c r="V30" i="13"/>
  <c r="O11" i="8"/>
  <c r="I146" i="14"/>
  <c r="AF14" i="12"/>
  <c r="I90" i="10"/>
  <c r="C141" i="10"/>
  <c r="I87" i="10"/>
  <c r="C11" i="10"/>
  <c r="S33" i="10"/>
  <c r="W27" i="10"/>
  <c r="T20" i="10"/>
  <c r="O16" i="10"/>
  <c r="AA21" i="10"/>
  <c r="Q36" i="10"/>
  <c r="C27" i="10"/>
  <c r="P26" i="10"/>
  <c r="O39" i="10"/>
  <c r="R23" i="10"/>
  <c r="Z34" i="10"/>
  <c r="AC18" i="10"/>
  <c r="AF10" i="2"/>
  <c r="D144" i="14"/>
  <c r="P9" i="8"/>
  <c r="AF15" i="9"/>
  <c r="I88" i="10"/>
  <c r="C142" i="10"/>
  <c r="C28" i="9"/>
  <c r="Y37" i="9"/>
  <c r="W40" i="9"/>
  <c r="O29" i="9"/>
  <c r="S23" i="9"/>
  <c r="AA34" i="9"/>
  <c r="U20" i="9"/>
  <c r="Z24" i="9"/>
  <c r="T33" i="9"/>
  <c r="AB21" i="9"/>
  <c r="AC31" i="9"/>
  <c r="W17" i="9"/>
  <c r="Q26" i="9"/>
  <c r="C13" i="13"/>
  <c r="P12" i="13"/>
  <c r="C13" i="12"/>
  <c r="P12" i="12"/>
  <c r="AF13" i="13"/>
  <c r="AC11" i="2"/>
  <c r="AF11" i="2"/>
  <c r="C10" i="2"/>
  <c r="F6" i="8"/>
  <c r="AF10" i="13"/>
  <c r="AF14" i="2"/>
  <c r="AF13" i="10"/>
  <c r="J146" i="10"/>
  <c r="F11" i="8"/>
  <c r="Q12" i="9"/>
  <c r="C14" i="9"/>
  <c r="C15" i="10"/>
  <c r="R12" i="10"/>
  <c r="Q16" i="10"/>
  <c r="X40" i="10"/>
  <c r="O19" i="10"/>
  <c r="AF19" i="10"/>
  <c r="Q39" i="10"/>
  <c r="AB34" i="10"/>
  <c r="V20" i="10"/>
  <c r="T23" i="10"/>
  <c r="S36" i="10"/>
  <c r="R9" i="8"/>
  <c r="X17" i="10"/>
  <c r="P29" i="10"/>
  <c r="C29" i="10"/>
  <c r="AC21" i="10"/>
  <c r="Z37" i="9"/>
  <c r="AD31" i="9"/>
  <c r="Y27" i="10"/>
  <c r="AD31" i="10"/>
  <c r="AA24" i="10"/>
  <c r="O19" i="9"/>
  <c r="AF19" i="9"/>
  <c r="AB31" i="9"/>
  <c r="Q39" i="9"/>
  <c r="Z37" i="10"/>
  <c r="W30" i="10"/>
  <c r="R26" i="10"/>
  <c r="R23" i="9"/>
  <c r="S23" i="10"/>
  <c r="C28" i="10"/>
  <c r="AD18" i="10"/>
  <c r="Q36" i="9"/>
  <c r="AD28" i="9"/>
  <c r="S33" i="9"/>
  <c r="V20" i="9"/>
  <c r="R36" i="10"/>
  <c r="P29" i="9"/>
  <c r="AF29" i="9"/>
  <c r="Y27" i="9"/>
  <c r="Y37" i="10"/>
  <c r="AC21" i="9"/>
  <c r="S36" i="9"/>
  <c r="Z24" i="10"/>
  <c r="T23" i="9"/>
  <c r="C29" i="9"/>
  <c r="U33" i="9"/>
  <c r="AA24" i="9"/>
  <c r="X40" i="9"/>
  <c r="P29" i="2"/>
  <c r="AF29" i="2"/>
  <c r="W30" i="9"/>
  <c r="R26" i="9"/>
  <c r="Q16" i="9"/>
  <c r="X27" i="10"/>
  <c r="X17" i="9"/>
  <c r="Q16" i="13"/>
  <c r="O39" i="9"/>
  <c r="Z34" i="9"/>
  <c r="C27" i="9"/>
  <c r="P26" i="9"/>
  <c r="AF26" i="9"/>
  <c r="AC18" i="9"/>
  <c r="AC18" i="13"/>
  <c r="T20" i="9"/>
  <c r="W27" i="9"/>
  <c r="V17" i="9"/>
  <c r="V40" i="9"/>
  <c r="Y24" i="9"/>
  <c r="AA21" i="9"/>
  <c r="X37" i="9"/>
  <c r="Q39" i="2"/>
  <c r="O16" i="9"/>
  <c r="P39" i="10"/>
  <c r="V30" i="10"/>
  <c r="Q26" i="10"/>
  <c r="AA34" i="10"/>
  <c r="T33" i="10"/>
  <c r="P16" i="10"/>
  <c r="AF16" i="10"/>
  <c r="AB21" i="10"/>
  <c r="W17" i="10"/>
  <c r="W40" i="10"/>
  <c r="O29" i="10"/>
  <c r="X37" i="2"/>
  <c r="U20" i="10"/>
  <c r="Y27" i="13"/>
  <c r="X40" i="13"/>
  <c r="AD31" i="13"/>
  <c r="N92" i="14"/>
  <c r="V20" i="13"/>
  <c r="AB31" i="2"/>
  <c r="Q16" i="2"/>
  <c r="U33" i="13"/>
  <c r="P29" i="13"/>
  <c r="AF29" i="13"/>
  <c r="T23" i="2"/>
  <c r="C29" i="13"/>
  <c r="AD31" i="2"/>
  <c r="X17" i="13"/>
  <c r="AD28" i="2"/>
  <c r="X17" i="2"/>
  <c r="Z37" i="13"/>
  <c r="AA24" i="13"/>
  <c r="O39" i="2"/>
  <c r="AF39" i="2"/>
  <c r="O19" i="2"/>
  <c r="AF19" i="2"/>
  <c r="K142" i="14"/>
  <c r="W7" i="8"/>
  <c r="O19" i="13"/>
  <c r="AF19" i="13"/>
  <c r="AC21" i="13"/>
  <c r="T23" i="13"/>
  <c r="S36" i="13"/>
  <c r="Q39" i="13"/>
  <c r="AB34" i="13"/>
  <c r="Y24" i="2"/>
  <c r="R26" i="13"/>
  <c r="AA24" i="2"/>
  <c r="X40" i="2"/>
  <c r="C29" i="2"/>
  <c r="V20" i="2"/>
  <c r="S33" i="13"/>
  <c r="W30" i="2"/>
  <c r="AF11" i="14"/>
  <c r="S36" i="2"/>
  <c r="AF36" i="2"/>
  <c r="U33" i="2"/>
  <c r="AB34" i="2"/>
  <c r="AF12" i="9"/>
  <c r="AC21" i="2"/>
  <c r="Z37" i="2"/>
  <c r="Y27" i="2"/>
  <c r="N91" i="14"/>
  <c r="AF11" i="10"/>
  <c r="Z34" i="13"/>
  <c r="Y24" i="13"/>
  <c r="M92" i="10"/>
  <c r="AF12" i="13"/>
  <c r="U30" i="2"/>
  <c r="O16" i="13"/>
  <c r="V17" i="2"/>
  <c r="AF11" i="12"/>
  <c r="D101" i="10"/>
  <c r="V40" i="2"/>
  <c r="AA21" i="13"/>
  <c r="W27" i="2"/>
  <c r="S33" i="2"/>
  <c r="AC18" i="2"/>
  <c r="Z34" i="2"/>
  <c r="O16" i="2"/>
  <c r="M87" i="14"/>
  <c r="AF12" i="2"/>
  <c r="AF11" i="9"/>
  <c r="R23" i="2"/>
  <c r="J146" i="14"/>
  <c r="V11" i="8"/>
  <c r="P26" i="2"/>
  <c r="AF26" i="2"/>
  <c r="M92" i="14"/>
  <c r="T20" i="2"/>
  <c r="AA21" i="2"/>
  <c r="AF11" i="13"/>
  <c r="C27" i="2"/>
  <c r="R23" i="13"/>
  <c r="AF12" i="12"/>
  <c r="T20" i="13"/>
  <c r="I143" i="10"/>
  <c r="K143" i="10"/>
  <c r="K8" i="8"/>
  <c r="P26" i="13"/>
  <c r="AD28" i="13"/>
  <c r="AB31" i="13"/>
  <c r="V17" i="13"/>
  <c r="C27" i="13"/>
  <c r="W27" i="13"/>
  <c r="U30" i="13"/>
  <c r="O39" i="13"/>
  <c r="X37" i="13"/>
  <c r="Q36" i="13"/>
  <c r="AF12" i="14"/>
  <c r="N87" i="14"/>
  <c r="N88" i="14"/>
  <c r="D97" i="10"/>
  <c r="N88" i="10"/>
  <c r="L145" i="10"/>
  <c r="L10" i="8"/>
  <c r="J10" i="8"/>
  <c r="L146" i="10"/>
  <c r="L11" i="8"/>
  <c r="J11" i="8"/>
  <c r="I144" i="14"/>
  <c r="M89" i="14"/>
  <c r="I141" i="10"/>
  <c r="C6" i="8"/>
  <c r="L143" i="14"/>
  <c r="X8" i="8"/>
  <c r="V8" i="8"/>
  <c r="J142" i="10"/>
  <c r="F7" i="8"/>
  <c r="K141" i="14"/>
  <c r="W6" i="8"/>
  <c r="U6" i="8"/>
  <c r="J143" i="10"/>
  <c r="F8" i="8"/>
  <c r="M90" i="10"/>
  <c r="C99" i="10"/>
  <c r="N87" i="10"/>
  <c r="D96" i="10"/>
  <c r="X37" i="12"/>
  <c r="Z34" i="12"/>
  <c r="O39" i="12"/>
  <c r="S33" i="12"/>
  <c r="P26" i="12"/>
  <c r="U30" i="12"/>
  <c r="V17" i="12"/>
  <c r="AA21" i="12"/>
  <c r="W27" i="12"/>
  <c r="T20" i="12"/>
  <c r="AC18" i="12"/>
  <c r="V40" i="12"/>
  <c r="AD28" i="12"/>
  <c r="AB31" i="12"/>
  <c r="R23" i="12"/>
  <c r="Q36" i="12"/>
  <c r="O16" i="12"/>
  <c r="Y24" i="12"/>
  <c r="P29" i="14"/>
  <c r="V20" i="14"/>
  <c r="AD31" i="14"/>
  <c r="Q16" i="14"/>
  <c r="AC21" i="14"/>
  <c r="W30" i="14"/>
  <c r="X17" i="14"/>
  <c r="AB34" i="14"/>
  <c r="U33" i="14"/>
  <c r="X40" i="14"/>
  <c r="S36" i="14"/>
  <c r="Q39" i="14"/>
  <c r="O19" i="14"/>
  <c r="AF19" i="14"/>
  <c r="Z37" i="14"/>
  <c r="Y27" i="14"/>
  <c r="T23" i="14"/>
  <c r="R26" i="14"/>
  <c r="AA24" i="14"/>
  <c r="J144" i="10"/>
  <c r="F9" i="8"/>
  <c r="K144" i="10"/>
  <c r="K9" i="8"/>
  <c r="I9" i="8"/>
  <c r="Z24" i="12"/>
  <c r="AB21" i="12"/>
  <c r="R36" i="12"/>
  <c r="V30" i="12"/>
  <c r="Q26" i="12"/>
  <c r="S23" i="12"/>
  <c r="X27" i="12"/>
  <c r="AC31" i="12"/>
  <c r="AA34" i="12"/>
  <c r="Y37" i="12"/>
  <c r="AD18" i="12"/>
  <c r="O29" i="12"/>
  <c r="AF29" i="12"/>
  <c r="P39" i="12"/>
  <c r="P16" i="12"/>
  <c r="W40" i="12"/>
  <c r="W17" i="12"/>
  <c r="U20" i="12"/>
  <c r="T33" i="12"/>
  <c r="N89" i="14"/>
  <c r="K146" i="14"/>
  <c r="W11" i="8"/>
  <c r="U11" i="8"/>
  <c r="R36" i="14"/>
  <c r="V30" i="14"/>
  <c r="Y37" i="14"/>
  <c r="Q26" i="14"/>
  <c r="O29" i="14"/>
  <c r="AA34" i="14"/>
  <c r="U20" i="14"/>
  <c r="T33" i="14"/>
  <c r="P16" i="14"/>
  <c r="AB21" i="14"/>
  <c r="Z24" i="14"/>
  <c r="AC31" i="14"/>
  <c r="W40" i="14"/>
  <c r="W17" i="14"/>
  <c r="X27" i="14"/>
  <c r="S23" i="14"/>
  <c r="AD18" i="14"/>
  <c r="P39" i="14"/>
  <c r="N90" i="10"/>
  <c r="D99" i="10"/>
  <c r="D100" i="10"/>
  <c r="N91" i="10"/>
  <c r="M91" i="10"/>
  <c r="C100" i="10"/>
  <c r="L141" i="14"/>
  <c r="X6" i="8"/>
  <c r="V6" i="8"/>
  <c r="M91" i="14"/>
  <c r="O16" i="14"/>
  <c r="Z34" i="14"/>
  <c r="Y24" i="14"/>
  <c r="O39" i="14"/>
  <c r="AD28" i="14"/>
  <c r="AC18" i="14"/>
  <c r="P26" i="14"/>
  <c r="W27" i="14"/>
  <c r="V17" i="14"/>
  <c r="AB31" i="14"/>
  <c r="AA21" i="14"/>
  <c r="Q36" i="14"/>
  <c r="S33" i="14"/>
  <c r="X37" i="14"/>
  <c r="U30" i="14"/>
  <c r="R23" i="14"/>
  <c r="V40" i="14"/>
  <c r="T20" i="14"/>
  <c r="D11" i="8"/>
  <c r="I146" i="10"/>
  <c r="V9" i="8"/>
  <c r="L144" i="14"/>
  <c r="X9" i="8"/>
  <c r="J141" i="10"/>
  <c r="I142" i="10"/>
  <c r="C7" i="8"/>
  <c r="K145" i="14"/>
  <c r="W10" i="8"/>
  <c r="U10" i="8"/>
  <c r="K145" i="10"/>
  <c r="K10" i="8"/>
  <c r="I10" i="8"/>
  <c r="AF12" i="10"/>
  <c r="K143" i="14"/>
  <c r="W8" i="8"/>
  <c r="U8" i="8"/>
  <c r="C97" i="10"/>
  <c r="M88" i="10"/>
  <c r="M89" i="10"/>
  <c r="C98" i="10"/>
  <c r="M90" i="14"/>
  <c r="C96" i="10"/>
  <c r="M87" i="10"/>
  <c r="V7" i="8"/>
  <c r="L142" i="14"/>
  <c r="X7" i="8"/>
  <c r="L145" i="14"/>
  <c r="X10" i="8"/>
  <c r="V10" i="8"/>
  <c r="N89" i="10"/>
  <c r="D98" i="10"/>
  <c r="AF39" i="10"/>
  <c r="AF29" i="10"/>
  <c r="AF36" i="10"/>
  <c r="C47" i="10"/>
  <c r="D47" i="10"/>
  <c r="X21" i="10"/>
  <c r="AF21" i="10"/>
  <c r="AF39" i="9"/>
  <c r="AF26" i="10"/>
  <c r="C47" i="9"/>
  <c r="D47" i="9"/>
  <c r="O23" i="9"/>
  <c r="AF23" i="9"/>
  <c r="AF36" i="9"/>
  <c r="AF36" i="13"/>
  <c r="AF16" i="9"/>
  <c r="AF16" i="13"/>
  <c r="AF26" i="13"/>
  <c r="C47" i="13"/>
  <c r="D47" i="13"/>
  <c r="Z41" i="13"/>
  <c r="AF41" i="13"/>
  <c r="AF16" i="2"/>
  <c r="AF39" i="13"/>
  <c r="C47" i="2"/>
  <c r="D47" i="2"/>
  <c r="S40" i="2"/>
  <c r="AF40" i="2"/>
  <c r="I8" i="8"/>
  <c r="L146" i="14"/>
  <c r="X11" i="8"/>
  <c r="AF16" i="14"/>
  <c r="AF39" i="12"/>
  <c r="J95" i="10"/>
  <c r="L95" i="10"/>
  <c r="AF16" i="12"/>
  <c r="AF26" i="14"/>
  <c r="AF29" i="14"/>
  <c r="L144" i="10"/>
  <c r="L9" i="8"/>
  <c r="J9" i="8"/>
  <c r="K146" i="10"/>
  <c r="K11" i="8"/>
  <c r="I11" i="8"/>
  <c r="AF36" i="14"/>
  <c r="AF26" i="12"/>
  <c r="U9" i="8"/>
  <c r="K144" i="14"/>
  <c r="W9" i="8"/>
  <c r="AF39" i="14"/>
  <c r="J7" i="8"/>
  <c r="L142" i="10"/>
  <c r="L7" i="8"/>
  <c r="I7" i="8"/>
  <c r="K142" i="10"/>
  <c r="K7" i="8"/>
  <c r="J8" i="8"/>
  <c r="L143" i="10"/>
  <c r="L8" i="8"/>
  <c r="J6" i="8"/>
  <c r="L141" i="10"/>
  <c r="L6" i="8"/>
  <c r="AF36" i="12"/>
  <c r="K141" i="10"/>
  <c r="K6" i="8"/>
  <c r="I6" i="8"/>
  <c r="T27" i="10"/>
  <c r="AF27" i="10"/>
  <c r="Z41" i="10"/>
  <c r="AF41" i="10"/>
  <c r="P33" i="10"/>
  <c r="AF33" i="10"/>
  <c r="W34" i="10"/>
  <c r="AF34" i="10"/>
  <c r="S17" i="10"/>
  <c r="AF17" i="10"/>
  <c r="Y31" i="10"/>
  <c r="AF31" i="10"/>
  <c r="AA28" i="10"/>
  <c r="AF28" i="10"/>
  <c r="AC25" i="10"/>
  <c r="AF25" i="10"/>
  <c r="AB38" i="10"/>
  <c r="AF38" i="10"/>
  <c r="R30" i="10"/>
  <c r="AF30" i="10"/>
  <c r="Z18" i="10"/>
  <c r="AF18" i="10"/>
  <c r="AD35" i="10"/>
  <c r="AF35" i="10"/>
  <c r="U37" i="10"/>
  <c r="AF37" i="10"/>
  <c r="V24" i="10"/>
  <c r="AF24" i="10"/>
  <c r="S40" i="10"/>
  <c r="AF40" i="10"/>
  <c r="S40" i="9"/>
  <c r="AF40" i="9"/>
  <c r="P33" i="9"/>
  <c r="AF33" i="9"/>
  <c r="U37" i="9"/>
  <c r="AF37" i="9"/>
  <c r="O23" i="10"/>
  <c r="AF23" i="10"/>
  <c r="Q20" i="10"/>
  <c r="AF20" i="10"/>
  <c r="X21" i="9"/>
  <c r="AF21" i="9"/>
  <c r="AC25" i="9"/>
  <c r="AF25" i="9"/>
  <c r="AD35" i="9"/>
  <c r="AF35" i="9"/>
  <c r="AB38" i="9"/>
  <c r="AF38" i="9"/>
  <c r="Z41" i="9"/>
  <c r="AF41" i="9"/>
  <c r="R30" i="9"/>
  <c r="AF30" i="9"/>
  <c r="Y31" i="9"/>
  <c r="AF31" i="9"/>
  <c r="V24" i="9"/>
  <c r="AF24" i="9"/>
  <c r="Q20" i="9"/>
  <c r="AF20" i="9"/>
  <c r="AA28" i="9"/>
  <c r="AF28" i="9"/>
  <c r="S17" i="9"/>
  <c r="AF17" i="9"/>
  <c r="Z18" i="9"/>
  <c r="AF18" i="9"/>
  <c r="W34" i="9"/>
  <c r="AF34" i="9"/>
  <c r="T27" i="9"/>
  <c r="AF27" i="9"/>
  <c r="W34" i="13"/>
  <c r="AF34" i="13"/>
  <c r="AD35" i="2"/>
  <c r="AF35" i="2"/>
  <c r="Y31" i="2"/>
  <c r="AF31" i="2"/>
  <c r="Z41" i="2"/>
  <c r="AF41" i="2"/>
  <c r="O23" i="2"/>
  <c r="AF23" i="2"/>
  <c r="R30" i="2"/>
  <c r="AF30" i="2"/>
  <c r="P33" i="2"/>
  <c r="AF33" i="2"/>
  <c r="T27" i="2"/>
  <c r="AF27" i="2"/>
  <c r="W34" i="2"/>
  <c r="AF34" i="2"/>
  <c r="Z18" i="2"/>
  <c r="AF18" i="2"/>
  <c r="Q20" i="2"/>
  <c r="AF20" i="2"/>
  <c r="AB38" i="2"/>
  <c r="AF38" i="2"/>
  <c r="AC25" i="2"/>
  <c r="AF25" i="2"/>
  <c r="U37" i="2"/>
  <c r="AF37" i="2"/>
  <c r="X21" i="2"/>
  <c r="AF21" i="2"/>
  <c r="AA28" i="2"/>
  <c r="AF28" i="2"/>
  <c r="S17" i="2"/>
  <c r="AF17" i="2"/>
  <c r="AD35" i="13"/>
  <c r="AF35" i="13"/>
  <c r="AB38" i="13"/>
  <c r="AF38" i="13"/>
  <c r="Q20" i="13"/>
  <c r="AF20" i="13"/>
  <c r="AC25" i="13"/>
  <c r="AF25" i="13"/>
  <c r="O23" i="13"/>
  <c r="AF23" i="13"/>
  <c r="X21" i="13"/>
  <c r="AF21" i="13"/>
  <c r="Z18" i="13"/>
  <c r="AF18" i="13"/>
  <c r="AA28" i="13"/>
  <c r="AF28" i="13"/>
  <c r="P33" i="13"/>
  <c r="AF33" i="13"/>
  <c r="U37" i="13"/>
  <c r="AF37" i="13"/>
  <c r="T27" i="13"/>
  <c r="AF27" i="13"/>
  <c r="V24" i="13"/>
  <c r="AF24" i="13"/>
  <c r="Y31" i="13"/>
  <c r="AF31" i="13"/>
  <c r="S17" i="13"/>
  <c r="AF17" i="13"/>
  <c r="R30" i="13"/>
  <c r="AF30" i="13"/>
  <c r="S40" i="13"/>
  <c r="AF40" i="13"/>
  <c r="V24" i="2"/>
  <c r="AF24" i="2"/>
  <c r="Z18" i="12"/>
  <c r="AF18" i="12"/>
  <c r="Z41" i="12"/>
  <c r="AF41" i="12"/>
  <c r="S17" i="12"/>
  <c r="AF17" i="12"/>
  <c r="S40" i="12"/>
  <c r="AF40" i="12"/>
  <c r="AC25" i="12"/>
  <c r="AF25" i="12"/>
  <c r="T27" i="12"/>
  <c r="AF27" i="12"/>
  <c r="U37" i="12"/>
  <c r="AF37" i="12"/>
  <c r="R30" i="12"/>
  <c r="AF30" i="12"/>
  <c r="Q20" i="12"/>
  <c r="AF20" i="12"/>
  <c r="X21" i="12"/>
  <c r="AF21" i="12"/>
  <c r="W34" i="12"/>
  <c r="AF34" i="12"/>
  <c r="V24" i="12"/>
  <c r="AF24" i="12"/>
  <c r="Y31" i="12"/>
  <c r="AF31" i="12"/>
  <c r="AA28" i="12"/>
  <c r="AF28" i="12"/>
  <c r="AD35" i="12"/>
  <c r="AF35" i="12"/>
  <c r="P33" i="12"/>
  <c r="AF33" i="12"/>
  <c r="O23" i="12"/>
  <c r="AF23" i="12"/>
  <c r="AB38" i="12"/>
  <c r="AF38" i="12"/>
  <c r="S17" i="14"/>
  <c r="AF17" i="14"/>
  <c r="S40" i="14"/>
  <c r="AF40" i="14"/>
  <c r="X21" i="14"/>
  <c r="AF21" i="14"/>
  <c r="O23" i="14"/>
  <c r="AF23" i="14"/>
  <c r="W34" i="14"/>
  <c r="AF34" i="14"/>
  <c r="V24" i="14"/>
  <c r="AF24" i="14"/>
  <c r="Y31" i="14"/>
  <c r="AF31" i="14"/>
  <c r="AA28" i="14"/>
  <c r="AF28" i="14"/>
  <c r="AD35" i="14"/>
  <c r="AF35" i="14"/>
  <c r="AC25" i="14"/>
  <c r="AF25" i="14"/>
  <c r="T27" i="14"/>
  <c r="AF27" i="14"/>
  <c r="U37" i="14"/>
  <c r="AF37" i="14"/>
  <c r="Z18" i="14"/>
  <c r="AF18" i="14"/>
  <c r="P33" i="14"/>
  <c r="AF33" i="14"/>
  <c r="Z41" i="14"/>
  <c r="AF41" i="14"/>
  <c r="AB38" i="14"/>
  <c r="AF38" i="14"/>
  <c r="R30" i="14"/>
  <c r="AF30" i="14"/>
  <c r="Q20" i="14"/>
  <c r="AF20" i="14"/>
  <c r="E97" i="14"/>
  <c r="E98" i="14"/>
  <c r="E99" i="14"/>
  <c r="E101" i="14"/>
  <c r="E100" i="14"/>
  <c r="R75" i="14"/>
  <c r="S75" i="14"/>
  <c r="S81" i="14"/>
  <c r="I88" i="14"/>
  <c r="M88" i="14"/>
  <c r="E218" i="14"/>
  <c r="E220" i="14"/>
  <c r="F218" i="14"/>
  <c r="F220" i="14"/>
  <c r="Q3" i="8"/>
  <c r="R3" i="8"/>
</calcChain>
</file>

<file path=xl/sharedStrings.xml><?xml version="1.0" encoding="utf-8"?>
<sst xmlns="http://schemas.openxmlformats.org/spreadsheetml/2006/main" count="2142" uniqueCount="690">
  <si>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</si>
  <si>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</si>
  <si>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</si>
  <si>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</si>
  <si>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</si>
  <si>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</si>
  <si>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</si>
  <si>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</si>
  <si>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</si>
  <si>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</si>
  <si>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</si>
  <si>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</si>
  <si>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</si>
  <si>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</si>
  <si>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</si>
  <si>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</si>
  <si>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</si>
  <si>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</si>
  <si>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</si>
  <si>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</si>
  <si>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</si>
  <si>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</si>
  <si>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</si>
  <si>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</si>
  <si>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</si>
  <si>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</si>
  <si>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</si>
  <si>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</si>
  <si>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</si>
  <si>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</si>
  <si>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</si>
  <si>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</si>
  <si>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</si>
  <si>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</si>
  <si>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</si>
  <si>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</si>
  <si>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</si>
  <si>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</si>
  <si>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</si>
  <si>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</si>
  <si>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</si>
  <si>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</si>
  <si>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</si>
  <si>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</si>
  <si>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</si>
  <si>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</si>
  <si>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</si>
  <si>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</si>
  <si>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</si>
  <si>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</si>
  <si>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</si>
  <si>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</si>
  <si>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</si>
  <si>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</si>
  <si>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</si>
  <si>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</si>
  <si>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</si>
  <si>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</si>
  <si>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</si>
  <si>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</si>
  <si>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</si>
  <si>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</si>
  <si>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</si>
  <si>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</si>
  <si>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</si>
  <si>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</si>
  <si>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</si>
  <si>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</si>
  <si>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</si>
  <si>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</si>
  <si>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</si>
  <si>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</si>
  <si>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</si>
  <si>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</si>
  <si>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</si>
  <si>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</si>
  <si>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</si>
  <si>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</si>
  <si>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</si>
  <si>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</si>
  <si>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</si>
  <si>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</si>
  <si>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</si>
  <si>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</si>
  <si>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</si>
  <si>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</si>
  <si>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</si>
  <si>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</si>
  <si>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</si>
  <si>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</si>
  <si>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</si>
  <si>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</si>
  <si>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</si>
  <si>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</si>
  <si>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</si>
  <si>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</si>
  <si>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</si>
  <si>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</si>
  <si>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</si>
  <si>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</si>
  <si>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</si>
  <si>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</si>
  <si>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</si>
  <si>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</si>
  <si>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</si>
  <si>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</si>
  <si>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</si>
  <si>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</si>
  <si>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</si>
  <si>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</si>
  <si>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</si>
  <si>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</si>
  <si>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</si>
  <si>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</si>
  <si>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</si>
  <si>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</si>
  <si>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</si>
  <si>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</si>
  <si>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</si>
  <si>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</si>
  <si>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</si>
  <si>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</si>
  <si>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</si>
  <si>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</si>
  <si>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</si>
  <si>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</si>
  <si>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</si>
  <si>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</si>
  <si>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</si>
  <si>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</si>
  <si>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</si>
  <si>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</si>
  <si>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</si>
  <si>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</si>
  <si>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</si>
  <si>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</si>
  <si>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</si>
  <si>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</si>
  <si>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</si>
  <si>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</si>
  <si>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</si>
  <si>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</si>
  <si>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</si>
  <si>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</si>
  <si>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</si>
  <si>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</si>
  <si>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</si>
  <si>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</si>
  <si>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</si>
  <si>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</si>
  <si>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</si>
  <si>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</si>
  <si>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</si>
  <si>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</si>
  <si>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</si>
  <si>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</si>
  <si>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</si>
  <si>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</si>
  <si>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</si>
  <si>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</si>
  <si>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</si>
  <si>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</si>
  <si>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</si>
  <si>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</si>
  <si>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</si>
  <si>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</si>
  <si>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</si>
  <si>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</si>
  <si>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</si>
  <si>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</si>
  <si>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</si>
  <si>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</si>
  <si>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</si>
  <si>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</si>
  <si>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</si>
  <si>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</si>
  <si>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</si>
  <si>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</si>
  <si>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</si>
  <si>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</si>
  <si>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</si>
  <si>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</si>
  <si>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</si>
  <si>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</si>
  <si>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</si>
  <si>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</si>
  <si>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</si>
  <si>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</si>
  <si>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</si>
  <si>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</si>
  <si>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</si>
  <si>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</si>
  <si>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</si>
  <si>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</si>
  <si>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</si>
  <si>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</si>
  <si>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</si>
  <si>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</si>
  <si>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</si>
  <si>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</si>
  <si>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</si>
  <si>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</si>
  <si>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</si>
  <si>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</si>
  <si>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</si>
  <si>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</si>
  <si>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</si>
  <si>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</si>
  <si>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</si>
  <si>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</si>
  <si>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</si>
  <si>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</si>
  <si>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</si>
  <si>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</si>
  <si>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</si>
  <si>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</si>
  <si>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</si>
  <si>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</si>
  <si>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</si>
  <si>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</si>
  <si>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</si>
  <si>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</si>
  <si>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</si>
  <si>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</si>
  <si>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</si>
  <si>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</si>
  <si>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</si>
  <si>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</si>
  <si>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</si>
  <si>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</si>
  <si>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</si>
  <si>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</si>
  <si>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</si>
  <si>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</si>
  <si>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</si>
  <si>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</si>
  <si>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</si>
  <si>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</si>
  <si>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</si>
  <si>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</si>
  <si>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</si>
  <si>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</si>
  <si>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</si>
  <si>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</si>
  <si>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</si>
  <si>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</si>
  <si>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</si>
  <si>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</si>
  <si>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</si>
  <si>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</si>
  <si>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</si>
  <si>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</si>
  <si>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</si>
  <si>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</si>
  <si>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</si>
  <si>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</si>
  <si>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</si>
  <si>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</si>
  <si>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</si>
  <si>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</si>
  <si>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</si>
  <si>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</si>
  <si>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</si>
  <si>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</si>
  <si>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</si>
  <si>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</si>
  <si>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</si>
  <si>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</si>
  <si>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</si>
  <si>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</si>
  <si>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</si>
  <si>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</si>
  <si>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</si>
  <si>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</si>
  <si>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</si>
  <si>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</si>
  <si>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</si>
  <si>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</si>
  <si>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</si>
  <si>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</si>
  <si>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</si>
  <si>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</si>
  <si>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</si>
  <si>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</si>
  <si>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</si>
  <si>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</si>
  <si>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</si>
  <si>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</si>
  <si>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</si>
  <si>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</si>
  <si>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</si>
  <si>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</si>
  <si>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</si>
  <si>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</si>
  <si>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</si>
  <si>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</si>
  <si>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</si>
  <si>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</si>
  <si>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</si>
  <si>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</si>
  <si>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</si>
  <si>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</si>
  <si>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</si>
  <si>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</si>
  <si>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</si>
  <si>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</si>
  <si>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</si>
  <si>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</si>
  <si>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</si>
  <si>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</si>
  <si>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</si>
  <si>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</si>
  <si>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</si>
  <si>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</si>
  <si>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</si>
  <si>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</si>
  <si>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</si>
  <si>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</si>
  <si>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</si>
  <si>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</si>
  <si>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</si>
  <si>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</si>
  <si>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</si>
  <si>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</si>
  <si>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</si>
  <si>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</si>
  <si>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</si>
  <si>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</si>
  <si>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</si>
  <si>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</si>
  <si>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</si>
  <si>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</si>
  <si>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</si>
  <si>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</si>
  <si>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</si>
  <si>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</si>
  <si>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</si>
  <si>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</si>
  <si>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</si>
  <si>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</si>
  <si>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</si>
  <si>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</si>
  <si>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</si>
  <si>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</si>
  <si>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</si>
  <si>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</si>
  <si>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</si>
  <si>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</si>
  <si>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</si>
  <si>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</si>
  <si>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</si>
  <si>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</si>
  <si>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</si>
  <si>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</si>
  <si>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</si>
  <si>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</si>
  <si>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</si>
  <si>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</si>
  <si>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</si>
  <si>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</si>
  <si>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</si>
  <si>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</si>
  <si>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</si>
  <si>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</si>
  <si>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</si>
  <si>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</si>
  <si>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</si>
  <si>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</si>
  <si>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</si>
  <si>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</si>
  <si>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</si>
  <si>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</si>
  <si>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</si>
  <si>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</si>
  <si>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</si>
  <si>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</si>
  <si>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</si>
  <si>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</si>
  <si>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</si>
  <si>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</si>
  <si>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</si>
  <si>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</si>
  <si>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</si>
  <si>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</si>
  <si>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</si>
  <si>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</si>
  <si>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</si>
  <si>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</si>
  <si>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</si>
  <si>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</si>
  <si>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</si>
  <si>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</si>
  <si>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</si>
  <si>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</si>
  <si>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</si>
  <si>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</si>
  <si>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</si>
  <si>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</si>
  <si>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</si>
  <si>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</si>
  <si>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</si>
  <si>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</si>
  <si>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</si>
  <si>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</si>
  <si>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</si>
  <si>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</si>
  <si>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</si>
  <si>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</si>
  <si>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</si>
  <si>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</si>
  <si>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</si>
  <si>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</si>
  <si>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</si>
  <si>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</si>
  <si>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</si>
  <si>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</si>
  <si>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</si>
  <si>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</si>
  <si>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</si>
  <si>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</si>
  <si>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</si>
  <si>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</si>
  <si>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</si>
  <si>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</si>
  <si>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</si>
  <si>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</si>
  <si>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</si>
  <si>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</si>
  <si>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</si>
  <si>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</si>
  <si>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</si>
  <si>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</si>
  <si>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</si>
  <si>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</si>
  <si>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</si>
  <si>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</si>
  <si>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</si>
  <si>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</si>
  <si>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</si>
  <si>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</si>
  <si>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</si>
  <si>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</si>
  <si>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</si>
  <si>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</si>
  <si>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</si>
  <si>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</si>
  <si>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</si>
  <si>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</si>
  <si>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</si>
  <si>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</si>
  <si>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</si>
  <si>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</si>
  <si>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</si>
  <si>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</si>
  <si>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</si>
  <si>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</si>
  <si>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</si>
  <si>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</si>
  <si>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</si>
  <si>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</si>
  <si>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</si>
  <si>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</si>
  <si>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</si>
  <si>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</si>
  <si>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</si>
  <si>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</si>
  <si>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</si>
  <si>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</si>
  <si>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</si>
  <si>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</si>
  <si>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</si>
  <si>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</si>
  <si>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</si>
  <si>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</si>
  <si>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</si>
  <si>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</si>
  <si>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</si>
  <si>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</si>
  <si>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</si>
  <si>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</si>
  <si>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</si>
  <si>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</si>
  <si>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</si>
  <si>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</si>
  <si>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</si>
  <si>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</si>
  <si>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</si>
  <si>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</si>
  <si>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</si>
  <si>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</si>
  <si>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</si>
  <si>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</si>
  <si>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</si>
  <si>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</si>
  <si>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</si>
  <si>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</si>
  <si>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</si>
  <si>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</si>
  <si>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</si>
  <si>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</si>
  <si>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</si>
  <si>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</si>
  <si>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</si>
  <si>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</si>
  <si>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</si>
  <si>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</si>
  <si>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</si>
  <si>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</si>
  <si>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</si>
  <si>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</si>
  <si>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</si>
  <si>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</si>
  <si>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</si>
  <si>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</si>
  <si>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</si>
  <si>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</si>
  <si>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</si>
  <si>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</si>
  <si>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</si>
  <si>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</si>
  <si>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</si>
  <si>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</si>
  <si>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</si>
  <si>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</si>
  <si>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</si>
  <si>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</si>
  <si>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</si>
  <si>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</si>
  <si>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</si>
  <si>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</si>
  <si>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</si>
  <si>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</si>
  <si>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</si>
  <si>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</si>
  <si>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</si>
  <si>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</si>
  <si>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</si>
  <si>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</si>
  <si>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</si>
  <si>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</si>
  <si>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</si>
  <si>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</si>
  <si>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</si>
  <si>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</si>
  <si>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</si>
  <si>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</si>
  <si>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</si>
  <si>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</si>
  <si>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</si>
  <si>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</si>
  <si>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</si>
  <si>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</si>
  <si>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</si>
  <si>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</si>
  <si>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</si>
  <si>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</si>
  <si>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</si>
  <si>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</si>
  <si>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</si>
  <si>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</si>
  <si>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</si>
  <si>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</si>
  <si>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</si>
  <si>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</si>
  <si>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</si>
  <si>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</si>
  <si>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</si>
  <si>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</si>
  <si>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</si>
  <si>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</si>
  <si>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</si>
  <si>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</si>
  <si>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</si>
  <si>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</si>
  <si>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</si>
  <si>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</si>
  <si>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</si>
  <si>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</si>
  <si>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</si>
  <si>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</si>
  <si>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</si>
  <si>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</si>
  <si>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</si>
  <si>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</si>
  <si>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</si>
  <si>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</si>
  <si>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</si>
  <si>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</si>
  <si>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</si>
  <si>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</si>
  <si>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</si>
  <si>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</si>
  <si>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</si>
  <si>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</si>
  <si>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</si>
  <si>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</si>
  <si>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</si>
  <si>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</si>
  <si>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</si>
  <si>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</si>
  <si>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</si>
  <si>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</si>
  <si>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</si>
  <si>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</si>
  <si>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</si>
  <si>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</si>
  <si>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</si>
  <si>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</si>
  <si>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</si>
  <si>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</si>
  <si>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</si>
  <si>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</si>
  <si>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</si>
  <si>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</si>
  <si>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</si>
  <si>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</si>
  <si>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</si>
  <si>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</si>
  <si>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</si>
  <si>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</si>
  <si>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</si>
  <si>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</si>
  <si>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</si>
  <si>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</si>
  <si>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</si>
  <si>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</si>
  <si>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</si>
  <si>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</si>
  <si>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</si>
  <si>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</si>
  <si>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</si>
  <si>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</si>
  <si>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</si>
  <si>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</si>
  <si>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</si>
  <si>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</si>
  <si>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</si>
  <si>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</si>
  <si>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</si>
  <si>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</si>
  <si>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</si>
  <si>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</si>
  <si>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</si>
  <si>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</si>
  <si>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</si>
  <si>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</si>
  <si>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</si>
  <si>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</si>
  <si>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</si>
  <si>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</si>
  <si>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</si>
  <si>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</si>
  <si>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</si>
  <si>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</si>
  <si>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</si>
  <si>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</si>
  <si>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</si>
  <si>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</si>
  <si>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</si>
  <si>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</si>
  <si>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</si>
  <si>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</si>
  <si>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</si>
  <si>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</si>
  <si>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</si>
  <si>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</si>
  <si>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</si>
  <si>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</si>
  <si>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</si>
  <si>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</si>
  <si>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</si>
  <si>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</si>
  <si>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</si>
  <si>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</si>
  <si>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</si>
  <si>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</si>
  <si>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</si>
  <si>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</si>
  <si>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</si>
  <si>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</si>
  <si>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</si>
  <si>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</si>
  <si>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</si>
  <si>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</si>
  <si>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</si>
  <si>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 xml:space="preserve"> </t>
  </si>
  <si>
    <t>Load Accuracy Test. Forces Table</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</si>
  <si>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t>
  </si>
  <si>
    <t>H to S</t>
  </si>
  <si>
    <t>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</si>
</sst>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h:mm:ss;@"/>
  </numFmts>
  <fonts count="2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rgb="FFFFFFFF"/>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14">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7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0" fontId="2" fillId="0" borderId="1" xfId="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2" xfId="1" quotePrefix="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1" fontId="13" fillId="5" borderId="25" xfId="4" applyNumberFormat="1"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0" fillId="17" borderId="25" xfId="0" applyFill="1" applyBorder="1" applyAlignment="1">
      <alignment horizont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14" fontId="10" fillId="26" borderId="29" xfId="0" applyNumberFormat="1" applyFont="1" applyFill="1" applyBorder="1" applyAlignment="1">
      <alignment horizontal="center"/>
    </xf>
    <xf numFmtId="167" fontId="10" fillId="26" borderId="30" xfId="0" applyNumberFormat="1"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7" borderId="25" xfId="3" applyNumberFormat="1" applyFill="1" applyBorder="1"/>
    <xf numFmtId="0" fontId="5" fillId="27" borderId="25" xfId="5" applyFill="1" applyBorder="1"/>
    <xf numFmtId="0" fontId="0" fillId="27" borderId="25" xfId="0" applyFill="1" applyBorder="1"/>
    <xf numFmtId="0" fontId="3" fillId="27"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0"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2"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0"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0" borderId="31" xfId="0" applyFont="1" applyBorder="1" applyAlignment="1">
      <alignment horizontal="center"/>
    </xf>
    <xf numFmtId="0" fontId="0" fillId="0" borderId="31"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6" fillId="15" borderId="2" xfId="15" applyFont="1" applyBorder="1" applyAlignment="1">
      <alignment horizontal="center"/>
    </xf>
    <xf numFmtId="0" fontId="6" fillId="15" borderId="3" xfId="15" applyFont="1" applyBorder="1" applyAlignment="1">
      <alignment horizontal="center"/>
    </xf>
    <xf numFmtId="0" fontId="6" fillId="15" borderId="4" xfId="15" applyFont="1" applyBorder="1" applyAlignment="1">
      <alignment horizontal="center"/>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0" fillId="17" borderId="25" xfId="0" applyFill="1" applyBorder="1" applyAlignment="1">
      <alignment horizontal="left"/>
    </xf>
    <xf numFmtId="0" fontId="0" fillId="17" borderId="25" xfId="0" applyFill="1" applyBorder="1" applyAlignment="1">
      <alignment horizontal="center"/>
    </xf>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4" borderId="25"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20" fillId="28" borderId="0" xfId="13" applyFont="1" applyFill="1" applyBorder="1" applyAlignment="1">
      <alignment horizontal="left" vertical="center"/>
    </xf>
    <xf numFmtId="0" fontId="20" fillId="28" borderId="0" xfId="4" applyFont="1" applyFill="1" applyBorder="1" applyAlignment="1">
      <alignment horizontal="left" vertical="center"/>
    </xf>
    <xf numFmtId="1" fontId="20" fillId="28" borderId="0" xfId="4" applyNumberFormat="1" applyFont="1" applyFill="1" applyBorder="1" applyAlignment="1">
      <alignment horizontal="left" vertical="center"/>
    </xf>
  </cellXfs>
  <cellStyles count="114">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421943584"/>
        <c:axId val="421935352"/>
      </c:scatterChart>
      <c:valAx>
        <c:axId val="421943584"/>
        <c:scaling>
          <c:orientation val="minMax"/>
        </c:scaling>
        <c:delete val="0"/>
        <c:axPos val="b"/>
        <c:numFmt formatCode="General" sourceLinked="1"/>
        <c:majorTickMark val="out"/>
        <c:minorTickMark val="none"/>
        <c:tickLblPos val="nextTo"/>
        <c:crossAx val="421935352"/>
        <c:crosses val="autoZero"/>
        <c:crossBetween val="midCat"/>
      </c:valAx>
      <c:valAx>
        <c:axId val="421935352"/>
        <c:scaling>
          <c:orientation val="minMax"/>
        </c:scaling>
        <c:delete val="0"/>
        <c:axPos val="l"/>
        <c:majorGridlines/>
        <c:numFmt formatCode="0.0" sourceLinked="1"/>
        <c:majorTickMark val="out"/>
        <c:minorTickMark val="none"/>
        <c:tickLblPos val="nextTo"/>
        <c:crossAx val="42194358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ser>
        <c:dLbls>
          <c:showLegendKey val="0"/>
          <c:showVal val="0"/>
          <c:showCatName val="0"/>
          <c:showSerName val="0"/>
          <c:showPercent val="0"/>
          <c:showBubbleSize val="0"/>
        </c:dLbls>
        <c:axId val="421935744"/>
        <c:axId val="421943192"/>
      </c:scatterChart>
      <c:valAx>
        <c:axId val="421935744"/>
        <c:scaling>
          <c:orientation val="minMax"/>
        </c:scaling>
        <c:delete val="0"/>
        <c:axPos val="b"/>
        <c:numFmt formatCode="General" sourceLinked="1"/>
        <c:majorTickMark val="out"/>
        <c:minorTickMark val="none"/>
        <c:tickLblPos val="nextTo"/>
        <c:crossAx val="421943192"/>
        <c:crosses val="autoZero"/>
        <c:crossBetween val="midCat"/>
      </c:valAx>
      <c:valAx>
        <c:axId val="421943192"/>
        <c:scaling>
          <c:orientation val="minMax"/>
        </c:scaling>
        <c:delete val="0"/>
        <c:axPos val="l"/>
        <c:majorGridlines/>
        <c:numFmt formatCode="0.0" sourceLinked="1"/>
        <c:majorTickMark val="out"/>
        <c:minorTickMark val="none"/>
        <c:tickLblPos val="nextTo"/>
        <c:crossAx val="421935744"/>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421938880"/>
        <c:axId val="421945544"/>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421942408"/>
        <c:axId val="421946328"/>
      </c:scatterChart>
      <c:valAx>
        <c:axId val="421938880"/>
        <c:scaling>
          <c:orientation val="minMax"/>
        </c:scaling>
        <c:delete val="0"/>
        <c:axPos val="b"/>
        <c:numFmt formatCode="General" sourceLinked="1"/>
        <c:majorTickMark val="out"/>
        <c:minorTickMark val="none"/>
        <c:tickLblPos val="nextTo"/>
        <c:crossAx val="421945544"/>
        <c:crosses val="autoZero"/>
        <c:crossBetween val="midCat"/>
      </c:valAx>
      <c:valAx>
        <c:axId val="421945544"/>
        <c:scaling>
          <c:orientation val="minMax"/>
        </c:scaling>
        <c:delete val="0"/>
        <c:axPos val="l"/>
        <c:majorGridlines/>
        <c:numFmt formatCode="0.0" sourceLinked="1"/>
        <c:majorTickMark val="out"/>
        <c:minorTickMark val="none"/>
        <c:tickLblPos val="nextTo"/>
        <c:crossAx val="421938880"/>
        <c:crosses val="autoZero"/>
        <c:crossBetween val="midCat"/>
      </c:valAx>
      <c:valAx>
        <c:axId val="421946328"/>
        <c:scaling>
          <c:orientation val="minMax"/>
          <c:max val="5"/>
          <c:min val="-5"/>
        </c:scaling>
        <c:delete val="0"/>
        <c:axPos val="r"/>
        <c:numFmt formatCode="0.0" sourceLinked="1"/>
        <c:majorTickMark val="out"/>
        <c:minorTickMark val="none"/>
        <c:tickLblPos val="nextTo"/>
        <c:crossAx val="421942408"/>
        <c:crosses val="max"/>
        <c:crossBetween val="midCat"/>
      </c:valAx>
      <c:valAx>
        <c:axId val="421942408"/>
        <c:scaling>
          <c:orientation val="minMax"/>
        </c:scaling>
        <c:delete val="1"/>
        <c:axPos val="b"/>
        <c:numFmt formatCode="General" sourceLinked="1"/>
        <c:majorTickMark val="out"/>
        <c:minorTickMark val="none"/>
        <c:tickLblPos val="none"/>
        <c:crossAx val="421946328"/>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ser>
        <c:dLbls>
          <c:showLegendKey val="0"/>
          <c:showVal val="0"/>
          <c:showCatName val="0"/>
          <c:showSerName val="0"/>
          <c:showPercent val="0"/>
          <c:showBubbleSize val="0"/>
        </c:dLbls>
        <c:axId val="421945152"/>
        <c:axId val="421944368"/>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ser>
        <c:dLbls>
          <c:showLegendKey val="0"/>
          <c:showVal val="0"/>
          <c:showCatName val="0"/>
          <c:showSerName val="0"/>
          <c:showPercent val="0"/>
          <c:showBubbleSize val="0"/>
        </c:dLbls>
        <c:axId val="421946720"/>
        <c:axId val="421938096"/>
      </c:scatterChart>
      <c:valAx>
        <c:axId val="421945152"/>
        <c:scaling>
          <c:orientation val="minMax"/>
        </c:scaling>
        <c:delete val="0"/>
        <c:axPos val="b"/>
        <c:numFmt formatCode="General" sourceLinked="1"/>
        <c:majorTickMark val="out"/>
        <c:minorTickMark val="none"/>
        <c:tickLblPos val="nextTo"/>
        <c:crossAx val="421944368"/>
        <c:crosses val="autoZero"/>
        <c:crossBetween val="midCat"/>
      </c:valAx>
      <c:valAx>
        <c:axId val="421944368"/>
        <c:scaling>
          <c:orientation val="minMax"/>
        </c:scaling>
        <c:delete val="0"/>
        <c:axPos val="l"/>
        <c:majorGridlines/>
        <c:numFmt formatCode="0.0" sourceLinked="1"/>
        <c:majorTickMark val="out"/>
        <c:minorTickMark val="none"/>
        <c:tickLblPos val="nextTo"/>
        <c:crossAx val="421945152"/>
        <c:crosses val="autoZero"/>
        <c:crossBetween val="midCat"/>
      </c:valAx>
      <c:valAx>
        <c:axId val="421938096"/>
        <c:scaling>
          <c:orientation val="minMax"/>
          <c:max val="5"/>
          <c:min val="-5"/>
        </c:scaling>
        <c:delete val="0"/>
        <c:axPos val="r"/>
        <c:numFmt formatCode="0.0" sourceLinked="1"/>
        <c:majorTickMark val="out"/>
        <c:minorTickMark val="none"/>
        <c:tickLblPos val="nextTo"/>
        <c:crossAx val="421946720"/>
        <c:crosses val="max"/>
        <c:crossBetween val="midCat"/>
      </c:valAx>
      <c:valAx>
        <c:axId val="421946720"/>
        <c:scaling>
          <c:orientation val="minMax"/>
        </c:scaling>
        <c:delete val="1"/>
        <c:axPos val="b"/>
        <c:numFmt formatCode="General" sourceLinked="1"/>
        <c:majorTickMark val="out"/>
        <c:minorTickMark val="none"/>
        <c:tickLblPos val="none"/>
        <c:crossAx val="421938096"/>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ser>
        <c:dLbls>
          <c:showLegendKey val="0"/>
          <c:showVal val="0"/>
          <c:showCatName val="0"/>
          <c:showSerName val="0"/>
          <c:showPercent val="0"/>
          <c:showBubbleSize val="0"/>
        </c:dLbls>
        <c:marker val="1"/>
        <c:smooth val="0"/>
        <c:axId val="421940840"/>
        <c:axId val="421947112"/>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ser>
        <c:dLbls>
          <c:showLegendKey val="0"/>
          <c:showVal val="0"/>
          <c:showCatName val="0"/>
          <c:showSerName val="0"/>
          <c:showPercent val="0"/>
          <c:showBubbleSize val="0"/>
        </c:dLbls>
        <c:marker val="1"/>
        <c:smooth val="0"/>
        <c:axId val="421938488"/>
        <c:axId val="421937704"/>
      </c:lineChart>
      <c:catAx>
        <c:axId val="421940840"/>
        <c:scaling>
          <c:orientation val="minMax"/>
        </c:scaling>
        <c:delete val="0"/>
        <c:axPos val="b"/>
        <c:numFmt formatCode="General" sourceLinked="1"/>
        <c:majorTickMark val="out"/>
        <c:minorTickMark val="none"/>
        <c:tickLblPos val="nextTo"/>
        <c:crossAx val="421947112"/>
        <c:crosses val="autoZero"/>
        <c:auto val="1"/>
        <c:lblAlgn val="ctr"/>
        <c:lblOffset val="200"/>
        <c:noMultiLvlLbl val="0"/>
      </c:catAx>
      <c:valAx>
        <c:axId val="421947112"/>
        <c:scaling>
          <c:orientation val="minMax"/>
          <c:max val="50"/>
        </c:scaling>
        <c:delete val="0"/>
        <c:axPos val="l"/>
        <c:majorGridlines/>
        <c:numFmt formatCode="0.0" sourceLinked="0"/>
        <c:majorTickMark val="out"/>
        <c:minorTickMark val="none"/>
        <c:tickLblPos val="nextTo"/>
        <c:crossAx val="421940840"/>
        <c:crossesAt val="1"/>
        <c:crossBetween val="midCat"/>
        <c:majorUnit val="10"/>
      </c:valAx>
      <c:valAx>
        <c:axId val="421937704"/>
        <c:scaling>
          <c:orientation val="minMax"/>
          <c:max val="5"/>
          <c:min val="-5"/>
        </c:scaling>
        <c:delete val="0"/>
        <c:axPos val="r"/>
        <c:numFmt formatCode="0.0" sourceLinked="0"/>
        <c:majorTickMark val="out"/>
        <c:minorTickMark val="none"/>
        <c:tickLblPos val="nextTo"/>
        <c:crossAx val="421938488"/>
        <c:crosses val="max"/>
        <c:crossBetween val="between"/>
      </c:valAx>
      <c:catAx>
        <c:axId val="421938488"/>
        <c:scaling>
          <c:orientation val="minMax"/>
        </c:scaling>
        <c:delete val="1"/>
        <c:axPos val="b"/>
        <c:numFmt formatCode="General" sourceLinked="1"/>
        <c:majorTickMark val="out"/>
        <c:minorTickMark val="none"/>
        <c:tickLblPos val="nextTo"/>
        <c:crossAx val="421937704"/>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180975</xdr:rowOff>
        </xdr:from>
        <xdr:to>
          <xdr:col>14</xdr:col>
          <xdr:colOff>409575</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180975</xdr:rowOff>
        </xdr:from>
        <xdr:to>
          <xdr:col>14</xdr:col>
          <xdr:colOff>409575</xdr:colOff>
          <xdr:row>23</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180975</xdr:rowOff>
        </xdr:from>
        <xdr:to>
          <xdr:col>14</xdr:col>
          <xdr:colOff>409575</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180975</xdr:rowOff>
        </xdr:from>
        <xdr:to>
          <xdr:col>14</xdr:col>
          <xdr:colOff>409575</xdr:colOff>
          <xdr:row>25</xdr:row>
          <xdr:rowOff>66675</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180975</xdr:rowOff>
        </xdr:from>
        <xdr:to>
          <xdr:col>14</xdr:col>
          <xdr:colOff>409575</xdr:colOff>
          <xdr:row>26</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180975</xdr:rowOff>
        </xdr:from>
        <xdr:to>
          <xdr:col>14</xdr:col>
          <xdr:colOff>409575</xdr:colOff>
          <xdr:row>27</xdr:row>
          <xdr:rowOff>66675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409575</xdr:colOff>
          <xdr:row>28</xdr:row>
          <xdr:rowOff>66675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180975</xdr:rowOff>
        </xdr:from>
        <xdr:to>
          <xdr:col>14</xdr:col>
          <xdr:colOff>409575</xdr:colOff>
          <xdr:row>29</xdr:row>
          <xdr:rowOff>66675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180975</xdr:rowOff>
        </xdr:from>
        <xdr:to>
          <xdr:col>14</xdr:col>
          <xdr:colOff>409575</xdr:colOff>
          <xdr:row>30</xdr:row>
          <xdr:rowOff>66675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180975</xdr:rowOff>
        </xdr:from>
        <xdr:to>
          <xdr:col>14</xdr:col>
          <xdr:colOff>409575</xdr:colOff>
          <xdr:row>31</xdr:row>
          <xdr:rowOff>66675</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180975</xdr:rowOff>
        </xdr:from>
        <xdr:to>
          <xdr:col>14</xdr:col>
          <xdr:colOff>409575</xdr:colOff>
          <xdr:row>32</xdr:row>
          <xdr:rowOff>66675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180975</xdr:rowOff>
        </xdr:from>
        <xdr:to>
          <xdr:col>14</xdr:col>
          <xdr:colOff>409575</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180975</xdr:rowOff>
        </xdr:from>
        <xdr:to>
          <xdr:col>14</xdr:col>
          <xdr:colOff>409575</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180975</xdr:rowOff>
        </xdr:from>
        <xdr:to>
          <xdr:col>14</xdr:col>
          <xdr:colOff>409575</xdr:colOff>
          <xdr:row>33</xdr:row>
          <xdr:rowOff>66675</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180975</xdr:rowOff>
        </xdr:from>
        <xdr:to>
          <xdr:col>30</xdr:col>
          <xdr:colOff>409575</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180975</xdr:rowOff>
        </xdr:from>
        <xdr:to>
          <xdr:col>30</xdr:col>
          <xdr:colOff>409575</xdr:colOff>
          <xdr:row>23</xdr:row>
          <xdr:rowOff>66675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180975</xdr:rowOff>
        </xdr:from>
        <xdr:to>
          <xdr:col>30</xdr:col>
          <xdr:colOff>409575</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180975</xdr:rowOff>
        </xdr:from>
        <xdr:to>
          <xdr:col>30</xdr:col>
          <xdr:colOff>409575</xdr:colOff>
          <xdr:row>25</xdr:row>
          <xdr:rowOff>66675</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180975</xdr:rowOff>
        </xdr:from>
        <xdr:to>
          <xdr:col>30</xdr:col>
          <xdr:colOff>409575</xdr:colOff>
          <xdr:row>26</xdr:row>
          <xdr:rowOff>66675</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180975</xdr:rowOff>
        </xdr:from>
        <xdr:to>
          <xdr:col>30</xdr:col>
          <xdr:colOff>409575</xdr:colOff>
          <xdr:row>27</xdr:row>
          <xdr:rowOff>66675</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180975</xdr:rowOff>
        </xdr:from>
        <xdr:to>
          <xdr:col>30</xdr:col>
          <xdr:colOff>409575</xdr:colOff>
          <xdr:row>28</xdr:row>
          <xdr:rowOff>66675</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180975</xdr:rowOff>
        </xdr:from>
        <xdr:to>
          <xdr:col>30</xdr:col>
          <xdr:colOff>409575</xdr:colOff>
          <xdr:row>29</xdr:row>
          <xdr:rowOff>66675</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180975</xdr:rowOff>
        </xdr:from>
        <xdr:to>
          <xdr:col>30</xdr:col>
          <xdr:colOff>409575</xdr:colOff>
          <xdr:row>30</xdr:row>
          <xdr:rowOff>66675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180975</xdr:rowOff>
        </xdr:from>
        <xdr:to>
          <xdr:col>30</xdr:col>
          <xdr:colOff>409575</xdr:colOff>
          <xdr:row>31</xdr:row>
          <xdr:rowOff>66675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180975</xdr:rowOff>
        </xdr:from>
        <xdr:to>
          <xdr:col>30</xdr:col>
          <xdr:colOff>409575</xdr:colOff>
          <xdr:row>32</xdr:row>
          <xdr:rowOff>66675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180975</xdr:rowOff>
        </xdr:from>
        <xdr:to>
          <xdr:col>30</xdr:col>
          <xdr:colOff>409575</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180975</xdr:rowOff>
        </xdr:from>
        <xdr:to>
          <xdr:col>30</xdr:col>
          <xdr:colOff>409575</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30</xdr:col>
          <xdr:colOff>409575</xdr:colOff>
          <xdr:row>33</xdr:row>
          <xdr:rowOff>66675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2" zoomScale="125" zoomScaleNormal="125" zoomScaleSheetLayoutView="85" zoomScalePageLayoutView="125" workbookViewId="0">
      <selection activeCell="D23" sqref="D23:G23"/>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26.28515625"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9"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306"/>
      <c r="B1" s="307"/>
      <c r="C1" s="306"/>
      <c r="D1" s="1" t="s">
        <v>0</v>
      </c>
      <c r="E1" s="308" t="s">
        <v>12</v>
      </c>
      <c r="F1" s="308"/>
      <c r="G1" s="308"/>
      <c r="H1" s="308"/>
      <c r="I1" s="308"/>
      <c r="J1" s="308"/>
      <c r="M1" s="2"/>
    </row>
    <row r="2" spans="1:13" x14ac:dyDescent="0.25">
      <c r="A2" s="306"/>
      <c r="B2" s="307"/>
      <c r="C2" s="306"/>
      <c r="D2" s="1" t="s">
        <v>1</v>
      </c>
      <c r="E2" s="308" t="s">
        <v>13</v>
      </c>
      <c r="F2" s="308"/>
      <c r="G2" s="308"/>
      <c r="H2" s="308"/>
      <c r="I2" s="308"/>
      <c r="J2" s="308"/>
      <c r="M2" s="2"/>
    </row>
    <row r="3" spans="1:13" x14ac:dyDescent="0.25">
      <c r="A3" s="306"/>
      <c r="B3" s="307"/>
      <c r="C3" s="306"/>
      <c r="D3" s="1" t="s">
        <v>2</v>
      </c>
      <c r="E3" s="308">
        <v>11</v>
      </c>
      <c r="F3" s="308"/>
      <c r="G3" s="308"/>
      <c r="H3" s="308"/>
      <c r="I3" s="308"/>
      <c r="J3" s="308"/>
      <c r="M3" s="2"/>
    </row>
    <row r="4" spans="1:13" x14ac:dyDescent="0.25">
      <c r="M4" s="2"/>
    </row>
    <row r="5" spans="1:13" ht="21.6" customHeight="1" x14ac:dyDescent="0.25">
      <c r="A5" s="3" t="s">
        <v>3</v>
      </c>
      <c r="B5" s="157"/>
      <c r="C5" s="4"/>
      <c r="D5" s="4"/>
      <c r="E5" s="4"/>
      <c r="F5" s="4"/>
      <c r="G5" s="4"/>
      <c r="H5" s="4"/>
      <c r="I5" s="4"/>
      <c r="J5" s="5"/>
      <c r="M5" s="2"/>
    </row>
    <row r="6" spans="1:13" ht="129.75" customHeight="1" x14ac:dyDescent="0.25">
      <c r="A6" s="309" t="s">
        <v>616</v>
      </c>
      <c r="B6" s="310"/>
      <c r="C6" s="311"/>
      <c r="D6" s="311"/>
      <c r="E6" s="311"/>
      <c r="F6" s="311"/>
      <c r="G6" s="311"/>
      <c r="H6" s="311"/>
      <c r="I6" s="311"/>
      <c r="J6" s="312"/>
      <c r="M6" s="2"/>
    </row>
    <row r="7" spans="1:13" ht="21.6" customHeight="1" x14ac:dyDescent="0.25">
      <c r="A7" s="6"/>
      <c r="B7" s="6"/>
      <c r="C7" s="6"/>
      <c r="D7" s="6"/>
      <c r="E7" s="6"/>
      <c r="F7" s="6"/>
      <c r="G7" s="6"/>
      <c r="H7" s="6"/>
      <c r="I7" s="6"/>
      <c r="J7" s="6"/>
      <c r="M7" s="2"/>
    </row>
    <row r="8" spans="1:13" ht="21.6" customHeight="1" x14ac:dyDescent="0.25">
      <c r="A8" s="7"/>
      <c r="B8" s="7"/>
      <c r="C8" s="7"/>
      <c r="D8" s="7"/>
      <c r="E8" s="7"/>
      <c r="F8" s="7"/>
      <c r="G8" s="7"/>
      <c r="H8" s="7"/>
      <c r="I8" s="7"/>
      <c r="J8" s="7"/>
      <c r="M8" s="2"/>
    </row>
    <row r="9" spans="1:13" ht="21.6" customHeight="1" x14ac:dyDescent="0.25">
      <c r="A9" s="3" t="s">
        <v>4</v>
      </c>
      <c r="B9" s="157"/>
      <c r="C9" s="8"/>
      <c r="D9" s="8"/>
      <c r="E9" s="8"/>
      <c r="F9" s="8"/>
      <c r="G9" s="8"/>
      <c r="H9" s="8"/>
      <c r="I9" s="9"/>
      <c r="M9" s="2"/>
    </row>
    <row r="10" spans="1:13" ht="45" customHeight="1" x14ac:dyDescent="0.25">
      <c r="A10" s="10" t="s">
        <v>5</v>
      </c>
      <c r="B10" s="158" t="s">
        <v>554</v>
      </c>
      <c r="C10" s="10" t="s">
        <v>6</v>
      </c>
      <c r="D10" s="313" t="s">
        <v>7</v>
      </c>
      <c r="E10" s="314"/>
      <c r="F10" s="314"/>
      <c r="G10" s="315"/>
      <c r="H10" s="10" t="s">
        <v>8</v>
      </c>
      <c r="I10" s="10" t="s">
        <v>9</v>
      </c>
      <c r="L10" s="11"/>
      <c r="M10" s="12"/>
    </row>
    <row r="11" spans="1:13" ht="31.5" customHeight="1" x14ac:dyDescent="0.25">
      <c r="A11" s="20" t="s">
        <v>519</v>
      </c>
      <c r="B11" s="159"/>
      <c r="C11" s="20" t="s">
        <v>11</v>
      </c>
      <c r="D11" s="299" t="s">
        <v>523</v>
      </c>
      <c r="E11" s="297"/>
      <c r="F11" s="297"/>
      <c r="G11" s="298"/>
      <c r="H11" s="20" t="s">
        <v>10</v>
      </c>
      <c r="I11" s="14">
        <v>41645</v>
      </c>
      <c r="L11" s="11"/>
      <c r="M11" s="12"/>
    </row>
    <row r="12" spans="1:13" ht="31.5" customHeight="1" x14ac:dyDescent="0.25">
      <c r="A12" s="20" t="s">
        <v>524</v>
      </c>
      <c r="B12" s="159"/>
      <c r="C12" s="20" t="s">
        <v>11</v>
      </c>
      <c r="D12" s="299" t="s">
        <v>525</v>
      </c>
      <c r="E12" s="297"/>
      <c r="F12" s="297"/>
      <c r="G12" s="298"/>
      <c r="H12" s="20" t="s">
        <v>10</v>
      </c>
      <c r="I12" s="14">
        <v>41647</v>
      </c>
      <c r="L12" s="11"/>
      <c r="M12" s="12"/>
    </row>
    <row r="13" spans="1:13" ht="31.5" customHeight="1" x14ac:dyDescent="0.25">
      <c r="A13" s="101" t="s">
        <v>526</v>
      </c>
      <c r="B13" s="101"/>
      <c r="C13" s="20" t="s">
        <v>11</v>
      </c>
      <c r="D13" s="299" t="s">
        <v>527</v>
      </c>
      <c r="E13" s="297"/>
      <c r="F13" s="297"/>
      <c r="G13" s="298"/>
      <c r="H13" s="20" t="s">
        <v>10</v>
      </c>
      <c r="I13" s="15">
        <v>41652</v>
      </c>
      <c r="L13" s="11"/>
      <c r="M13" s="12"/>
    </row>
    <row r="14" spans="1:13" ht="31.5" customHeight="1" x14ac:dyDescent="0.25">
      <c r="A14" s="20" t="s">
        <v>528</v>
      </c>
      <c r="B14" s="159"/>
      <c r="C14" s="20" t="s">
        <v>11</v>
      </c>
      <c r="D14" s="299" t="s">
        <v>529</v>
      </c>
      <c r="E14" s="297"/>
      <c r="F14" s="297"/>
      <c r="G14" s="298"/>
      <c r="H14" s="20" t="s">
        <v>10</v>
      </c>
      <c r="I14" s="14">
        <v>41656</v>
      </c>
      <c r="L14" s="11"/>
      <c r="M14" s="12"/>
    </row>
    <row r="15" spans="1:13" ht="31.5" customHeight="1" x14ac:dyDescent="0.25">
      <c r="A15" s="20" t="s">
        <v>532</v>
      </c>
      <c r="B15" s="159"/>
      <c r="C15" s="20" t="s">
        <v>11</v>
      </c>
      <c r="D15" s="299" t="s">
        <v>542</v>
      </c>
      <c r="E15" s="297"/>
      <c r="F15" s="297"/>
      <c r="G15" s="298"/>
      <c r="H15" s="20" t="s">
        <v>10</v>
      </c>
      <c r="I15" s="119">
        <v>41661</v>
      </c>
      <c r="M15" s="2"/>
    </row>
    <row r="16" spans="1:13" ht="48.75" customHeight="1" x14ac:dyDescent="0.25">
      <c r="A16" s="20">
        <v>4</v>
      </c>
      <c r="B16" s="159" t="s">
        <v>552</v>
      </c>
      <c r="C16" s="20" t="s">
        <v>11</v>
      </c>
      <c r="D16" s="299" t="s">
        <v>551</v>
      </c>
      <c r="E16" s="297"/>
      <c r="F16" s="297"/>
      <c r="G16" s="298"/>
      <c r="H16" s="20" t="s">
        <v>10</v>
      </c>
      <c r="I16" s="119">
        <v>41676</v>
      </c>
      <c r="M16" s="2"/>
    </row>
    <row r="17" spans="1:13" ht="31.5" customHeight="1" x14ac:dyDescent="0.25">
      <c r="A17" s="20">
        <v>5</v>
      </c>
      <c r="B17" s="159" t="s">
        <v>553</v>
      </c>
      <c r="C17" s="20"/>
      <c r="D17" s="299" t="s">
        <v>555</v>
      </c>
      <c r="E17" s="297"/>
      <c r="F17" s="297"/>
      <c r="G17" s="298"/>
      <c r="H17" s="20" t="s">
        <v>556</v>
      </c>
      <c r="I17" s="14">
        <v>41690</v>
      </c>
      <c r="M17" s="2"/>
    </row>
    <row r="18" spans="1:13" ht="201.75" customHeight="1" x14ac:dyDescent="0.25">
      <c r="A18" s="20">
        <v>6</v>
      </c>
      <c r="B18" s="159" t="s">
        <v>512</v>
      </c>
      <c r="C18" s="20"/>
      <c r="D18" s="299" t="s">
        <v>590</v>
      </c>
      <c r="E18" s="297"/>
      <c r="F18" s="297"/>
      <c r="G18" s="298"/>
      <c r="H18" s="20" t="s">
        <v>589</v>
      </c>
      <c r="I18" s="14">
        <v>41852</v>
      </c>
      <c r="M18" s="2"/>
    </row>
    <row r="19" spans="1:13" ht="38.1" customHeight="1" x14ac:dyDescent="0.25">
      <c r="A19" s="207">
        <v>7</v>
      </c>
      <c r="B19" s="208" t="s">
        <v>591</v>
      </c>
      <c r="C19" s="208"/>
      <c r="D19" s="303" t="s">
        <v>613</v>
      </c>
      <c r="E19" s="304"/>
      <c r="F19" s="304"/>
      <c r="G19" s="305"/>
      <c r="H19" s="208" t="s">
        <v>556</v>
      </c>
      <c r="I19" s="209">
        <v>41922</v>
      </c>
      <c r="M19" s="2"/>
    </row>
    <row r="20" spans="1:13" ht="134.25" customHeight="1" x14ac:dyDescent="0.25">
      <c r="A20" s="20">
        <v>8</v>
      </c>
      <c r="B20" s="159" t="s">
        <v>614</v>
      </c>
      <c r="C20" s="20"/>
      <c r="D20" s="299" t="s">
        <v>615</v>
      </c>
      <c r="E20" s="297"/>
      <c r="F20" s="297"/>
      <c r="G20" s="298"/>
      <c r="H20" s="20" t="s">
        <v>556</v>
      </c>
      <c r="I20" s="14">
        <v>41929</v>
      </c>
      <c r="M20" s="2"/>
    </row>
    <row r="21" spans="1:13" ht="216.6" customHeight="1" x14ac:dyDescent="0.25">
      <c r="A21" s="20">
        <v>9</v>
      </c>
      <c r="B21" s="159" t="s">
        <v>617</v>
      </c>
      <c r="C21" s="20"/>
      <c r="D21" s="299" t="s">
        <v>648</v>
      </c>
      <c r="E21" s="297"/>
      <c r="F21" s="297"/>
      <c r="G21" s="298"/>
      <c r="H21" s="20" t="s">
        <v>589</v>
      </c>
      <c r="I21" s="14">
        <v>42118</v>
      </c>
      <c r="M21" s="2"/>
    </row>
    <row r="22" spans="1:13" ht="117.75" customHeight="1" x14ac:dyDescent="0.25">
      <c r="A22" s="20">
        <v>10</v>
      </c>
      <c r="B22" s="159" t="s">
        <v>513</v>
      </c>
      <c r="C22" s="20"/>
      <c r="D22" s="299" t="s">
        <v>659</v>
      </c>
      <c r="E22" s="297"/>
      <c r="F22" s="297"/>
      <c r="G22" s="298"/>
      <c r="H22" s="20" t="s">
        <v>556</v>
      </c>
      <c r="I22" s="14">
        <v>42178</v>
      </c>
      <c r="M22" s="2"/>
    </row>
    <row r="23" spans="1:13" ht="345" customHeight="1" x14ac:dyDescent="0.25">
      <c r="A23" s="267">
        <v>11</v>
      </c>
      <c r="B23" s="268" t="s">
        <v>660</v>
      </c>
      <c r="C23" s="267"/>
      <c r="D23" s="300" t="s">
        <v>687</v>
      </c>
      <c r="E23" s="301"/>
      <c r="F23" s="301"/>
      <c r="G23" s="302"/>
      <c r="H23" s="268" t="s">
        <v>556</v>
      </c>
      <c r="I23" s="269">
        <v>42475</v>
      </c>
      <c r="M23" s="2"/>
    </row>
    <row r="24" spans="1:13" ht="31.5" customHeight="1" x14ac:dyDescent="0.25">
      <c r="A24" s="16"/>
      <c r="B24" s="161"/>
      <c r="C24" s="17"/>
      <c r="D24" s="296"/>
      <c r="E24" s="297"/>
      <c r="F24" s="297"/>
      <c r="G24" s="298"/>
      <c r="H24" s="13"/>
      <c r="I24" s="14"/>
      <c r="M24" s="2"/>
    </row>
    <row r="25" spans="1:13" ht="31.5" customHeight="1" x14ac:dyDescent="0.25">
      <c r="A25" s="13"/>
      <c r="B25" s="160"/>
      <c r="C25" s="13"/>
      <c r="D25" s="296"/>
      <c r="E25" s="297"/>
      <c r="F25" s="297"/>
      <c r="G25" s="298"/>
      <c r="H25" s="13"/>
      <c r="I25" s="18"/>
      <c r="M25" s="2"/>
    </row>
    <row r="26" spans="1:13" ht="31.5" customHeight="1" x14ac:dyDescent="0.25">
      <c r="A26" s="13"/>
      <c r="B26" s="160"/>
      <c r="C26" s="13"/>
      <c r="D26" s="296"/>
      <c r="E26" s="297"/>
      <c r="F26" s="297"/>
      <c r="G26" s="298"/>
      <c r="H26" s="13"/>
      <c r="I26" s="18"/>
      <c r="M26" s="2"/>
    </row>
    <row r="27" spans="1:13" x14ac:dyDescent="0.25">
      <c r="G27" s="293"/>
      <c r="M27" s="2"/>
    </row>
    <row r="28" spans="1:13" x14ac:dyDescent="0.25">
      <c r="M28" s="2"/>
    </row>
    <row r="29" spans="1:13" x14ac:dyDescent="0.25">
      <c r="M29" s="2"/>
    </row>
    <row r="30" spans="1:13" x14ac:dyDescent="0.25">
      <c r="M30" s="2"/>
    </row>
    <row r="31" spans="1:13" x14ac:dyDescent="0.25">
      <c r="M31" s="2"/>
    </row>
  </sheetData>
  <mergeCells count="22">
    <mergeCell ref="D16:G16"/>
    <mergeCell ref="A1:C3"/>
    <mergeCell ref="E1:J1"/>
    <mergeCell ref="E2:J2"/>
    <mergeCell ref="E3:J3"/>
    <mergeCell ref="A6:J6"/>
    <mergeCell ref="D10:G10"/>
    <mergeCell ref="D11:G11"/>
    <mergeCell ref="D12:G12"/>
    <mergeCell ref="D13:G13"/>
    <mergeCell ref="D14:G14"/>
    <mergeCell ref="D15:G15"/>
    <mergeCell ref="D24:G24"/>
    <mergeCell ref="D25:G25"/>
    <mergeCell ref="D26:G26"/>
    <mergeCell ref="D17:G17"/>
    <mergeCell ref="D18:G18"/>
    <mergeCell ref="D20:G20"/>
    <mergeCell ref="D21:G21"/>
    <mergeCell ref="D22:G22"/>
    <mergeCell ref="D23:G23"/>
    <mergeCell ref="D19:G19"/>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B170" workbookViewId="0">
      <selection activeCell="P80" sqref="P80"/>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855468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227">
        <f>'1204-Initial'!B4</f>
        <v>1013</v>
      </c>
      <c r="C4" s="227">
        <f>'1204-Initial'!C4</f>
        <v>5</v>
      </c>
      <c r="D4" s="227">
        <f>'1204-Initial'!D4</f>
        <v>9999</v>
      </c>
      <c r="E4" s="227">
        <f>'1204-Initial'!E4</f>
        <v>100</v>
      </c>
      <c r="F4" s="227" t="str">
        <f>'1204-Initial'!F4</f>
        <v>FF</v>
      </c>
      <c r="G4" s="234">
        <f>INDEX('FTS-Initialization'!$W$20:$W$32,MATCH(FLOOR($B$4,1000),'FTS-Initialization'!$V$20:$V$32,0))</f>
        <v>84</v>
      </c>
      <c r="H4" s="234" t="str">
        <f>INDEX('FTS-Initialization'!$X$20:$X$32,MATCH(FLOOR($B$4,1000),'FTS-Initialization'!$V$20:$V$32,0))</f>
        <v>TKA</v>
      </c>
      <c r="I4" s="235">
        <f ca="1">TODAY()</f>
        <v>42506</v>
      </c>
      <c r="J4" s="179">
        <f>'FTS-Initialization'!$AA$29</f>
        <v>100</v>
      </c>
      <c r="K4" s="179">
        <f>'FTS-Initialization'!$AA$29</f>
        <v>100</v>
      </c>
      <c r="L4" s="179"/>
      <c r="N4" t="s">
        <v>463</v>
      </c>
    </row>
    <row r="5" spans="2:32" x14ac:dyDescent="0.25">
      <c r="B5" s="183" t="str">
        <f>DEC2HEX(B4,4)</f>
        <v>03F5</v>
      </c>
      <c r="C5" s="183" t="str">
        <f>DEC2HEX(C4*2,2)</f>
        <v>0A</v>
      </c>
      <c r="D5" s="183" t="str">
        <f>DEC2HEX(D4,8)</f>
        <v>0000270F</v>
      </c>
      <c r="E5" s="183" t="str">
        <f>DEC2HEX(E4,8)</f>
        <v>00000064</v>
      </c>
      <c r="F5" s="184" t="str">
        <f ca="1">DEC2HEX(YEAR($I$4)-2010,2)</f>
        <v>06</v>
      </c>
      <c r="G5" s="183" t="str">
        <f ca="1">DEC2HEX(MONTH($I$4),2)</f>
        <v>05</v>
      </c>
      <c r="H5" s="183" t="str">
        <f ca="1">DEC2HEX(DAY($I$4),2)</f>
        <v>10</v>
      </c>
      <c r="I5" s="183" t="str">
        <f>DEC2HEX('FTS-Initialization'!$AA$31,2)</f>
        <v>00</v>
      </c>
      <c r="J5" s="183" t="str">
        <f t="shared" ref="J5:K5" si="0">DEC2HEX(J4)</f>
        <v>64</v>
      </c>
      <c r="K5" s="183" t="str">
        <f t="shared" si="0"/>
        <v>64</v>
      </c>
      <c r="L5" s="183">
        <f>'1204-Initial'!L5</f>
        <v>89</v>
      </c>
      <c r="N5" s="227">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00</v>
      </c>
      <c r="S6" s="80" t="str">
        <f>D25</f>
        <v>64</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19" ca="1" si="2">HEX2DEC(D9)</f>
        <v>2</v>
      </c>
      <c r="D9" s="78" t="str">
        <f ca="1">DEC2HEX(OFFSET('FTS-Initialization'!AC37,0,MATCH(H4,'FTS-Initialization'!$AD$36:$AE$36,0)),2)</f>
        <v>02</v>
      </c>
      <c r="E9" s="70" t="str">
        <f>'EEPROM-Contents'!L33</f>
        <v>SEN(0) X</v>
      </c>
      <c r="F9" s="71"/>
      <c r="G9" s="74"/>
      <c r="I9" s="28"/>
      <c r="J9" s="28"/>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I10" s="28"/>
      <c r="J10" s="28"/>
      <c r="K10" s="195">
        <f>E137</f>
        <v>-150</v>
      </c>
      <c r="L10" s="195">
        <f>G137</f>
        <v>-150</v>
      </c>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I11" s="102" t="s">
        <v>455</v>
      </c>
      <c r="J11" s="102" t="s">
        <v>447</v>
      </c>
      <c r="K11" s="102" t="s">
        <v>448</v>
      </c>
      <c r="L11" s="102" t="s">
        <v>449</v>
      </c>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ca="1">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ca="1">CONCATENATE($O$5,$P$5,$Q$5,$R$5,$S$5,$T$5,$U$5,$V$5,$W$5,$X$5,O12,P12,Q12,R12,S12,T12,U12,V12,W12,X12,Y12,Z12,AA12,AB12,AC12,AD12,"00")</f>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I13" s="102">
        <v>5</v>
      </c>
      <c r="J13" s="102">
        <v>250</v>
      </c>
      <c r="K13" s="104">
        <f t="shared" ref="K13:L17" si="3">$J13*K$10/100</f>
        <v>-375</v>
      </c>
      <c r="L13" s="104">
        <f t="shared" si="3"/>
        <v>-375</v>
      </c>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ref="AF13:AF32" si="4">CONCATENATE($O$5,$P$5,$Q$5,$R$5,$S$5,$T$5,$U$5,$V$5,$W$5,$X$5,O13,P13,Q13,R13,S13,T13,U13,V13,W13,X13,Y13,Z13,AA13,AB13,AC13,AD13,"00")</f>
        <v>1200CD7C0A000000000000062E2F07D3911B2844000A0F000F6C00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I14" s="102">
        <v>10</v>
      </c>
      <c r="J14" s="102">
        <v>500</v>
      </c>
      <c r="K14" s="104">
        <f t="shared" si="3"/>
        <v>-750</v>
      </c>
      <c r="L14" s="104">
        <f t="shared" si="3"/>
        <v>-750</v>
      </c>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4"/>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I15" s="102">
        <v>20</v>
      </c>
      <c r="J15" s="102">
        <v>1000</v>
      </c>
      <c r="K15" s="104">
        <f t="shared" si="3"/>
        <v>-1500</v>
      </c>
      <c r="L15" s="104">
        <f t="shared" si="3"/>
        <v>-1500</v>
      </c>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64</v>
      </c>
      <c r="AD15" s="85" t="str">
        <f>RIGHT(INDEX($D$9:$D$47,MATCH('EEPROM-Contents'!AF9,$B$9:$B$47,0)),2)</f>
        <v>89</v>
      </c>
      <c r="AF15" s="82" t="str">
        <f t="shared" si="4"/>
        <v>1200CD7C0A00000000000E785610EA2A001F410000000000648900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I16" s="102">
        <v>30</v>
      </c>
      <c r="J16" s="102">
        <v>1500</v>
      </c>
      <c r="K16" s="104">
        <f t="shared" si="3"/>
        <v>-2250</v>
      </c>
      <c r="L16" s="104">
        <f t="shared" si="3"/>
        <v>-2250</v>
      </c>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80</v>
      </c>
      <c r="AC16" s="85" t="str">
        <f>RIGHT(INDEX($D$9:$D$47,MATCH('EEPROM-Contents'!AE10,$B$9:$B$47,0)),2)</f>
        <v>00</v>
      </c>
      <c r="AD16" s="85" t="str">
        <f>RIGHT(INDEX($D$9:$D$47,MATCH('EEPROM-Contents'!AF10,$B$9:$B$47,0)),2)</f>
        <v>00</v>
      </c>
      <c r="AF16" s="82" t="str">
        <f t="shared" ref="AF16:AF21" ca="1" si="5">CONCATENATE($O$5,$P$5,$Q$5,$R$5,$S$5,$T$5,$U$5,$V$5,$W$5,$X$5,O16,P16,Q16,R16,S16,T16,U16,V16,W16,X16,Y16,Z16,AA16,AB16,AC16,AD16,"00")</f>
        <v>1200CD7C0A000000000006051003F50000270F8000800080000000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I17" s="102">
        <v>40</v>
      </c>
      <c r="J17" s="102">
        <v>2000</v>
      </c>
      <c r="K17" s="104">
        <f t="shared" si="3"/>
        <v>-3000</v>
      </c>
      <c r="L17" s="104">
        <f t="shared" si="3"/>
        <v>-3000</v>
      </c>
      <c r="N17" s="79" t="s">
        <v>350</v>
      </c>
      <c r="O17" s="85" t="str">
        <f>RIGHT(INDEX($D$9:$D$47,MATCH('EEPROM-Contents'!Q11,$B$9:$B$47,0)),2)</f>
        <v>00</v>
      </c>
      <c r="P17" s="85" t="str">
        <f>RIGHT(INDEX($D$9:$D$47,MATCH('EEPROM-Contents'!R11,$B$9:$B$47,0)),2)</f>
        <v>FF</v>
      </c>
      <c r="Q17" s="85" t="str">
        <f>RIGHT(INDEX($D$9:$D$47,MATCH('EEPROM-Contents'!S11,$B$9:$B$47,0)),2)</f>
        <v>6A</v>
      </c>
      <c r="R17" s="85" t="str">
        <f>RIGHT(INDEX($D$9:$D$47,MATCH('EEPROM-Contents'!T11,$B$9:$B$47,0)),2)</f>
        <v>6A</v>
      </c>
      <c r="S17" s="85" t="str">
        <f ca="1">RIGHT(INDEX($D$9:$D$47,MATCH('EEPROM-Contents'!U11,$B$9:$B$47,0)),2)</f>
        <v>76</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5"/>
        <v>1200CD7C0A000000000000FF6A6A76018906051003F50000270F00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I18" s="28"/>
      <c r="J18" s="28"/>
      <c r="K18" s="28"/>
      <c r="L18" s="28"/>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80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6A</v>
      </c>
      <c r="Y18" s="85" t="str">
        <f>RIGHT(INDEX($D$9:$D$47,MATCH('EEPROM-Contents'!AA12,$B$9:$B$47,0)),2)</f>
        <v>6A</v>
      </c>
      <c r="Z18" s="85" t="str">
        <f ca="1">RIGHT(INDEX($D$9:$D$47,MATCH('EEPROM-Contents'!AB12,$B$9:$B$47,0)),2)</f>
        <v>76</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5"/>
        <v>1200CD7C0A00000000008000800080000000FF6A6A760289060500</v>
      </c>
    </row>
    <row r="19" spans="2:32" x14ac:dyDescent="0.25">
      <c r="B19" s="86">
        <f>'EEPROM-Contents'!I19</f>
        <v>15</v>
      </c>
      <c r="C19" s="78">
        <f t="shared" si="2"/>
        <v>239</v>
      </c>
      <c r="D19" s="78" t="str">
        <f>'FTS-Initialization'!AA32</f>
        <v>EF</v>
      </c>
      <c r="E19" s="70" t="str">
        <f>'EEPROM-Contents'!L19</f>
        <v>GAINC</v>
      </c>
      <c r="F19" s="71"/>
      <c r="G19" s="74"/>
      <c r="I19" s="28"/>
      <c r="J19" s="28"/>
      <c r="K19" s="28"/>
      <c r="L19" s="28"/>
      <c r="N19" s="79" t="s">
        <v>352</v>
      </c>
      <c r="O19" s="85" t="str">
        <f ca="1">RIGHT(INDEX($D$9:$D$47,MATCH('EEPROM-Contents'!Q13,$B$9:$B$47,0)),2)</f>
        <v>10</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80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5"/>
        <v>1200CD7C0A00000000001003F50000270F8000800080000000FF00</v>
      </c>
    </row>
    <row r="20" spans="2:32" x14ac:dyDescent="0.25">
      <c r="B20" s="86">
        <f>'EEPROM-Contents'!B51</f>
        <v>47</v>
      </c>
      <c r="C20" s="75">
        <f t="shared" ref="C20:C21" si="6">HEX2DEC(D20)</f>
        <v>132</v>
      </c>
      <c r="D20" s="78">
        <f>$G$4</f>
        <v>84</v>
      </c>
      <c r="E20" s="70" t="str">
        <f>'EEPROM-Contents'!E51</f>
        <v>PATBL</v>
      </c>
      <c r="F20" s="71"/>
      <c r="G20" s="74"/>
      <c r="I20" s="187"/>
      <c r="J20" s="191" t="s">
        <v>515</v>
      </c>
      <c r="K20" s="188"/>
      <c r="L20" s="189"/>
      <c r="N20" s="79" t="s">
        <v>353</v>
      </c>
      <c r="O20" s="85" t="str">
        <f>RIGHT(INDEX($D$9:$D$47,MATCH('EEPROM-Contents'!Q14,$B$9:$B$47,0)),2)</f>
        <v>6A</v>
      </c>
      <c r="P20" s="85" t="str">
        <f>RIGHT(INDEX($D$9:$D$47,MATCH('EEPROM-Contents'!R14,$B$9:$B$47,0)),2)</f>
        <v>6A</v>
      </c>
      <c r="Q20" s="85" t="str">
        <f ca="1">RIGHT(INDEX($D$9:$D$47,MATCH('EEPROM-Contents'!S14,$B$9:$B$47,0)),2)</f>
        <v>76</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5"/>
        <v>1200CD7C0A00000000006A6A76038906051003F50000270F800000</v>
      </c>
    </row>
    <row r="21" spans="2:32" x14ac:dyDescent="0.25">
      <c r="B21" s="86">
        <f>'EEPROM-Contents'!B63</f>
        <v>59</v>
      </c>
      <c r="C21" s="75">
        <f t="shared" si="6"/>
        <v>10</v>
      </c>
      <c r="D21" s="78" t="str">
        <f>DEC2HEX(2*$C$4,2)</f>
        <v>0A</v>
      </c>
      <c r="E21" s="70" t="str">
        <f>'EEPROM-Contents'!E63</f>
        <v>CHANNR</v>
      </c>
      <c r="F21" s="71"/>
      <c r="G21" s="74"/>
      <c r="I21" s="95"/>
      <c r="J21" s="95" t="s">
        <v>510</v>
      </c>
      <c r="K21" s="95" t="s">
        <v>511</v>
      </c>
      <c r="L21" s="95" t="s">
        <v>571</v>
      </c>
      <c r="N21" s="79" t="s">
        <v>354</v>
      </c>
      <c r="O21" s="85" t="str">
        <f>RIGHT(INDEX($D$9:$D$47,MATCH('EEPROM-Contents'!Q15,$B$9:$B$47,0)),2)</f>
        <v>80</v>
      </c>
      <c r="P21" s="85" t="str">
        <f>RIGHT(INDEX($D$9:$D$47,MATCH('EEPROM-Contents'!R15,$B$9:$B$47,0)),2)</f>
        <v>00</v>
      </c>
      <c r="Q21" s="85" t="str">
        <f>RIGHT(INDEX($D$9:$D$47,MATCH('EEPROM-Contents'!S15,$B$9:$B$47,0)),2)</f>
        <v>80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6A</v>
      </c>
      <c r="W21" s="85" t="str">
        <f>RIGHT(INDEX($D$9:$D$47,MATCH('EEPROM-Contents'!Y15,$B$9:$B$47,0)),2)</f>
        <v>6A</v>
      </c>
      <c r="X21" s="85" t="str">
        <f ca="1">RIGHT(INDEX($D$9:$D$47,MATCH('EEPROM-Contents'!Z15,$B$9:$B$47,0)),2)</f>
        <v>76</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03</v>
      </c>
      <c r="AF21" s="82" t="str">
        <f t="shared" ca="1" si="5"/>
        <v>1200CD7C0A0000000000800080000000FF6A6A7604890605100300</v>
      </c>
    </row>
    <row r="22" spans="2:32" x14ac:dyDescent="0.25">
      <c r="B22" s="86">
        <f>'EEPROM-Contents'!B95</f>
        <v>91</v>
      </c>
      <c r="C22" s="78">
        <f>HEX2DEC(D22)</f>
        <v>0</v>
      </c>
      <c r="D22" s="78" t="str">
        <f>LEFT(RIGHT($E$5,8),2)</f>
        <v>00</v>
      </c>
      <c r="E22" s="70" t="str">
        <f>'EEPROM-Contents'!L95</f>
        <v>Device ID</v>
      </c>
      <c r="F22" s="71"/>
      <c r="G22" s="74"/>
      <c r="I22" s="95" t="s">
        <v>514</v>
      </c>
      <c r="J22" s="238">
        <f>ROUND(I157,0)</f>
        <v>32768</v>
      </c>
      <c r="K22" s="238">
        <f>ROUND(I158,0)</f>
        <v>32768</v>
      </c>
      <c r="L22" s="238">
        <f>ROUND(I159,0)</f>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80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6A</v>
      </c>
      <c r="AD22" s="85" t="str">
        <f>RIGHT(INDEX($D$9:$D$47,MATCH('EEPROM-Contents'!AF16,$B$9:$B$47,0)),2)</f>
        <v>6A</v>
      </c>
      <c r="AF22" s="82" t="str">
        <f t="shared" si="4"/>
        <v>1200CD7C0A0000000000F50000270F8000800080000000FF6A6A00</v>
      </c>
    </row>
    <row r="23" spans="2:32" x14ac:dyDescent="0.25">
      <c r="B23" s="86">
        <f>'EEPROM-Contents'!B96</f>
        <v>92</v>
      </c>
      <c r="C23" s="78">
        <f t="shared" ref="C23:C43" si="7">HEX2DEC(D23)</f>
        <v>0</v>
      </c>
      <c r="D23" s="78" t="str">
        <f>LEFT(RIGHT($E$5,6),2)</f>
        <v>00</v>
      </c>
      <c r="E23" s="70" t="str">
        <f>'EEPROM-Contents'!L96</f>
        <v>Device ID</v>
      </c>
      <c r="F23" s="71"/>
      <c r="G23" s="74"/>
      <c r="I23" s="95" t="s">
        <v>512</v>
      </c>
      <c r="J23" s="238" t="str">
        <f>LEFT(DEC2HEX(J22,4),2)</f>
        <v>80</v>
      </c>
      <c r="K23" s="238" t="str">
        <f t="shared" ref="K23:L23" si="8">LEFT(DEC2HEX(K22,4),2)</f>
        <v>80</v>
      </c>
      <c r="L23" s="238" t="str">
        <f t="shared" si="8"/>
        <v>80</v>
      </c>
      <c r="N23" s="79" t="s">
        <v>356</v>
      </c>
      <c r="O23" s="85" t="str">
        <f ca="1">RIGHT(INDEX($D$9:$D$47,MATCH('EEPROM-Contents'!Q17,$B$9:$B$47,0)),2)</f>
        <v>76</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ref="AF23:AF31" ca="1" si="9">CONCATENATE($O$5,$P$5,$Q$5,$R$5,$S$5,$T$5,$U$5,$V$5,$W$5,$X$5,O23,P23,Q23,R23,S23,T23,U23,V23,W23,X23,Y23,Z23,AA23,AB23,AC23,AD23,"00")</f>
        <v>1200CD7C0A000000000076058906051003F50000270F8000800000</v>
      </c>
    </row>
    <row r="24" spans="2:32" x14ac:dyDescent="0.25">
      <c r="B24" s="86">
        <f>'EEPROM-Contents'!B97</f>
        <v>93</v>
      </c>
      <c r="C24" s="78">
        <f t="shared" si="7"/>
        <v>0</v>
      </c>
      <c r="D24" s="78" t="str">
        <f>LEFT(RIGHT($E$5,4),2)</f>
        <v>00</v>
      </c>
      <c r="E24" s="70" t="str">
        <f>'EEPROM-Contents'!L97</f>
        <v>Device ID</v>
      </c>
      <c r="F24" s="71"/>
      <c r="G24" s="74"/>
      <c r="I24" s="95" t="s">
        <v>513</v>
      </c>
      <c r="J24" s="238" t="str">
        <f>RIGHT(DEC2HEX(J22,4),2)</f>
        <v>00</v>
      </c>
      <c r="K24" s="238" t="str">
        <f t="shared" ref="K24:L24" si="10">RIGHT(DEC2HEX(K22,4),2)</f>
        <v>00</v>
      </c>
      <c r="L24" s="238" t="str">
        <f t="shared" si="10"/>
        <v>00</v>
      </c>
      <c r="N24" s="79" t="s">
        <v>357</v>
      </c>
      <c r="O24" s="85" t="str">
        <f>RIGHT(INDEX($D$9:$D$47,MATCH('EEPROM-Contents'!Q18,$B$9:$B$47,0)),2)</f>
        <v>80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6A</v>
      </c>
      <c r="U24" s="85" t="str">
        <f>RIGHT(INDEX($D$9:$D$47,MATCH('EEPROM-Contents'!W18,$B$9:$B$47,0)),2)</f>
        <v>6A</v>
      </c>
      <c r="V24" s="85" t="str">
        <f ca="1">RIGHT(INDEX($D$9:$D$47,MATCH('EEPROM-Contents'!X18,$B$9:$B$47,0)),2)</f>
        <v>76</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03</v>
      </c>
      <c r="AC24" s="85" t="str">
        <f>RIGHT(INDEX($D$9:$D$47,MATCH('EEPROM-Contents'!AE18,$B$9:$B$47,0)),2)</f>
        <v>F5</v>
      </c>
      <c r="AD24" s="85" t="str">
        <f>RIGHT(INDEX($D$9:$D$47,MATCH('EEPROM-Contents'!AF18,$B$9:$B$47,0)),2)</f>
        <v>00</v>
      </c>
      <c r="AF24" s="82" t="str">
        <f t="shared" ca="1" si="9"/>
        <v>1200CD7C0A000000000080000000FF6A6A76068906051003F50000</v>
      </c>
    </row>
    <row r="25" spans="2:32" x14ac:dyDescent="0.25">
      <c r="B25" s="86">
        <f>'EEPROM-Contents'!B98</f>
        <v>94</v>
      </c>
      <c r="C25" s="78">
        <f t="shared" si="7"/>
        <v>100</v>
      </c>
      <c r="D25" s="78" t="str">
        <f>LEFT(RIGHT($E$5,2),2)</f>
        <v>64</v>
      </c>
      <c r="E25" s="70" t="str">
        <f>'EEPROM-Contents'!L98</f>
        <v>Device ID</v>
      </c>
      <c r="F25" s="71"/>
      <c r="G25" s="74"/>
      <c r="I25" s="28"/>
      <c r="J25" s="28"/>
      <c r="K25" s="28"/>
      <c r="L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80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6A</v>
      </c>
      <c r="AB25" s="85" t="str">
        <f>RIGHT(INDEX($D$9:$D$47,MATCH('EEPROM-Contents'!AD19,$B$9:$B$47,0)),2)</f>
        <v>6A</v>
      </c>
      <c r="AC25" s="85" t="str">
        <f ca="1">RIGHT(INDEX($D$9:$D$47,MATCH('EEPROM-Contents'!AE19,$B$9:$B$47,0)),2)</f>
        <v>76</v>
      </c>
      <c r="AD25" s="80" t="str">
        <f>RIGHT(INDEX('EEPROM-Contents'!$K$4:'EEPROM-Contents'!$K$141,MATCH('EEPROM-Contents'!AF19,'EEPROM-Contents'!$I$4:'EEPROM-Contents'!$I$141,0)),2)</f>
        <v>07</v>
      </c>
      <c r="AF25" s="82" t="str">
        <f t="shared" ca="1" si="9"/>
        <v>1200CD7C0A000000000000270F8000800080000000FF6A6A760700</v>
      </c>
    </row>
    <row r="26" spans="2:32" x14ac:dyDescent="0.25">
      <c r="B26" s="86">
        <f>'EEPROM-Contents'!B99</f>
        <v>95</v>
      </c>
      <c r="C26" s="76">
        <f t="shared" si="7"/>
        <v>137</v>
      </c>
      <c r="D26" s="236">
        <f>L5</f>
        <v>89</v>
      </c>
      <c r="E26" s="67" t="str">
        <f>'EEPROM-Contents'!L99</f>
        <v>8X=ASIC 1204, 0X= ASIC 1010</v>
      </c>
      <c r="F26" s="68"/>
      <c r="G26" s="69"/>
      <c r="I26" s="187"/>
      <c r="J26" s="191" t="s">
        <v>570</v>
      </c>
      <c r="K26" s="189"/>
      <c r="L26" s="28"/>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80</v>
      </c>
      <c r="AD26" s="85" t="str">
        <f>RIGHT(INDEX($D$9:$D$47,MATCH('EEPROM-Contents'!AF20,$B$9:$B$47,0)),2)</f>
        <v>00</v>
      </c>
      <c r="AF26" s="82" t="str">
        <f t="shared" ca="1" si="9"/>
        <v>1200CD7C0A00000000008906051003F50000270F80008000800000</v>
      </c>
    </row>
    <row r="27" spans="2:32" x14ac:dyDescent="0.25">
      <c r="B27" s="86">
        <f>'EEPROM-Contents'!B100</f>
        <v>96</v>
      </c>
      <c r="C27" s="76">
        <f ca="1">HEX2DEC(D27)</f>
        <v>6</v>
      </c>
      <c r="D27" s="236" t="str">
        <f ca="1">F5</f>
        <v>06</v>
      </c>
      <c r="E27" s="67" t="str">
        <f>'EEPROM-Contents'!L100</f>
        <v>Year</v>
      </c>
      <c r="F27" s="68"/>
      <c r="G27" s="69"/>
      <c r="I27" s="28"/>
      <c r="J27" s="95" t="s">
        <v>514</v>
      </c>
      <c r="K27" s="190">
        <f>$L$169</f>
        <v>0</v>
      </c>
      <c r="L27" s="28"/>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6A</v>
      </c>
      <c r="S27" s="85" t="str">
        <f>RIGHT(INDEX($D$9:$D$47,MATCH('EEPROM-Contents'!U21,$B$9:$B$47,0)),2)</f>
        <v>6A</v>
      </c>
      <c r="T27" s="85" t="str">
        <f ca="1">RIGHT(INDEX($D$9:$D$47,MATCH('EEPROM-Contents'!V21,$B$9:$B$47,0)),2)</f>
        <v>76</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9"/>
        <v>1200CD7C0A00000000000000FF6A6A76088906051003F500002700</v>
      </c>
    </row>
    <row r="28" spans="2:32" x14ac:dyDescent="0.25">
      <c r="B28" s="86">
        <f>'EEPROM-Contents'!B101</f>
        <v>97</v>
      </c>
      <c r="C28" s="76">
        <f ca="1">HEX2DEC(D28)</f>
        <v>5</v>
      </c>
      <c r="D28" s="236" t="str">
        <f ca="1">G5</f>
        <v>05</v>
      </c>
      <c r="E28" s="67" t="str">
        <f>'EEPROM-Contents'!L101</f>
        <v>Month</v>
      </c>
      <c r="F28" s="68"/>
      <c r="G28" s="69"/>
      <c r="I28" s="28"/>
      <c r="J28" s="95" t="s">
        <v>512</v>
      </c>
      <c r="K28" s="190" t="str">
        <f>LEFT(DEC2HEX(K27,4),2)</f>
        <v>00</v>
      </c>
      <c r="L28" s="28"/>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80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6A</v>
      </c>
      <c r="Z28" s="85" t="str">
        <f>RIGHT(INDEX($D$9:$D$47,MATCH('EEPROM-Contents'!AB22,$B$9:$B$47,0)),2)</f>
        <v>6A</v>
      </c>
      <c r="AA28" s="85" t="str">
        <f ca="1">RIGHT(INDEX($D$9:$D$47,MATCH('EEPROM-Contents'!AC22,$B$9:$B$47,0)),2)</f>
        <v>76</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9"/>
        <v>1200CD7C0A00000000000F8000800080000000FF6A6A7609890600</v>
      </c>
    </row>
    <row r="29" spans="2:32" x14ac:dyDescent="0.25">
      <c r="B29" s="86">
        <f>'EEPROM-Contents'!B102</f>
        <v>98</v>
      </c>
      <c r="C29" s="76">
        <f ca="1">HEX2DEC(D29)</f>
        <v>16</v>
      </c>
      <c r="D29" s="236" t="str">
        <f ca="1">H5</f>
        <v>10</v>
      </c>
      <c r="E29" s="67" t="str">
        <f>'EEPROM-Contents'!L102</f>
        <v>Day</v>
      </c>
      <c r="F29" s="68"/>
      <c r="G29" s="69"/>
      <c r="I29" s="28"/>
      <c r="J29" s="95" t="s">
        <v>513</v>
      </c>
      <c r="K29" s="190" t="str">
        <f>RIGHT(DEC2HEX(K27,4),2)</f>
        <v>00</v>
      </c>
      <c r="L29" s="28"/>
      <c r="N29" s="79" t="s">
        <v>362</v>
      </c>
      <c r="O29" s="85" t="str">
        <f ca="1">RIGHT(INDEX($D$9:$D$47,MATCH('EEPROM-Contents'!Q23,$B$9:$B$47,0)),2)</f>
        <v>05</v>
      </c>
      <c r="P29" s="85" t="str">
        <f ca="1">RIGHT(INDEX($D$9:$D$47,MATCH('EEPROM-Contents'!R23,$B$9:$B$47,0)),2)</f>
        <v>10</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80</v>
      </c>
      <c r="AB29" s="85" t="str">
        <f>RIGHT(INDEX($D$9:$D$47,MATCH('EEPROM-Contents'!AD23,$B$9:$B$47,0)),2)</f>
        <v>00</v>
      </c>
      <c r="AC29" s="85" t="str">
        <f>RIGHT(INDEX($D$9:$D$47,MATCH('EEPROM-Contents'!AE23,$B$9:$B$47,0)),2)</f>
        <v>00</v>
      </c>
      <c r="AD29" s="85" t="str">
        <f>RIGHT(INDEX($D$9:$D$47,MATCH('EEPROM-Contents'!AF23,$B$9:$B$47,0)),2)</f>
        <v>00</v>
      </c>
      <c r="AF29" s="82" t="str">
        <f t="shared" ca="1" si="9"/>
        <v>1200CD7C0A0000000000051003F50000270F800080008000000000</v>
      </c>
    </row>
    <row r="30" spans="2:32" x14ac:dyDescent="0.25">
      <c r="B30" s="86">
        <f>'EEPROM-Contents'!B103</f>
        <v>99</v>
      </c>
      <c r="C30" s="76">
        <f t="shared" si="7"/>
        <v>3</v>
      </c>
      <c r="D30" s="236" t="str">
        <f>LEFT(RIGHT($B$5,4),2)</f>
        <v>03</v>
      </c>
      <c r="E30" s="67" t="str">
        <f>'EEPROM-Contents'!L103</f>
        <v>Device Type</v>
      </c>
      <c r="F30" s="68"/>
      <c r="G30" s="69"/>
      <c r="I30" s="28"/>
      <c r="J30" s="28"/>
      <c r="K30" s="28"/>
      <c r="L30" s="28"/>
      <c r="N30" s="79" t="s">
        <v>363</v>
      </c>
      <c r="O30" s="85" t="str">
        <f>RIGHT(INDEX($D$9:$D$47,MATCH('EEPROM-Contents'!Q24,$B$9:$B$47,0)),2)</f>
        <v>FF</v>
      </c>
      <c r="P30" s="85" t="str">
        <f>RIGHT(INDEX($D$9:$D$47,MATCH('EEPROM-Contents'!R24,$B$9:$B$47,0)),2)</f>
        <v>6A</v>
      </c>
      <c r="Q30" s="85" t="str">
        <f>RIGHT(INDEX($D$9:$D$47,MATCH('EEPROM-Contents'!S24,$B$9:$B$47,0)),2)</f>
        <v>6A</v>
      </c>
      <c r="R30" s="85" t="str">
        <f ca="1">RIGHT(INDEX($D$9:$D$47,MATCH('EEPROM-Contents'!T24,$B$9:$B$47,0)),2)</f>
        <v>76</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9"/>
        <v>1200CD7C0A0000000000FF6A6A760A8906051003F50000270F8000</v>
      </c>
    </row>
    <row r="31" spans="2:32" x14ac:dyDescent="0.25">
      <c r="B31" s="86">
        <f>'EEPROM-Contents'!B104</f>
        <v>100</v>
      </c>
      <c r="C31" s="76">
        <f t="shared" si="7"/>
        <v>245</v>
      </c>
      <c r="D31" s="236" t="str">
        <f>LEFT(RIGHT($B$5,2),2)</f>
        <v>F5</v>
      </c>
      <c r="E31" s="67" t="str">
        <f>'EEPROM-Contents'!L104</f>
        <v>Device Type</v>
      </c>
      <c r="F31" s="68"/>
      <c r="G31" s="69"/>
      <c r="I31" s="28"/>
      <c r="J31" s="191" t="s">
        <v>569</v>
      </c>
      <c r="K31" s="189"/>
      <c r="L31" s="28"/>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80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6A</v>
      </c>
      <c r="X31" s="85" t="str">
        <f>RIGHT(INDEX($D$9:$D$47,MATCH('EEPROM-Contents'!Z25,$B$9:$B$47,0)),2)</f>
        <v>6A</v>
      </c>
      <c r="Y31" s="85" t="str">
        <f ca="1">RIGHT(INDEX($D$9:$D$47,MATCH('EEPROM-Contents'!AA25,$B$9:$B$47,0)),2)</f>
        <v>76</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10</v>
      </c>
      <c r="AF31" s="82" t="str">
        <f t="shared" ca="1" si="9"/>
        <v>1200CD7C0A000000000000800080000000FF6A6A760B8906051000</v>
      </c>
    </row>
    <row r="32" spans="2:32" x14ac:dyDescent="0.25">
      <c r="B32" s="86">
        <f>'EEPROM-Contents'!B105</f>
        <v>101</v>
      </c>
      <c r="C32" s="76">
        <f t="shared" si="7"/>
        <v>0</v>
      </c>
      <c r="D32" s="236" t="str">
        <f>LEFT(RIGHT($D$5,8),2)</f>
        <v>00</v>
      </c>
      <c r="E32" s="67" t="str">
        <f>'EEPROM-Contents'!L105</f>
        <v>Manufacturer / Lot ID</v>
      </c>
      <c r="F32" s="68"/>
      <c r="G32" s="69"/>
      <c r="I32" s="28"/>
      <c r="J32" s="95" t="s">
        <v>514</v>
      </c>
      <c r="K32" s="190">
        <f>$K$169</f>
        <v>0</v>
      </c>
      <c r="L32" s="28"/>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80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6A</v>
      </c>
      <c r="AF32" s="82" t="str">
        <f t="shared" si="4"/>
        <v>1200CD7C0A000000000003F50000270F8000800080000000FF6A00</v>
      </c>
    </row>
    <row r="33" spans="2:32" x14ac:dyDescent="0.25">
      <c r="B33" s="86">
        <f>'EEPROM-Contents'!B106</f>
        <v>102</v>
      </c>
      <c r="C33" s="76">
        <f t="shared" si="7"/>
        <v>0</v>
      </c>
      <c r="D33" s="236" t="str">
        <f>LEFT(RIGHT($D$5,6),2)</f>
        <v>00</v>
      </c>
      <c r="E33" s="67" t="str">
        <f>'EEPROM-Contents'!L106</f>
        <v>Manufacturer / Lot ID</v>
      </c>
      <c r="F33" s="68"/>
      <c r="G33" s="69"/>
      <c r="I33" s="28"/>
      <c r="J33" s="95" t="s">
        <v>512</v>
      </c>
      <c r="K33" s="190" t="str">
        <f>LEFT(DEC2HEX(K32,4),2)</f>
        <v>00</v>
      </c>
      <c r="L33" s="28"/>
      <c r="N33" s="79" t="s">
        <v>366</v>
      </c>
      <c r="O33" s="85" t="str">
        <f>RIGHT(INDEX($D$9:$D$47,MATCH('EEPROM-Contents'!Q27,$B$9:$B$47,0)),2)</f>
        <v>6A</v>
      </c>
      <c r="P33" s="85" t="str">
        <f ca="1">RIGHT(INDEX($D$9:$D$47,MATCH('EEPROM-Contents'!R27,$B$9:$B$47,0)),2)</f>
        <v>76</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ref="AF33:AF41" ca="1" si="11">CONCATENATE($O$5,$P$5,$Q$5,$R$5,$S$5,$T$5,$U$5,$V$5,$W$5,$X$5,O33,P33,Q33,R33,S33,T33,U33,V33,W33,X33,Y33,Z33,AA33,AB33,AC33,AD33,"00")</f>
        <v>1200CD7C0A00000000006A760C8906051003F50000270F80008000</v>
      </c>
    </row>
    <row r="34" spans="2:32" x14ac:dyDescent="0.25">
      <c r="B34" s="86">
        <f>'EEPROM-Contents'!B107</f>
        <v>103</v>
      </c>
      <c r="C34" s="76">
        <f t="shared" si="7"/>
        <v>39</v>
      </c>
      <c r="D34" s="236" t="str">
        <f>LEFT(RIGHT($D$5,4),2)</f>
        <v>27</v>
      </c>
      <c r="E34" s="67" t="str">
        <f>'EEPROM-Contents'!L107</f>
        <v>Manufacturer / Lot ID</v>
      </c>
      <c r="F34" s="68"/>
      <c r="G34" s="69"/>
      <c r="I34" s="28"/>
      <c r="J34" s="95" t="s">
        <v>513</v>
      </c>
      <c r="K34" s="190" t="str">
        <f>RIGHT(DEC2HEX(K32,4),2)</f>
        <v>00</v>
      </c>
      <c r="L34" s="28"/>
      <c r="N34" s="79" t="s">
        <v>367</v>
      </c>
      <c r="O34" s="85" t="str">
        <f>RIGHT(INDEX($D$9:$D$47,MATCH('EEPROM-Contents'!Q28,$B$9:$B$47,0)),2)</f>
        <v>00</v>
      </c>
      <c r="P34" s="85" t="str">
        <f>RIGHT(INDEX($D$9:$D$47,MATCH('EEPROM-Contents'!R28,$B$9:$B$47,0)),2)</f>
        <v>80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6A</v>
      </c>
      <c r="V34" s="85" t="str">
        <f>RIGHT(INDEX($D$9:$D$47,MATCH('EEPROM-Contents'!X28,$B$9:$B$47,0)),2)</f>
        <v>6A</v>
      </c>
      <c r="W34" s="85" t="str">
        <f ca="1">RIGHT(INDEX($D$9:$D$47,MATCH('EEPROM-Contents'!Y28,$B$9:$B$47,0)),2)</f>
        <v>76</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03</v>
      </c>
      <c r="AD34" s="85" t="str">
        <f>RIGHT(INDEX($D$9:$D$47,MATCH('EEPROM-Contents'!AF28,$B$9:$B$47,0)),2)</f>
        <v>F5</v>
      </c>
      <c r="AF34" s="82" t="str">
        <f t="shared" ca="1" si="11"/>
        <v>1200CD7C0A00000000000080000000FF6A6A760D8906051003F500</v>
      </c>
    </row>
    <row r="35" spans="2:32" x14ac:dyDescent="0.25">
      <c r="B35" s="86">
        <f>'EEPROM-Contents'!B108</f>
        <v>104</v>
      </c>
      <c r="C35" s="76">
        <f t="shared" si="7"/>
        <v>15</v>
      </c>
      <c r="D35" s="236" t="str">
        <f>LEFT(RIGHT($D$5,2),2)</f>
        <v>0F</v>
      </c>
      <c r="E35" s="67" t="str">
        <f>'EEPROM-Contents'!L108</f>
        <v>Manufacturer / Lot ID</v>
      </c>
      <c r="F35" s="68"/>
      <c r="G35" s="69"/>
      <c r="I35" s="28"/>
      <c r="J35" s="28"/>
      <c r="K35" s="28"/>
      <c r="L35" s="28"/>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80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6A</v>
      </c>
      <c r="AC35" s="85" t="str">
        <f>RIGHT(INDEX($D$9:$D$47,MATCH('EEPROM-Contents'!AE29,$B$9:$B$47,0)),2)</f>
        <v>6A</v>
      </c>
      <c r="AD35" s="85" t="str">
        <f ca="1">RIGHT(INDEX($D$9:$D$47,MATCH('EEPROM-Contents'!AF29,$B$9:$B$47,0)),2)</f>
        <v>76</v>
      </c>
      <c r="AF35" s="82" t="str">
        <f t="shared" ca="1" si="11"/>
        <v>1200CD7C0A00000000000000270F8000800080000000FF6A6A7600</v>
      </c>
    </row>
    <row r="36" spans="2:32" x14ac:dyDescent="0.25">
      <c r="B36" s="86">
        <f>'EEPROM-Contents'!B109</f>
        <v>105</v>
      </c>
      <c r="C36" s="76">
        <f t="shared" si="7"/>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80</v>
      </c>
      <c r="AF36" s="82" t="str">
        <f t="shared" ca="1" si="11"/>
        <v>1200CD7C0A00000000000E8906051003F50000270F800080008000</v>
      </c>
    </row>
    <row r="37" spans="2:32" x14ac:dyDescent="0.25">
      <c r="B37" s="86">
        <f>'EEPROM-Contents'!B110</f>
        <v>106</v>
      </c>
      <c r="C37" s="76">
        <f t="shared" si="7"/>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6A</v>
      </c>
      <c r="T37" s="85" t="str">
        <f>RIGHT(INDEX($D$9:$D$47,MATCH('EEPROM-Contents'!V31,$B$9:$B$47,0)),2)</f>
        <v>6A</v>
      </c>
      <c r="U37" s="85" t="str">
        <f ca="1">RIGHT(INDEX($D$9:$D$47,MATCH('EEPROM-Contents'!W31,$B$9:$B$47,0)),2)</f>
        <v>76</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11"/>
        <v>1200CD7C0A0000000000000000FF6A6A760F8906051003F5000000</v>
      </c>
    </row>
    <row r="38" spans="2:32" x14ac:dyDescent="0.25">
      <c r="B38" s="86">
        <f>'EEPROM-Contents'!B111</f>
        <v>107</v>
      </c>
      <c r="C38" s="76">
        <f t="shared" si="7"/>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80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6A</v>
      </c>
      <c r="AA38" s="85" t="str">
        <f>RIGHT(INDEX($D$9:$D$47,MATCH('EEPROM-Contents'!AC32,$B$9:$B$47,0)),2)</f>
        <v>6A</v>
      </c>
      <c r="AB38" s="85" t="str">
        <f ca="1">RIGHT(INDEX($D$9:$D$47,MATCH('EEPROM-Contents'!AD32,$B$9:$B$47,0)),2)</f>
        <v>76</v>
      </c>
      <c r="AC38" s="80" t="str">
        <f>RIGHT(INDEX('EEPROM-Contents'!$K$4:'EEPROM-Contents'!$K$141,MATCH('EEPROM-Contents'!AE32,'EEPROM-Contents'!$I$4:'EEPROM-Contents'!$I$141,0)),2)</f>
        <v>10</v>
      </c>
      <c r="AD38" s="85" t="str">
        <f>RIGHT(INDEX($D$9:$D$47,MATCH('EEPROM-Contents'!AF32,$B$9:$B$47,0)),2)</f>
        <v>89</v>
      </c>
      <c r="AF38" s="82" t="str">
        <f t="shared" ca="1" si="11"/>
        <v>1200CD7C0A0000000000270F8000800080000000FF6A6A76108900</v>
      </c>
    </row>
    <row r="39" spans="2:32" x14ac:dyDescent="0.25">
      <c r="B39" s="86">
        <f>'EEPROM-Contents'!B112</f>
        <v>108</v>
      </c>
      <c r="C39" s="76">
        <f t="shared" si="7"/>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80</v>
      </c>
      <c r="AC39" s="85" t="str">
        <f>RIGHT(INDEX($D$9:$D$47,MATCH('EEPROM-Contents'!AE33,$B$9:$B$47,0)),2)</f>
        <v>00</v>
      </c>
      <c r="AD39" s="85" t="str">
        <f>RIGHT(INDEX($D$9:$D$47,MATCH('EEPROM-Contents'!AF33,$B$9:$B$47,0)),2)</f>
        <v>00</v>
      </c>
      <c r="AF39" s="82" t="str">
        <f t="shared" ca="1" si="11"/>
        <v>1200CD7C0A000000000006051003F50000270F8000800080000000</v>
      </c>
    </row>
    <row r="40" spans="2:32" x14ac:dyDescent="0.25">
      <c r="B40" s="86">
        <f>'EEPROM-Contents'!B113</f>
        <v>109</v>
      </c>
      <c r="C40" s="76">
        <f t="shared" si="7"/>
        <v>128</v>
      </c>
      <c r="D40" s="237" t="str">
        <f>L23</f>
        <v>80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6A</v>
      </c>
      <c r="R40" s="85" t="str">
        <f>RIGHT(INDEX($D$9:$D$47,MATCH('EEPROM-Contents'!T34,$B$9:$B$47,0)),2)</f>
        <v>6A</v>
      </c>
      <c r="S40" s="85" t="str">
        <f ca="1">RIGHT(INDEX($D$9:$D$47,MATCH('EEPROM-Contents'!U34,$B$9:$B$47,0)),2)</f>
        <v>76</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11"/>
        <v>1200CD7C0A000000000000FF6A6A76118906051003F50000270F00</v>
      </c>
    </row>
    <row r="41" spans="2:32" ht="15.75" thickBot="1" x14ac:dyDescent="0.3">
      <c r="B41" s="86">
        <f>'EEPROM-Contents'!B114</f>
        <v>110</v>
      </c>
      <c r="C41" s="76">
        <f t="shared" si="7"/>
        <v>0</v>
      </c>
      <c r="D41" s="237" t="str">
        <f>L24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80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6A</v>
      </c>
      <c r="Y41" s="85" t="str">
        <f>RIGHT(INDEX($D$9:$D$47,MATCH('EEPROM-Contents'!AA35,$B$9:$B$47,0)),2)</f>
        <v>6A</v>
      </c>
      <c r="Z41" s="85" t="str">
        <f ca="1">RIGHT(INDEX($D$9:$D$47,MATCH('EEPROM-Contents'!AB35,$B$9:$B$47,0)),2)</f>
        <v>76</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11"/>
        <v>1200CD7C0A00000000008000800080000000FF6A6A761280000000</v>
      </c>
    </row>
    <row r="42" spans="2:32" x14ac:dyDescent="0.25">
      <c r="B42" s="86">
        <f>'EEPROM-Contents'!B115</f>
        <v>111</v>
      </c>
      <c r="C42" s="76">
        <f t="shared" si="7"/>
        <v>0</v>
      </c>
      <c r="D42" s="237" t="str">
        <f>K28</f>
        <v>00</v>
      </c>
      <c r="E42" s="67" t="str">
        <f>'EEPROM-Contents'!L115</f>
        <v>Voltage H Cal 3.1V</v>
      </c>
      <c r="F42" s="68"/>
      <c r="G42" s="69"/>
    </row>
    <row r="43" spans="2:32" x14ac:dyDescent="0.25">
      <c r="B43" s="86">
        <f>'EEPROM-Contents'!B116</f>
        <v>112</v>
      </c>
      <c r="C43" s="76">
        <f t="shared" si="7"/>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K10</f>
        <v>-150</v>
      </c>
      <c r="D45" s="236" t="str">
        <f>DEC2HEX(C45,2)</f>
        <v>FFFFFFFF6A</v>
      </c>
      <c r="E45" s="67" t="str">
        <f>'EEPROM-Contents'!L118</f>
        <v>Cal Factor for CondyleA</v>
      </c>
      <c r="F45" s="68"/>
      <c r="G45" s="69"/>
    </row>
    <row r="46" spans="2:32" x14ac:dyDescent="0.25">
      <c r="B46" s="86">
        <f>'EEPROM-Contents'!B119</f>
        <v>115</v>
      </c>
      <c r="C46" s="76">
        <f>L10</f>
        <v>-150</v>
      </c>
      <c r="D46" s="236" t="str">
        <f>DEC2HEX(C46,2)</f>
        <v>FFFFFFFF6A</v>
      </c>
      <c r="E46" s="67" t="str">
        <f>'EEPROM-Contents'!L119</f>
        <v>Cal Factor for CondyleB</v>
      </c>
      <c r="F46" s="68"/>
      <c r="G46" s="69"/>
    </row>
    <row r="47" spans="2:32" x14ac:dyDescent="0.25">
      <c r="B47" s="86">
        <f>'EEPROM-Contents'!B120</f>
        <v>116</v>
      </c>
      <c r="C47" s="76">
        <f ca="1">255-HEX2DEC(RIGHT(DEC2HEX(SUM(C22:C46)),2))</f>
        <v>118</v>
      </c>
      <c r="D47" s="236" t="str">
        <f ca="1">DEC2HEX($C$47,2)</f>
        <v>76</v>
      </c>
      <c r="E47" s="67" t="str">
        <f>'EEPROM-Contents'!L120</f>
        <v>Checksum</v>
      </c>
      <c r="F47" s="68"/>
      <c r="G47" s="69"/>
    </row>
    <row r="49" spans="2:12" x14ac:dyDescent="0.25">
      <c r="B49" s="357" t="s">
        <v>222</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229">
        <v>70</v>
      </c>
      <c r="C51" s="230"/>
      <c r="D51" s="230"/>
      <c r="E51" s="230"/>
      <c r="F51" s="230"/>
      <c r="G51" s="230"/>
      <c r="H51" s="230"/>
      <c r="I51" s="230"/>
      <c r="J51" s="230"/>
    </row>
    <row r="52" spans="2:12" x14ac:dyDescent="0.25">
      <c r="B52" s="229">
        <v>140</v>
      </c>
      <c r="C52" s="230"/>
      <c r="D52" s="230"/>
      <c r="E52" s="230"/>
      <c r="F52" s="230"/>
      <c r="G52" s="230"/>
      <c r="H52" s="230"/>
      <c r="I52" s="230"/>
      <c r="J52" s="230"/>
    </row>
    <row r="53" spans="2:12" x14ac:dyDescent="0.25">
      <c r="B53" s="229">
        <v>0</v>
      </c>
      <c r="C53" s="230"/>
      <c r="D53" s="230"/>
      <c r="E53" s="230"/>
      <c r="F53" s="230"/>
      <c r="G53" s="230"/>
      <c r="H53" s="230"/>
      <c r="I53" s="230"/>
      <c r="J53" s="230"/>
    </row>
    <row r="54" spans="2:12" x14ac:dyDescent="0.25">
      <c r="B54" s="229">
        <v>70</v>
      </c>
      <c r="C54" s="230"/>
      <c r="D54" s="230"/>
      <c r="E54" s="230"/>
      <c r="F54" s="230"/>
      <c r="G54" s="230"/>
      <c r="H54" s="230"/>
      <c r="I54" s="230"/>
      <c r="J54" s="230"/>
    </row>
    <row r="55" spans="2:12" x14ac:dyDescent="0.25">
      <c r="B55" s="229">
        <v>140</v>
      </c>
      <c r="C55" s="230"/>
      <c r="D55" s="230"/>
      <c r="E55" s="230"/>
      <c r="F55" s="230"/>
      <c r="G55" s="230"/>
      <c r="H55" s="230"/>
      <c r="I55" s="230"/>
      <c r="J55" s="230"/>
    </row>
    <row r="56" spans="2:12" x14ac:dyDescent="0.25">
      <c r="B56" s="229">
        <v>0</v>
      </c>
      <c r="C56" s="230">
        <v>1000</v>
      </c>
      <c r="D56" s="230">
        <v>1000</v>
      </c>
      <c r="E56" s="230">
        <v>1000</v>
      </c>
      <c r="F56" s="230">
        <v>1000</v>
      </c>
      <c r="G56" s="230">
        <v>1000</v>
      </c>
      <c r="H56" s="230">
        <v>1000</v>
      </c>
      <c r="I56" s="230">
        <v>1000</v>
      </c>
      <c r="J56" s="230">
        <v>20000</v>
      </c>
    </row>
    <row r="57" spans="2:12" x14ac:dyDescent="0.25">
      <c r="B57" s="229">
        <v>10</v>
      </c>
      <c r="C57" s="230"/>
      <c r="D57" s="230"/>
      <c r="E57" s="230"/>
      <c r="F57" s="230"/>
      <c r="G57" s="230"/>
      <c r="H57" s="230"/>
      <c r="I57" s="230"/>
      <c r="J57" s="230"/>
    </row>
    <row r="58" spans="2:12" x14ac:dyDescent="0.25">
      <c r="B58" s="229">
        <v>20</v>
      </c>
      <c r="C58" s="230"/>
      <c r="D58" s="230"/>
      <c r="E58" s="230"/>
      <c r="F58" s="230"/>
      <c r="G58" s="230"/>
      <c r="H58" s="230"/>
      <c r="I58" s="230"/>
      <c r="J58" s="230"/>
    </row>
    <row r="59" spans="2:12" x14ac:dyDescent="0.25">
      <c r="B59" s="229">
        <v>40</v>
      </c>
      <c r="C59" s="230"/>
      <c r="D59" s="230"/>
      <c r="E59" s="230"/>
      <c r="F59" s="230"/>
      <c r="G59" s="230"/>
      <c r="H59" s="230"/>
      <c r="I59" s="230"/>
      <c r="J59" s="230"/>
    </row>
    <row r="60" spans="2:12" x14ac:dyDescent="0.25">
      <c r="B60" s="229">
        <v>60</v>
      </c>
      <c r="C60" s="230"/>
      <c r="D60" s="230"/>
      <c r="E60" s="230"/>
      <c r="F60" s="230"/>
      <c r="G60" s="230"/>
      <c r="H60" s="230"/>
      <c r="I60" s="230"/>
      <c r="J60" s="230"/>
    </row>
    <row r="61" spans="2:12" x14ac:dyDescent="0.25">
      <c r="B61" s="229">
        <v>80</v>
      </c>
      <c r="C61" s="230"/>
      <c r="D61" s="230"/>
      <c r="E61" s="230"/>
      <c r="F61" s="230"/>
      <c r="G61" s="230"/>
      <c r="H61" s="230"/>
      <c r="I61" s="230"/>
      <c r="J61" s="230"/>
    </row>
    <row r="62" spans="2:12" x14ac:dyDescent="0.25">
      <c r="B62" s="228" t="s">
        <v>646</v>
      </c>
      <c r="C62" s="231">
        <f>(C61-C56)/($B$61-$B$56)</f>
        <v>-12.5</v>
      </c>
      <c r="D62" s="231">
        <f t="shared" ref="D62:H62" si="12">(D61-D56)/($B$61-$B$56)</f>
        <v>-12.5</v>
      </c>
      <c r="E62" s="231">
        <f t="shared" si="12"/>
        <v>-12.5</v>
      </c>
      <c r="F62" s="231">
        <f t="shared" si="12"/>
        <v>-12.5</v>
      </c>
      <c r="G62" s="231">
        <f t="shared" si="12"/>
        <v>-12.5</v>
      </c>
      <c r="H62" s="231">
        <f t="shared" si="12"/>
        <v>-12.5</v>
      </c>
    </row>
    <row r="63" spans="2:12" x14ac:dyDescent="0.25">
      <c r="B63" s="354" t="s">
        <v>405</v>
      </c>
      <c r="C63" s="355"/>
      <c r="D63" s="355"/>
      <c r="E63" s="355"/>
      <c r="F63" s="355"/>
      <c r="G63" s="117" t="s">
        <v>410</v>
      </c>
      <c r="H63" s="117">
        <f>'FTS-Initialization'!$AE$27</f>
        <v>33000</v>
      </c>
      <c r="I63" s="117" t="s">
        <v>411</v>
      </c>
      <c r="J63" s="117">
        <f>'FTS-Initialization'!$AE$26</f>
        <v>52000</v>
      </c>
      <c r="L63" s="91" t="s">
        <v>414</v>
      </c>
    </row>
    <row r="64" spans="2:12" x14ac:dyDescent="0.25">
      <c r="B64" s="114" t="s">
        <v>440</v>
      </c>
      <c r="C64" s="114">
        <f>MAX(J51:J61)</f>
        <v>20000</v>
      </c>
      <c r="D64" s="114" t="s">
        <v>441</v>
      </c>
      <c r="E64" s="114">
        <f>MIN(J51:J61)</f>
        <v>20000</v>
      </c>
      <c r="I64" s="114" t="s">
        <v>407</v>
      </c>
      <c r="J64" s="114" t="b">
        <f>IF(AND(E64&gt;=H63,C64&lt;=J63),TRUE,FALSE)</f>
        <v>0</v>
      </c>
      <c r="L64" s="91">
        <f>IF(J64,0,IF(C64&gt;J63,'FTS-Initialization'!$N$90,IF(E64&lt;H63,'FTS-Initialization'!$N$89,0)))</f>
        <v>52</v>
      </c>
    </row>
    <row r="66" spans="2:27" x14ac:dyDescent="0.25">
      <c r="B66" s="354" t="s">
        <v>522</v>
      </c>
      <c r="C66" s="355"/>
      <c r="D66" s="355"/>
      <c r="E66" s="355"/>
      <c r="F66" s="355"/>
      <c r="G66" s="141" t="s">
        <v>410</v>
      </c>
      <c r="H66" s="141">
        <f>'FTS-Initialization'!$AE$29</f>
        <v>5000</v>
      </c>
      <c r="I66" s="141" t="s">
        <v>411</v>
      </c>
      <c r="J66" s="141">
        <f>'FTS-Initialization'!$AE$28</f>
        <v>60000</v>
      </c>
      <c r="L66" s="91" t="s">
        <v>414</v>
      </c>
    </row>
    <row r="67" spans="2:27" x14ac:dyDescent="0.25">
      <c r="B67" s="140" t="s">
        <v>488</v>
      </c>
      <c r="C67" s="140">
        <f>MAX(C51:I61)</f>
        <v>1000</v>
      </c>
      <c r="D67" s="140" t="s">
        <v>489</v>
      </c>
      <c r="E67" s="140">
        <f>MIN(C51:I61)</f>
        <v>1000</v>
      </c>
      <c r="I67" s="140" t="s">
        <v>407</v>
      </c>
      <c r="J67" s="140" t="b">
        <f>IF(AND(E67&gt;=H66,C67&lt;=J66),TRUE,FALSE)</f>
        <v>0</v>
      </c>
      <c r="L67" s="91">
        <f>IF(J67,0,IF(C67&gt;J66,'FTS-Initialization'!$N$99,IF(E67&lt;H66,'FTS-Initialization'!$N$100,0)))</f>
        <v>63</v>
      </c>
    </row>
    <row r="70" spans="2:27" x14ac:dyDescent="0.25">
      <c r="M70" s="106">
        <f>SLOPE(M74:M79,$L$74:$L$79)</f>
        <v>-75</v>
      </c>
      <c r="N70" s="106">
        <f>SLOPE(N74:N79,$L$74:$L$79)</f>
        <v>-75</v>
      </c>
    </row>
    <row r="71" spans="2:27" x14ac:dyDescent="0.25">
      <c r="M71" s="102" t="str">
        <f t="shared" ref="M71:N79" si="13">K9</f>
        <v>ScaleA</v>
      </c>
      <c r="N71" s="102" t="str">
        <f t="shared" si="13"/>
        <v>ScaleB</v>
      </c>
    </row>
    <row r="72" spans="2:27" x14ac:dyDescent="0.25">
      <c r="B72" s="357" t="s">
        <v>518</v>
      </c>
      <c r="C72" s="358"/>
      <c r="D72" s="358"/>
      <c r="E72" s="358"/>
      <c r="F72" s="358"/>
      <c r="G72" s="358"/>
      <c r="H72" s="358"/>
      <c r="I72" s="358"/>
      <c r="J72" s="359"/>
      <c r="M72" s="102">
        <f>K10</f>
        <v>-150</v>
      </c>
      <c r="N72" s="102">
        <f>L10</f>
        <v>-150</v>
      </c>
      <c r="P72" s="165" t="s">
        <v>567</v>
      </c>
      <c r="Q72" s="166"/>
      <c r="R72" s="166"/>
      <c r="S72" s="169"/>
    </row>
    <row r="73" spans="2:27" x14ac:dyDescent="0.25">
      <c r="B73" s="114" t="s">
        <v>223</v>
      </c>
      <c r="C73" s="114" t="s">
        <v>224</v>
      </c>
      <c r="D73" s="114" t="s">
        <v>225</v>
      </c>
      <c r="E73" s="114" t="s">
        <v>226</v>
      </c>
      <c r="F73" s="114" t="s">
        <v>227</v>
      </c>
      <c r="G73" s="114" t="s">
        <v>228</v>
      </c>
      <c r="H73" s="114" t="s">
        <v>229</v>
      </c>
      <c r="I73" s="114" t="s">
        <v>438</v>
      </c>
      <c r="J73" s="114" t="s">
        <v>439</v>
      </c>
      <c r="L73" s="102" t="str">
        <f t="shared" ref="L73:L79" si="14">I11</f>
        <v>F/Cond [lb]</v>
      </c>
      <c r="M73" s="102" t="str">
        <f t="shared" si="13"/>
        <v>CalA</v>
      </c>
      <c r="N73" s="102" t="str">
        <f t="shared" si="13"/>
        <v>CalB</v>
      </c>
      <c r="P73" s="164" t="s">
        <v>564</v>
      </c>
      <c r="Q73" s="164" t="s">
        <v>565</v>
      </c>
      <c r="R73" s="164" t="s">
        <v>566</v>
      </c>
      <c r="S73" s="164" t="s">
        <v>407</v>
      </c>
      <c r="U73" s="210"/>
      <c r="V73" s="211"/>
      <c r="W73" s="217"/>
      <c r="X73" s="211" t="s">
        <v>618</v>
      </c>
      <c r="Y73" s="211"/>
      <c r="Z73" s="211"/>
      <c r="AA73" s="219"/>
    </row>
    <row r="74" spans="2:27" x14ac:dyDescent="0.25">
      <c r="B74" s="114">
        <f>B56</f>
        <v>0</v>
      </c>
      <c r="C74" s="108">
        <f>C62*$B$74/6</f>
        <v>0</v>
      </c>
      <c r="D74" s="108">
        <f t="shared" ref="D74:H74" si="15">D62*$B$74/6</f>
        <v>0</v>
      </c>
      <c r="E74" s="108">
        <f t="shared" si="15"/>
        <v>0</v>
      </c>
      <c r="F74" s="108">
        <f t="shared" si="15"/>
        <v>0</v>
      </c>
      <c r="G74" s="108">
        <f t="shared" si="15"/>
        <v>0</v>
      </c>
      <c r="H74" s="108">
        <f t="shared" si="15"/>
        <v>0</v>
      </c>
      <c r="I74" s="108">
        <f>SUM(C74:E74)</f>
        <v>0</v>
      </c>
      <c r="J74" s="108">
        <f>SUM(F74:H74)</f>
        <v>0</v>
      </c>
      <c r="L74" s="102">
        <f t="shared" si="14"/>
        <v>0</v>
      </c>
      <c r="M74" s="104">
        <f t="shared" si="13"/>
        <v>0</v>
      </c>
      <c r="N74" s="104">
        <f t="shared" si="13"/>
        <v>0</v>
      </c>
      <c r="P74" s="168">
        <f>I74/($E$137/2)</f>
        <v>0</v>
      </c>
      <c r="Q74" s="168">
        <f>J74/($G$137/2)</f>
        <v>0</v>
      </c>
      <c r="R74" s="164">
        <f>P74+Q74</f>
        <v>0</v>
      </c>
      <c r="S74" s="164">
        <f>IF(ABS(R74-B74)&gt;$J$94,'FTS-Initialization'!$N$99,0)</f>
        <v>0</v>
      </c>
      <c r="U74" s="162" t="s">
        <v>224</v>
      </c>
      <c r="V74" s="162" t="s">
        <v>225</v>
      </c>
      <c r="W74" s="162" t="s">
        <v>226</v>
      </c>
      <c r="X74" s="162" t="s">
        <v>227</v>
      </c>
      <c r="Y74" s="162" t="s">
        <v>228</v>
      </c>
      <c r="Z74" s="162" t="s">
        <v>229</v>
      </c>
      <c r="AA74" s="218" t="s">
        <v>645</v>
      </c>
    </row>
    <row r="75" spans="2:27" x14ac:dyDescent="0.25">
      <c r="B75" s="114">
        <f t="shared" ref="B75:B79" si="16">B57</f>
        <v>10</v>
      </c>
      <c r="C75" s="108">
        <f>(C57-C$56)+$C$74</f>
        <v>-1000</v>
      </c>
      <c r="D75" s="108">
        <f>(D57-D$56)+$D$74</f>
        <v>-1000</v>
      </c>
      <c r="E75" s="108">
        <f>(E57-E$56)+$E$74</f>
        <v>-1000</v>
      </c>
      <c r="F75" s="108">
        <f>(F57-F$56)+$F$74</f>
        <v>-1000</v>
      </c>
      <c r="G75" s="108">
        <f>(G57-G$56)+$G$74</f>
        <v>-1000</v>
      </c>
      <c r="H75" s="108">
        <f>(H57-H$56)+$H$74</f>
        <v>-1000</v>
      </c>
      <c r="I75" s="108">
        <f t="shared" ref="I75:I79" si="17">SUM(C75:E75)</f>
        <v>-3000</v>
      </c>
      <c r="J75" s="108">
        <f t="shared" ref="J75:J79" si="18">SUM(F75:H75)</f>
        <v>-3000</v>
      </c>
      <c r="L75" s="102">
        <f t="shared" si="14"/>
        <v>5</v>
      </c>
      <c r="M75" s="104">
        <f t="shared" si="13"/>
        <v>-375</v>
      </c>
      <c r="N75" s="104">
        <f t="shared" si="13"/>
        <v>-375</v>
      </c>
      <c r="P75" s="168">
        <f>($L$80/((4000*$E$137)/100))*I75</f>
        <v>40</v>
      </c>
      <c r="Q75" s="168">
        <f>($L$80/((4000*$G$137)/100))*J75</f>
        <v>40</v>
      </c>
      <c r="R75" s="164">
        <f t="shared" ref="R75:R79" si="19">P75+Q75</f>
        <v>80</v>
      </c>
      <c r="S75" s="164">
        <f>IF(ABS(R75-B75)&gt;($J$94*2),'FTS-Initialization'!$N$99,0)</f>
        <v>62</v>
      </c>
      <c r="U75" s="162">
        <f>IF((C75)&lt;(C74+$AA75),'FTS-Initialization'!$N$99,0)</f>
        <v>62</v>
      </c>
      <c r="V75" s="218">
        <f>IF((D75)&lt;(D74+$AA75),'FTS-Initialization'!$N$99,0)</f>
        <v>62</v>
      </c>
      <c r="W75" s="218">
        <f>IF((E75)&lt;(E74+$AA75),'FTS-Initialization'!$N$99,0)</f>
        <v>62</v>
      </c>
      <c r="X75" s="218">
        <f>IF((F75)&lt;(F74+$AA75),'FTS-Initialization'!$N$99,0)</f>
        <v>62</v>
      </c>
      <c r="Y75" s="218">
        <f>IF((G75)&lt;(G74+$AA75),'FTS-Initialization'!$N$99,0)</f>
        <v>62</v>
      </c>
      <c r="Z75" s="218">
        <f>IF((H75)&lt;(H74+$AA75),'FTS-Initialization'!$N$99,0)</f>
        <v>62</v>
      </c>
      <c r="AA75" s="218">
        <v>4</v>
      </c>
    </row>
    <row r="76" spans="2:27" x14ac:dyDescent="0.25">
      <c r="B76" s="114">
        <f t="shared" si="16"/>
        <v>20</v>
      </c>
      <c r="C76" s="108">
        <f t="shared" ref="C76:C79" si="20">(C58-C$56)+$C$74</f>
        <v>-1000</v>
      </c>
      <c r="D76" s="108">
        <f t="shared" ref="D76:D79" si="21">(D58-D$56)+$D$74</f>
        <v>-1000</v>
      </c>
      <c r="E76" s="108">
        <f t="shared" ref="E76:E79" si="22">(E58-E$56)+$E$74</f>
        <v>-1000</v>
      </c>
      <c r="F76" s="108">
        <f t="shared" ref="F76:F79" si="23">(F58-F$56)+$F$74</f>
        <v>-1000</v>
      </c>
      <c r="G76" s="108">
        <f t="shared" ref="G76:G79" si="24">(G58-G$56)+$G$74</f>
        <v>-1000</v>
      </c>
      <c r="H76" s="108">
        <f t="shared" ref="H76:H79" si="25">(H58-H$56)+$H$74</f>
        <v>-1000</v>
      </c>
      <c r="I76" s="108">
        <f t="shared" si="17"/>
        <v>-3000</v>
      </c>
      <c r="J76" s="108">
        <f t="shared" si="18"/>
        <v>-3000</v>
      </c>
      <c r="L76" s="102">
        <f t="shared" si="14"/>
        <v>10</v>
      </c>
      <c r="M76" s="104">
        <f t="shared" si="13"/>
        <v>-750</v>
      </c>
      <c r="N76" s="104">
        <f t="shared" si="13"/>
        <v>-750</v>
      </c>
      <c r="P76" s="168">
        <f>($L$80/((4000*$E$137)/100))*I76</f>
        <v>40</v>
      </c>
      <c r="Q76" s="168">
        <f>($L$80/((4000*$G$137)/100))*J76</f>
        <v>40</v>
      </c>
      <c r="R76" s="164">
        <f t="shared" si="19"/>
        <v>80</v>
      </c>
      <c r="S76" s="164">
        <f>IF(ABS(R76-B76)&gt;($J$94*2),'FTS-Initialization'!$N$99,0)</f>
        <v>62</v>
      </c>
      <c r="U76" s="218">
        <f>IF((C76)&lt;(C75+$AA76),'FTS-Initialization'!$N$99,0)</f>
        <v>62</v>
      </c>
      <c r="V76" s="218">
        <f>IF((D76)&lt;(D75+$AA76),'FTS-Initialization'!$N$99,0)</f>
        <v>62</v>
      </c>
      <c r="W76" s="218">
        <f>IF((E76)&lt;(E75+$AA76),'FTS-Initialization'!$N$99,0)</f>
        <v>62</v>
      </c>
      <c r="X76" s="218">
        <f>IF((F76)&lt;(F75+$AA76),'FTS-Initialization'!$N$99,0)</f>
        <v>62</v>
      </c>
      <c r="Y76" s="218">
        <f>IF((G76)&lt;(G75+$AA76),'FTS-Initialization'!$N$99,0)</f>
        <v>62</v>
      </c>
      <c r="Z76" s="218">
        <f>IF((H76)&lt;(H75+$AA76),'FTS-Initialization'!$N$99,0)</f>
        <v>62</v>
      </c>
      <c r="AA76" s="218">
        <v>9</v>
      </c>
    </row>
    <row r="77" spans="2:27" x14ac:dyDescent="0.25">
      <c r="B77" s="114">
        <f t="shared" si="16"/>
        <v>40</v>
      </c>
      <c r="C77" s="108">
        <f t="shared" si="20"/>
        <v>-1000</v>
      </c>
      <c r="D77" s="108">
        <f t="shared" si="21"/>
        <v>-1000</v>
      </c>
      <c r="E77" s="108">
        <f t="shared" si="22"/>
        <v>-1000</v>
      </c>
      <c r="F77" s="108">
        <f t="shared" si="23"/>
        <v>-1000</v>
      </c>
      <c r="G77" s="108">
        <f t="shared" si="24"/>
        <v>-1000</v>
      </c>
      <c r="H77" s="108">
        <f t="shared" si="25"/>
        <v>-1000</v>
      </c>
      <c r="I77" s="108">
        <f t="shared" si="17"/>
        <v>-3000</v>
      </c>
      <c r="J77" s="108">
        <f t="shared" si="18"/>
        <v>-3000</v>
      </c>
      <c r="L77" s="102">
        <f t="shared" si="14"/>
        <v>20</v>
      </c>
      <c r="M77" s="104">
        <f t="shared" si="13"/>
        <v>-1500</v>
      </c>
      <c r="N77" s="104">
        <f t="shared" si="13"/>
        <v>-1500</v>
      </c>
      <c r="P77" s="168">
        <f>($L$80/((4000*$E$137)/100))*I77</f>
        <v>40</v>
      </c>
      <c r="Q77" s="168">
        <f>($L$80/((4000*$G$137)/100))*J77</f>
        <v>40</v>
      </c>
      <c r="R77" s="164">
        <f t="shared" si="19"/>
        <v>80</v>
      </c>
      <c r="S77" s="164">
        <f>IF(ABS(R77-B77)&gt;($J$94*2),'FTS-Initialization'!$N$99,0)</f>
        <v>62</v>
      </c>
      <c r="U77" s="218">
        <f>IF((C77)&lt;(C76+$AA77),'FTS-Initialization'!$N$99,0)</f>
        <v>62</v>
      </c>
      <c r="V77" s="218">
        <f>IF((D77)&lt;(D76+$AA77),'FTS-Initialization'!$N$99,0)</f>
        <v>62</v>
      </c>
      <c r="W77" s="218">
        <f>IF((E77)&lt;(E76+$AA77),'FTS-Initialization'!$N$99,0)</f>
        <v>62</v>
      </c>
      <c r="X77" s="218">
        <f>IF((F77)&lt;(F76+$AA77),'FTS-Initialization'!$N$99,0)</f>
        <v>62</v>
      </c>
      <c r="Y77" s="218">
        <f>IF((G77)&lt;(G76+$AA77),'FTS-Initialization'!$N$99,0)</f>
        <v>62</v>
      </c>
      <c r="Z77" s="218">
        <f>IF((H77)&lt;(H76+$AA77),'FTS-Initialization'!$N$99,0)</f>
        <v>62</v>
      </c>
      <c r="AA77" s="218">
        <v>19</v>
      </c>
    </row>
    <row r="78" spans="2:27" x14ac:dyDescent="0.25">
      <c r="B78" s="114">
        <f t="shared" si="16"/>
        <v>60</v>
      </c>
      <c r="C78" s="108">
        <f t="shared" si="20"/>
        <v>-1000</v>
      </c>
      <c r="D78" s="108">
        <f t="shared" si="21"/>
        <v>-1000</v>
      </c>
      <c r="E78" s="108">
        <f t="shared" si="22"/>
        <v>-1000</v>
      </c>
      <c r="F78" s="108">
        <f t="shared" si="23"/>
        <v>-1000</v>
      </c>
      <c r="G78" s="108">
        <f t="shared" si="24"/>
        <v>-1000</v>
      </c>
      <c r="H78" s="108">
        <f t="shared" si="25"/>
        <v>-1000</v>
      </c>
      <c r="I78" s="108">
        <f t="shared" si="17"/>
        <v>-3000</v>
      </c>
      <c r="J78" s="108">
        <f t="shared" si="18"/>
        <v>-3000</v>
      </c>
      <c r="L78" s="102">
        <f t="shared" si="14"/>
        <v>30</v>
      </c>
      <c r="M78" s="104">
        <f t="shared" si="13"/>
        <v>-2250</v>
      </c>
      <c r="N78" s="104">
        <f t="shared" si="13"/>
        <v>-2250</v>
      </c>
      <c r="P78" s="168">
        <f>($L$80/((4000*$E$137)/100))*I78</f>
        <v>40</v>
      </c>
      <c r="Q78" s="168">
        <f>($L$80/((4000*$G$137)/100))*J78</f>
        <v>40</v>
      </c>
      <c r="R78" s="164">
        <f t="shared" si="19"/>
        <v>80</v>
      </c>
      <c r="S78" s="164">
        <f>IF(ABS(R78-B78)&gt;($J$94*2),'FTS-Initialization'!$N$99,0)</f>
        <v>62</v>
      </c>
      <c r="U78" s="218">
        <f>IF((C78)&lt;(C77+$AA78),'FTS-Initialization'!$N$99,0)</f>
        <v>62</v>
      </c>
      <c r="V78" s="218">
        <f>IF((D78)&lt;(D77+$AA78),'FTS-Initialization'!$N$99,0)</f>
        <v>62</v>
      </c>
      <c r="W78" s="218">
        <f>IF((E78)&lt;(E77+$AA78),'FTS-Initialization'!$N$99,0)</f>
        <v>62</v>
      </c>
      <c r="X78" s="218">
        <f>IF((F78)&lt;(F77+$AA78),'FTS-Initialization'!$N$99,0)</f>
        <v>62</v>
      </c>
      <c r="Y78" s="218">
        <f>IF((G78)&lt;(G77+$AA78),'FTS-Initialization'!$N$99,0)</f>
        <v>62</v>
      </c>
      <c r="Z78" s="218">
        <f>IF((H78)&lt;(H77+$AA78),'FTS-Initialization'!$N$99,0)</f>
        <v>62</v>
      </c>
      <c r="AA78" s="218">
        <v>29</v>
      </c>
    </row>
    <row r="79" spans="2:27" x14ac:dyDescent="0.25">
      <c r="B79" s="114">
        <f t="shared" si="16"/>
        <v>80</v>
      </c>
      <c r="C79" s="108">
        <f t="shared" si="20"/>
        <v>-1000</v>
      </c>
      <c r="D79" s="108">
        <f t="shared" si="21"/>
        <v>-1000</v>
      </c>
      <c r="E79" s="108">
        <f t="shared" si="22"/>
        <v>-1000</v>
      </c>
      <c r="F79" s="108">
        <f t="shared" si="23"/>
        <v>-1000</v>
      </c>
      <c r="G79" s="108">
        <f t="shared" si="24"/>
        <v>-1000</v>
      </c>
      <c r="H79" s="108">
        <f t="shared" si="25"/>
        <v>-1000</v>
      </c>
      <c r="I79" s="108">
        <f t="shared" si="17"/>
        <v>-3000</v>
      </c>
      <c r="J79" s="108">
        <f t="shared" si="18"/>
        <v>-3000</v>
      </c>
      <c r="L79" s="102">
        <f t="shared" si="14"/>
        <v>40</v>
      </c>
      <c r="M79" s="104">
        <f t="shared" si="13"/>
        <v>-3000</v>
      </c>
      <c r="N79" s="104">
        <f t="shared" si="13"/>
        <v>-3000</v>
      </c>
      <c r="P79" s="168">
        <f>($L$80/((4000*$E$137)/100))*I79</f>
        <v>40</v>
      </c>
      <c r="Q79" s="168">
        <f>($L$80/((4000*$G$137)/100))*J79</f>
        <v>40</v>
      </c>
      <c r="R79" s="164">
        <f t="shared" si="19"/>
        <v>80</v>
      </c>
      <c r="S79" s="164">
        <f>IF(ABS(R79-B79)&gt;($J$94*2),'FTS-Initialization'!$N$99,0)</f>
        <v>0</v>
      </c>
      <c r="U79" s="218">
        <f>IF((C79)&lt;(C78+$AA79),'FTS-Initialization'!$N$99,0)</f>
        <v>62</v>
      </c>
      <c r="V79" s="218">
        <f>IF((D79)&lt;(D78+$AA79),'FTS-Initialization'!$N$99,0)</f>
        <v>62</v>
      </c>
      <c r="W79" s="218">
        <f>IF((E79)&lt;(E78+$AA79),'FTS-Initialization'!$N$99,0)</f>
        <v>62</v>
      </c>
      <c r="X79" s="218">
        <f>IF((F79)&lt;(F78+$AA79),'FTS-Initialization'!$N$99,0)</f>
        <v>62</v>
      </c>
      <c r="Y79" s="218">
        <f>IF((G79)&lt;(G78+$AA79),'FTS-Initialization'!$N$99,0)</f>
        <v>62</v>
      </c>
      <c r="Z79" s="218">
        <f>IF((H79)&lt;(H78+$AA79),'FTS-Initialization'!$N$99,0)</f>
        <v>62</v>
      </c>
      <c r="AA79" s="218">
        <v>39</v>
      </c>
    </row>
    <row r="80" spans="2:27" x14ac:dyDescent="0.25">
      <c r="L80" s="102">
        <v>80</v>
      </c>
      <c r="M80" s="104">
        <f>2*M79</f>
        <v>-6000</v>
      </c>
      <c r="N80" s="104">
        <f>2*N79</f>
        <v>-6000</v>
      </c>
      <c r="P80" s="167"/>
      <c r="Q80" s="167"/>
      <c r="R80" s="167"/>
      <c r="S80" s="171" t="s">
        <v>414</v>
      </c>
      <c r="U80" s="171" t="s">
        <v>414</v>
      </c>
      <c r="V80" s="171" t="s">
        <v>414</v>
      </c>
      <c r="W80" s="171" t="s">
        <v>414</v>
      </c>
      <c r="X80" s="171" t="s">
        <v>414</v>
      </c>
      <c r="Y80" s="171" t="s">
        <v>414</v>
      </c>
      <c r="Z80" s="171" t="s">
        <v>414</v>
      </c>
    </row>
    <row r="81" spans="2:26" x14ac:dyDescent="0.25">
      <c r="B81" s="366" t="s">
        <v>644</v>
      </c>
      <c r="C81" s="367"/>
      <c r="D81" s="367"/>
      <c r="E81" s="367"/>
      <c r="F81" s="367"/>
      <c r="G81" s="142" t="s">
        <v>533</v>
      </c>
      <c r="H81" s="142">
        <f>'FTS-Initialization'!$AE$32</f>
        <v>70</v>
      </c>
      <c r="I81" s="116" t="s">
        <v>452</v>
      </c>
      <c r="J81" s="116">
        <f>'FTS-Initialization'!$AE$21</f>
        <v>30</v>
      </c>
      <c r="S81" s="171">
        <f>MAX(S74:S79)</f>
        <v>62</v>
      </c>
      <c r="U81" s="171">
        <f>IF(MAX(U75:U79)=0,0,'FTS-Initialization'!$N103)</f>
        <v>66</v>
      </c>
      <c r="V81" s="171">
        <f>IF(MAX(V75:V79)=0,0,'FTS-Initialization'!$N104)</f>
        <v>67</v>
      </c>
      <c r="W81" s="171">
        <f>IF(MAX(W75:W79)=0,0,'FTS-Initialization'!$N105)</f>
        <v>68</v>
      </c>
      <c r="X81" s="171">
        <f>IF(MAX(X75:X79)=0,0,'FTS-Initialization'!$N106)</f>
        <v>69</v>
      </c>
      <c r="Y81" s="171">
        <f>IF(MAX(Y75:Y79)=0,0,'FTS-Initialization'!$N107)</f>
        <v>70</v>
      </c>
      <c r="Z81" s="171">
        <f>IF(MAX(Z75:Z79)=0,0,'FTS-Initialization'!$N108)</f>
        <v>71</v>
      </c>
    </row>
    <row r="82" spans="2:26" x14ac:dyDescent="0.25">
      <c r="B82" s="116" t="s">
        <v>451</v>
      </c>
      <c r="C82" s="116" t="s">
        <v>438</v>
      </c>
      <c r="D82" s="116" t="s">
        <v>439</v>
      </c>
      <c r="E82" s="116" t="s">
        <v>199</v>
      </c>
      <c r="F82" s="116" t="s">
        <v>200</v>
      </c>
      <c r="J82" s="116" t="s">
        <v>407</v>
      </c>
      <c r="L82" s="91" t="s">
        <v>414</v>
      </c>
    </row>
    <row r="83" spans="2:26" x14ac:dyDescent="0.25">
      <c r="B83" s="220">
        <f>($J$17)/(I17)*(B61/2)</f>
        <v>2000</v>
      </c>
      <c r="C83" s="109">
        <f>I79</f>
        <v>-3000</v>
      </c>
      <c r="D83" s="109">
        <f>J79</f>
        <v>-3000</v>
      </c>
      <c r="E83" s="220">
        <f>IF((ROUND(C83/$B$83*100,0))=0,1,(ROUND(C83/$B$83*100,0)))</f>
        <v>-150</v>
      </c>
      <c r="F83" s="220">
        <f>IF((ROUND(D83/$B$83*100,0))=0,1,(ROUND(D83/$B$83*100,0)))</f>
        <v>-150</v>
      </c>
      <c r="J83" s="116" t="b">
        <f>IF(AND(AND(E83&gt;=J81,F83&gt;=J81),AND(E83&lt;=H81,F83&lt;=H81)),TRUE,FALSE)</f>
        <v>0</v>
      </c>
      <c r="L83" s="91">
        <f>IF(J83,0,'FTS-Initialization'!$N$94)</f>
        <v>57</v>
      </c>
      <c r="U83" s="215"/>
      <c r="V83" s="216"/>
      <c r="W83" s="211" t="s">
        <v>631</v>
      </c>
      <c r="X83" s="216"/>
      <c r="Y83" s="216"/>
      <c r="Z83" s="169"/>
    </row>
    <row r="84" spans="2:26" x14ac:dyDescent="0.25">
      <c r="E84" s="222">
        <f>I16/J16/(E83/100)</f>
        <v>-1.3333333333333334E-2</v>
      </c>
      <c r="F84" s="222">
        <f>I16/J16/(F83/100)</f>
        <v>-1.3333333333333334E-2</v>
      </c>
      <c r="U84" s="162" t="s">
        <v>224</v>
      </c>
      <c r="V84" s="162" t="s">
        <v>225</v>
      </c>
      <c r="W84" s="162" t="s">
        <v>226</v>
      </c>
      <c r="X84" s="162" t="s">
        <v>227</v>
      </c>
      <c r="Y84" s="162" t="s">
        <v>228</v>
      </c>
      <c r="Z84" s="162" t="s">
        <v>229</v>
      </c>
    </row>
    <row r="85" spans="2:26" x14ac:dyDescent="0.25">
      <c r="B85" s="357" t="s">
        <v>454</v>
      </c>
      <c r="C85" s="358"/>
      <c r="D85" s="358"/>
      <c r="E85" s="358"/>
      <c r="F85" s="358"/>
      <c r="G85" s="358"/>
      <c r="H85" s="358"/>
      <c r="I85" s="358"/>
      <c r="J85" s="359"/>
      <c r="U85" s="171" t="s">
        <v>414</v>
      </c>
      <c r="V85" s="171" t="s">
        <v>414</v>
      </c>
      <c r="W85" s="171" t="s">
        <v>414</v>
      </c>
      <c r="X85" s="171" t="s">
        <v>414</v>
      </c>
      <c r="Y85" s="171" t="s">
        <v>414</v>
      </c>
      <c r="Z85" s="171" t="s">
        <v>414</v>
      </c>
    </row>
    <row r="86" spans="2:26" x14ac:dyDescent="0.25">
      <c r="B86" s="114" t="s">
        <v>455</v>
      </c>
      <c r="C86" s="114" t="s">
        <v>224</v>
      </c>
      <c r="D86" s="114" t="s">
        <v>225</v>
      </c>
      <c r="E86" s="114" t="s">
        <v>226</v>
      </c>
      <c r="F86" s="114" t="s">
        <v>227</v>
      </c>
      <c r="G86" s="114" t="s">
        <v>228</v>
      </c>
      <c r="H86" s="114" t="s">
        <v>229</v>
      </c>
      <c r="I86" s="114" t="s">
        <v>438</v>
      </c>
      <c r="J86" s="114" t="s">
        <v>439</v>
      </c>
      <c r="L86" s="102" t="str">
        <f>B86</f>
        <v>F/Cond [lb]</v>
      </c>
      <c r="M86" s="102" t="str">
        <f t="shared" ref="M86:N92" si="26">I86</f>
        <v>Left</v>
      </c>
      <c r="N86" s="102" t="str">
        <f t="shared" si="26"/>
        <v>Right</v>
      </c>
      <c r="U86" s="171">
        <f>IF(MIN(C79)&gt;100,0,'FTS-Initialization'!N109)</f>
        <v>72</v>
      </c>
      <c r="V86" s="171">
        <f>IF(MIN(D79)&gt;100,0,'FTS-Initialization'!N110)</f>
        <v>73</v>
      </c>
      <c r="W86" s="171">
        <f>IF(MIN(E79)&gt;100,0,'FTS-Initialization'!N111)</f>
        <v>74</v>
      </c>
      <c r="X86" s="171">
        <f>IF(MIN(F79)&gt;100,0,'FTS-Initialization'!N112)</f>
        <v>75</v>
      </c>
      <c r="Y86" s="171">
        <f>IF(MIN(G79)&gt;100,0,'FTS-Initialization'!N113)</f>
        <v>76</v>
      </c>
      <c r="Z86" s="171">
        <f>IF(MIN(H79)&gt;100,0,'FTS-Initialization'!N114)</f>
        <v>77</v>
      </c>
    </row>
    <row r="87" spans="2:26" x14ac:dyDescent="0.25">
      <c r="B87" s="221">
        <f>B56/2</f>
        <v>0</v>
      </c>
      <c r="C87" s="223">
        <f>C74*$E$84</f>
        <v>0</v>
      </c>
      <c r="D87" s="223">
        <f t="shared" ref="D87:E87" si="27">D74*$E$84</f>
        <v>0</v>
      </c>
      <c r="E87" s="223">
        <f t="shared" si="27"/>
        <v>0</v>
      </c>
      <c r="F87" s="223">
        <f>F74*$F$84</f>
        <v>0</v>
      </c>
      <c r="G87" s="223">
        <f t="shared" ref="G87:H87" si="28">G74*$F$84</f>
        <v>0</v>
      </c>
      <c r="H87" s="223">
        <f t="shared" si="28"/>
        <v>0</v>
      </c>
      <c r="I87" s="223">
        <f>I74*$E$84</f>
        <v>0</v>
      </c>
      <c r="J87" s="223">
        <f>J74*$F$84</f>
        <v>0</v>
      </c>
      <c r="L87" s="102">
        <f>B87</f>
        <v>0</v>
      </c>
      <c r="M87" s="104">
        <f t="shared" si="26"/>
        <v>0</v>
      </c>
      <c r="N87" s="104">
        <f t="shared" si="26"/>
        <v>0</v>
      </c>
    </row>
    <row r="88" spans="2:26" x14ac:dyDescent="0.25">
      <c r="B88" s="221">
        <f t="shared" ref="B88:B92" si="29">B57/2</f>
        <v>5</v>
      </c>
      <c r="C88" s="223">
        <f t="shared" ref="C88:E92" si="30">C75*$E$84</f>
        <v>13.333333333333334</v>
      </c>
      <c r="D88" s="223">
        <f t="shared" si="30"/>
        <v>13.333333333333334</v>
      </c>
      <c r="E88" s="223">
        <f t="shared" si="30"/>
        <v>13.333333333333334</v>
      </c>
      <c r="F88" s="223">
        <f t="shared" ref="F88:H92" si="31">F75*$F$84</f>
        <v>13.333333333333334</v>
      </c>
      <c r="G88" s="223">
        <f t="shared" si="31"/>
        <v>13.333333333333334</v>
      </c>
      <c r="H88" s="223">
        <f t="shared" si="31"/>
        <v>13.333333333333334</v>
      </c>
      <c r="I88" s="223">
        <f t="shared" ref="I88:I92" si="32">I75*$E$84</f>
        <v>40</v>
      </c>
      <c r="J88" s="223">
        <f t="shared" ref="J88:J92" si="33">J75*$F$84</f>
        <v>40</v>
      </c>
      <c r="L88" s="102">
        <f t="shared" ref="L88:L92" si="34">B88</f>
        <v>5</v>
      </c>
      <c r="M88" s="104">
        <f t="shared" si="26"/>
        <v>40</v>
      </c>
      <c r="N88" s="104">
        <f t="shared" si="26"/>
        <v>40</v>
      </c>
    </row>
    <row r="89" spans="2:26" x14ac:dyDescent="0.25">
      <c r="B89" s="221">
        <f t="shared" si="29"/>
        <v>10</v>
      </c>
      <c r="C89" s="223">
        <f t="shared" si="30"/>
        <v>13.333333333333334</v>
      </c>
      <c r="D89" s="223">
        <f t="shared" si="30"/>
        <v>13.333333333333334</v>
      </c>
      <c r="E89" s="223">
        <f t="shared" si="30"/>
        <v>13.333333333333334</v>
      </c>
      <c r="F89" s="223">
        <f t="shared" si="31"/>
        <v>13.333333333333334</v>
      </c>
      <c r="G89" s="223">
        <f t="shared" si="31"/>
        <v>13.333333333333334</v>
      </c>
      <c r="H89" s="223">
        <f t="shared" si="31"/>
        <v>13.333333333333334</v>
      </c>
      <c r="I89" s="223">
        <f t="shared" si="32"/>
        <v>40</v>
      </c>
      <c r="J89" s="223">
        <f t="shared" si="33"/>
        <v>40</v>
      </c>
      <c r="L89" s="102">
        <f t="shared" si="34"/>
        <v>10</v>
      </c>
      <c r="M89" s="104">
        <f t="shared" si="26"/>
        <v>40</v>
      </c>
      <c r="N89" s="104">
        <f t="shared" si="26"/>
        <v>40</v>
      </c>
    </row>
    <row r="90" spans="2:26" x14ac:dyDescent="0.25">
      <c r="B90" s="221">
        <f t="shared" si="29"/>
        <v>20</v>
      </c>
      <c r="C90" s="223">
        <f t="shared" si="30"/>
        <v>13.333333333333334</v>
      </c>
      <c r="D90" s="223">
        <f t="shared" si="30"/>
        <v>13.333333333333334</v>
      </c>
      <c r="E90" s="223">
        <f t="shared" si="30"/>
        <v>13.333333333333334</v>
      </c>
      <c r="F90" s="223">
        <f t="shared" si="31"/>
        <v>13.333333333333334</v>
      </c>
      <c r="G90" s="223">
        <f t="shared" si="31"/>
        <v>13.333333333333334</v>
      </c>
      <c r="H90" s="223">
        <f t="shared" si="31"/>
        <v>13.333333333333334</v>
      </c>
      <c r="I90" s="223">
        <f t="shared" si="32"/>
        <v>40</v>
      </c>
      <c r="J90" s="223">
        <f t="shared" si="33"/>
        <v>40</v>
      </c>
      <c r="L90" s="102">
        <f t="shared" si="34"/>
        <v>20</v>
      </c>
      <c r="M90" s="104">
        <f t="shared" si="26"/>
        <v>40</v>
      </c>
      <c r="N90" s="104">
        <f t="shared" si="26"/>
        <v>40</v>
      </c>
    </row>
    <row r="91" spans="2:26" x14ac:dyDescent="0.25">
      <c r="B91" s="221">
        <f t="shared" si="29"/>
        <v>30</v>
      </c>
      <c r="C91" s="223">
        <f t="shared" si="30"/>
        <v>13.333333333333334</v>
      </c>
      <c r="D91" s="223">
        <f t="shared" si="30"/>
        <v>13.333333333333334</v>
      </c>
      <c r="E91" s="223">
        <f t="shared" si="30"/>
        <v>13.333333333333334</v>
      </c>
      <c r="F91" s="223">
        <f t="shared" si="31"/>
        <v>13.333333333333334</v>
      </c>
      <c r="G91" s="223">
        <f t="shared" si="31"/>
        <v>13.333333333333334</v>
      </c>
      <c r="H91" s="223">
        <f t="shared" si="31"/>
        <v>13.333333333333334</v>
      </c>
      <c r="I91" s="223">
        <f t="shared" si="32"/>
        <v>40</v>
      </c>
      <c r="J91" s="223">
        <f t="shared" si="33"/>
        <v>40</v>
      </c>
      <c r="L91" s="102">
        <f t="shared" si="34"/>
        <v>30</v>
      </c>
      <c r="M91" s="104">
        <f t="shared" si="26"/>
        <v>40</v>
      </c>
      <c r="N91" s="104">
        <f t="shared" si="26"/>
        <v>40</v>
      </c>
    </row>
    <row r="92" spans="2:26" x14ac:dyDescent="0.25">
      <c r="B92" s="221">
        <f t="shared" si="29"/>
        <v>40</v>
      </c>
      <c r="C92" s="223">
        <f t="shared" si="30"/>
        <v>13.333333333333334</v>
      </c>
      <c r="D92" s="223">
        <f t="shared" si="30"/>
        <v>13.333333333333334</v>
      </c>
      <c r="E92" s="223">
        <f t="shared" si="30"/>
        <v>13.333333333333334</v>
      </c>
      <c r="F92" s="223">
        <f t="shared" si="31"/>
        <v>13.333333333333334</v>
      </c>
      <c r="G92" s="223">
        <f t="shared" si="31"/>
        <v>13.333333333333334</v>
      </c>
      <c r="H92" s="223">
        <f t="shared" si="31"/>
        <v>13.333333333333334</v>
      </c>
      <c r="I92" s="223">
        <f t="shared" si="32"/>
        <v>40</v>
      </c>
      <c r="J92" s="223">
        <f t="shared" si="33"/>
        <v>40</v>
      </c>
      <c r="L92" s="102">
        <f t="shared" si="34"/>
        <v>40</v>
      </c>
      <c r="M92" s="104">
        <f t="shared" si="26"/>
        <v>40</v>
      </c>
      <c r="N92" s="104">
        <f t="shared" si="26"/>
        <v>40</v>
      </c>
    </row>
    <row r="94" spans="2:26" x14ac:dyDescent="0.25">
      <c r="B94" s="364" t="s">
        <v>456</v>
      </c>
      <c r="C94" s="364"/>
      <c r="D94" s="364"/>
      <c r="E94" s="364"/>
      <c r="F94" s="364"/>
      <c r="G94" s="364"/>
      <c r="H94" s="364"/>
      <c r="I94" s="110" t="s">
        <v>206</v>
      </c>
      <c r="J94" s="110">
        <v>3.5</v>
      </c>
      <c r="L94" s="91" t="s">
        <v>414</v>
      </c>
    </row>
    <row r="95" spans="2:26" x14ac:dyDescent="0.25">
      <c r="B95" s="221" t="s">
        <v>455</v>
      </c>
      <c r="C95" s="221" t="s">
        <v>457</v>
      </c>
      <c r="D95" s="221" t="s">
        <v>458</v>
      </c>
      <c r="E95" s="221" t="s">
        <v>544</v>
      </c>
      <c r="F95" s="221" t="s">
        <v>545</v>
      </c>
      <c r="I95" s="221" t="s">
        <v>407</v>
      </c>
      <c r="J95" s="221" t="b">
        <f>IF(MAX(C96:D101)&lt;=J94,TRUE, FALSE)</f>
        <v>0</v>
      </c>
      <c r="L95" s="91">
        <f>IF(J95,0,IF(MAX($C$96:$D$101)&lt;$J$94*1.2,'FTS-Initialization'!$N$101,'FTS-Initialization'!$N$91))</f>
        <v>54</v>
      </c>
    </row>
    <row r="96" spans="2:26" x14ac:dyDescent="0.25">
      <c r="B96" s="221">
        <f>B56/2</f>
        <v>0</v>
      </c>
      <c r="C96" s="223">
        <f>ABS(B96-(I74*$E$84))</f>
        <v>0</v>
      </c>
      <c r="D96" s="223">
        <f>ABS(B96-(J74*$F$84))</f>
        <v>0</v>
      </c>
      <c r="E96" s="155"/>
      <c r="F96" s="155"/>
    </row>
    <row r="97" spans="2:9" x14ac:dyDescent="0.25">
      <c r="B97" s="221">
        <f t="shared" ref="B97:B101" si="35">B57/2</f>
        <v>5</v>
      </c>
      <c r="C97" s="223">
        <f t="shared" ref="C97:C101" si="36">ABS(B97-(I75*$E$84))</f>
        <v>35</v>
      </c>
      <c r="D97" s="223">
        <f t="shared" ref="D97:D101" si="37">ABS(B97-(J75*$F$84))</f>
        <v>35</v>
      </c>
      <c r="E97" s="155">
        <f>AVERAGE(C97:C101)</f>
        <v>19</v>
      </c>
      <c r="F97" s="155">
        <f>AVERAGE(D97:D101)</f>
        <v>19</v>
      </c>
      <c r="G97" s="156" t="s">
        <v>546</v>
      </c>
      <c r="H97" s="156">
        <v>-2</v>
      </c>
      <c r="I97" s="156" t="s">
        <v>11</v>
      </c>
    </row>
    <row r="98" spans="2:9" x14ac:dyDescent="0.25">
      <c r="B98" s="221">
        <f t="shared" si="35"/>
        <v>10</v>
      </c>
      <c r="C98" s="223">
        <f t="shared" si="36"/>
        <v>30</v>
      </c>
      <c r="D98" s="223">
        <f t="shared" si="37"/>
        <v>30</v>
      </c>
      <c r="E98" s="155">
        <f>STDEV(C97:C101)</f>
        <v>14.317821063276353</v>
      </c>
      <c r="F98" s="155">
        <f>STDEV(D97:D101)</f>
        <v>14.317821063276353</v>
      </c>
      <c r="G98" s="156" t="s">
        <v>547</v>
      </c>
      <c r="H98" s="156">
        <v>1</v>
      </c>
      <c r="I98" s="156">
        <v>2</v>
      </c>
    </row>
    <row r="99" spans="2:9" x14ac:dyDescent="0.25">
      <c r="B99" s="221">
        <f t="shared" si="35"/>
        <v>20</v>
      </c>
      <c r="C99" s="223">
        <f t="shared" si="36"/>
        <v>20</v>
      </c>
      <c r="D99" s="223">
        <f t="shared" si="37"/>
        <v>20</v>
      </c>
      <c r="E99" s="155">
        <f>ABS(SLOPE(C97:C101,$B$97:$B$101))</f>
        <v>1</v>
      </c>
      <c r="F99" s="155">
        <f>ABS(SLOPE(D97:D101,$B$97:$B$101))</f>
        <v>1</v>
      </c>
      <c r="G99" s="156" t="s">
        <v>548</v>
      </c>
      <c r="H99" s="156">
        <v>0.05</v>
      </c>
      <c r="I99" s="156" t="s">
        <v>11</v>
      </c>
    </row>
    <row r="100" spans="2:9" x14ac:dyDescent="0.25">
      <c r="B100" s="221">
        <f t="shared" si="35"/>
        <v>30</v>
      </c>
      <c r="C100" s="223">
        <f t="shared" si="36"/>
        <v>10</v>
      </c>
      <c r="D100" s="223">
        <f t="shared" si="37"/>
        <v>10</v>
      </c>
      <c r="E100" s="155" t="b">
        <f>IF(E98&gt;$I$98,TRUE,FALSE)</f>
        <v>1</v>
      </c>
      <c r="F100" s="155" t="b">
        <f>IF(F98&gt;$I$98,TRUE,FALSE)</f>
        <v>1</v>
      </c>
      <c r="G100" t="s">
        <v>550</v>
      </c>
    </row>
    <row r="101" spans="2:9" x14ac:dyDescent="0.25">
      <c r="B101" s="221">
        <f t="shared" si="35"/>
        <v>40</v>
      </c>
      <c r="C101" s="223">
        <f t="shared" si="36"/>
        <v>0</v>
      </c>
      <c r="D101" s="223">
        <f t="shared" si="37"/>
        <v>0</v>
      </c>
      <c r="E101" s="155" t="b">
        <f>IF(AND(E97&lt;$H$97,E98&lt;$H$98,E99&gt;$H$99),TRUE,FALSE)</f>
        <v>0</v>
      </c>
      <c r="F101" s="155" t="b">
        <f>IF(AND(F97&lt;$H$97,F98&lt;$H$98,F99&gt;$H$99),TRUE,FALSE)</f>
        <v>0</v>
      </c>
      <c r="G101" t="s">
        <v>549</v>
      </c>
    </row>
    <row r="136" spans="2:12" x14ac:dyDescent="0.25">
      <c r="B136" s="361" t="s">
        <v>415</v>
      </c>
      <c r="C136" s="362"/>
      <c r="D136" s="362"/>
      <c r="E136" s="362"/>
      <c r="F136" s="362"/>
      <c r="G136" s="362"/>
      <c r="H136" s="201"/>
      <c r="I136" s="205"/>
      <c r="J136" s="204"/>
    </row>
    <row r="137" spans="2:12" x14ac:dyDescent="0.25">
      <c r="B137" s="105" t="s">
        <v>416</v>
      </c>
      <c r="C137" s="47">
        <f>MAX(L157:M159,L64,L67,L83,L95,L208:M210,L171,L214,P171,U86,V86,W86,X86,Y86,Z86)</f>
        <v>77</v>
      </c>
      <c r="D137" s="105" t="s">
        <v>199</v>
      </c>
      <c r="E137" s="47">
        <f>E83</f>
        <v>-150</v>
      </c>
      <c r="F137" s="105" t="s">
        <v>200</v>
      </c>
      <c r="G137" s="200">
        <f>F83</f>
        <v>-150</v>
      </c>
      <c r="H137" s="201"/>
      <c r="I137" s="205"/>
      <c r="J137" s="204"/>
    </row>
    <row r="139" spans="2:12" x14ac:dyDescent="0.25">
      <c r="B139" s="361" t="s">
        <v>454</v>
      </c>
      <c r="C139" s="362"/>
      <c r="D139" s="362"/>
      <c r="E139" s="362"/>
      <c r="F139" s="362"/>
      <c r="G139" s="362"/>
      <c r="H139" s="362"/>
      <c r="I139" s="362"/>
      <c r="J139" s="362"/>
      <c r="K139" s="362"/>
      <c r="L139" s="363"/>
    </row>
    <row r="140" spans="2:12" x14ac:dyDescent="0.25">
      <c r="B140" s="115" t="s">
        <v>455</v>
      </c>
      <c r="C140" s="115" t="s">
        <v>464</v>
      </c>
      <c r="D140" s="115" t="s">
        <v>465</v>
      </c>
      <c r="E140" s="115" t="s">
        <v>466</v>
      </c>
      <c r="F140" s="115" t="s">
        <v>467</v>
      </c>
      <c r="G140" s="115" t="s">
        <v>468</v>
      </c>
      <c r="H140" s="115" t="s">
        <v>469</v>
      </c>
      <c r="I140" s="115" t="s">
        <v>471</v>
      </c>
      <c r="J140" s="133" t="s">
        <v>516</v>
      </c>
      <c r="K140" s="115" t="s">
        <v>472</v>
      </c>
      <c r="L140" s="115" t="s">
        <v>473</v>
      </c>
    </row>
    <row r="141" spans="2:12" x14ac:dyDescent="0.25">
      <c r="B141" s="79">
        <f t="shared" ref="B141:B146" si="38">B87</f>
        <v>0</v>
      </c>
      <c r="C141" s="79">
        <f t="shared" ref="C141:H146" si="39">C87</f>
        <v>0</v>
      </c>
      <c r="D141" s="79">
        <f t="shared" si="39"/>
        <v>0</v>
      </c>
      <c r="E141" s="79">
        <f t="shared" si="39"/>
        <v>0</v>
      </c>
      <c r="F141" s="79">
        <f t="shared" si="39"/>
        <v>0</v>
      </c>
      <c r="G141" s="79">
        <f t="shared" si="39"/>
        <v>0</v>
      </c>
      <c r="H141" s="79">
        <f t="shared" si="39"/>
        <v>0</v>
      </c>
      <c r="I141" s="118">
        <f t="shared" ref="I141:I146" si="40">SUM(C141:E141)</f>
        <v>0</v>
      </c>
      <c r="J141" s="118">
        <f t="shared" ref="J141:J146" si="41">SUM(F141:H141)</f>
        <v>0</v>
      </c>
      <c r="K141" s="118">
        <f t="shared" ref="K141:L146" si="42">I141-$B141</f>
        <v>0</v>
      </c>
      <c r="L141" s="118">
        <f t="shared" si="42"/>
        <v>0</v>
      </c>
    </row>
    <row r="142" spans="2:12" x14ac:dyDescent="0.25">
      <c r="B142" s="79">
        <f t="shared" si="38"/>
        <v>5</v>
      </c>
      <c r="C142" s="79">
        <f t="shared" si="39"/>
        <v>13.333333333333334</v>
      </c>
      <c r="D142" s="79">
        <f t="shared" si="39"/>
        <v>13.333333333333334</v>
      </c>
      <c r="E142" s="79">
        <f t="shared" si="39"/>
        <v>13.333333333333334</v>
      </c>
      <c r="F142" s="79">
        <f t="shared" si="39"/>
        <v>13.333333333333334</v>
      </c>
      <c r="G142" s="79">
        <f t="shared" si="39"/>
        <v>13.333333333333334</v>
      </c>
      <c r="H142" s="79">
        <f t="shared" si="39"/>
        <v>13.333333333333334</v>
      </c>
      <c r="I142" s="118">
        <f t="shared" si="40"/>
        <v>40</v>
      </c>
      <c r="J142" s="118">
        <f t="shared" si="41"/>
        <v>40</v>
      </c>
      <c r="K142" s="118">
        <f t="shared" si="42"/>
        <v>35</v>
      </c>
      <c r="L142" s="118">
        <f t="shared" si="42"/>
        <v>35</v>
      </c>
    </row>
    <row r="143" spans="2:12" x14ac:dyDescent="0.25">
      <c r="B143" s="79">
        <f t="shared" si="38"/>
        <v>10</v>
      </c>
      <c r="C143" s="79">
        <f t="shared" si="39"/>
        <v>13.333333333333334</v>
      </c>
      <c r="D143" s="79">
        <f t="shared" si="39"/>
        <v>13.333333333333334</v>
      </c>
      <c r="E143" s="79">
        <f t="shared" si="39"/>
        <v>13.333333333333334</v>
      </c>
      <c r="F143" s="79">
        <f t="shared" si="39"/>
        <v>13.333333333333334</v>
      </c>
      <c r="G143" s="79">
        <f t="shared" si="39"/>
        <v>13.333333333333334</v>
      </c>
      <c r="H143" s="79">
        <f t="shared" si="39"/>
        <v>13.333333333333334</v>
      </c>
      <c r="I143" s="118">
        <f t="shared" si="40"/>
        <v>40</v>
      </c>
      <c r="J143" s="118">
        <f t="shared" si="41"/>
        <v>40</v>
      </c>
      <c r="K143" s="118">
        <f t="shared" si="42"/>
        <v>30</v>
      </c>
      <c r="L143" s="118">
        <f t="shared" si="42"/>
        <v>30</v>
      </c>
    </row>
    <row r="144" spans="2:12" x14ac:dyDescent="0.25">
      <c r="B144" s="79">
        <f t="shared" si="38"/>
        <v>20</v>
      </c>
      <c r="C144" s="79">
        <f t="shared" si="39"/>
        <v>13.333333333333334</v>
      </c>
      <c r="D144" s="79">
        <f t="shared" si="39"/>
        <v>13.333333333333334</v>
      </c>
      <c r="E144" s="79">
        <f t="shared" si="39"/>
        <v>13.333333333333334</v>
      </c>
      <c r="F144" s="79">
        <f t="shared" si="39"/>
        <v>13.333333333333334</v>
      </c>
      <c r="G144" s="79">
        <f t="shared" si="39"/>
        <v>13.333333333333334</v>
      </c>
      <c r="H144" s="79">
        <f t="shared" si="39"/>
        <v>13.333333333333334</v>
      </c>
      <c r="I144" s="118">
        <f t="shared" si="40"/>
        <v>40</v>
      </c>
      <c r="J144" s="118">
        <f t="shared" si="41"/>
        <v>40</v>
      </c>
      <c r="K144" s="118">
        <f t="shared" si="42"/>
        <v>20</v>
      </c>
      <c r="L144" s="118">
        <f t="shared" si="42"/>
        <v>20</v>
      </c>
    </row>
    <row r="145" spans="2:30" x14ac:dyDescent="0.25">
      <c r="B145" s="79">
        <f t="shared" si="38"/>
        <v>30</v>
      </c>
      <c r="C145" s="79">
        <f t="shared" si="39"/>
        <v>13.333333333333334</v>
      </c>
      <c r="D145" s="79">
        <f t="shared" si="39"/>
        <v>13.333333333333334</v>
      </c>
      <c r="E145" s="79">
        <f t="shared" si="39"/>
        <v>13.333333333333334</v>
      </c>
      <c r="F145" s="79">
        <f t="shared" si="39"/>
        <v>13.333333333333334</v>
      </c>
      <c r="G145" s="79">
        <f t="shared" si="39"/>
        <v>13.333333333333334</v>
      </c>
      <c r="H145" s="79">
        <f t="shared" si="39"/>
        <v>13.333333333333334</v>
      </c>
      <c r="I145" s="118">
        <f t="shared" si="40"/>
        <v>40</v>
      </c>
      <c r="J145" s="118">
        <f t="shared" si="41"/>
        <v>40</v>
      </c>
      <c r="K145" s="118">
        <f t="shared" si="42"/>
        <v>10</v>
      </c>
      <c r="L145" s="118">
        <f t="shared" si="42"/>
        <v>10</v>
      </c>
    </row>
    <row r="146" spans="2:30" x14ac:dyDescent="0.25">
      <c r="B146" s="79">
        <f t="shared" si="38"/>
        <v>40</v>
      </c>
      <c r="C146" s="79">
        <f t="shared" si="39"/>
        <v>13.333333333333334</v>
      </c>
      <c r="D146" s="79">
        <f t="shared" si="39"/>
        <v>13.333333333333334</v>
      </c>
      <c r="E146" s="79">
        <f t="shared" si="39"/>
        <v>13.333333333333334</v>
      </c>
      <c r="F146" s="79">
        <f t="shared" si="39"/>
        <v>13.333333333333334</v>
      </c>
      <c r="G146" s="79">
        <f t="shared" si="39"/>
        <v>13.333333333333334</v>
      </c>
      <c r="H146" s="79">
        <f t="shared" si="39"/>
        <v>13.333333333333334</v>
      </c>
      <c r="I146" s="118">
        <f t="shared" si="40"/>
        <v>40</v>
      </c>
      <c r="J146" s="118">
        <f t="shared" si="41"/>
        <v>40</v>
      </c>
      <c r="K146" s="118">
        <f t="shared" si="42"/>
        <v>0</v>
      </c>
      <c r="L146" s="118">
        <f t="shared" si="42"/>
        <v>0</v>
      </c>
    </row>
    <row r="148" spans="2:30" x14ac:dyDescent="0.25">
      <c r="B148" s="357" t="s">
        <v>474</v>
      </c>
      <c r="C148" s="358"/>
      <c r="D148" s="358"/>
      <c r="E148" s="358"/>
      <c r="F148" s="358"/>
      <c r="G148" s="358"/>
      <c r="H148" s="358"/>
      <c r="I148" s="358"/>
      <c r="J148" s="372"/>
      <c r="K148" s="225"/>
      <c r="N148" s="225"/>
      <c r="O148" s="225"/>
      <c r="S148" s="225"/>
      <c r="T148" s="225"/>
      <c r="X148" s="225"/>
      <c r="Y148" s="225"/>
      <c r="AC148" s="225"/>
      <c r="AD148" s="225"/>
    </row>
    <row r="149" spans="2:30" x14ac:dyDescent="0.25">
      <c r="B149" s="130" t="s">
        <v>476</v>
      </c>
      <c r="C149" s="122"/>
      <c r="D149" s="122"/>
      <c r="E149" s="122"/>
      <c r="F149" s="122"/>
      <c r="G149" s="123"/>
      <c r="H149" s="126" t="s">
        <v>477</v>
      </c>
      <c r="I149" s="126" t="s">
        <v>478</v>
      </c>
      <c r="J149" s="226" t="s">
        <v>479</v>
      </c>
    </row>
    <row r="150" spans="2:30" x14ac:dyDescent="0.25">
      <c r="B150" s="130" t="s">
        <v>475</v>
      </c>
      <c r="C150" s="122"/>
      <c r="D150" s="122"/>
      <c r="E150" s="122"/>
      <c r="F150" s="122"/>
      <c r="G150" s="123"/>
      <c r="H150" s="239">
        <v>32768</v>
      </c>
      <c r="I150" s="239">
        <v>32768</v>
      </c>
      <c r="J150" s="239">
        <v>58000</v>
      </c>
    </row>
    <row r="151" spans="2:30" x14ac:dyDescent="0.25">
      <c r="B151" s="130" t="s">
        <v>480</v>
      </c>
      <c r="C151" s="122"/>
      <c r="D151" s="122"/>
      <c r="E151" s="122"/>
      <c r="F151" s="122"/>
      <c r="G151" s="123"/>
      <c r="H151" s="239">
        <v>32768</v>
      </c>
      <c r="I151" s="239">
        <v>32768</v>
      </c>
      <c r="J151" s="239">
        <v>48000</v>
      </c>
    </row>
    <row r="152" spans="2:30" x14ac:dyDescent="0.25">
      <c r="B152" s="130" t="s">
        <v>481</v>
      </c>
      <c r="C152" s="122"/>
      <c r="D152" s="122"/>
      <c r="E152" s="122"/>
      <c r="F152" s="122"/>
      <c r="G152" s="123"/>
      <c r="H152" s="239">
        <v>58000</v>
      </c>
      <c r="I152" s="239">
        <v>48000</v>
      </c>
      <c r="J152" s="239">
        <v>32768</v>
      </c>
    </row>
    <row r="154" spans="2:30" x14ac:dyDescent="0.25">
      <c r="B154" s="354" t="s">
        <v>482</v>
      </c>
      <c r="C154" s="355"/>
      <c r="D154" s="355"/>
      <c r="E154" s="355"/>
      <c r="F154" s="355"/>
      <c r="G154" s="355"/>
      <c r="H154" s="355"/>
      <c r="I154" s="134" t="s">
        <v>517</v>
      </c>
      <c r="J154" s="110" t="b">
        <f>IF(FLOOR($B$4/1000,1)=4,TRUE,FALSE)</f>
        <v>0</v>
      </c>
    </row>
    <row r="155" spans="2:30" x14ac:dyDescent="0.25">
      <c r="B155" s="128" t="s">
        <v>503</v>
      </c>
      <c r="C155" s="128">
        <f>'FTS-Initialization'!$AE$25</f>
        <v>65000</v>
      </c>
      <c r="D155" s="128" t="s">
        <v>504</v>
      </c>
      <c r="E155" s="128">
        <f>'FTS-Initialization'!$AE$24</f>
        <v>45000</v>
      </c>
      <c r="F155" s="128"/>
      <c r="G155" s="128" t="s">
        <v>505</v>
      </c>
      <c r="H155" s="128">
        <f>'FTS-Initialization'!$AE$23</f>
        <v>42000</v>
      </c>
      <c r="I155" s="128" t="s">
        <v>506</v>
      </c>
      <c r="J155" s="128">
        <f>'FTS-Initialization'!$AE$22</f>
        <v>22000</v>
      </c>
    </row>
    <row r="156" spans="2:30" x14ac:dyDescent="0.25">
      <c r="B156" s="129" t="s">
        <v>507</v>
      </c>
      <c r="C156" s="129"/>
      <c r="D156" s="129"/>
      <c r="E156" s="129"/>
      <c r="F156" s="129"/>
      <c r="G156" s="126" t="s">
        <v>508</v>
      </c>
      <c r="H156" s="126" t="s">
        <v>407</v>
      </c>
      <c r="I156" s="126" t="s">
        <v>509</v>
      </c>
      <c r="J156" s="126" t="s">
        <v>407</v>
      </c>
      <c r="L156" s="91" t="s">
        <v>414</v>
      </c>
      <c r="M156" s="91" t="s">
        <v>414</v>
      </c>
    </row>
    <row r="157" spans="2:30" x14ac:dyDescent="0.25">
      <c r="B157" s="130" t="s">
        <v>500</v>
      </c>
      <c r="C157" s="131"/>
      <c r="D157" s="131"/>
      <c r="E157" s="131"/>
      <c r="F157" s="131"/>
      <c r="G157" s="128">
        <f>IF($J$154,"N/A",H152)</f>
        <v>58000</v>
      </c>
      <c r="H157" s="128" t="b">
        <f>IF(AND(G157&gt;$E$155,G157&lt;$C$155),TRUE,IF($J$154,TRUE,FALSE))</f>
        <v>1</v>
      </c>
      <c r="I157" s="128">
        <f>IF($J$154,H151,H150)</f>
        <v>32768</v>
      </c>
      <c r="J157" s="128" t="b">
        <f>IF(AND(I157&gt;$J$155,I157&lt;$H$155),TRUE,FALSE)</f>
        <v>1</v>
      </c>
      <c r="L157" s="171">
        <f>IF(H157,0,'FTS-Initialization'!N82)</f>
        <v>0</v>
      </c>
      <c r="M157" s="171">
        <f>IF(J157,0,'FTS-Initialization'!N81)</f>
        <v>0</v>
      </c>
    </row>
    <row r="158" spans="2:30" x14ac:dyDescent="0.25">
      <c r="B158" s="130" t="s">
        <v>501</v>
      </c>
      <c r="C158" s="131"/>
      <c r="D158" s="131"/>
      <c r="E158" s="131"/>
      <c r="F158" s="131"/>
      <c r="G158" s="128" t="str">
        <f>IF(J154,I152,"N/A")</f>
        <v>N/A</v>
      </c>
      <c r="H158" s="128" t="b">
        <f>IF(AND(G158&gt;$E$155,G158&lt;$C$155),TRUE,IF($J$154,FALSE,TRUE))</f>
        <v>1</v>
      </c>
      <c r="I158" s="128">
        <f>IF($J$154,I150,I151)</f>
        <v>32768</v>
      </c>
      <c r="J158" s="128" t="b">
        <f t="shared" ref="J158:J159" si="43">IF(AND(I158&gt;$J$155,I158&lt;$H$155),TRUE,FALSE)</f>
        <v>1</v>
      </c>
      <c r="L158" s="171">
        <f>IF(H158,0,'FTS-Initialization'!N84)</f>
        <v>0</v>
      </c>
      <c r="M158" s="171">
        <f>IF(J158,0,'FTS-Initialization'!N83)</f>
        <v>0</v>
      </c>
    </row>
    <row r="159" spans="2:30" x14ac:dyDescent="0.25">
      <c r="B159" s="130" t="s">
        <v>502</v>
      </c>
      <c r="C159" s="131"/>
      <c r="D159" s="131"/>
      <c r="E159" s="131"/>
      <c r="F159" s="131"/>
      <c r="G159" s="128">
        <f>J150</f>
        <v>58000</v>
      </c>
      <c r="H159" s="128" t="b">
        <f>IF(AND(G159&gt;$E$155,G159&lt;$C$155),TRUE,FALSE)</f>
        <v>1</v>
      </c>
      <c r="I159" s="128">
        <f>J152</f>
        <v>32768</v>
      </c>
      <c r="J159" s="128" t="b">
        <f t="shared" si="43"/>
        <v>1</v>
      </c>
      <c r="L159" s="171">
        <f>IF(H159,0,'FTS-Initialization'!N86)</f>
        <v>0</v>
      </c>
      <c r="M159" s="171">
        <f>IF(J159,0,'FTS-Initialization'!N85)</f>
        <v>0</v>
      </c>
    </row>
    <row r="167" spans="2:20" x14ac:dyDescent="0.25">
      <c r="K167" t="s">
        <v>562</v>
      </c>
      <c r="R167" t="s">
        <v>593</v>
      </c>
      <c r="S167" t="s">
        <v>412</v>
      </c>
    </row>
    <row r="168" spans="2:20" x14ac:dyDescent="0.25">
      <c r="B168" s="369" t="s">
        <v>557</v>
      </c>
      <c r="C168" s="370"/>
      <c r="D168" s="370"/>
      <c r="E168" s="370"/>
      <c r="F168" s="370"/>
      <c r="G168" s="370"/>
      <c r="H168" s="370"/>
      <c r="I168" s="370"/>
      <c r="J168" s="371"/>
      <c r="K168" s="162" t="s">
        <v>558</v>
      </c>
      <c r="L168" s="162" t="s">
        <v>559</v>
      </c>
      <c r="M168" s="162" t="s">
        <v>199</v>
      </c>
      <c r="N168" s="162" t="s">
        <v>200</v>
      </c>
      <c r="O168" s="192" t="s">
        <v>588</v>
      </c>
      <c r="P168" s="193">
        <v>3</v>
      </c>
      <c r="Q168" s="368" t="s">
        <v>647</v>
      </c>
      <c r="R168" s="162">
        <v>8000</v>
      </c>
      <c r="S168" s="162">
        <v>15000</v>
      </c>
      <c r="T168" t="s">
        <v>584</v>
      </c>
    </row>
    <row r="169" spans="2:20" x14ac:dyDescent="0.25">
      <c r="B169" s="121" t="s">
        <v>483</v>
      </c>
      <c r="C169" s="122"/>
      <c r="D169" s="122"/>
      <c r="E169" s="122"/>
      <c r="F169" s="122"/>
      <c r="G169" s="122"/>
      <c r="H169" s="122"/>
      <c r="I169" s="123"/>
      <c r="J169" s="232">
        <v>0</v>
      </c>
      <c r="K169" s="232"/>
      <c r="L169" s="232">
        <v>0</v>
      </c>
      <c r="M169" s="233">
        <f>E137</f>
        <v>-150</v>
      </c>
      <c r="N169" s="233">
        <f>G137</f>
        <v>-150</v>
      </c>
      <c r="O169" s="233"/>
      <c r="P169" s="164" t="s">
        <v>587</v>
      </c>
      <c r="Q169" s="368"/>
      <c r="R169" s="164" t="s">
        <v>568</v>
      </c>
      <c r="S169" s="164" t="s">
        <v>568</v>
      </c>
    </row>
    <row r="170" spans="2:20" x14ac:dyDescent="0.25">
      <c r="L170" s="171" t="s">
        <v>414</v>
      </c>
      <c r="P170" s="170" t="s">
        <v>414</v>
      </c>
      <c r="Q170" s="170" t="s">
        <v>414</v>
      </c>
      <c r="R170" s="170" t="s">
        <v>414</v>
      </c>
      <c r="S170" s="170" t="s">
        <v>414</v>
      </c>
    </row>
    <row r="171" spans="2:20" x14ac:dyDescent="0.25">
      <c r="L171" s="78">
        <f>IF(L64=0,IF(J169&lt;H63,'FTS-Initialization'!$N$89,IF(J169&gt;J63,'FTS-Initialization'!$N$90,0)),L64)</f>
        <v>52</v>
      </c>
      <c r="P171" s="170">
        <f>IF(O169&gt;P168,0,'FTS-Initialization'!$N$89)</f>
        <v>52</v>
      </c>
      <c r="Q171" s="170">
        <f>IF(J56=20000,R171,MAX(R171,L67))</f>
        <v>43</v>
      </c>
      <c r="R171" s="170">
        <f>IF(AND((L169-K169)&gt;R168,(L169-K169)&lt;S168),0,'FTS-Initialization'!$N$80)</f>
        <v>43</v>
      </c>
      <c r="S171" s="292"/>
    </row>
    <row r="173" spans="2:20" x14ac:dyDescent="0.25">
      <c r="B173" s="354" t="s">
        <v>676</v>
      </c>
      <c r="C173" s="355"/>
      <c r="D173" s="355"/>
      <c r="E173" s="355"/>
      <c r="F173" s="355"/>
      <c r="G173" s="355"/>
      <c r="H173" s="355"/>
      <c r="I173" s="355"/>
      <c r="J173" s="356"/>
    </row>
    <row r="174" spans="2:20" x14ac:dyDescent="0.25">
      <c r="B174" s="143" t="s">
        <v>223</v>
      </c>
      <c r="C174" s="143" t="s">
        <v>224</v>
      </c>
      <c r="D174" s="143" t="s">
        <v>225</v>
      </c>
      <c r="E174" s="143" t="s">
        <v>226</v>
      </c>
      <c r="F174" s="143" t="s">
        <v>227</v>
      </c>
      <c r="G174" s="143" t="s">
        <v>228</v>
      </c>
      <c r="H174" s="143" t="s">
        <v>229</v>
      </c>
      <c r="I174" s="143" t="s">
        <v>230</v>
      </c>
      <c r="J174" s="143" t="s">
        <v>231</v>
      </c>
    </row>
    <row r="175" spans="2:20" x14ac:dyDescent="0.25">
      <c r="B175" s="24">
        <v>0</v>
      </c>
      <c r="C175" s="24"/>
      <c r="D175" s="24"/>
      <c r="E175" s="24"/>
      <c r="F175" s="24"/>
      <c r="G175" s="24"/>
      <c r="H175" s="24"/>
      <c r="I175" s="24"/>
      <c r="J175" s="24"/>
    </row>
    <row r="176" spans="2:20" x14ac:dyDescent="0.25">
      <c r="B176" s="24">
        <v>20</v>
      </c>
      <c r="C176" s="24"/>
      <c r="D176" s="24"/>
      <c r="E176" s="24"/>
      <c r="F176" s="24"/>
      <c r="G176" s="24"/>
      <c r="H176" s="24"/>
      <c r="I176" s="24"/>
      <c r="J176" s="24"/>
    </row>
    <row r="177" spans="2:10" x14ac:dyDescent="0.25">
      <c r="B177" s="24">
        <v>40</v>
      </c>
      <c r="C177" s="24"/>
      <c r="D177" s="24"/>
      <c r="E177" s="24"/>
      <c r="F177" s="24"/>
      <c r="G177" s="24"/>
      <c r="H177" s="24"/>
      <c r="I177" s="24"/>
      <c r="J177" s="24"/>
    </row>
    <row r="178" spans="2:10" x14ac:dyDescent="0.25">
      <c r="B178" s="24">
        <v>80</v>
      </c>
      <c r="C178" s="24"/>
      <c r="D178" s="24"/>
      <c r="E178" s="24"/>
      <c r="F178" s="24"/>
      <c r="G178" s="24"/>
      <c r="H178" s="24"/>
      <c r="I178" s="24"/>
      <c r="J178" s="24"/>
    </row>
    <row r="179" spans="2:10" x14ac:dyDescent="0.25">
      <c r="B179" s="239"/>
      <c r="C179" s="239"/>
      <c r="D179" s="239"/>
      <c r="E179" s="239"/>
      <c r="F179" s="239"/>
      <c r="G179" s="239"/>
      <c r="H179" s="239"/>
      <c r="I179" s="239"/>
      <c r="J179" s="239"/>
    </row>
    <row r="180" spans="2:10" x14ac:dyDescent="0.25">
      <c r="B180" s="278"/>
      <c r="C180" s="278"/>
      <c r="D180" s="278"/>
      <c r="E180" s="278"/>
      <c r="F180" s="278"/>
      <c r="G180" s="278"/>
      <c r="H180" s="278"/>
      <c r="I180" s="278"/>
      <c r="J180" s="278"/>
    </row>
    <row r="181" spans="2:10" x14ac:dyDescent="0.25">
      <c r="B181" s="354" t="s">
        <v>677</v>
      </c>
      <c r="C181" s="355"/>
      <c r="D181" s="355"/>
      <c r="E181" s="355"/>
      <c r="F181" s="355"/>
      <c r="G181" s="355"/>
      <c r="H181" s="355"/>
      <c r="I181" s="355"/>
      <c r="J181" s="356"/>
    </row>
    <row r="182" spans="2:10" x14ac:dyDescent="0.25">
      <c r="B182" s="270" t="s">
        <v>223</v>
      </c>
      <c r="C182" s="270" t="s">
        <v>224</v>
      </c>
      <c r="D182" s="270" t="s">
        <v>225</v>
      </c>
      <c r="E182" s="270" t="s">
        <v>226</v>
      </c>
      <c r="F182" s="270" t="s">
        <v>227</v>
      </c>
      <c r="G182" s="270" t="s">
        <v>228</v>
      </c>
      <c r="H182" s="270" t="s">
        <v>229</v>
      </c>
      <c r="I182" s="270" t="s">
        <v>230</v>
      </c>
      <c r="J182" s="270" t="s">
        <v>231</v>
      </c>
    </row>
    <row r="183" spans="2:10" x14ac:dyDescent="0.25">
      <c r="B183" s="24">
        <f>B175</f>
        <v>0</v>
      </c>
      <c r="C183" s="24"/>
      <c r="D183" s="24"/>
      <c r="E183" s="24"/>
      <c r="F183" s="24"/>
      <c r="G183" s="24"/>
      <c r="H183" s="24"/>
      <c r="I183" s="24"/>
      <c r="J183" s="24"/>
    </row>
    <row r="184" spans="2:10" x14ac:dyDescent="0.25">
      <c r="B184" s="24">
        <f t="shared" ref="B184:B186" si="44">B176</f>
        <v>20</v>
      </c>
      <c r="C184" s="24"/>
      <c r="D184" s="24"/>
      <c r="E184" s="24"/>
      <c r="F184" s="24"/>
      <c r="G184" s="24"/>
      <c r="H184" s="24"/>
      <c r="I184" s="24"/>
      <c r="J184" s="24"/>
    </row>
    <row r="185" spans="2:10" x14ac:dyDescent="0.25">
      <c r="B185" s="24">
        <f t="shared" si="44"/>
        <v>40</v>
      </c>
      <c r="C185" s="24"/>
      <c r="D185" s="24"/>
      <c r="E185" s="24"/>
      <c r="F185" s="24"/>
      <c r="G185" s="24"/>
      <c r="H185" s="24"/>
      <c r="I185" s="24"/>
      <c r="J185" s="24"/>
    </row>
    <row r="186" spans="2:10" x14ac:dyDescent="0.25">
      <c r="B186" s="24">
        <f t="shared" si="44"/>
        <v>80</v>
      </c>
      <c r="C186" s="24"/>
      <c r="D186" s="24"/>
      <c r="E186" s="24"/>
      <c r="F186" s="24"/>
      <c r="G186" s="24"/>
      <c r="H186" s="24"/>
      <c r="I186" s="24"/>
      <c r="J186" s="24"/>
    </row>
    <row r="187" spans="2:10" x14ac:dyDescent="0.25">
      <c r="B187" s="24"/>
      <c r="C187" s="239"/>
      <c r="D187" s="239"/>
      <c r="E187" s="239"/>
      <c r="F187" s="239"/>
      <c r="G187" s="239"/>
      <c r="H187" s="239"/>
      <c r="I187" s="239"/>
      <c r="J187" s="239"/>
    </row>
    <row r="188" spans="2:10" x14ac:dyDescent="0.25">
      <c r="B188" s="278"/>
      <c r="C188" s="278"/>
      <c r="D188" s="278"/>
      <c r="E188" s="278"/>
      <c r="F188" s="278"/>
      <c r="G188" s="278"/>
      <c r="H188" s="278"/>
      <c r="I188" s="278"/>
      <c r="J188" s="278"/>
    </row>
    <row r="189" spans="2:10" x14ac:dyDescent="0.25">
      <c r="B189" s="354" t="s">
        <v>678</v>
      </c>
      <c r="C189" s="355"/>
      <c r="D189" s="355"/>
      <c r="E189" s="355"/>
      <c r="F189" s="355"/>
      <c r="G189" s="355"/>
      <c r="H189" s="355"/>
      <c r="I189" s="355"/>
      <c r="J189" s="356"/>
    </row>
    <row r="190" spans="2:10" x14ac:dyDescent="0.25">
      <c r="B190" s="270" t="s">
        <v>223</v>
      </c>
      <c r="C190" s="270" t="s">
        <v>224</v>
      </c>
      <c r="D190" s="270" t="s">
        <v>225</v>
      </c>
      <c r="E190" s="270" t="s">
        <v>226</v>
      </c>
      <c r="F190" s="270" t="s">
        <v>227</v>
      </c>
      <c r="G190" s="270" t="s">
        <v>228</v>
      </c>
      <c r="H190" s="270" t="s">
        <v>229</v>
      </c>
      <c r="I190" s="270" t="s">
        <v>230</v>
      </c>
      <c r="J190" s="270" t="s">
        <v>231</v>
      </c>
    </row>
    <row r="191" spans="2:10" x14ac:dyDescent="0.25">
      <c r="B191" s="24">
        <f>B175</f>
        <v>0</v>
      </c>
      <c r="C191" s="24"/>
      <c r="D191" s="24"/>
      <c r="E191" s="24"/>
      <c r="F191" s="24"/>
      <c r="G191" s="24"/>
      <c r="H191" s="24"/>
      <c r="I191" s="24"/>
      <c r="J191" s="24"/>
    </row>
    <row r="192" spans="2:10" x14ac:dyDescent="0.25">
      <c r="B192" s="24">
        <f t="shared" ref="B192:B194" si="45">B176</f>
        <v>20</v>
      </c>
      <c r="C192" s="24"/>
      <c r="D192" s="24"/>
      <c r="E192" s="24"/>
      <c r="F192" s="24"/>
      <c r="G192" s="24"/>
      <c r="H192" s="24"/>
      <c r="I192" s="24"/>
      <c r="J192" s="24"/>
    </row>
    <row r="193" spans="2:15" x14ac:dyDescent="0.25">
      <c r="B193" s="24">
        <f t="shared" si="45"/>
        <v>40</v>
      </c>
      <c r="C193" s="24"/>
      <c r="D193" s="24"/>
      <c r="E193" s="24"/>
      <c r="F193" s="24"/>
      <c r="G193" s="24"/>
      <c r="H193" s="24"/>
      <c r="I193" s="24"/>
      <c r="J193" s="24"/>
    </row>
    <row r="194" spans="2:15" x14ac:dyDescent="0.25">
      <c r="B194" s="24">
        <f t="shared" si="45"/>
        <v>80</v>
      </c>
      <c r="C194" s="24"/>
      <c r="D194" s="24"/>
      <c r="E194" s="24"/>
      <c r="F194" s="24"/>
      <c r="G194" s="24"/>
      <c r="H194" s="24"/>
      <c r="I194" s="24"/>
      <c r="J194" s="24"/>
    </row>
    <row r="195" spans="2:15" x14ac:dyDescent="0.25">
      <c r="B195" s="24"/>
      <c r="C195" s="239"/>
      <c r="D195" s="239"/>
      <c r="E195" s="239"/>
      <c r="F195" s="239"/>
      <c r="G195" s="239"/>
      <c r="H195" s="239"/>
      <c r="I195" s="239"/>
      <c r="J195" s="239"/>
    </row>
    <row r="196" spans="2:15" x14ac:dyDescent="0.25">
      <c r="B196" s="278"/>
      <c r="C196" s="278"/>
      <c r="D196" s="278"/>
      <c r="E196" s="278"/>
      <c r="F196" s="278"/>
      <c r="G196" s="278"/>
      <c r="H196" s="278"/>
      <c r="I196" s="278"/>
      <c r="J196" s="278"/>
    </row>
    <row r="197" spans="2:15" x14ac:dyDescent="0.25">
      <c r="B197" s="354" t="s">
        <v>679</v>
      </c>
      <c r="C197" s="355"/>
      <c r="D197" s="355"/>
      <c r="E197" s="355"/>
      <c r="F197" s="355"/>
      <c r="G197" s="355"/>
      <c r="H197" s="355"/>
      <c r="I197" s="355"/>
      <c r="J197" s="356"/>
    </row>
    <row r="198" spans="2:15" x14ac:dyDescent="0.25">
      <c r="B198" s="270" t="s">
        <v>223</v>
      </c>
      <c r="C198" s="270" t="s">
        <v>224</v>
      </c>
      <c r="D198" s="270" t="s">
        <v>225</v>
      </c>
      <c r="E198" s="270" t="s">
        <v>226</v>
      </c>
      <c r="F198" s="270" t="s">
        <v>227</v>
      </c>
      <c r="G198" s="270" t="s">
        <v>228</v>
      </c>
      <c r="H198" s="270" t="s">
        <v>229</v>
      </c>
      <c r="I198" s="270" t="s">
        <v>230</v>
      </c>
      <c r="J198" s="270" t="s">
        <v>231</v>
      </c>
    </row>
    <row r="199" spans="2:15" x14ac:dyDescent="0.25">
      <c r="B199" s="24">
        <f>B175</f>
        <v>0</v>
      </c>
      <c r="C199" s="24"/>
      <c r="D199" s="24"/>
      <c r="E199" s="24"/>
      <c r="F199" s="24"/>
      <c r="G199" s="24"/>
      <c r="H199" s="24"/>
      <c r="I199" s="24"/>
      <c r="J199" s="24"/>
    </row>
    <row r="200" spans="2:15" x14ac:dyDescent="0.25">
      <c r="B200" s="24">
        <f t="shared" ref="B200:B202" si="46">B176</f>
        <v>20</v>
      </c>
      <c r="C200" s="24"/>
      <c r="D200" s="24"/>
      <c r="E200" s="24"/>
      <c r="F200" s="24"/>
      <c r="G200" s="24"/>
      <c r="H200" s="24"/>
      <c r="I200" s="24"/>
      <c r="J200" s="24"/>
    </row>
    <row r="201" spans="2:15" x14ac:dyDescent="0.25">
      <c r="B201" s="24">
        <f t="shared" si="46"/>
        <v>40</v>
      </c>
      <c r="C201" s="24"/>
      <c r="D201" s="24"/>
      <c r="E201" s="24"/>
      <c r="F201" s="24"/>
      <c r="G201" s="24"/>
      <c r="H201" s="24"/>
      <c r="I201" s="24"/>
      <c r="J201" s="24"/>
    </row>
    <row r="202" spans="2:15" x14ac:dyDescent="0.25">
      <c r="B202" s="24">
        <f t="shared" si="46"/>
        <v>80</v>
      </c>
      <c r="C202" s="24"/>
      <c r="D202" s="24"/>
      <c r="E202" s="24"/>
      <c r="F202" s="24"/>
      <c r="G202" s="24"/>
      <c r="H202" s="24"/>
      <c r="I202" s="24"/>
      <c r="J202" s="24"/>
    </row>
    <row r="203" spans="2:15" x14ac:dyDescent="0.25">
      <c r="B203" s="24"/>
      <c r="C203" s="239"/>
      <c r="D203" s="239"/>
      <c r="E203" s="239"/>
      <c r="F203" s="239"/>
      <c r="G203" s="239"/>
      <c r="H203" s="239"/>
      <c r="I203" s="239"/>
      <c r="J203" s="239"/>
    </row>
    <row r="204" spans="2:15" x14ac:dyDescent="0.25">
      <c r="B204" s="278"/>
      <c r="C204" s="278"/>
      <c r="D204" s="278"/>
      <c r="E204" s="278"/>
      <c r="F204" s="278"/>
      <c r="G204" s="278"/>
      <c r="H204" s="278"/>
      <c r="I204" s="278"/>
      <c r="J204" s="278"/>
    </row>
    <row r="205" spans="2:15" x14ac:dyDescent="0.25">
      <c r="B205" s="365" t="s">
        <v>686</v>
      </c>
      <c r="C205" s="365"/>
      <c r="D205" s="365"/>
      <c r="E205" s="365"/>
      <c r="F205" s="365"/>
      <c r="G205" s="365"/>
      <c r="H205" s="365"/>
      <c r="I205" s="365"/>
      <c r="J205" s="365"/>
    </row>
    <row r="206" spans="2:15" x14ac:dyDescent="0.25">
      <c r="B206" s="270" t="s">
        <v>223</v>
      </c>
      <c r="C206" s="270" t="s">
        <v>224</v>
      </c>
      <c r="D206" s="270" t="s">
        <v>225</v>
      </c>
      <c r="E206" s="270" t="s">
        <v>226</v>
      </c>
      <c r="F206" s="270" t="s">
        <v>227</v>
      </c>
      <c r="G206" s="270" t="s">
        <v>228</v>
      </c>
      <c r="H206" s="270" t="s">
        <v>229</v>
      </c>
      <c r="I206" s="270" t="s">
        <v>438</v>
      </c>
      <c r="J206" s="270" t="s">
        <v>439</v>
      </c>
      <c r="L206" s="171" t="s">
        <v>414</v>
      </c>
      <c r="M206" s="171" t="s">
        <v>414</v>
      </c>
      <c r="O206" s="290" t="s">
        <v>683</v>
      </c>
    </row>
    <row r="207" spans="2:15" x14ac:dyDescent="0.25">
      <c r="B207" s="271">
        <f>B199</f>
        <v>0</v>
      </c>
      <c r="C207" s="223"/>
      <c r="D207" s="223"/>
      <c r="E207" s="223"/>
      <c r="F207" s="223"/>
      <c r="G207" s="223"/>
      <c r="H207" s="223"/>
      <c r="I207" s="223">
        <f>SUM(C207:E207)</f>
        <v>0</v>
      </c>
      <c r="J207" s="223">
        <f>SUM(F207:H207)</f>
        <v>0</v>
      </c>
      <c r="L207" s="171">
        <f>IF((I207-(B207/2)&lt;3.5),0,'FTS-Initialization'!N116)</f>
        <v>0</v>
      </c>
      <c r="M207" s="171">
        <f>IF((J207-(B207/2)&lt;3.5),0,'FTS-Initialization'!N116)</f>
        <v>0</v>
      </c>
      <c r="O207" s="291" t="s">
        <v>685</v>
      </c>
    </row>
    <row r="208" spans="2:15" x14ac:dyDescent="0.25">
      <c r="B208" s="295">
        <f t="shared" ref="B208:B210" si="47">B200</f>
        <v>20</v>
      </c>
      <c r="C208" s="223"/>
      <c r="D208" s="223"/>
      <c r="E208" s="223"/>
      <c r="F208" s="223"/>
      <c r="G208" s="223"/>
      <c r="H208" s="223"/>
      <c r="I208" s="223">
        <f t="shared" ref="I208:I210" si="48">SUM(C208:E208)</f>
        <v>0</v>
      </c>
      <c r="J208" s="223">
        <f t="shared" ref="J208:J210" si="49">SUM(F208:H208)</f>
        <v>0</v>
      </c>
      <c r="L208" s="171">
        <f>IF((I208-(B208/2)&lt;3.5),0,'FTS-Initialization'!N117)</f>
        <v>0</v>
      </c>
      <c r="M208" s="171">
        <f>IF((J208-(B208/2)&lt;3.5),0,'FTS-Initialization'!N118)</f>
        <v>0</v>
      </c>
    </row>
    <row r="209" spans="2:13" x14ac:dyDescent="0.25">
      <c r="B209" s="295">
        <f t="shared" si="47"/>
        <v>40</v>
      </c>
      <c r="C209" s="223"/>
      <c r="D209" s="223"/>
      <c r="E209" s="223"/>
      <c r="F209" s="223"/>
      <c r="G209" s="223"/>
      <c r="H209" s="223"/>
      <c r="I209" s="223">
        <f t="shared" si="48"/>
        <v>0</v>
      </c>
      <c r="J209" s="223">
        <f t="shared" si="49"/>
        <v>0</v>
      </c>
      <c r="L209" s="171">
        <f>IF((I209-(B209/2)&lt;3.5),0,'FTS-Initialization'!N119)</f>
        <v>0</v>
      </c>
      <c r="M209" s="171">
        <f>IF((J209-(B209/2)&lt;3.5),0,'FTS-Initialization'!N120)</f>
        <v>0</v>
      </c>
    </row>
    <row r="210" spans="2:13" x14ac:dyDescent="0.25">
      <c r="B210" s="295">
        <f t="shared" si="47"/>
        <v>80</v>
      </c>
      <c r="C210" s="223"/>
      <c r="D210" s="223"/>
      <c r="E210" s="223"/>
      <c r="F210" s="223"/>
      <c r="G210" s="223"/>
      <c r="H210" s="223"/>
      <c r="I210" s="223">
        <f t="shared" si="48"/>
        <v>0</v>
      </c>
      <c r="J210" s="223">
        <f t="shared" si="49"/>
        <v>0</v>
      </c>
      <c r="L210" s="171">
        <f>IF((I210-(B210/2)&lt;3.5),0,'FTS-Initialization'!N121)</f>
        <v>0</v>
      </c>
      <c r="M210" s="171">
        <f>IF((J210-(B210/2)&lt;3.5),0,'FTS-Initialization'!N122)</f>
        <v>0</v>
      </c>
    </row>
    <row r="211" spans="2:13" x14ac:dyDescent="0.25">
      <c r="B211" s="279"/>
      <c r="C211" s="280"/>
      <c r="D211" s="280"/>
      <c r="E211" s="280"/>
      <c r="F211" s="280"/>
      <c r="G211" s="280"/>
      <c r="H211" s="280"/>
      <c r="I211" s="223"/>
      <c r="J211" s="223"/>
    </row>
    <row r="212" spans="2:13" x14ac:dyDescent="0.25">
      <c r="B212" s="278"/>
      <c r="C212" s="278"/>
      <c r="D212" s="278"/>
      <c r="E212" s="278"/>
      <c r="F212" s="278"/>
      <c r="G212" s="278"/>
      <c r="H212" s="278"/>
      <c r="I212" s="278"/>
      <c r="J212" s="278"/>
    </row>
    <row r="213" spans="2:13" x14ac:dyDescent="0.25">
      <c r="B213" s="365" t="s">
        <v>674</v>
      </c>
      <c r="C213" s="365"/>
      <c r="D213" s="365"/>
      <c r="E213" s="365"/>
      <c r="F213" s="365"/>
      <c r="G213" s="365"/>
      <c r="H213" s="365"/>
      <c r="I213" s="285" t="s">
        <v>206</v>
      </c>
      <c r="J213" s="279">
        <v>3.5</v>
      </c>
      <c r="L213" s="171" t="s">
        <v>414</v>
      </c>
    </row>
    <row r="214" spans="2:13" x14ac:dyDescent="0.25">
      <c r="B214" s="271" t="s">
        <v>455</v>
      </c>
      <c r="C214" s="271" t="s">
        <v>457</v>
      </c>
      <c r="D214" s="271" t="s">
        <v>458</v>
      </c>
      <c r="E214" s="271" t="s">
        <v>544</v>
      </c>
      <c r="F214" s="271" t="s">
        <v>545</v>
      </c>
      <c r="I214" s="271" t="s">
        <v>407</v>
      </c>
      <c r="J214" s="271" t="b">
        <f>IF(MAX(C215:D218)&lt;=J213,TRUE, FALSE)</f>
        <v>0</v>
      </c>
      <c r="L214" s="171">
        <f>IF((MAX(L157:M159,L64,L67,L83,L95,L208:M210,U86,V86,W86,X86,Y86,Z86))&gt;0,0,(IF(J214,0,'FTS-Initialization'!$N$123)))</f>
        <v>0</v>
      </c>
    </row>
    <row r="215" spans="2:13" x14ac:dyDescent="0.25">
      <c r="B215" s="271">
        <f>B207/2</f>
        <v>0</v>
      </c>
      <c r="C215" s="223">
        <f>ABS(B215-I207)</f>
        <v>0</v>
      </c>
      <c r="D215" s="223">
        <f>ABS(B215-J207)</f>
        <v>0</v>
      </c>
      <c r="E215" s="155"/>
      <c r="F215" s="155"/>
    </row>
    <row r="216" spans="2:13" x14ac:dyDescent="0.25">
      <c r="B216" s="294">
        <f t="shared" ref="B216:B218" si="50">B208/2</f>
        <v>10</v>
      </c>
      <c r="C216" s="223">
        <f t="shared" ref="C216:C218" si="51">ABS(B216-I208)</f>
        <v>10</v>
      </c>
      <c r="D216" s="223">
        <f t="shared" ref="D216:D218" si="52">ABS(B216-J208)</f>
        <v>10</v>
      </c>
      <c r="E216" s="281">
        <f>AVERAGE(C216:C218)</f>
        <v>23.333333333333332</v>
      </c>
      <c r="F216" s="281">
        <f>AVERAGE(D216:D218)</f>
        <v>23.333333333333332</v>
      </c>
      <c r="G216" s="282" t="s">
        <v>546</v>
      </c>
      <c r="H216" s="282">
        <v>-2</v>
      </c>
      <c r="I216" s="282" t="s">
        <v>11</v>
      </c>
    </row>
    <row r="217" spans="2:13" x14ac:dyDescent="0.25">
      <c r="B217" s="294">
        <f t="shared" si="50"/>
        <v>20</v>
      </c>
      <c r="C217" s="223">
        <f t="shared" si="51"/>
        <v>20</v>
      </c>
      <c r="D217" s="223">
        <f t="shared" si="52"/>
        <v>20</v>
      </c>
      <c r="E217" s="281">
        <f>STDEV(C216:C218)</f>
        <v>15.275252316519468</v>
      </c>
      <c r="F217" s="281">
        <f>STDEV(D216:D218)</f>
        <v>15.275252316519468</v>
      </c>
      <c r="G217" s="282" t="s">
        <v>547</v>
      </c>
      <c r="H217" s="282">
        <v>1</v>
      </c>
      <c r="I217" s="282">
        <v>2</v>
      </c>
    </row>
    <row r="218" spans="2:13" x14ac:dyDescent="0.25">
      <c r="B218" s="294">
        <f t="shared" si="50"/>
        <v>40</v>
      </c>
      <c r="C218" s="223">
        <f t="shared" si="51"/>
        <v>40</v>
      </c>
      <c r="D218" s="223">
        <f t="shared" si="52"/>
        <v>40</v>
      </c>
      <c r="E218" s="281">
        <f>ABS(SLOPE(C216:C218,$B$216:$B$218))</f>
        <v>1</v>
      </c>
      <c r="F218" s="281">
        <f>ABS(SLOPE(D216:D218,$B216:$B$218))</f>
        <v>1</v>
      </c>
      <c r="G218" s="282" t="s">
        <v>548</v>
      </c>
      <c r="H218" s="282">
        <v>0.05</v>
      </c>
      <c r="I218" s="282" t="s">
        <v>11</v>
      </c>
    </row>
    <row r="219" spans="2:13" x14ac:dyDescent="0.25">
      <c r="B219" s="271"/>
      <c r="C219" s="223"/>
      <c r="D219" s="223"/>
      <c r="E219" s="281" t="b">
        <f>IF(E217&gt;$I$98,TRUE,FALSE)</f>
        <v>1</v>
      </c>
      <c r="F219" s="281" t="b">
        <f>IF(F217&gt;$I$98,TRUE,FALSE)</f>
        <v>1</v>
      </c>
      <c r="G219" s="284" t="s">
        <v>550</v>
      </c>
      <c r="H219" s="283"/>
      <c r="I219" s="283"/>
    </row>
    <row r="220" spans="2:13" x14ac:dyDescent="0.25">
      <c r="B220" s="271"/>
      <c r="C220" s="223"/>
      <c r="D220" s="223"/>
      <c r="E220" s="281" t="b">
        <f>IF(AND(E216&lt;$H$97,E217&lt;$H$98,E218&gt;$H$99),TRUE,FALSE)</f>
        <v>0</v>
      </c>
      <c r="F220" s="281" t="b">
        <f>IF(AND(F216&lt;$H$97,F217&lt;$H$98,F218&gt;$H$99),TRUE,FALSE)</f>
        <v>0</v>
      </c>
      <c r="G220" s="284" t="s">
        <v>549</v>
      </c>
      <c r="H220" s="283"/>
      <c r="I220" s="283"/>
    </row>
    <row r="221" spans="2:13" x14ac:dyDescent="0.25">
      <c r="B221" s="278"/>
      <c r="C221" s="278"/>
      <c r="D221" s="278"/>
      <c r="E221" s="278"/>
      <c r="F221" s="278"/>
      <c r="G221" s="278"/>
      <c r="H221" s="278"/>
      <c r="I221" s="278"/>
      <c r="J221" s="278"/>
    </row>
    <row r="222" spans="2:13" x14ac:dyDescent="0.25">
      <c r="B222" s="278"/>
      <c r="C222" s="278"/>
      <c r="D222" s="278"/>
      <c r="E222" s="278"/>
      <c r="F222" s="278"/>
      <c r="G222" s="278"/>
      <c r="H222" s="278"/>
      <c r="I222" s="278"/>
      <c r="J222" s="278"/>
    </row>
    <row r="223" spans="2:13" x14ac:dyDescent="0.25">
      <c r="B223" s="278"/>
      <c r="C223" s="278"/>
      <c r="D223" s="278"/>
      <c r="E223" s="278"/>
      <c r="F223" s="278"/>
      <c r="G223" s="278"/>
      <c r="H223" s="278"/>
      <c r="I223" s="278"/>
      <c r="J223" s="278"/>
    </row>
    <row r="224" spans="2:13" x14ac:dyDescent="0.25">
      <c r="B224" s="278"/>
      <c r="C224" s="278"/>
      <c r="D224" s="278"/>
      <c r="E224" s="278"/>
      <c r="F224" s="278"/>
      <c r="G224" s="278"/>
      <c r="H224" s="278"/>
      <c r="I224" s="278"/>
      <c r="J224" s="278"/>
    </row>
    <row r="225" spans="2:10" x14ac:dyDescent="0.25">
      <c r="B225" s="278"/>
      <c r="C225" s="278"/>
      <c r="D225" s="278"/>
      <c r="E225" s="278"/>
      <c r="F225" s="278"/>
      <c r="G225" s="278"/>
      <c r="H225" s="278"/>
      <c r="I225" s="278"/>
      <c r="J225" s="278"/>
    </row>
  </sheetData>
  <mergeCells count="20">
    <mergeCell ref="Q168:Q169"/>
    <mergeCell ref="B85:J85"/>
    <mergeCell ref="B94:H94"/>
    <mergeCell ref="B173:J173"/>
    <mergeCell ref="B168:J168"/>
    <mergeCell ref="B136:G136"/>
    <mergeCell ref="B139:L139"/>
    <mergeCell ref="B148:J148"/>
    <mergeCell ref="B154:H154"/>
    <mergeCell ref="B81:F81"/>
    <mergeCell ref="B2:L2"/>
    <mergeCell ref="B49:J49"/>
    <mergeCell ref="B63:F63"/>
    <mergeCell ref="B72:J72"/>
    <mergeCell ref="B66:F66"/>
    <mergeCell ref="B181:J181"/>
    <mergeCell ref="B189:J189"/>
    <mergeCell ref="B197:J197"/>
    <mergeCell ref="B205:J205"/>
    <mergeCell ref="B213:H21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9" t="s">
        <v>604</v>
      </c>
      <c r="S1" s="319"/>
      <c r="AC1" s="316" t="s">
        <v>663</v>
      </c>
      <c r="AD1" s="317"/>
    </row>
    <row r="2" spans="2:30" ht="16.5" thickBot="1" x14ac:dyDescent="0.3">
      <c r="Q2" s="321" t="s">
        <v>603</v>
      </c>
      <c r="R2" s="322"/>
      <c r="S2" s="323" t="s">
        <v>602</v>
      </c>
      <c r="T2" s="324"/>
      <c r="W2" s="102" t="s">
        <v>199</v>
      </c>
      <c r="X2" s="102" t="s">
        <v>200</v>
      </c>
      <c r="Z2" s="320" t="s">
        <v>601</v>
      </c>
      <c r="AA2" s="320"/>
      <c r="AC2" s="272" t="s">
        <v>661</v>
      </c>
      <c r="AD2" s="273" t="s">
        <v>662</v>
      </c>
    </row>
    <row r="3" spans="2:30" s="136" customFormat="1" ht="32.25" thickBot="1" x14ac:dyDescent="0.55000000000000004">
      <c r="B3" s="136" t="s">
        <v>520</v>
      </c>
      <c r="N3" s="136" t="s">
        <v>521</v>
      </c>
      <c r="Q3" s="199" t="str">
        <f>IF(('1204-Scale-Volt-Accel'!C137=0), Presentation!Z3, Presentation!AA3)</f>
        <v>FAIL</v>
      </c>
      <c r="R3" s="203">
        <f>'1204-Scale-Volt-Accel'!C137</f>
        <v>77</v>
      </c>
      <c r="S3" s="202">
        <f>'1204-Scale-Volt-Accel'!R171</f>
        <v>43</v>
      </c>
      <c r="T3" s="202" t="str">
        <f>IF(('1204-Scale-Volt-Accel'!R171=0), Presentation!Z3, Presentation!AA3)</f>
        <v>FAIL</v>
      </c>
      <c r="W3" s="206">
        <f>'1204-Scale-Volt-Accel'!E137</f>
        <v>-150</v>
      </c>
      <c r="X3" s="206">
        <f>'1204-Scale-Volt-Accel'!G137</f>
        <v>-150</v>
      </c>
      <c r="Z3" s="198" t="s">
        <v>599</v>
      </c>
      <c r="AA3" s="198" t="s">
        <v>600</v>
      </c>
      <c r="AC3" s="274">
        <v>41721</v>
      </c>
      <c r="AD3" s="275">
        <v>0.56457175925925929</v>
      </c>
    </row>
    <row r="5" spans="2:30" s="132" customFormat="1" x14ac:dyDescent="0.25">
      <c r="B5" s="138" t="str">
        <f>'1010-Scales'!B140</f>
        <v>F/Cond [lb]</v>
      </c>
      <c r="C5" s="138" t="str">
        <f>'1010-Scales'!C140</f>
        <v>S3 [lb]</v>
      </c>
      <c r="D5" s="138" t="str">
        <f>'1010-Scales'!D140</f>
        <v>S4 [lb]</v>
      </c>
      <c r="E5" s="138" t="str">
        <f>'1010-Scales'!E140</f>
        <v>S5 [lb]</v>
      </c>
      <c r="F5" s="138" t="str">
        <f>'1010-Scales'!F140</f>
        <v>S6 [lb]</v>
      </c>
      <c r="G5" s="138" t="str">
        <f>'1010-Scales'!G140</f>
        <v>S7 [lb]</v>
      </c>
      <c r="H5" s="138" t="str">
        <f>'1010-Scales'!H140</f>
        <v>S8 [lb]</v>
      </c>
      <c r="I5" s="138" t="str">
        <f>'1010-Scales'!I140</f>
        <v>CondA [lb]</v>
      </c>
      <c r="J5" s="138" t="str">
        <f>'1010-Scales'!J140</f>
        <v>CondB [lb]</v>
      </c>
      <c r="K5" s="138" t="str">
        <f>'1010-Scales'!K140</f>
        <v>ErrorA [lb]</v>
      </c>
      <c r="L5" s="138" t="str">
        <f>'1010-Scales'!L140</f>
        <v>ErrorB [lb]</v>
      </c>
      <c r="N5" s="138" t="str">
        <f>'1204-Scale-Volt-Accel'!B140</f>
        <v>F/Cond [lb]</v>
      </c>
      <c r="O5" s="138" t="str">
        <f>'1204-Scale-Volt-Accel'!C140</f>
        <v>S3 [lb]</v>
      </c>
      <c r="P5" s="138" t="str">
        <f>'1204-Scale-Volt-Accel'!D140</f>
        <v>S4 [lb]</v>
      </c>
      <c r="Q5" s="138" t="str">
        <f>'1204-Scale-Volt-Accel'!E140</f>
        <v>S5 [lb]</v>
      </c>
      <c r="R5" s="138" t="str">
        <f>'1204-Scale-Volt-Accel'!F140</f>
        <v>S6 [lb]</v>
      </c>
      <c r="S5" s="138" t="str">
        <f>'1204-Scale-Volt-Accel'!G140</f>
        <v>S7 [lb]</v>
      </c>
      <c r="T5" s="138" t="str">
        <f>'1204-Scale-Volt-Accel'!H140</f>
        <v>S8 [lb]</v>
      </c>
      <c r="U5" s="138" t="str">
        <f>'1204-Scale-Volt-Accel'!I140</f>
        <v>CondA [lb]</v>
      </c>
      <c r="V5" s="138" t="str">
        <f>'1204-Scale-Volt-Accel'!J140</f>
        <v>CondB [lb]</v>
      </c>
      <c r="W5" s="138" t="str">
        <f>'1204-Scale-Volt-Accel'!K140</f>
        <v>ErrorA [lb]</v>
      </c>
      <c r="X5" s="138" t="str">
        <f>'1204-Scale-Volt-Accel'!L140</f>
        <v>ErrorB [lb]</v>
      </c>
      <c r="Z5" s="138" t="s">
        <v>530</v>
      </c>
      <c r="AA5" s="138" t="s">
        <v>531</v>
      </c>
    </row>
    <row r="6" spans="2:30" x14ac:dyDescent="0.25">
      <c r="B6" s="137">
        <f>'1010-Scales'!B141</f>
        <v>0</v>
      </c>
      <c r="C6" s="139">
        <f ca="1">'1010-Scales'!C141</f>
        <v>0</v>
      </c>
      <c r="D6" s="139">
        <f ca="1">'1010-Scales'!D141</f>
        <v>0</v>
      </c>
      <c r="E6" s="139">
        <f ca="1">'1010-Scales'!E141</f>
        <v>0</v>
      </c>
      <c r="F6" s="139">
        <f ca="1">'1010-Scales'!F141</f>
        <v>0</v>
      </c>
      <c r="G6" s="139">
        <f ca="1">'1010-Scales'!G141</f>
        <v>0</v>
      </c>
      <c r="H6" s="139">
        <f ca="1">'1010-Scales'!H141</f>
        <v>0</v>
      </c>
      <c r="I6" s="139">
        <f ca="1">'1010-Scales'!I141</f>
        <v>0</v>
      </c>
      <c r="J6" s="139">
        <f ca="1">'1010-Scales'!J141</f>
        <v>0</v>
      </c>
      <c r="K6" s="139">
        <f ca="1">'1010-Scales'!K141</f>
        <v>0</v>
      </c>
      <c r="L6" s="139">
        <f ca="1">'1010-Scales'!L141</f>
        <v>0</v>
      </c>
      <c r="N6" s="137">
        <f>'1204-Scale-Volt-Accel'!B141</f>
        <v>0</v>
      </c>
      <c r="O6" s="139">
        <f>'1204-Scale-Volt-Accel'!C141</f>
        <v>0</v>
      </c>
      <c r="P6" s="139">
        <f>'1204-Scale-Volt-Accel'!D141</f>
        <v>0</v>
      </c>
      <c r="Q6" s="139">
        <f>'1204-Scale-Volt-Accel'!E141</f>
        <v>0</v>
      </c>
      <c r="R6" s="139">
        <f>'1204-Scale-Volt-Accel'!F141</f>
        <v>0</v>
      </c>
      <c r="S6" s="139">
        <f>'1204-Scale-Volt-Accel'!G141</f>
        <v>0</v>
      </c>
      <c r="T6" s="139">
        <f>'1204-Scale-Volt-Accel'!H141</f>
        <v>0</v>
      </c>
      <c r="U6" s="139">
        <f>'1204-Scale-Volt-Accel'!I141</f>
        <v>0</v>
      </c>
      <c r="V6" s="139">
        <f>'1204-Scale-Volt-Accel'!J141</f>
        <v>0</v>
      </c>
      <c r="W6" s="139">
        <f>'1204-Scale-Volt-Accel'!K141</f>
        <v>0</v>
      </c>
      <c r="X6" s="139">
        <f>'1204-Scale-Volt-Accel'!L141</f>
        <v>0</v>
      </c>
      <c r="Y6" s="132"/>
      <c r="Z6" s="139">
        <v>3.5</v>
      </c>
      <c r="AA6" s="139">
        <v>-3.5</v>
      </c>
    </row>
    <row r="7" spans="2:30" x14ac:dyDescent="0.25">
      <c r="B7" s="137">
        <f>'1010-Scales'!B142</f>
        <v>5</v>
      </c>
      <c r="C7" s="139">
        <f ca="1">'1010-Scales'!C142</f>
        <v>0</v>
      </c>
      <c r="D7" s="139">
        <f ca="1">'1010-Scales'!D142</f>
        <v>0</v>
      </c>
      <c r="E7" s="139">
        <f ca="1">'1010-Scales'!E142</f>
        <v>0</v>
      </c>
      <c r="F7" s="139">
        <f ca="1">'1010-Scales'!F142</f>
        <v>0</v>
      </c>
      <c r="G7" s="139">
        <f ca="1">'1010-Scales'!G142</f>
        <v>0</v>
      </c>
      <c r="H7" s="139">
        <f ca="1">'1010-Scales'!H142</f>
        <v>0</v>
      </c>
      <c r="I7" s="139">
        <f ca="1">'1010-Scales'!I142</f>
        <v>0</v>
      </c>
      <c r="J7" s="139">
        <f ca="1">'1010-Scales'!J142</f>
        <v>0</v>
      </c>
      <c r="K7" s="139">
        <f ca="1">'1010-Scales'!K142</f>
        <v>-5</v>
      </c>
      <c r="L7" s="139">
        <f ca="1">'1010-Scales'!L142</f>
        <v>-5</v>
      </c>
      <c r="N7" s="137">
        <f>'1204-Scale-Volt-Accel'!B142</f>
        <v>5</v>
      </c>
      <c r="O7" s="139">
        <f>'1204-Scale-Volt-Accel'!C142</f>
        <v>13.333333333333334</v>
      </c>
      <c r="P7" s="139">
        <f>'1204-Scale-Volt-Accel'!D142</f>
        <v>13.333333333333334</v>
      </c>
      <c r="Q7" s="139">
        <f>'1204-Scale-Volt-Accel'!E142</f>
        <v>13.333333333333334</v>
      </c>
      <c r="R7" s="139">
        <f>'1204-Scale-Volt-Accel'!F142</f>
        <v>13.333333333333334</v>
      </c>
      <c r="S7" s="139">
        <f>'1204-Scale-Volt-Accel'!G142</f>
        <v>13.333333333333334</v>
      </c>
      <c r="T7" s="139">
        <f>'1204-Scale-Volt-Accel'!H142</f>
        <v>13.333333333333334</v>
      </c>
      <c r="U7" s="139">
        <f>'1204-Scale-Volt-Accel'!I142</f>
        <v>40</v>
      </c>
      <c r="V7" s="139">
        <f>'1204-Scale-Volt-Accel'!J142</f>
        <v>40</v>
      </c>
      <c r="W7" s="139">
        <f>'1204-Scale-Volt-Accel'!K142</f>
        <v>35</v>
      </c>
      <c r="X7" s="139">
        <f>'1204-Scale-Volt-Accel'!L142</f>
        <v>35</v>
      </c>
      <c r="Y7" s="132"/>
      <c r="Z7" s="139">
        <v>3.5</v>
      </c>
      <c r="AA7" s="139">
        <v>-3.5</v>
      </c>
    </row>
    <row r="8" spans="2:30" x14ac:dyDescent="0.25">
      <c r="B8" s="137">
        <f>'1010-Scales'!B143</f>
        <v>10</v>
      </c>
      <c r="C8" s="139">
        <f ca="1">'1010-Scales'!C143</f>
        <v>0</v>
      </c>
      <c r="D8" s="139">
        <f ca="1">'1010-Scales'!D143</f>
        <v>0</v>
      </c>
      <c r="E8" s="139">
        <f ca="1">'1010-Scales'!E143</f>
        <v>0</v>
      </c>
      <c r="F8" s="139">
        <f ca="1">'1010-Scales'!F143</f>
        <v>0</v>
      </c>
      <c r="G8" s="139">
        <f ca="1">'1010-Scales'!G143</f>
        <v>0</v>
      </c>
      <c r="H8" s="139">
        <f ca="1">'1010-Scales'!H143</f>
        <v>0</v>
      </c>
      <c r="I8" s="139">
        <f ca="1">'1010-Scales'!I143</f>
        <v>0</v>
      </c>
      <c r="J8" s="139">
        <f ca="1">'1010-Scales'!J143</f>
        <v>0</v>
      </c>
      <c r="K8" s="139">
        <f ca="1">'1010-Scales'!K143</f>
        <v>-10</v>
      </c>
      <c r="L8" s="139">
        <f ca="1">'1010-Scales'!L143</f>
        <v>-10</v>
      </c>
      <c r="N8" s="137">
        <f>'1204-Scale-Volt-Accel'!B143</f>
        <v>10</v>
      </c>
      <c r="O8" s="139">
        <f>'1204-Scale-Volt-Accel'!C143</f>
        <v>13.333333333333334</v>
      </c>
      <c r="P8" s="139">
        <f>'1204-Scale-Volt-Accel'!D143</f>
        <v>13.333333333333334</v>
      </c>
      <c r="Q8" s="139">
        <f>'1204-Scale-Volt-Accel'!E143</f>
        <v>13.333333333333334</v>
      </c>
      <c r="R8" s="139">
        <f>'1204-Scale-Volt-Accel'!F143</f>
        <v>13.333333333333334</v>
      </c>
      <c r="S8" s="139">
        <f>'1204-Scale-Volt-Accel'!G143</f>
        <v>13.333333333333334</v>
      </c>
      <c r="T8" s="139">
        <f>'1204-Scale-Volt-Accel'!H143</f>
        <v>13.333333333333334</v>
      </c>
      <c r="U8" s="139">
        <f>'1204-Scale-Volt-Accel'!I143</f>
        <v>40</v>
      </c>
      <c r="V8" s="139">
        <f>'1204-Scale-Volt-Accel'!J143</f>
        <v>40</v>
      </c>
      <c r="W8" s="139">
        <f>'1204-Scale-Volt-Accel'!K143</f>
        <v>30</v>
      </c>
      <c r="X8" s="139">
        <f>'1204-Scale-Volt-Accel'!L143</f>
        <v>30</v>
      </c>
      <c r="Y8" s="132"/>
      <c r="Z8" s="139">
        <v>3.5</v>
      </c>
      <c r="AA8" s="139">
        <v>-3.5</v>
      </c>
    </row>
    <row r="9" spans="2:30" x14ac:dyDescent="0.25">
      <c r="B9" s="137">
        <f>'1010-Scales'!B144</f>
        <v>20</v>
      </c>
      <c r="C9" s="139">
        <f ca="1">'1010-Scales'!C144</f>
        <v>0</v>
      </c>
      <c r="D9" s="139">
        <f ca="1">'1010-Scales'!D144</f>
        <v>0</v>
      </c>
      <c r="E9" s="139">
        <f ca="1">'1010-Scales'!E144</f>
        <v>0</v>
      </c>
      <c r="F9" s="139">
        <f ca="1">'1010-Scales'!F144</f>
        <v>0</v>
      </c>
      <c r="G9" s="139">
        <f ca="1">'1010-Scales'!G144</f>
        <v>0</v>
      </c>
      <c r="H9" s="139">
        <f ca="1">'1010-Scales'!H144</f>
        <v>0</v>
      </c>
      <c r="I9" s="139">
        <f ca="1">'1010-Scales'!I144</f>
        <v>0</v>
      </c>
      <c r="J9" s="139">
        <f ca="1">'1010-Scales'!J144</f>
        <v>0</v>
      </c>
      <c r="K9" s="139">
        <f ca="1">'1010-Scales'!K144</f>
        <v>-20</v>
      </c>
      <c r="L9" s="139">
        <f ca="1">'1010-Scales'!L144</f>
        <v>-20</v>
      </c>
      <c r="N9" s="137">
        <f>'1204-Scale-Volt-Accel'!B144</f>
        <v>20</v>
      </c>
      <c r="O9" s="139">
        <f>'1204-Scale-Volt-Accel'!C144</f>
        <v>13.333333333333334</v>
      </c>
      <c r="P9" s="139">
        <f>'1204-Scale-Volt-Accel'!D144</f>
        <v>13.333333333333334</v>
      </c>
      <c r="Q9" s="139">
        <f>'1204-Scale-Volt-Accel'!E144</f>
        <v>13.333333333333334</v>
      </c>
      <c r="R9" s="139">
        <f>'1204-Scale-Volt-Accel'!F144</f>
        <v>13.333333333333334</v>
      </c>
      <c r="S9" s="139">
        <f>'1204-Scale-Volt-Accel'!G144</f>
        <v>13.333333333333334</v>
      </c>
      <c r="T9" s="139">
        <f>'1204-Scale-Volt-Accel'!H144</f>
        <v>13.333333333333334</v>
      </c>
      <c r="U9" s="139">
        <f>'1204-Scale-Volt-Accel'!I144</f>
        <v>40</v>
      </c>
      <c r="V9" s="139">
        <f>'1204-Scale-Volt-Accel'!J144</f>
        <v>40</v>
      </c>
      <c r="W9" s="139">
        <f>'1204-Scale-Volt-Accel'!K144</f>
        <v>20</v>
      </c>
      <c r="X9" s="139">
        <f>'1204-Scale-Volt-Accel'!L144</f>
        <v>20</v>
      </c>
      <c r="Y9" s="132"/>
      <c r="Z9" s="139">
        <v>3.5</v>
      </c>
      <c r="AA9" s="139">
        <v>-3.5</v>
      </c>
    </row>
    <row r="10" spans="2:30" x14ac:dyDescent="0.25">
      <c r="B10" s="137">
        <f>'1010-Scales'!B145</f>
        <v>30</v>
      </c>
      <c r="C10" s="139">
        <f ca="1">'1010-Scales'!C145</f>
        <v>0</v>
      </c>
      <c r="D10" s="139">
        <f ca="1">'1010-Scales'!D145</f>
        <v>0</v>
      </c>
      <c r="E10" s="139">
        <f ca="1">'1010-Scales'!E145</f>
        <v>0</v>
      </c>
      <c r="F10" s="139">
        <f ca="1">'1010-Scales'!F145</f>
        <v>0</v>
      </c>
      <c r="G10" s="139">
        <f ca="1">'1010-Scales'!G145</f>
        <v>0</v>
      </c>
      <c r="H10" s="139">
        <f ca="1">'1010-Scales'!H145</f>
        <v>0</v>
      </c>
      <c r="I10" s="139">
        <f ca="1">'1010-Scales'!I145</f>
        <v>0</v>
      </c>
      <c r="J10" s="139">
        <f ca="1">'1010-Scales'!J145</f>
        <v>0</v>
      </c>
      <c r="K10" s="139">
        <f ca="1">'1010-Scales'!K145</f>
        <v>-30</v>
      </c>
      <c r="L10" s="139">
        <f ca="1">'1010-Scales'!L145</f>
        <v>-30</v>
      </c>
      <c r="N10" s="137">
        <f>'1204-Scale-Volt-Accel'!B145</f>
        <v>30</v>
      </c>
      <c r="O10" s="139">
        <f>'1204-Scale-Volt-Accel'!C145</f>
        <v>13.333333333333334</v>
      </c>
      <c r="P10" s="139">
        <f>'1204-Scale-Volt-Accel'!D145</f>
        <v>13.333333333333334</v>
      </c>
      <c r="Q10" s="139">
        <f>'1204-Scale-Volt-Accel'!E145</f>
        <v>13.333333333333334</v>
      </c>
      <c r="R10" s="139">
        <f>'1204-Scale-Volt-Accel'!F145</f>
        <v>13.333333333333334</v>
      </c>
      <c r="S10" s="139">
        <f>'1204-Scale-Volt-Accel'!G145</f>
        <v>13.333333333333334</v>
      </c>
      <c r="T10" s="139">
        <f>'1204-Scale-Volt-Accel'!H145</f>
        <v>13.333333333333334</v>
      </c>
      <c r="U10" s="139">
        <f>'1204-Scale-Volt-Accel'!I145</f>
        <v>40</v>
      </c>
      <c r="V10" s="139">
        <f>'1204-Scale-Volt-Accel'!J145</f>
        <v>40</v>
      </c>
      <c r="W10" s="139">
        <f>'1204-Scale-Volt-Accel'!K145</f>
        <v>10</v>
      </c>
      <c r="X10" s="139">
        <f>'1204-Scale-Volt-Accel'!L145</f>
        <v>10</v>
      </c>
      <c r="Y10" s="132"/>
      <c r="Z10" s="139">
        <v>3.5</v>
      </c>
      <c r="AA10" s="139">
        <v>-3.5</v>
      </c>
    </row>
    <row r="11" spans="2:30" x14ac:dyDescent="0.25">
      <c r="B11" s="137">
        <f>'1010-Scales'!B146</f>
        <v>40</v>
      </c>
      <c r="C11" s="139">
        <f ca="1">'1010-Scales'!C146</f>
        <v>0</v>
      </c>
      <c r="D11" s="139">
        <f ca="1">'1010-Scales'!D146</f>
        <v>0</v>
      </c>
      <c r="E11" s="139">
        <f ca="1">'1010-Scales'!E146</f>
        <v>0</v>
      </c>
      <c r="F11" s="139">
        <f ca="1">'1010-Scales'!F146</f>
        <v>0</v>
      </c>
      <c r="G11" s="139">
        <f ca="1">'1010-Scales'!G146</f>
        <v>0</v>
      </c>
      <c r="H11" s="139">
        <f ca="1">'1010-Scales'!H146</f>
        <v>0</v>
      </c>
      <c r="I11" s="139">
        <f ca="1">'1010-Scales'!I146</f>
        <v>0</v>
      </c>
      <c r="J11" s="139">
        <f ca="1">'1010-Scales'!J146</f>
        <v>0</v>
      </c>
      <c r="K11" s="139">
        <f ca="1">'1010-Scales'!K146</f>
        <v>-40</v>
      </c>
      <c r="L11" s="139">
        <f ca="1">'1010-Scales'!L146</f>
        <v>-40</v>
      </c>
      <c r="N11" s="137">
        <f>'1204-Scale-Volt-Accel'!B146</f>
        <v>40</v>
      </c>
      <c r="O11" s="139">
        <f>'1204-Scale-Volt-Accel'!C146</f>
        <v>13.333333333333334</v>
      </c>
      <c r="P11" s="139">
        <f>'1204-Scale-Volt-Accel'!D146</f>
        <v>13.333333333333334</v>
      </c>
      <c r="Q11" s="139">
        <f>'1204-Scale-Volt-Accel'!E146</f>
        <v>13.333333333333334</v>
      </c>
      <c r="R11" s="139">
        <f>'1204-Scale-Volt-Accel'!F146</f>
        <v>13.333333333333334</v>
      </c>
      <c r="S11" s="139">
        <f>'1204-Scale-Volt-Accel'!G146</f>
        <v>13.333333333333334</v>
      </c>
      <c r="T11" s="139">
        <f>'1204-Scale-Volt-Accel'!H146</f>
        <v>13.333333333333334</v>
      </c>
      <c r="U11" s="139">
        <f>'1204-Scale-Volt-Accel'!I146</f>
        <v>40</v>
      </c>
      <c r="V11" s="139">
        <f>'1204-Scale-Volt-Accel'!J146</f>
        <v>40</v>
      </c>
      <c r="W11" s="139">
        <f>'1204-Scale-Volt-Accel'!K146</f>
        <v>0</v>
      </c>
      <c r="X11" s="139">
        <f>'1204-Scale-Volt-Accel'!L146</f>
        <v>0</v>
      </c>
      <c r="Y11" s="132"/>
      <c r="Z11" s="139">
        <v>3.5</v>
      </c>
      <c r="AA11" s="139">
        <v>-3.5</v>
      </c>
    </row>
    <row r="45" spans="14:27" x14ac:dyDescent="0.25">
      <c r="N45" s="318" t="s">
        <v>682</v>
      </c>
      <c r="O45" s="318"/>
      <c r="P45" s="318"/>
      <c r="Q45" s="318"/>
      <c r="R45" s="318"/>
      <c r="S45" s="318"/>
      <c r="T45" s="318"/>
      <c r="U45" s="318"/>
      <c r="V45" s="318"/>
      <c r="W45" s="318"/>
      <c r="X45" s="318"/>
    </row>
    <row r="46" spans="14:27" x14ac:dyDescent="0.25">
      <c r="N46" s="286" t="s">
        <v>455</v>
      </c>
      <c r="O46" s="286" t="s">
        <v>464</v>
      </c>
      <c r="P46" s="286" t="s">
        <v>465</v>
      </c>
      <c r="Q46" s="286" t="s">
        <v>466</v>
      </c>
      <c r="R46" s="286" t="s">
        <v>467</v>
      </c>
      <c r="S46" s="286" t="s">
        <v>468</v>
      </c>
      <c r="T46" s="286" t="s">
        <v>469</v>
      </c>
      <c r="U46" s="286" t="s">
        <v>471</v>
      </c>
      <c r="V46" s="286" t="s">
        <v>516</v>
      </c>
      <c r="W46" s="171" t="s">
        <v>472</v>
      </c>
      <c r="X46" s="171" t="s">
        <v>473</v>
      </c>
      <c r="Z46" s="138" t="s">
        <v>530</v>
      </c>
      <c r="AA46" s="138" t="s">
        <v>531</v>
      </c>
    </row>
    <row r="47" spans="14:27" x14ac:dyDescent="0.25">
      <c r="N47" s="289">
        <f>'1204-Scale-Volt-Accel'!B207</f>
        <v>0</v>
      </c>
      <c r="O47" s="287">
        <f>'1204-Scale-Volt-Accel'!C207</f>
        <v>0</v>
      </c>
      <c r="P47" s="287">
        <f>'1204-Scale-Volt-Accel'!D207</f>
        <v>0</v>
      </c>
      <c r="Q47" s="287">
        <f>'1204-Scale-Volt-Accel'!E207</f>
        <v>0</v>
      </c>
      <c r="R47" s="287">
        <f>'1204-Scale-Volt-Accel'!F207</f>
        <v>0</v>
      </c>
      <c r="S47" s="287">
        <f>'1204-Scale-Volt-Accel'!G207</f>
        <v>0</v>
      </c>
      <c r="T47" s="287">
        <f>'1204-Scale-Volt-Accel'!H207</f>
        <v>0</v>
      </c>
      <c r="U47" s="287">
        <f>'1204-Scale-Volt-Accel'!I207</f>
        <v>0</v>
      </c>
      <c r="V47" s="287">
        <f>'1204-Scale-Volt-Accel'!J207</f>
        <v>0</v>
      </c>
      <c r="W47" s="288">
        <f>U47-(N47/2)</f>
        <v>0</v>
      </c>
      <c r="X47" s="288">
        <f>V47-(N47/2)</f>
        <v>0</v>
      </c>
      <c r="Z47" s="139">
        <v>3.5</v>
      </c>
      <c r="AA47" s="139">
        <v>-3.5</v>
      </c>
    </row>
    <row r="48" spans="14:27" x14ac:dyDescent="0.25">
      <c r="N48" s="289">
        <f>'1204-Scale-Volt-Accel'!B208</f>
        <v>20</v>
      </c>
      <c r="O48" s="287">
        <f>'1204-Scale-Volt-Accel'!C208</f>
        <v>0</v>
      </c>
      <c r="P48" s="287">
        <f>'1204-Scale-Volt-Accel'!D208</f>
        <v>0</v>
      </c>
      <c r="Q48" s="287">
        <f>'1204-Scale-Volt-Accel'!E208</f>
        <v>0</v>
      </c>
      <c r="R48" s="287">
        <f>'1204-Scale-Volt-Accel'!F208</f>
        <v>0</v>
      </c>
      <c r="S48" s="287">
        <f>'1204-Scale-Volt-Accel'!G208</f>
        <v>0</v>
      </c>
      <c r="T48" s="287">
        <f>'1204-Scale-Volt-Accel'!H208</f>
        <v>0</v>
      </c>
      <c r="U48" s="287">
        <f>'1204-Scale-Volt-Accel'!I208</f>
        <v>0</v>
      </c>
      <c r="V48" s="287">
        <f>'1204-Scale-Volt-Accel'!J208</f>
        <v>0</v>
      </c>
      <c r="W48" s="288">
        <f t="shared" ref="W48:W50" si="0">U48-(N48/2)</f>
        <v>-10</v>
      </c>
      <c r="X48" s="288">
        <f t="shared" ref="X48:X50" si="1">V48-(N48/2)</f>
        <v>-10</v>
      </c>
      <c r="Z48" s="139">
        <v>3.5</v>
      </c>
      <c r="AA48" s="139">
        <v>-3.5</v>
      </c>
    </row>
    <row r="49" spans="14:27" x14ac:dyDescent="0.25">
      <c r="N49" s="289">
        <f>'1204-Scale-Volt-Accel'!B209</f>
        <v>40</v>
      </c>
      <c r="O49" s="287">
        <f>'1204-Scale-Volt-Accel'!C209</f>
        <v>0</v>
      </c>
      <c r="P49" s="287">
        <f>'1204-Scale-Volt-Accel'!D209</f>
        <v>0</v>
      </c>
      <c r="Q49" s="287">
        <f>'1204-Scale-Volt-Accel'!E209</f>
        <v>0</v>
      </c>
      <c r="R49" s="287">
        <f>'1204-Scale-Volt-Accel'!F209</f>
        <v>0</v>
      </c>
      <c r="S49" s="287">
        <f>'1204-Scale-Volt-Accel'!G209</f>
        <v>0</v>
      </c>
      <c r="T49" s="287">
        <f>'1204-Scale-Volt-Accel'!H209</f>
        <v>0</v>
      </c>
      <c r="U49" s="287">
        <f>'1204-Scale-Volt-Accel'!I209</f>
        <v>0</v>
      </c>
      <c r="V49" s="287">
        <f>'1204-Scale-Volt-Accel'!J209</f>
        <v>0</v>
      </c>
      <c r="W49" s="288">
        <f t="shared" si="0"/>
        <v>-20</v>
      </c>
      <c r="X49" s="288">
        <f t="shared" si="1"/>
        <v>-20</v>
      </c>
      <c r="Z49" s="139">
        <v>3.5</v>
      </c>
      <c r="AA49" s="139">
        <v>-3.5</v>
      </c>
    </row>
    <row r="50" spans="14:27" x14ac:dyDescent="0.25">
      <c r="N50" s="289">
        <f>'1204-Scale-Volt-Accel'!B210</f>
        <v>80</v>
      </c>
      <c r="O50" s="287">
        <f>'1204-Scale-Volt-Accel'!C210</f>
        <v>0</v>
      </c>
      <c r="P50" s="287">
        <f>'1204-Scale-Volt-Accel'!D210</f>
        <v>0</v>
      </c>
      <c r="Q50" s="287">
        <f>'1204-Scale-Volt-Accel'!E210</f>
        <v>0</v>
      </c>
      <c r="R50" s="287">
        <f>'1204-Scale-Volt-Accel'!F210</f>
        <v>0</v>
      </c>
      <c r="S50" s="287">
        <f>'1204-Scale-Volt-Accel'!G210</f>
        <v>0</v>
      </c>
      <c r="T50" s="287">
        <f>'1204-Scale-Volt-Accel'!H210</f>
        <v>0</v>
      </c>
      <c r="U50" s="287">
        <f>'1204-Scale-Volt-Accel'!I210</f>
        <v>0</v>
      </c>
      <c r="V50" s="287">
        <f>'1204-Scale-Volt-Accel'!J210</f>
        <v>0</v>
      </c>
      <c r="W50" s="288">
        <f t="shared" si="0"/>
        <v>-40</v>
      </c>
      <c r="X50" s="288">
        <f t="shared" si="1"/>
        <v>-40</v>
      </c>
      <c r="Z50" s="139">
        <v>3.5</v>
      </c>
      <c r="AA50" s="139">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S11" zoomScale="125" zoomScaleNormal="125" zoomScalePageLayoutView="125" workbookViewId="0">
      <selection activeCell="AA24" sqref="AA24"/>
    </sheetView>
  </sheetViews>
  <sheetFormatPr defaultColWidth="8.7109375" defaultRowHeight="15" x14ac:dyDescent="0.25"/>
  <cols>
    <col min="1" max="1" width="3" customWidth="1"/>
    <col min="14" max="15" width="9.140625" customWidth="1"/>
  </cols>
  <sheetData>
    <row r="2" spans="2:36" x14ac:dyDescent="0.25">
      <c r="B2" s="333" t="s">
        <v>26</v>
      </c>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5"/>
      <c r="AF2" s="248"/>
      <c r="AG2" s="248"/>
      <c r="AH2" s="248"/>
      <c r="AI2" s="248"/>
      <c r="AJ2" s="248"/>
    </row>
    <row r="3" spans="2:36" x14ac:dyDescent="0.25">
      <c r="B3" s="249" t="str">
        <f>U20</f>
        <v>UDF1</v>
      </c>
      <c r="C3" s="250"/>
      <c r="D3" s="251">
        <f>INDEX($V$20:$V$32,MATCH(B3,$U$20:$U$32,0),1)</f>
        <v>1000</v>
      </c>
      <c r="E3" s="252" t="str">
        <f>U21</f>
        <v>UDF2</v>
      </c>
      <c r="F3" s="131"/>
      <c r="G3" s="253">
        <f>INDEX($V$20:$V$32,MATCH(E3,$U$20:$U$32,0),1)</f>
        <v>2000</v>
      </c>
      <c r="H3" s="249" t="str">
        <f>U22</f>
        <v>SYK</v>
      </c>
      <c r="I3" s="250"/>
      <c r="J3" s="251">
        <f>INDEX($V$20:$V$32,MATCH(H3,$U$20:$U$32,0),1)</f>
        <v>3000</v>
      </c>
      <c r="K3" s="252" t="str">
        <f>U23</f>
        <v>BMT</v>
      </c>
      <c r="L3" s="131"/>
      <c r="M3" s="253">
        <f>INDEX($V$20:$V$32,MATCH(K3,$U$20:$U$32,0),1)</f>
        <v>4000</v>
      </c>
      <c r="N3" s="249" t="str">
        <f>U24</f>
        <v>MKO</v>
      </c>
      <c r="O3" s="250"/>
      <c r="P3" s="251">
        <f>INDEX($V$20:$V$32,MATCH(N3,$U$20:$U$32,0),1)</f>
        <v>5000</v>
      </c>
      <c r="Q3" s="252" t="str">
        <f>U25</f>
        <v>ZMR</v>
      </c>
      <c r="R3" s="131"/>
      <c r="S3" s="253">
        <f>INDEX($V$20:$V$32,MATCH(Q3,$U$20:$U$32,0),1)</f>
        <v>6000</v>
      </c>
      <c r="T3" s="249" t="str">
        <f>U26</f>
        <v>SNN-JRNYBCS</v>
      </c>
      <c r="U3" s="250"/>
      <c r="V3" s="251">
        <f>INDEX($V$20:$V$32,MATCH(T3,$U$20:$U$32,0),1)</f>
        <v>7000</v>
      </c>
      <c r="W3" s="252" t="str">
        <f>U27</f>
        <v>SNN-JRNYCR</v>
      </c>
      <c r="X3" s="131"/>
      <c r="Y3" s="253">
        <f>INDEX($V$20:$V$32,MATCH(W3,$U$20:$U$32,0),1)</f>
        <v>7000</v>
      </c>
      <c r="Z3" s="249" t="str">
        <f>U28</f>
        <v>SNN-LGN</v>
      </c>
      <c r="AA3" s="250"/>
      <c r="AB3" s="251">
        <f>INDEX($V$20:$V$32,MATCH(Z3,$U$20:$U$32,0),1)</f>
        <v>8000</v>
      </c>
      <c r="AC3" s="252" t="str">
        <f>U29</f>
        <v>UDF3</v>
      </c>
      <c r="AD3" s="131"/>
      <c r="AE3" s="253">
        <f>INDEX($V$20:$V$32,MATCH(AC3,$U$20:$U$32,0),1)</f>
        <v>9000</v>
      </c>
    </row>
    <row r="4" spans="2:36" x14ac:dyDescent="0.25">
      <c r="B4" s="175" t="s">
        <v>34</v>
      </c>
      <c r="C4" s="176"/>
      <c r="D4" s="254">
        <f>D3+1</f>
        <v>1001</v>
      </c>
      <c r="E4" s="172" t="s">
        <v>34</v>
      </c>
      <c r="F4" s="173"/>
      <c r="G4" s="239">
        <f>G3+1</f>
        <v>2001</v>
      </c>
      <c r="H4" s="175" t="s">
        <v>27</v>
      </c>
      <c r="I4" s="176"/>
      <c r="J4" s="254">
        <f>J3+1</f>
        <v>3001</v>
      </c>
      <c r="K4" s="172" t="s">
        <v>35</v>
      </c>
      <c r="L4" s="173"/>
      <c r="M4" s="174">
        <f>M3+1</f>
        <v>4001</v>
      </c>
      <c r="N4" s="175" t="s">
        <v>41</v>
      </c>
      <c r="O4" s="176"/>
      <c r="P4" s="177">
        <f>P3+1</f>
        <v>5001</v>
      </c>
      <c r="Q4" s="172" t="s">
        <v>42</v>
      </c>
      <c r="R4" s="173"/>
      <c r="S4" s="174">
        <f>S3+1</f>
        <v>6001</v>
      </c>
      <c r="T4" s="255" t="s">
        <v>653</v>
      </c>
      <c r="U4" s="256"/>
      <c r="V4" s="257">
        <v>7009</v>
      </c>
      <c r="W4" s="258" t="s">
        <v>652</v>
      </c>
      <c r="X4" s="173"/>
      <c r="Y4" s="174">
        <v>7017</v>
      </c>
      <c r="Z4" s="240" t="s">
        <v>650</v>
      </c>
      <c r="AA4" s="176"/>
      <c r="AB4" s="177">
        <v>8001</v>
      </c>
      <c r="AC4" s="172" t="s">
        <v>34</v>
      </c>
      <c r="AD4" s="173"/>
      <c r="AE4" s="174">
        <f>AE3+1</f>
        <v>9001</v>
      </c>
    </row>
    <row r="5" spans="2:36" x14ac:dyDescent="0.25">
      <c r="B5" s="175" t="s">
        <v>34</v>
      </c>
      <c r="C5" s="176"/>
      <c r="D5" s="254">
        <f t="shared" ref="D5:D16" si="0">D4+1</f>
        <v>1002</v>
      </c>
      <c r="E5" s="172" t="s">
        <v>34</v>
      </c>
      <c r="F5" s="173"/>
      <c r="G5" s="239">
        <f t="shared" ref="G5:G16" si="1">G4+1</f>
        <v>2002</v>
      </c>
      <c r="H5" s="175" t="s">
        <v>28</v>
      </c>
      <c r="I5" s="176"/>
      <c r="J5" s="254">
        <f t="shared" ref="J5:J16" si="2">J4+1</f>
        <v>3002</v>
      </c>
      <c r="K5" s="172" t="s">
        <v>36</v>
      </c>
      <c r="L5" s="173"/>
      <c r="M5" s="174">
        <f t="shared" ref="M5:M16" si="3">M4+1</f>
        <v>4002</v>
      </c>
      <c r="N5" s="175" t="s">
        <v>34</v>
      </c>
      <c r="O5" s="176"/>
      <c r="P5" s="177">
        <f t="shared" ref="P5:P16" si="4">P4+1</f>
        <v>5002</v>
      </c>
      <c r="Q5" s="172" t="s">
        <v>43</v>
      </c>
      <c r="R5" s="173"/>
      <c r="S5" s="174">
        <f t="shared" ref="S5:S16" si="5">S4+1</f>
        <v>6002</v>
      </c>
      <c r="T5" s="255" t="s">
        <v>654</v>
      </c>
      <c r="U5" s="256"/>
      <c r="V5" s="257">
        <f>V4+1</f>
        <v>7010</v>
      </c>
      <c r="W5" s="258" t="s">
        <v>651</v>
      </c>
      <c r="X5" s="173"/>
      <c r="Y5" s="174">
        <f>Y4+1</f>
        <v>7018</v>
      </c>
      <c r="Z5" s="240" t="s">
        <v>605</v>
      </c>
      <c r="AA5" s="176"/>
      <c r="AB5" s="177">
        <f>AB4+1</f>
        <v>8002</v>
      </c>
      <c r="AC5" s="172" t="s">
        <v>34</v>
      </c>
      <c r="AD5" s="173"/>
      <c r="AE5" s="174">
        <f t="shared" ref="AE5:AE16" si="6">AE4+1</f>
        <v>9002</v>
      </c>
    </row>
    <row r="6" spans="2:36" x14ac:dyDescent="0.25">
      <c r="B6" s="175" t="s">
        <v>34</v>
      </c>
      <c r="C6" s="176"/>
      <c r="D6" s="254">
        <f t="shared" si="0"/>
        <v>1003</v>
      </c>
      <c r="E6" s="172" t="s">
        <v>34</v>
      </c>
      <c r="F6" s="173"/>
      <c r="G6" s="239">
        <f t="shared" si="1"/>
        <v>2003</v>
      </c>
      <c r="H6" s="175" t="s">
        <v>29</v>
      </c>
      <c r="I6" s="176"/>
      <c r="J6" s="254">
        <f t="shared" si="2"/>
        <v>3003</v>
      </c>
      <c r="K6" s="172" t="s">
        <v>37</v>
      </c>
      <c r="L6" s="173"/>
      <c r="M6" s="174">
        <f t="shared" si="3"/>
        <v>4003</v>
      </c>
      <c r="N6" s="175" t="s">
        <v>34</v>
      </c>
      <c r="O6" s="176"/>
      <c r="P6" s="177">
        <f t="shared" si="4"/>
        <v>5003</v>
      </c>
      <c r="Q6" s="172" t="s">
        <v>44</v>
      </c>
      <c r="R6" s="173"/>
      <c r="S6" s="174">
        <f t="shared" si="5"/>
        <v>6003</v>
      </c>
      <c r="T6" s="255" t="s">
        <v>572</v>
      </c>
      <c r="U6" s="256"/>
      <c r="V6" s="257">
        <f t="shared" ref="V6:V11" si="7">V5+1</f>
        <v>7011</v>
      </c>
      <c r="W6" s="258" t="s">
        <v>578</v>
      </c>
      <c r="X6" s="173"/>
      <c r="Y6" s="174">
        <f t="shared" ref="Y6:Y16" si="8">Y5+1</f>
        <v>7019</v>
      </c>
      <c r="Z6" s="240" t="s">
        <v>606</v>
      </c>
      <c r="AA6" s="176"/>
      <c r="AB6" s="177">
        <f t="shared" ref="AB6:AB16" si="9">AB5+1</f>
        <v>8003</v>
      </c>
      <c r="AC6" s="172" t="s">
        <v>34</v>
      </c>
      <c r="AD6" s="173"/>
      <c r="AE6" s="174">
        <f t="shared" si="6"/>
        <v>9003</v>
      </c>
    </row>
    <row r="7" spans="2:36" x14ac:dyDescent="0.25">
      <c r="B7" s="175" t="s">
        <v>34</v>
      </c>
      <c r="C7" s="176"/>
      <c r="D7" s="254">
        <f t="shared" si="0"/>
        <v>1004</v>
      </c>
      <c r="E7" s="172" t="s">
        <v>34</v>
      </c>
      <c r="F7" s="173"/>
      <c r="G7" s="239">
        <f t="shared" si="1"/>
        <v>2004</v>
      </c>
      <c r="H7" s="175" t="s">
        <v>30</v>
      </c>
      <c r="I7" s="176"/>
      <c r="J7" s="254">
        <f t="shared" si="2"/>
        <v>3004</v>
      </c>
      <c r="K7" s="172" t="s">
        <v>38</v>
      </c>
      <c r="L7" s="173"/>
      <c r="M7" s="174">
        <f t="shared" si="3"/>
        <v>4004</v>
      </c>
      <c r="N7" s="175" t="s">
        <v>34</v>
      </c>
      <c r="O7" s="176"/>
      <c r="P7" s="177">
        <f t="shared" si="4"/>
        <v>5004</v>
      </c>
      <c r="Q7" s="172" t="s">
        <v>45</v>
      </c>
      <c r="R7" s="173"/>
      <c r="S7" s="174">
        <f t="shared" si="5"/>
        <v>6004</v>
      </c>
      <c r="T7" s="255" t="s">
        <v>573</v>
      </c>
      <c r="U7" s="256"/>
      <c r="V7" s="257">
        <f t="shared" si="7"/>
        <v>7012</v>
      </c>
      <c r="W7" s="258" t="s">
        <v>579</v>
      </c>
      <c r="X7" s="173"/>
      <c r="Y7" s="174">
        <f t="shared" si="8"/>
        <v>7020</v>
      </c>
      <c r="Z7" s="240" t="s">
        <v>607</v>
      </c>
      <c r="AA7" s="176"/>
      <c r="AB7" s="177">
        <f t="shared" si="9"/>
        <v>8004</v>
      </c>
      <c r="AC7" s="172" t="s">
        <v>34</v>
      </c>
      <c r="AD7" s="173"/>
      <c r="AE7" s="174">
        <f t="shared" si="6"/>
        <v>9004</v>
      </c>
    </row>
    <row r="8" spans="2:36" x14ac:dyDescent="0.25">
      <c r="B8" s="175" t="s">
        <v>34</v>
      </c>
      <c r="C8" s="176"/>
      <c r="D8" s="254">
        <f t="shared" si="0"/>
        <v>1005</v>
      </c>
      <c r="E8" s="172" t="s">
        <v>34</v>
      </c>
      <c r="F8" s="173"/>
      <c r="G8" s="239">
        <f t="shared" si="1"/>
        <v>2005</v>
      </c>
      <c r="H8" s="175" t="s">
        <v>31</v>
      </c>
      <c r="I8" s="176"/>
      <c r="J8" s="254">
        <f t="shared" si="2"/>
        <v>3005</v>
      </c>
      <c r="K8" s="172" t="s">
        <v>39</v>
      </c>
      <c r="L8" s="173"/>
      <c r="M8" s="174">
        <f t="shared" si="3"/>
        <v>4005</v>
      </c>
      <c r="N8" s="175" t="s">
        <v>34</v>
      </c>
      <c r="O8" s="176"/>
      <c r="P8" s="177">
        <f t="shared" si="4"/>
        <v>5005</v>
      </c>
      <c r="Q8" s="172" t="s">
        <v>46</v>
      </c>
      <c r="R8" s="173"/>
      <c r="S8" s="174">
        <f t="shared" si="5"/>
        <v>6005</v>
      </c>
      <c r="T8" s="255" t="s">
        <v>574</v>
      </c>
      <c r="U8" s="256"/>
      <c r="V8" s="257">
        <f t="shared" si="7"/>
        <v>7013</v>
      </c>
      <c r="W8" s="258" t="s">
        <v>580</v>
      </c>
      <c r="X8" s="173"/>
      <c r="Y8" s="174">
        <f t="shared" si="8"/>
        <v>7021</v>
      </c>
      <c r="Z8" s="240" t="s">
        <v>649</v>
      </c>
      <c r="AA8" s="176"/>
      <c r="AB8" s="177">
        <f t="shared" si="9"/>
        <v>8005</v>
      </c>
      <c r="AC8" s="172" t="s">
        <v>34</v>
      </c>
      <c r="AD8" s="173"/>
      <c r="AE8" s="174">
        <f t="shared" si="6"/>
        <v>9005</v>
      </c>
    </row>
    <row r="9" spans="2:36" x14ac:dyDescent="0.25">
      <c r="B9" s="175" t="s">
        <v>34</v>
      </c>
      <c r="C9" s="176"/>
      <c r="D9" s="254">
        <f t="shared" si="0"/>
        <v>1006</v>
      </c>
      <c r="E9" s="172" t="s">
        <v>34</v>
      </c>
      <c r="F9" s="173"/>
      <c r="G9" s="239">
        <f t="shared" si="1"/>
        <v>2006</v>
      </c>
      <c r="H9" s="175" t="s">
        <v>32</v>
      </c>
      <c r="I9" s="176"/>
      <c r="J9" s="254">
        <f t="shared" si="2"/>
        <v>3006</v>
      </c>
      <c r="K9" s="172" t="s">
        <v>40</v>
      </c>
      <c r="L9" s="173"/>
      <c r="M9" s="174">
        <f t="shared" si="3"/>
        <v>4006</v>
      </c>
      <c r="N9" s="175" t="s">
        <v>34</v>
      </c>
      <c r="O9" s="176"/>
      <c r="P9" s="177">
        <f t="shared" si="4"/>
        <v>5006</v>
      </c>
      <c r="Q9" s="172" t="s">
        <v>47</v>
      </c>
      <c r="R9" s="173"/>
      <c r="S9" s="174">
        <f t="shared" si="5"/>
        <v>6006</v>
      </c>
      <c r="T9" s="255" t="s">
        <v>575</v>
      </c>
      <c r="U9" s="256"/>
      <c r="V9" s="257">
        <f t="shared" si="7"/>
        <v>7014</v>
      </c>
      <c r="W9" s="258" t="s">
        <v>581</v>
      </c>
      <c r="X9" s="173"/>
      <c r="Y9" s="174">
        <f t="shared" si="8"/>
        <v>7022</v>
      </c>
      <c r="Z9" s="240" t="s">
        <v>608</v>
      </c>
      <c r="AA9" s="176"/>
      <c r="AB9" s="177">
        <f t="shared" si="9"/>
        <v>8006</v>
      </c>
      <c r="AC9" s="172" t="s">
        <v>34</v>
      </c>
      <c r="AD9" s="173"/>
      <c r="AE9" s="174">
        <f t="shared" si="6"/>
        <v>9006</v>
      </c>
    </row>
    <row r="10" spans="2:36" x14ac:dyDescent="0.25">
      <c r="B10" s="175" t="s">
        <v>34</v>
      </c>
      <c r="C10" s="176"/>
      <c r="D10" s="254">
        <f t="shared" si="0"/>
        <v>1007</v>
      </c>
      <c r="E10" s="172" t="s">
        <v>34</v>
      </c>
      <c r="F10" s="173"/>
      <c r="G10" s="239">
        <f t="shared" si="1"/>
        <v>2007</v>
      </c>
      <c r="H10" s="175" t="s">
        <v>33</v>
      </c>
      <c r="I10" s="176"/>
      <c r="J10" s="254">
        <f t="shared" si="2"/>
        <v>3007</v>
      </c>
      <c r="K10" s="172" t="s">
        <v>34</v>
      </c>
      <c r="L10" s="173"/>
      <c r="M10" s="174">
        <f t="shared" si="3"/>
        <v>4007</v>
      </c>
      <c r="N10" s="175" t="s">
        <v>34</v>
      </c>
      <c r="O10" s="176"/>
      <c r="P10" s="177">
        <f t="shared" si="4"/>
        <v>5007</v>
      </c>
      <c r="Q10" s="172" t="s">
        <v>34</v>
      </c>
      <c r="R10" s="173"/>
      <c r="S10" s="174">
        <f t="shared" si="5"/>
        <v>6007</v>
      </c>
      <c r="T10" s="255" t="s">
        <v>576</v>
      </c>
      <c r="U10" s="256"/>
      <c r="V10" s="257">
        <f t="shared" si="7"/>
        <v>7015</v>
      </c>
      <c r="W10" s="258" t="s">
        <v>582</v>
      </c>
      <c r="X10" s="173"/>
      <c r="Y10" s="174">
        <f t="shared" si="8"/>
        <v>7023</v>
      </c>
      <c r="Z10" s="240" t="s">
        <v>609</v>
      </c>
      <c r="AA10" s="176"/>
      <c r="AB10" s="177">
        <f t="shared" si="9"/>
        <v>8007</v>
      </c>
      <c r="AC10" s="172" t="s">
        <v>34</v>
      </c>
      <c r="AD10" s="173"/>
      <c r="AE10" s="174">
        <f t="shared" si="6"/>
        <v>9007</v>
      </c>
    </row>
    <row r="11" spans="2:36" x14ac:dyDescent="0.25">
      <c r="B11" s="175" t="s">
        <v>34</v>
      </c>
      <c r="C11" s="176"/>
      <c r="D11" s="254">
        <f t="shared" si="0"/>
        <v>1008</v>
      </c>
      <c r="E11" s="172" t="s">
        <v>34</v>
      </c>
      <c r="F11" s="173"/>
      <c r="G11" s="239">
        <f t="shared" si="1"/>
        <v>2008</v>
      </c>
      <c r="H11" s="175" t="s">
        <v>34</v>
      </c>
      <c r="I11" s="176"/>
      <c r="J11" s="254">
        <f t="shared" si="2"/>
        <v>3008</v>
      </c>
      <c r="K11" s="172" t="s">
        <v>34</v>
      </c>
      <c r="L11" s="173"/>
      <c r="M11" s="174">
        <f t="shared" si="3"/>
        <v>4008</v>
      </c>
      <c r="N11" s="175" t="s">
        <v>34</v>
      </c>
      <c r="O11" s="176"/>
      <c r="P11" s="177">
        <f t="shared" si="4"/>
        <v>5008</v>
      </c>
      <c r="Q11" s="172" t="s">
        <v>34</v>
      </c>
      <c r="R11" s="173"/>
      <c r="S11" s="174">
        <f t="shared" si="5"/>
        <v>6008</v>
      </c>
      <c r="T11" s="259" t="s">
        <v>577</v>
      </c>
      <c r="U11" s="260"/>
      <c r="V11" s="261">
        <f t="shared" si="7"/>
        <v>7016</v>
      </c>
      <c r="W11" s="258" t="s">
        <v>583</v>
      </c>
      <c r="X11" s="173"/>
      <c r="Y11" s="174">
        <f t="shared" si="8"/>
        <v>7024</v>
      </c>
      <c r="Z11" s="240" t="s">
        <v>610</v>
      </c>
      <c r="AA11" s="176"/>
      <c r="AB11" s="177">
        <f t="shared" si="9"/>
        <v>8008</v>
      </c>
      <c r="AC11" s="172" t="s">
        <v>34</v>
      </c>
      <c r="AD11" s="173"/>
      <c r="AE11" s="174">
        <f t="shared" si="6"/>
        <v>9008</v>
      </c>
    </row>
    <row r="12" spans="2:36" x14ac:dyDescent="0.25">
      <c r="B12" s="175" t="s">
        <v>34</v>
      </c>
      <c r="C12" s="176"/>
      <c r="D12" s="254">
        <f t="shared" si="0"/>
        <v>1009</v>
      </c>
      <c r="E12" s="172" t="s">
        <v>34</v>
      </c>
      <c r="F12" s="173"/>
      <c r="G12" s="239">
        <f t="shared" si="1"/>
        <v>2009</v>
      </c>
      <c r="H12" s="175" t="s">
        <v>34</v>
      </c>
      <c r="I12" s="176"/>
      <c r="J12" s="254">
        <f t="shared" si="2"/>
        <v>3009</v>
      </c>
      <c r="K12" s="172" t="s">
        <v>34</v>
      </c>
      <c r="L12" s="173"/>
      <c r="M12" s="174">
        <f t="shared" si="3"/>
        <v>4009</v>
      </c>
      <c r="N12" s="175" t="s">
        <v>34</v>
      </c>
      <c r="O12" s="176"/>
      <c r="P12" s="177">
        <f t="shared" si="4"/>
        <v>5009</v>
      </c>
      <c r="Q12" s="172" t="s">
        <v>34</v>
      </c>
      <c r="R12" s="173"/>
      <c r="S12" s="173">
        <f t="shared" si="5"/>
        <v>6009</v>
      </c>
      <c r="T12" s="178" t="s">
        <v>34</v>
      </c>
      <c r="U12" s="262"/>
      <c r="V12" s="257">
        <v>7030</v>
      </c>
      <c r="W12" s="263" t="s">
        <v>34</v>
      </c>
      <c r="X12" s="173"/>
      <c r="Y12" s="174">
        <f t="shared" si="8"/>
        <v>7025</v>
      </c>
      <c r="Z12" s="178" t="s">
        <v>34</v>
      </c>
      <c r="AA12" s="176"/>
      <c r="AB12" s="177">
        <f t="shared" si="9"/>
        <v>8009</v>
      </c>
      <c r="AC12" s="172" t="s">
        <v>34</v>
      </c>
      <c r="AD12" s="173"/>
      <c r="AE12" s="174">
        <f t="shared" si="6"/>
        <v>9009</v>
      </c>
    </row>
    <row r="13" spans="2:36" x14ac:dyDescent="0.25">
      <c r="B13" s="175" t="s">
        <v>34</v>
      </c>
      <c r="C13" s="176"/>
      <c r="D13" s="254">
        <f t="shared" si="0"/>
        <v>1010</v>
      </c>
      <c r="E13" s="172" t="s">
        <v>34</v>
      </c>
      <c r="F13" s="173"/>
      <c r="G13" s="239">
        <f t="shared" si="1"/>
        <v>2010</v>
      </c>
      <c r="H13" s="175" t="s">
        <v>34</v>
      </c>
      <c r="I13" s="176"/>
      <c r="J13" s="254">
        <f t="shared" si="2"/>
        <v>3010</v>
      </c>
      <c r="K13" s="172" t="s">
        <v>34</v>
      </c>
      <c r="L13" s="173"/>
      <c r="M13" s="174">
        <f t="shared" si="3"/>
        <v>4010</v>
      </c>
      <c r="N13" s="175" t="s">
        <v>34</v>
      </c>
      <c r="O13" s="176"/>
      <c r="P13" s="177">
        <f t="shared" si="4"/>
        <v>5010</v>
      </c>
      <c r="Q13" s="172" t="s">
        <v>34</v>
      </c>
      <c r="R13" s="173"/>
      <c r="S13" s="173">
        <f t="shared" si="5"/>
        <v>6010</v>
      </c>
      <c r="T13" s="178" t="s">
        <v>34</v>
      </c>
      <c r="U13" s="262"/>
      <c r="V13" s="257">
        <v>7031</v>
      </c>
      <c r="W13" s="263" t="s">
        <v>34</v>
      </c>
      <c r="X13" s="173"/>
      <c r="Y13" s="174">
        <f t="shared" si="8"/>
        <v>7026</v>
      </c>
      <c r="Z13" s="178" t="s">
        <v>34</v>
      </c>
      <c r="AA13" s="176"/>
      <c r="AB13" s="177">
        <f t="shared" si="9"/>
        <v>8010</v>
      </c>
      <c r="AC13" s="172" t="s">
        <v>34</v>
      </c>
      <c r="AD13" s="173"/>
      <c r="AE13" s="174">
        <f t="shared" si="6"/>
        <v>9010</v>
      </c>
    </row>
    <row r="14" spans="2:36" x14ac:dyDescent="0.25">
      <c r="B14" s="175" t="s">
        <v>34</v>
      </c>
      <c r="C14" s="176"/>
      <c r="D14" s="254">
        <f t="shared" si="0"/>
        <v>1011</v>
      </c>
      <c r="E14" s="172" t="s">
        <v>34</v>
      </c>
      <c r="F14" s="173"/>
      <c r="G14" s="239">
        <f t="shared" si="1"/>
        <v>2011</v>
      </c>
      <c r="H14" s="175" t="s">
        <v>34</v>
      </c>
      <c r="I14" s="176"/>
      <c r="J14" s="254">
        <f t="shared" si="2"/>
        <v>3011</v>
      </c>
      <c r="K14" s="172" t="s">
        <v>34</v>
      </c>
      <c r="L14" s="173"/>
      <c r="M14" s="174">
        <f t="shared" si="3"/>
        <v>4011</v>
      </c>
      <c r="N14" s="175" t="s">
        <v>34</v>
      </c>
      <c r="O14" s="176"/>
      <c r="P14" s="177">
        <f t="shared" si="4"/>
        <v>5011</v>
      </c>
      <c r="Q14" s="172" t="s">
        <v>34</v>
      </c>
      <c r="R14" s="173"/>
      <c r="S14" s="173">
        <f t="shared" si="5"/>
        <v>6011</v>
      </c>
      <c r="T14" s="178" t="s">
        <v>34</v>
      </c>
      <c r="U14" s="262"/>
      <c r="V14" s="257">
        <v>7032</v>
      </c>
      <c r="W14" s="263" t="s">
        <v>34</v>
      </c>
      <c r="X14" s="173"/>
      <c r="Y14" s="174">
        <f t="shared" si="8"/>
        <v>7027</v>
      </c>
      <c r="Z14" s="178" t="s">
        <v>34</v>
      </c>
      <c r="AA14" s="176"/>
      <c r="AB14" s="177">
        <f t="shared" si="9"/>
        <v>8011</v>
      </c>
      <c r="AC14" s="172" t="s">
        <v>34</v>
      </c>
      <c r="AD14" s="173"/>
      <c r="AE14" s="174">
        <f t="shared" si="6"/>
        <v>9011</v>
      </c>
    </row>
    <row r="15" spans="2:36" x14ac:dyDescent="0.25">
      <c r="B15" s="175" t="s">
        <v>34</v>
      </c>
      <c r="C15" s="176"/>
      <c r="D15" s="254">
        <f t="shared" si="0"/>
        <v>1012</v>
      </c>
      <c r="E15" s="172" t="s">
        <v>34</v>
      </c>
      <c r="F15" s="173"/>
      <c r="G15" s="239">
        <f t="shared" si="1"/>
        <v>2012</v>
      </c>
      <c r="H15" s="175" t="s">
        <v>34</v>
      </c>
      <c r="I15" s="176"/>
      <c r="J15" s="254">
        <f t="shared" si="2"/>
        <v>3012</v>
      </c>
      <c r="K15" s="172" t="s">
        <v>34</v>
      </c>
      <c r="L15" s="173"/>
      <c r="M15" s="174">
        <f t="shared" si="3"/>
        <v>4012</v>
      </c>
      <c r="N15" s="175" t="s">
        <v>34</v>
      </c>
      <c r="O15" s="176"/>
      <c r="P15" s="177">
        <f t="shared" si="4"/>
        <v>5012</v>
      </c>
      <c r="Q15" s="172" t="s">
        <v>34</v>
      </c>
      <c r="R15" s="173"/>
      <c r="S15" s="173">
        <f t="shared" si="5"/>
        <v>6012</v>
      </c>
      <c r="T15" s="178" t="s">
        <v>34</v>
      </c>
      <c r="U15" s="262"/>
      <c r="V15" s="257">
        <v>7033</v>
      </c>
      <c r="W15" s="263" t="s">
        <v>34</v>
      </c>
      <c r="X15" s="173"/>
      <c r="Y15" s="174">
        <f t="shared" si="8"/>
        <v>7028</v>
      </c>
      <c r="Z15" s="178" t="s">
        <v>34</v>
      </c>
      <c r="AA15" s="176"/>
      <c r="AB15" s="177">
        <f t="shared" si="9"/>
        <v>8012</v>
      </c>
      <c r="AC15" s="172" t="s">
        <v>34</v>
      </c>
      <c r="AD15" s="173"/>
      <c r="AE15" s="174">
        <f t="shared" si="6"/>
        <v>9012</v>
      </c>
    </row>
    <row r="16" spans="2:36" x14ac:dyDescent="0.25">
      <c r="B16" s="175" t="s">
        <v>34</v>
      </c>
      <c r="C16" s="176"/>
      <c r="D16" s="254">
        <f t="shared" si="0"/>
        <v>1013</v>
      </c>
      <c r="E16" s="172" t="s">
        <v>34</v>
      </c>
      <c r="F16" s="173"/>
      <c r="G16" s="239">
        <f t="shared" si="1"/>
        <v>2013</v>
      </c>
      <c r="H16" s="175" t="s">
        <v>34</v>
      </c>
      <c r="I16" s="176"/>
      <c r="J16" s="254">
        <f t="shared" si="2"/>
        <v>3013</v>
      </c>
      <c r="K16" s="172" t="s">
        <v>34</v>
      </c>
      <c r="L16" s="173"/>
      <c r="M16" s="174">
        <f t="shared" si="3"/>
        <v>4013</v>
      </c>
      <c r="N16" s="175" t="s">
        <v>34</v>
      </c>
      <c r="O16" s="176"/>
      <c r="P16" s="177">
        <f t="shared" si="4"/>
        <v>5013</v>
      </c>
      <c r="Q16" s="172" t="s">
        <v>34</v>
      </c>
      <c r="R16" s="173"/>
      <c r="S16" s="173">
        <f t="shared" si="5"/>
        <v>6013</v>
      </c>
      <c r="T16" s="264" t="s">
        <v>34</v>
      </c>
      <c r="U16" s="265"/>
      <c r="V16" s="266">
        <v>7034</v>
      </c>
      <c r="W16" s="263" t="s">
        <v>34</v>
      </c>
      <c r="X16" s="173"/>
      <c r="Y16" s="174">
        <f t="shared" si="8"/>
        <v>7029</v>
      </c>
      <c r="Z16" s="178" t="s">
        <v>34</v>
      </c>
      <c r="AA16" s="176"/>
      <c r="AB16" s="177">
        <f t="shared" si="9"/>
        <v>8013</v>
      </c>
      <c r="AC16" s="172" t="s">
        <v>34</v>
      </c>
      <c r="AD16" s="173"/>
      <c r="AE16" s="174">
        <f t="shared" si="6"/>
        <v>9013</v>
      </c>
    </row>
    <row r="18" spans="2:33" x14ac:dyDescent="0.25">
      <c r="B18" s="325" t="s">
        <v>192</v>
      </c>
      <c r="C18" s="326"/>
      <c r="D18" s="326"/>
      <c r="E18" s="326"/>
      <c r="F18" s="326"/>
      <c r="G18" s="326"/>
      <c r="H18" s="326"/>
      <c r="I18" s="326"/>
      <c r="J18" s="326"/>
      <c r="K18" s="326"/>
      <c r="L18" s="327"/>
      <c r="N18" s="347" t="s">
        <v>486</v>
      </c>
      <c r="O18" s="348"/>
      <c r="P18" s="348"/>
      <c r="Q18" s="349"/>
      <c r="S18" s="338" t="s">
        <v>15</v>
      </c>
      <c r="T18" s="339"/>
      <c r="U18" s="339"/>
      <c r="V18" s="339"/>
      <c r="W18" s="339"/>
      <c r="X18" s="340"/>
      <c r="Z18" s="351" t="s">
        <v>201</v>
      </c>
      <c r="AA18" s="351"/>
      <c r="AB18" s="351"/>
      <c r="AD18" s="347" t="s">
        <v>487</v>
      </c>
      <c r="AE18" s="348"/>
      <c r="AF18" s="348"/>
      <c r="AG18" s="349"/>
    </row>
    <row r="19" spans="2:33" x14ac:dyDescent="0.25">
      <c r="B19" s="29" t="s">
        <v>213</v>
      </c>
      <c r="C19" s="29" t="s">
        <v>195</v>
      </c>
      <c r="D19" s="29">
        <v>5000</v>
      </c>
      <c r="E19" s="29" t="s">
        <v>196</v>
      </c>
      <c r="F19" s="29" t="s">
        <v>196</v>
      </c>
      <c r="G19" s="29" t="s">
        <v>196</v>
      </c>
      <c r="H19" s="29" t="s">
        <v>196</v>
      </c>
      <c r="I19" s="29" t="s">
        <v>196</v>
      </c>
      <c r="J19" s="29" t="s">
        <v>196</v>
      </c>
      <c r="K19" s="29" t="s">
        <v>196</v>
      </c>
      <c r="L19" s="29" t="s">
        <v>196</v>
      </c>
      <c r="N19" s="47" t="s">
        <v>206</v>
      </c>
      <c r="O19" s="47" t="s">
        <v>193</v>
      </c>
      <c r="P19" s="47" t="s">
        <v>194</v>
      </c>
      <c r="Q19" s="48" t="s">
        <v>220</v>
      </c>
      <c r="R19" s="28"/>
      <c r="S19" s="58" t="s">
        <v>14</v>
      </c>
      <c r="T19" s="59"/>
      <c r="U19" s="60" t="s">
        <v>18</v>
      </c>
      <c r="V19" s="60" t="s">
        <v>16</v>
      </c>
      <c r="W19" s="57" t="s">
        <v>300</v>
      </c>
      <c r="X19" s="33" t="s">
        <v>301</v>
      </c>
      <c r="Z19" s="33" t="s">
        <v>305</v>
      </c>
      <c r="AA19" s="33" t="s">
        <v>193</v>
      </c>
      <c r="AB19" s="33" t="s">
        <v>194</v>
      </c>
      <c r="AD19" s="47" t="s">
        <v>206</v>
      </c>
      <c r="AE19" s="47" t="s">
        <v>193</v>
      </c>
      <c r="AF19" s="47" t="s">
        <v>194</v>
      </c>
      <c r="AG19" s="48" t="s">
        <v>220</v>
      </c>
    </row>
    <row r="20" spans="2:33" x14ac:dyDescent="0.25">
      <c r="B20" s="31"/>
      <c r="C20" s="31"/>
      <c r="D20" s="31"/>
      <c r="E20" s="31"/>
      <c r="F20" s="31"/>
      <c r="G20" s="31"/>
      <c r="H20" s="31"/>
      <c r="I20" s="31"/>
      <c r="J20" s="31"/>
      <c r="K20" s="31"/>
      <c r="L20" s="31"/>
      <c r="N20" s="34" t="s">
        <v>208</v>
      </c>
      <c r="O20" s="35">
        <v>3.5</v>
      </c>
      <c r="P20" s="34" t="s">
        <v>207</v>
      </c>
      <c r="Q20" s="34" t="b">
        <v>1</v>
      </c>
      <c r="S20" s="241" t="s">
        <v>34</v>
      </c>
      <c r="T20" s="242"/>
      <c r="U20" s="243" t="s">
        <v>214</v>
      </c>
      <c r="V20" s="244">
        <v>1000</v>
      </c>
      <c r="W20" s="245">
        <v>84</v>
      </c>
      <c r="X20" s="246" t="s">
        <v>303</v>
      </c>
      <c r="Z20" s="21" t="s">
        <v>202</v>
      </c>
      <c r="AA20" s="22">
        <v>0.03</v>
      </c>
      <c r="AB20" s="21" t="s">
        <v>11</v>
      </c>
      <c r="AD20" s="34" t="s">
        <v>208</v>
      </c>
      <c r="AE20" s="35">
        <f>O20</f>
        <v>3.5</v>
      </c>
      <c r="AF20" s="34" t="s">
        <v>207</v>
      </c>
      <c r="AG20" s="34" t="b">
        <v>1</v>
      </c>
    </row>
    <row r="21" spans="2:33" x14ac:dyDescent="0.25">
      <c r="B21" s="32">
        <v>0.1</v>
      </c>
      <c r="C21" s="32">
        <v>70</v>
      </c>
      <c r="D21" s="32">
        <f>C21/2</f>
        <v>35</v>
      </c>
      <c r="E21" s="32"/>
      <c r="F21" s="32"/>
      <c r="G21" s="32"/>
      <c r="H21" s="32"/>
      <c r="I21" s="32"/>
      <c r="J21" s="32"/>
      <c r="K21" s="32"/>
      <c r="L21" s="32"/>
      <c r="N21" s="34" t="s">
        <v>209</v>
      </c>
      <c r="O21" s="35">
        <v>40</v>
      </c>
      <c r="P21" s="34" t="s">
        <v>11</v>
      </c>
      <c r="Q21" s="34" t="b">
        <v>1</v>
      </c>
      <c r="S21" s="241" t="s">
        <v>34</v>
      </c>
      <c r="T21" s="242"/>
      <c r="U21" s="246" t="s">
        <v>215</v>
      </c>
      <c r="V21" s="244">
        <v>2000</v>
      </c>
      <c r="W21" s="245">
        <v>84</v>
      </c>
      <c r="X21" s="246" t="s">
        <v>303</v>
      </c>
      <c r="Z21" s="21" t="s">
        <v>203</v>
      </c>
      <c r="AA21" s="22">
        <v>2.0000000000000002E-5</v>
      </c>
      <c r="AB21" s="21" t="s">
        <v>11</v>
      </c>
      <c r="AD21" s="34" t="s">
        <v>209</v>
      </c>
      <c r="AE21" s="35">
        <v>30</v>
      </c>
      <c r="AF21" s="34" t="s">
        <v>11</v>
      </c>
      <c r="AG21" s="34" t="b">
        <v>1</v>
      </c>
    </row>
    <row r="22" spans="2:33" x14ac:dyDescent="0.25">
      <c r="B22" s="32">
        <v>0.1</v>
      </c>
      <c r="C22" s="32">
        <v>140</v>
      </c>
      <c r="D22" s="32">
        <f t="shared" ref="D22:D32" si="10">C22/2</f>
        <v>70</v>
      </c>
      <c r="E22" s="32"/>
      <c r="F22" s="32"/>
      <c r="G22" s="32"/>
      <c r="H22" s="32"/>
      <c r="I22" s="32"/>
      <c r="J22" s="32"/>
      <c r="K22" s="32"/>
      <c r="L22" s="32"/>
      <c r="N22" s="34"/>
      <c r="O22" s="35"/>
      <c r="P22" s="34"/>
      <c r="Q22" s="34"/>
      <c r="S22" s="247" t="s">
        <v>17</v>
      </c>
      <c r="T22" s="242"/>
      <c r="U22" s="242" t="s">
        <v>19</v>
      </c>
      <c r="V22" s="244">
        <v>3000</v>
      </c>
      <c r="W22" s="245">
        <v>84</v>
      </c>
      <c r="X22" s="246" t="s">
        <v>303</v>
      </c>
      <c r="Z22" s="21" t="s">
        <v>204</v>
      </c>
      <c r="AA22" s="22">
        <v>2.0010000000000002E-3</v>
      </c>
      <c r="AB22" s="21" t="s">
        <v>11</v>
      </c>
      <c r="AD22" s="34" t="s">
        <v>292</v>
      </c>
      <c r="AE22" s="35">
        <v>22000</v>
      </c>
      <c r="AF22" s="34" t="s">
        <v>11</v>
      </c>
      <c r="AG22" s="34" t="b">
        <v>1</v>
      </c>
    </row>
    <row r="23" spans="2:33" x14ac:dyDescent="0.25">
      <c r="B23" s="32">
        <v>0.1</v>
      </c>
      <c r="C23" s="32">
        <v>0</v>
      </c>
      <c r="D23" s="32">
        <f t="shared" si="10"/>
        <v>0</v>
      </c>
      <c r="E23" s="32"/>
      <c r="F23" s="32"/>
      <c r="G23" s="32"/>
      <c r="H23" s="32"/>
      <c r="I23" s="32"/>
      <c r="J23" s="32"/>
      <c r="K23" s="32"/>
      <c r="L23" s="32"/>
      <c r="N23" s="34"/>
      <c r="O23" s="35"/>
      <c r="P23" s="34"/>
      <c r="Q23" s="34"/>
      <c r="S23" s="247" t="s">
        <v>20</v>
      </c>
      <c r="T23" s="242"/>
      <c r="U23" s="244" t="s">
        <v>21</v>
      </c>
      <c r="V23" s="244">
        <v>4000</v>
      </c>
      <c r="W23" s="245">
        <v>84</v>
      </c>
      <c r="X23" s="246" t="s">
        <v>303</v>
      </c>
      <c r="Z23" s="21" t="s">
        <v>221</v>
      </c>
      <c r="AA23" s="22">
        <v>1</v>
      </c>
      <c r="AB23" s="21" t="s">
        <v>205</v>
      </c>
      <c r="AD23" s="34" t="s">
        <v>293</v>
      </c>
      <c r="AE23" s="35">
        <v>42000</v>
      </c>
      <c r="AF23" s="34" t="s">
        <v>11</v>
      </c>
      <c r="AG23" s="34" t="b">
        <v>1</v>
      </c>
    </row>
    <row r="24" spans="2:33" x14ac:dyDescent="0.25">
      <c r="B24" s="32">
        <v>0.1</v>
      </c>
      <c r="C24" s="32">
        <v>70</v>
      </c>
      <c r="D24" s="32">
        <f t="shared" si="10"/>
        <v>35</v>
      </c>
      <c r="E24" s="32"/>
      <c r="F24" s="32"/>
      <c r="G24" s="32"/>
      <c r="H24" s="32"/>
      <c r="I24" s="32"/>
      <c r="J24" s="32"/>
      <c r="K24" s="32"/>
      <c r="L24" s="32"/>
      <c r="N24" s="34"/>
      <c r="O24" s="35"/>
      <c r="P24" s="34"/>
      <c r="Q24" s="34"/>
      <c r="S24" s="247" t="s">
        <v>22</v>
      </c>
      <c r="T24" s="242"/>
      <c r="U24" s="244" t="s">
        <v>23</v>
      </c>
      <c r="V24" s="244">
        <v>5000</v>
      </c>
      <c r="W24" s="245">
        <v>84</v>
      </c>
      <c r="X24" s="246" t="s">
        <v>304</v>
      </c>
      <c r="Z24" s="21" t="s">
        <v>688</v>
      </c>
      <c r="AA24" s="22">
        <v>2</v>
      </c>
      <c r="AB24" s="21" t="s">
        <v>689</v>
      </c>
      <c r="AD24" s="34" t="s">
        <v>294</v>
      </c>
      <c r="AE24" s="35">
        <v>45000</v>
      </c>
      <c r="AF24" s="34" t="s">
        <v>11</v>
      </c>
      <c r="AG24" s="34" t="b">
        <v>1</v>
      </c>
    </row>
    <row r="25" spans="2:33" x14ac:dyDescent="0.25">
      <c r="B25" s="32">
        <v>0.1</v>
      </c>
      <c r="C25" s="32">
        <v>140</v>
      </c>
      <c r="D25" s="32">
        <f t="shared" si="10"/>
        <v>70</v>
      </c>
      <c r="E25" s="32"/>
      <c r="F25" s="32"/>
      <c r="G25" s="32"/>
      <c r="H25" s="32"/>
      <c r="I25" s="32"/>
      <c r="J25" s="32"/>
      <c r="K25" s="32"/>
      <c r="L25" s="32"/>
      <c r="N25" s="34"/>
      <c r="O25" s="35"/>
      <c r="P25" s="34"/>
      <c r="Q25" s="34"/>
      <c r="S25" s="247" t="s">
        <v>24</v>
      </c>
      <c r="T25" s="242"/>
      <c r="U25" s="244" t="s">
        <v>25</v>
      </c>
      <c r="V25" s="244">
        <v>6000</v>
      </c>
      <c r="W25" s="245">
        <v>84</v>
      </c>
      <c r="X25" s="246" t="s">
        <v>303</v>
      </c>
      <c r="AD25" s="34" t="s">
        <v>295</v>
      </c>
      <c r="AE25" s="35">
        <v>65000</v>
      </c>
      <c r="AF25" s="34" t="s">
        <v>11</v>
      </c>
      <c r="AG25" s="34" t="b">
        <v>1</v>
      </c>
    </row>
    <row r="26" spans="2:33" x14ac:dyDescent="0.25">
      <c r="B26" s="32">
        <v>10</v>
      </c>
      <c r="C26" s="32">
        <v>0</v>
      </c>
      <c r="D26" s="32">
        <f t="shared" si="10"/>
        <v>0</v>
      </c>
      <c r="E26" s="32"/>
      <c r="F26" s="32"/>
      <c r="G26" s="32"/>
      <c r="H26" s="32"/>
      <c r="I26" s="32"/>
      <c r="J26" s="32"/>
      <c r="K26" s="32"/>
      <c r="L26" s="32"/>
      <c r="N26" s="34" t="s">
        <v>440</v>
      </c>
      <c r="O26" s="35">
        <v>24000</v>
      </c>
      <c r="P26" s="34" t="s">
        <v>11</v>
      </c>
      <c r="Q26" s="34" t="b">
        <v>1</v>
      </c>
      <c r="S26" s="241" t="s">
        <v>655</v>
      </c>
      <c r="T26" s="242"/>
      <c r="U26" s="246" t="s">
        <v>656</v>
      </c>
      <c r="V26" s="244">
        <v>7000</v>
      </c>
      <c r="W26" s="245">
        <v>84</v>
      </c>
      <c r="X26" s="246" t="s">
        <v>303</v>
      </c>
      <c r="Z26" s="350" t="s">
        <v>253</v>
      </c>
      <c r="AA26" s="350"/>
      <c r="AB26" s="350"/>
      <c r="AD26" s="34" t="s">
        <v>440</v>
      </c>
      <c r="AE26" s="35">
        <v>52000</v>
      </c>
      <c r="AF26" s="34" t="s">
        <v>11</v>
      </c>
      <c r="AG26" s="34" t="b">
        <v>1</v>
      </c>
    </row>
    <row r="27" spans="2:33" x14ac:dyDescent="0.25">
      <c r="B27" s="32">
        <v>5</v>
      </c>
      <c r="C27" s="32">
        <v>10</v>
      </c>
      <c r="D27" s="32">
        <f t="shared" si="10"/>
        <v>5</v>
      </c>
      <c r="E27" s="32"/>
      <c r="F27" s="32"/>
      <c r="G27" s="32"/>
      <c r="H27" s="32"/>
      <c r="I27" s="32"/>
      <c r="J27" s="32"/>
      <c r="K27" s="32"/>
      <c r="L27" s="32"/>
      <c r="N27" s="34" t="s">
        <v>441</v>
      </c>
      <c r="O27" s="35">
        <v>18000</v>
      </c>
      <c r="P27" s="34" t="s">
        <v>11</v>
      </c>
      <c r="Q27" s="34" t="b">
        <v>1</v>
      </c>
      <c r="S27" s="241" t="s">
        <v>657</v>
      </c>
      <c r="T27" s="242"/>
      <c r="U27" s="246" t="s">
        <v>658</v>
      </c>
      <c r="V27" s="244">
        <v>7000</v>
      </c>
      <c r="W27" s="245">
        <v>84</v>
      </c>
      <c r="X27" s="246" t="s">
        <v>303</v>
      </c>
      <c r="Z27" s="27" t="s">
        <v>305</v>
      </c>
      <c r="AA27" s="27" t="s">
        <v>193</v>
      </c>
      <c r="AB27" s="27" t="s">
        <v>194</v>
      </c>
      <c r="AD27" s="34" t="s">
        <v>441</v>
      </c>
      <c r="AE27" s="35">
        <v>33000</v>
      </c>
      <c r="AF27" s="34" t="s">
        <v>11</v>
      </c>
      <c r="AG27" s="34" t="b">
        <v>1</v>
      </c>
    </row>
    <row r="28" spans="2:33" x14ac:dyDescent="0.25">
      <c r="B28" s="32">
        <v>5</v>
      </c>
      <c r="C28" s="32">
        <v>20</v>
      </c>
      <c r="D28" s="32">
        <f t="shared" si="10"/>
        <v>10</v>
      </c>
      <c r="E28" s="32"/>
      <c r="F28" s="32"/>
      <c r="G28" s="32"/>
      <c r="H28" s="32"/>
      <c r="I28" s="32"/>
      <c r="J28" s="32"/>
      <c r="K28" s="32"/>
      <c r="L28" s="32"/>
      <c r="N28" s="34" t="s">
        <v>488</v>
      </c>
      <c r="O28" s="35">
        <v>65000</v>
      </c>
      <c r="P28" s="34" t="s">
        <v>11</v>
      </c>
      <c r="Q28" s="34" t="b">
        <v>1</v>
      </c>
      <c r="S28" s="241" t="s">
        <v>611</v>
      </c>
      <c r="T28" s="242"/>
      <c r="U28" s="246" t="s">
        <v>612</v>
      </c>
      <c r="V28" s="244">
        <v>8000</v>
      </c>
      <c r="W28" s="245">
        <v>84</v>
      </c>
      <c r="X28" s="246" t="s">
        <v>303</v>
      </c>
      <c r="Z28" s="30" t="s">
        <v>461</v>
      </c>
      <c r="AA28" s="30" t="s">
        <v>198</v>
      </c>
      <c r="AB28" s="30" t="s">
        <v>11</v>
      </c>
      <c r="AD28" s="34" t="s">
        <v>488</v>
      </c>
      <c r="AE28" s="35">
        <v>60000</v>
      </c>
      <c r="AF28" s="34" t="s">
        <v>11</v>
      </c>
      <c r="AG28" s="34" t="b">
        <v>1</v>
      </c>
    </row>
    <row r="29" spans="2:33" x14ac:dyDescent="0.25">
      <c r="B29" s="32">
        <v>5</v>
      </c>
      <c r="C29" s="32">
        <v>40</v>
      </c>
      <c r="D29" s="32">
        <f t="shared" si="10"/>
        <v>20</v>
      </c>
      <c r="E29" s="32"/>
      <c r="F29" s="32"/>
      <c r="G29" s="32"/>
      <c r="H29" s="32"/>
      <c r="I29" s="32"/>
      <c r="J29" s="32"/>
      <c r="K29" s="32"/>
      <c r="L29" s="32"/>
      <c r="N29" s="34" t="s">
        <v>489</v>
      </c>
      <c r="O29" s="35">
        <v>40000</v>
      </c>
      <c r="P29" s="34" t="s">
        <v>11</v>
      </c>
      <c r="Q29" s="34" t="b">
        <v>1</v>
      </c>
      <c r="S29" s="241" t="s">
        <v>34</v>
      </c>
      <c r="T29" s="242"/>
      <c r="U29" s="243" t="s">
        <v>216</v>
      </c>
      <c r="V29" s="244">
        <v>9000</v>
      </c>
      <c r="W29" s="245">
        <v>84</v>
      </c>
      <c r="X29" s="246" t="s">
        <v>303</v>
      </c>
      <c r="Z29" s="30" t="s">
        <v>254</v>
      </c>
      <c r="AA29" s="30">
        <v>100</v>
      </c>
      <c r="AB29" s="30" t="s">
        <v>11</v>
      </c>
      <c r="AD29" s="34" t="s">
        <v>489</v>
      </c>
      <c r="AE29" s="35">
        <v>5000</v>
      </c>
      <c r="AF29" s="34" t="s">
        <v>11</v>
      </c>
      <c r="AG29" s="34" t="b">
        <v>1</v>
      </c>
    </row>
    <row r="30" spans="2:33" x14ac:dyDescent="0.25">
      <c r="B30" s="32">
        <v>5</v>
      </c>
      <c r="C30" s="32">
        <v>60</v>
      </c>
      <c r="D30" s="32">
        <f t="shared" si="10"/>
        <v>30</v>
      </c>
      <c r="E30" s="32"/>
      <c r="F30" s="32"/>
      <c r="G30" s="32"/>
      <c r="H30" s="32"/>
      <c r="I30" s="32"/>
      <c r="J30" s="32"/>
      <c r="K30" s="32"/>
      <c r="L30" s="32"/>
      <c r="N30" s="34" t="s">
        <v>210</v>
      </c>
      <c r="O30" s="35">
        <v>30</v>
      </c>
      <c r="P30" s="34" t="s">
        <v>211</v>
      </c>
      <c r="Q30" s="34" t="b">
        <v>1</v>
      </c>
      <c r="S30" s="241" t="s">
        <v>34</v>
      </c>
      <c r="T30" s="242"/>
      <c r="U30" s="243" t="s">
        <v>217</v>
      </c>
      <c r="V30" s="244">
        <v>10000</v>
      </c>
      <c r="W30" s="245">
        <v>84</v>
      </c>
      <c r="X30" s="246" t="s">
        <v>303</v>
      </c>
      <c r="Z30" s="30" t="s">
        <v>255</v>
      </c>
      <c r="AA30" s="30">
        <v>100</v>
      </c>
      <c r="AB30" s="30" t="s">
        <v>11</v>
      </c>
      <c r="AD30" s="34" t="s">
        <v>210</v>
      </c>
      <c r="AE30" s="35">
        <v>30</v>
      </c>
      <c r="AF30" s="34" t="s">
        <v>211</v>
      </c>
      <c r="AG30" s="34" t="b">
        <v>0</v>
      </c>
    </row>
    <row r="31" spans="2:33" x14ac:dyDescent="0.25">
      <c r="B31" s="32">
        <v>10</v>
      </c>
      <c r="C31" s="32">
        <v>80</v>
      </c>
      <c r="D31" s="32">
        <f t="shared" si="10"/>
        <v>40</v>
      </c>
      <c r="E31" s="32"/>
      <c r="F31" s="32"/>
      <c r="G31" s="32"/>
      <c r="H31" s="32"/>
      <c r="I31" s="32"/>
      <c r="J31" s="32"/>
      <c r="K31" s="32"/>
      <c r="L31" s="32"/>
      <c r="N31" s="34" t="s">
        <v>212</v>
      </c>
      <c r="O31" s="35">
        <v>-1</v>
      </c>
      <c r="P31" s="34" t="s">
        <v>11</v>
      </c>
      <c r="Q31" s="34" t="b">
        <v>1</v>
      </c>
      <c r="S31" s="241" t="s">
        <v>34</v>
      </c>
      <c r="T31" s="242"/>
      <c r="U31" s="243" t="s">
        <v>218</v>
      </c>
      <c r="V31" s="244">
        <v>11000</v>
      </c>
      <c r="W31" s="245">
        <v>84</v>
      </c>
      <c r="X31" s="246" t="s">
        <v>303</v>
      </c>
      <c r="Z31" s="30" t="s">
        <v>324</v>
      </c>
      <c r="AA31" s="30">
        <v>0</v>
      </c>
      <c r="AB31" s="30" t="s">
        <v>11</v>
      </c>
      <c r="AD31" s="34" t="s">
        <v>212</v>
      </c>
      <c r="AE31" s="35">
        <v>-1</v>
      </c>
      <c r="AF31" s="34" t="s">
        <v>11</v>
      </c>
      <c r="AG31" s="34" t="b">
        <v>0</v>
      </c>
    </row>
    <row r="32" spans="2:33" x14ac:dyDescent="0.25">
      <c r="B32" s="32">
        <v>0</v>
      </c>
      <c r="C32" s="32">
        <v>-1</v>
      </c>
      <c r="D32" s="32">
        <f t="shared" si="10"/>
        <v>-0.5</v>
      </c>
      <c r="E32" s="32"/>
      <c r="F32" s="32"/>
      <c r="G32" s="32"/>
      <c r="H32" s="32"/>
      <c r="I32" s="32"/>
      <c r="J32" s="32"/>
      <c r="K32" s="32"/>
      <c r="L32" s="32"/>
      <c r="N32" s="34"/>
      <c r="O32" s="35"/>
      <c r="P32" s="34"/>
      <c r="Q32" s="34" t="b">
        <v>0</v>
      </c>
      <c r="S32" s="241" t="s">
        <v>34</v>
      </c>
      <c r="T32" s="242"/>
      <c r="U32" s="243" t="s">
        <v>219</v>
      </c>
      <c r="V32" s="244">
        <v>12000</v>
      </c>
      <c r="W32" s="245">
        <v>84</v>
      </c>
      <c r="X32" s="246" t="s">
        <v>303</v>
      </c>
      <c r="Z32" s="30" t="s">
        <v>462</v>
      </c>
      <c r="AA32" s="30" t="s">
        <v>432</v>
      </c>
      <c r="AB32" s="30" t="s">
        <v>11</v>
      </c>
      <c r="AD32" s="34" t="s">
        <v>533</v>
      </c>
      <c r="AE32" s="35">
        <v>70</v>
      </c>
      <c r="AF32" s="34" t="s">
        <v>11</v>
      </c>
      <c r="AG32" s="34" t="b">
        <v>1</v>
      </c>
    </row>
    <row r="33" spans="2:33" x14ac:dyDescent="0.25">
      <c r="B33" s="32"/>
      <c r="C33" s="32"/>
      <c r="D33" s="32"/>
      <c r="E33" s="32"/>
      <c r="F33" s="32"/>
      <c r="G33" s="32"/>
      <c r="H33" s="32"/>
      <c r="I33" s="32"/>
      <c r="J33" s="32"/>
      <c r="K33" s="32"/>
      <c r="L33" s="32"/>
      <c r="N33" s="79"/>
      <c r="O33" s="35"/>
      <c r="P33" s="79"/>
      <c r="Q33" s="79" t="b">
        <v>0</v>
      </c>
      <c r="S33" s="241"/>
      <c r="T33" s="242"/>
      <c r="U33" s="243"/>
      <c r="V33" s="244"/>
      <c r="W33" s="245"/>
      <c r="X33" s="246"/>
      <c r="Z33" s="120"/>
      <c r="AA33" s="120"/>
      <c r="AD33" s="79"/>
      <c r="AE33" s="35"/>
      <c r="AF33" s="79"/>
      <c r="AG33" s="79"/>
    </row>
    <row r="34" spans="2:33" x14ac:dyDescent="0.25">
      <c r="B34" s="32"/>
      <c r="C34" s="32"/>
      <c r="D34" s="32"/>
      <c r="E34" s="32"/>
      <c r="F34" s="32"/>
      <c r="G34" s="32"/>
      <c r="H34" s="32"/>
      <c r="I34" s="32"/>
      <c r="J34" s="32"/>
      <c r="K34" s="32"/>
      <c r="L34" s="32"/>
    </row>
    <row r="35" spans="2:33" x14ac:dyDescent="0.25">
      <c r="B35" s="32"/>
      <c r="C35" s="32"/>
      <c r="D35" s="32"/>
      <c r="E35" s="32"/>
      <c r="F35" s="32"/>
      <c r="G35" s="32"/>
      <c r="H35" s="32"/>
      <c r="I35" s="32"/>
      <c r="J35" s="32"/>
      <c r="K35" s="32"/>
      <c r="L35" s="32"/>
      <c r="N35" s="344" t="s">
        <v>256</v>
      </c>
      <c r="O35" s="345"/>
      <c r="P35" s="345"/>
      <c r="Q35" s="345"/>
      <c r="R35" s="345"/>
      <c r="S35" s="345"/>
      <c r="T35" s="345"/>
      <c r="U35" s="345"/>
      <c r="V35" s="345"/>
      <c r="W35" s="345"/>
      <c r="X35" s="345"/>
      <c r="Y35" s="345"/>
      <c r="Z35" s="345"/>
      <c r="AA35" s="346"/>
      <c r="AC35" s="341" t="s">
        <v>306</v>
      </c>
      <c r="AD35" s="342"/>
      <c r="AE35" s="343"/>
    </row>
    <row r="36" spans="2:33" x14ac:dyDescent="0.25">
      <c r="B36" s="32"/>
      <c r="C36" s="32"/>
      <c r="D36" s="32"/>
      <c r="E36" s="32"/>
      <c r="F36" s="32"/>
      <c r="G36" s="32"/>
      <c r="H36" s="32"/>
      <c r="I36" s="32"/>
      <c r="J36" s="32"/>
      <c r="K36" s="32"/>
      <c r="L36" s="32"/>
      <c r="N36" s="26" t="s">
        <v>48</v>
      </c>
      <c r="O36" s="26" t="s">
        <v>277</v>
      </c>
      <c r="P36" s="42" t="s">
        <v>278</v>
      </c>
      <c r="Q36" s="25"/>
      <c r="R36" s="25"/>
      <c r="S36" s="43"/>
      <c r="T36" s="50" t="s">
        <v>233</v>
      </c>
      <c r="U36" s="50"/>
      <c r="V36" s="50"/>
      <c r="W36" s="50"/>
      <c r="X36" s="50"/>
      <c r="Y36" s="50"/>
      <c r="Z36" s="50"/>
      <c r="AA36" s="51"/>
      <c r="AC36" s="64" t="s">
        <v>307</v>
      </c>
      <c r="AD36" s="64" t="s">
        <v>304</v>
      </c>
      <c r="AE36" s="64" t="s">
        <v>303</v>
      </c>
    </row>
    <row r="37" spans="2:33" x14ac:dyDescent="0.25">
      <c r="B37" s="32"/>
      <c r="C37" s="32"/>
      <c r="D37" s="32"/>
      <c r="E37" s="32"/>
      <c r="F37" s="32"/>
      <c r="G37" s="32"/>
      <c r="H37" s="32"/>
      <c r="I37" s="32"/>
      <c r="J37" s="32"/>
      <c r="K37" s="32"/>
      <c r="L37" s="32"/>
      <c r="N37" s="49">
        <v>0</v>
      </c>
      <c r="O37" s="55" t="s">
        <v>453</v>
      </c>
      <c r="P37" s="53" t="s">
        <v>413</v>
      </c>
      <c r="Q37" s="23"/>
      <c r="R37" s="23"/>
      <c r="S37" s="52"/>
      <c r="T37" s="54" t="s">
        <v>491</v>
      </c>
      <c r="U37" s="23"/>
      <c r="V37" s="23"/>
      <c r="W37" s="23"/>
      <c r="X37" s="23"/>
      <c r="Y37" s="23"/>
      <c r="Z37" s="23"/>
      <c r="AA37" s="52"/>
      <c r="AC37" s="32">
        <v>0</v>
      </c>
      <c r="AD37" s="32">
        <v>2</v>
      </c>
      <c r="AE37" s="32">
        <v>2</v>
      </c>
    </row>
    <row r="38" spans="2:33" x14ac:dyDescent="0.25">
      <c r="B38" s="32"/>
      <c r="C38" s="32"/>
      <c r="D38" s="32"/>
      <c r="E38" s="32"/>
      <c r="F38" s="32"/>
      <c r="G38" s="32"/>
      <c r="H38" s="32"/>
      <c r="I38" s="32"/>
      <c r="J38" s="32"/>
      <c r="K38" s="32"/>
      <c r="L38" s="32"/>
      <c r="N38" s="49">
        <v>1</v>
      </c>
      <c r="O38" s="55" t="s">
        <v>279</v>
      </c>
      <c r="P38" s="53" t="s">
        <v>257</v>
      </c>
      <c r="Q38" s="23"/>
      <c r="R38" s="23"/>
      <c r="S38" s="52"/>
      <c r="T38" s="54" t="s">
        <v>265</v>
      </c>
      <c r="U38" s="23"/>
      <c r="V38" s="23"/>
      <c r="W38" s="23"/>
      <c r="X38" s="23"/>
      <c r="Y38" s="23"/>
      <c r="Z38" s="23"/>
      <c r="AA38" s="52"/>
      <c r="AC38" s="32">
        <v>1</v>
      </c>
      <c r="AD38" s="32">
        <v>2</v>
      </c>
      <c r="AE38" s="32">
        <v>2</v>
      </c>
    </row>
    <row r="39" spans="2:33" x14ac:dyDescent="0.25">
      <c r="B39" s="32"/>
      <c r="C39" s="32"/>
      <c r="D39" s="32"/>
      <c r="E39" s="32"/>
      <c r="F39" s="32"/>
      <c r="G39" s="32"/>
      <c r="H39" s="32"/>
      <c r="I39" s="32"/>
      <c r="J39" s="32"/>
      <c r="K39" s="32"/>
      <c r="L39" s="32"/>
      <c r="N39" s="24">
        <v>2</v>
      </c>
      <c r="O39" s="55" t="s">
        <v>279</v>
      </c>
      <c r="P39" s="53" t="s">
        <v>257</v>
      </c>
      <c r="Q39" s="23"/>
      <c r="R39" s="23"/>
      <c r="S39" s="52"/>
      <c r="T39" s="53" t="s">
        <v>264</v>
      </c>
      <c r="U39" s="23"/>
      <c r="V39" s="23"/>
      <c r="W39" s="23"/>
      <c r="X39" s="23"/>
      <c r="Y39" s="23"/>
      <c r="Z39" s="23"/>
      <c r="AA39" s="52"/>
      <c r="AC39" s="32">
        <v>2</v>
      </c>
      <c r="AD39" s="32">
        <v>2</v>
      </c>
      <c r="AE39" s="32">
        <v>2</v>
      </c>
    </row>
    <row r="40" spans="2:33" x14ac:dyDescent="0.25">
      <c r="B40" s="32"/>
      <c r="C40" s="32"/>
      <c r="D40" s="32"/>
      <c r="E40" s="32"/>
      <c r="F40" s="32"/>
      <c r="G40" s="32"/>
      <c r="H40" s="32"/>
      <c r="I40" s="32"/>
      <c r="J40" s="32"/>
      <c r="K40" s="32"/>
      <c r="L40" s="32"/>
      <c r="N40" s="24">
        <v>3</v>
      </c>
      <c r="O40" s="55" t="s">
        <v>279</v>
      </c>
      <c r="P40" s="53" t="s">
        <v>257</v>
      </c>
      <c r="Q40" s="23"/>
      <c r="R40" s="23"/>
      <c r="S40" s="52"/>
      <c r="T40" s="53" t="s">
        <v>263</v>
      </c>
      <c r="U40" s="23"/>
      <c r="V40" s="23"/>
      <c r="W40" s="23"/>
      <c r="X40" s="23"/>
      <c r="Y40" s="23"/>
      <c r="Z40" s="23"/>
      <c r="AA40" s="52"/>
      <c r="AC40" s="32">
        <v>3</v>
      </c>
      <c r="AD40" s="32">
        <v>4</v>
      </c>
      <c r="AE40" s="32">
        <v>4</v>
      </c>
    </row>
    <row r="41" spans="2:33" x14ac:dyDescent="0.25">
      <c r="B41" s="32"/>
      <c r="C41" s="32"/>
      <c r="D41" s="32"/>
      <c r="E41" s="32"/>
      <c r="F41" s="32"/>
      <c r="G41" s="32"/>
      <c r="H41" s="32"/>
      <c r="I41" s="32"/>
      <c r="J41" s="32"/>
      <c r="K41" s="32"/>
      <c r="L41" s="32"/>
      <c r="N41" s="24">
        <v>4</v>
      </c>
      <c r="O41" s="55" t="s">
        <v>279</v>
      </c>
      <c r="P41" s="53" t="s">
        <v>257</v>
      </c>
      <c r="Q41" s="23"/>
      <c r="R41" s="23"/>
      <c r="S41" s="52"/>
      <c r="T41" s="54" t="s">
        <v>275</v>
      </c>
      <c r="U41" s="23"/>
      <c r="V41" s="23"/>
      <c r="W41" s="23"/>
      <c r="X41" s="23"/>
      <c r="Y41" s="23"/>
      <c r="Z41" s="23"/>
      <c r="AA41" s="52"/>
      <c r="AC41" s="32">
        <v>4</v>
      </c>
      <c r="AD41" s="32">
        <v>4</v>
      </c>
      <c r="AE41" s="32">
        <v>4</v>
      </c>
    </row>
    <row r="42" spans="2:33" x14ac:dyDescent="0.25">
      <c r="B42" s="32"/>
      <c r="C42" s="32"/>
      <c r="D42" s="32"/>
      <c r="E42" s="32"/>
      <c r="F42" s="32"/>
      <c r="G42" s="32"/>
      <c r="H42" s="32"/>
      <c r="I42" s="32"/>
      <c r="J42" s="32"/>
      <c r="K42" s="32"/>
      <c r="L42" s="32"/>
      <c r="N42" s="24">
        <v>5</v>
      </c>
      <c r="O42" s="55" t="s">
        <v>279</v>
      </c>
      <c r="P42" s="53" t="s">
        <v>257</v>
      </c>
      <c r="Q42" s="23"/>
      <c r="R42" s="23"/>
      <c r="S42" s="52"/>
      <c r="T42" s="54" t="s">
        <v>274</v>
      </c>
      <c r="U42" s="23"/>
      <c r="V42" s="23"/>
      <c r="W42" s="23"/>
      <c r="X42" s="23"/>
      <c r="Y42" s="23"/>
      <c r="Z42" s="23"/>
      <c r="AA42" s="52"/>
      <c r="AC42" s="32">
        <v>5</v>
      </c>
      <c r="AD42" s="32">
        <v>4</v>
      </c>
      <c r="AE42" s="32">
        <v>4</v>
      </c>
    </row>
    <row r="43" spans="2:33" x14ac:dyDescent="0.25">
      <c r="B43" s="32"/>
      <c r="C43" s="32"/>
      <c r="D43" s="32"/>
      <c r="E43" s="32"/>
      <c r="F43" s="32"/>
      <c r="G43" s="32"/>
      <c r="H43" s="32"/>
      <c r="I43" s="32"/>
      <c r="J43" s="32"/>
      <c r="K43" s="32"/>
      <c r="L43" s="32"/>
      <c r="N43" s="24">
        <v>6</v>
      </c>
      <c r="O43" s="55" t="s">
        <v>279</v>
      </c>
      <c r="P43" s="53" t="s">
        <v>485</v>
      </c>
      <c r="Q43" s="23"/>
      <c r="R43" s="23"/>
      <c r="S43" s="52"/>
      <c r="T43" s="54" t="s">
        <v>484</v>
      </c>
      <c r="U43" s="23"/>
      <c r="V43" s="23"/>
      <c r="W43" s="23"/>
      <c r="X43" s="23"/>
      <c r="Y43" s="23"/>
      <c r="Z43" s="23"/>
      <c r="AA43" s="52"/>
      <c r="AC43" s="32">
        <v>6</v>
      </c>
      <c r="AD43" s="32">
        <v>4</v>
      </c>
      <c r="AE43" s="32">
        <v>4</v>
      </c>
    </row>
    <row r="44" spans="2:33" x14ac:dyDescent="0.25">
      <c r="B44" s="32"/>
      <c r="C44" s="32"/>
      <c r="D44" s="32"/>
      <c r="E44" s="32"/>
      <c r="F44" s="32"/>
      <c r="G44" s="32"/>
      <c r="H44" s="32"/>
      <c r="I44" s="32"/>
      <c r="J44" s="32"/>
      <c r="K44" s="32"/>
      <c r="L44" s="32"/>
      <c r="N44" s="24">
        <v>7</v>
      </c>
      <c r="O44" s="56"/>
      <c r="P44" s="53"/>
      <c r="Q44" s="23"/>
      <c r="R44" s="23"/>
      <c r="S44" s="52"/>
      <c r="T44" s="54"/>
      <c r="U44" s="23"/>
      <c r="V44" s="23"/>
      <c r="W44" s="23"/>
      <c r="X44" s="23"/>
      <c r="Y44" s="23"/>
      <c r="Z44" s="23"/>
      <c r="AA44" s="52"/>
      <c r="AC44" s="32">
        <v>7</v>
      </c>
      <c r="AD44" s="32">
        <v>0</v>
      </c>
      <c r="AE44" s="32">
        <v>4</v>
      </c>
    </row>
    <row r="45" spans="2:33" x14ac:dyDescent="0.25">
      <c r="B45" s="32"/>
      <c r="C45" s="32"/>
      <c r="D45" s="32"/>
      <c r="E45" s="32"/>
      <c r="F45" s="32"/>
      <c r="G45" s="32"/>
      <c r="H45" s="32"/>
      <c r="I45" s="32"/>
      <c r="J45" s="32"/>
      <c r="K45" s="32"/>
      <c r="L45" s="32"/>
      <c r="N45" s="24">
        <v>8</v>
      </c>
      <c r="O45" s="56"/>
      <c r="P45" s="53"/>
      <c r="Q45" s="23"/>
      <c r="R45" s="23"/>
      <c r="S45" s="52"/>
      <c r="T45" s="54"/>
      <c r="U45" s="23"/>
      <c r="V45" s="23"/>
      <c r="W45" s="23"/>
      <c r="X45" s="23"/>
      <c r="Y45" s="23"/>
      <c r="Z45" s="23"/>
      <c r="AA45" s="52"/>
      <c r="AC45" s="32">
        <v>8</v>
      </c>
      <c r="AD45" s="32">
        <v>0</v>
      </c>
      <c r="AE45" s="32">
        <v>4</v>
      </c>
    </row>
    <row r="46" spans="2:33" x14ac:dyDescent="0.25">
      <c r="B46" s="32"/>
      <c r="C46" s="32"/>
      <c r="D46" s="32"/>
      <c r="E46" s="32"/>
      <c r="F46" s="32"/>
      <c r="G46" s="32"/>
      <c r="H46" s="32"/>
      <c r="I46" s="32"/>
      <c r="J46" s="32"/>
      <c r="K46" s="32"/>
      <c r="L46" s="32"/>
      <c r="N46" s="24">
        <v>9</v>
      </c>
      <c r="O46" s="56"/>
      <c r="P46" s="53"/>
      <c r="Q46" s="23"/>
      <c r="R46" s="23"/>
      <c r="S46" s="52"/>
      <c r="T46" s="54"/>
      <c r="U46" s="23"/>
      <c r="V46" s="23"/>
      <c r="W46" s="23"/>
      <c r="X46" s="23"/>
      <c r="Y46" s="23"/>
      <c r="Z46" s="23"/>
      <c r="AA46" s="52"/>
      <c r="AC46" s="32">
        <v>9</v>
      </c>
      <c r="AD46" s="32">
        <v>0</v>
      </c>
      <c r="AE46" s="32">
        <v>4</v>
      </c>
    </row>
    <row r="47" spans="2:33" x14ac:dyDescent="0.25">
      <c r="B47" s="32"/>
      <c r="C47" s="32"/>
      <c r="D47" s="32"/>
      <c r="E47" s="32"/>
      <c r="F47" s="32"/>
      <c r="G47" s="32"/>
      <c r="H47" s="32"/>
      <c r="I47" s="32"/>
      <c r="J47" s="32"/>
      <c r="K47" s="32"/>
      <c r="L47" s="32"/>
      <c r="N47" s="24">
        <v>10</v>
      </c>
      <c r="O47" s="56" t="s">
        <v>280</v>
      </c>
      <c r="P47" s="53" t="s">
        <v>276</v>
      </c>
      <c r="Q47" s="23"/>
      <c r="R47" s="23"/>
      <c r="S47" s="52"/>
      <c r="T47" s="54" t="s">
        <v>262</v>
      </c>
      <c r="U47" s="23"/>
      <c r="V47" s="23"/>
      <c r="W47" s="23"/>
      <c r="X47" s="23"/>
      <c r="Y47" s="23"/>
      <c r="Z47" s="23"/>
      <c r="AA47" s="52"/>
    </row>
    <row r="48" spans="2:33" x14ac:dyDescent="0.25">
      <c r="B48" s="32"/>
      <c r="C48" s="32"/>
      <c r="D48" s="32"/>
      <c r="E48" s="32"/>
      <c r="F48" s="32"/>
      <c r="G48" s="32"/>
      <c r="H48" s="32"/>
      <c r="I48" s="32"/>
      <c r="J48" s="32"/>
      <c r="K48" s="32"/>
      <c r="L48" s="32"/>
      <c r="N48" s="24">
        <v>11</v>
      </c>
      <c r="O48" s="56" t="s">
        <v>280</v>
      </c>
      <c r="P48" s="53" t="s">
        <v>276</v>
      </c>
      <c r="Q48" s="23"/>
      <c r="R48" s="23"/>
      <c r="S48" s="52"/>
      <c r="T48" s="54" t="s">
        <v>261</v>
      </c>
      <c r="U48" s="23"/>
      <c r="V48" s="23"/>
      <c r="W48" s="23"/>
      <c r="X48" s="23"/>
      <c r="Y48" s="23"/>
      <c r="Z48" s="23"/>
      <c r="AA48" s="52"/>
    </row>
    <row r="49" spans="2:27" x14ac:dyDescent="0.25">
      <c r="B49" s="32"/>
      <c r="C49" s="32"/>
      <c r="D49" s="32"/>
      <c r="E49" s="32"/>
      <c r="F49" s="32"/>
      <c r="G49" s="32"/>
      <c r="H49" s="32"/>
      <c r="I49" s="32"/>
      <c r="J49" s="32"/>
      <c r="K49" s="32"/>
      <c r="L49" s="32"/>
      <c r="N49" s="24">
        <v>12</v>
      </c>
      <c r="O49" s="56" t="s">
        <v>280</v>
      </c>
      <c r="P49" s="53" t="s">
        <v>258</v>
      </c>
      <c r="Q49" s="23"/>
      <c r="R49" s="23"/>
      <c r="S49" s="52"/>
      <c r="T49" s="54" t="s">
        <v>260</v>
      </c>
      <c r="U49" s="23"/>
      <c r="V49" s="23"/>
      <c r="W49" s="23"/>
      <c r="X49" s="23"/>
      <c r="Y49" s="23"/>
      <c r="Z49" s="23"/>
      <c r="AA49" s="52"/>
    </row>
    <row r="50" spans="2:27" x14ac:dyDescent="0.25">
      <c r="B50" s="32"/>
      <c r="C50" s="32"/>
      <c r="D50" s="32"/>
      <c r="E50" s="32"/>
      <c r="F50" s="32"/>
      <c r="G50" s="32"/>
      <c r="H50" s="32"/>
      <c r="I50" s="32"/>
      <c r="J50" s="32"/>
      <c r="K50" s="32"/>
      <c r="L50" s="32"/>
      <c r="N50" s="49">
        <v>13</v>
      </c>
      <c r="O50" s="56" t="s">
        <v>280</v>
      </c>
      <c r="P50" s="53" t="s">
        <v>258</v>
      </c>
      <c r="Q50" s="23"/>
      <c r="R50" s="23"/>
      <c r="S50" s="52"/>
      <c r="T50" s="54" t="s">
        <v>259</v>
      </c>
      <c r="U50" s="23"/>
      <c r="V50" s="23"/>
      <c r="W50" s="23"/>
      <c r="X50" s="23"/>
      <c r="Y50" s="23"/>
      <c r="Z50" s="23"/>
      <c r="AA50" s="52"/>
    </row>
    <row r="51" spans="2:27" x14ac:dyDescent="0.25">
      <c r="B51" s="32"/>
      <c r="C51" s="32"/>
      <c r="D51" s="32"/>
      <c r="E51" s="32"/>
      <c r="F51" s="32"/>
      <c r="G51" s="32"/>
      <c r="H51" s="32"/>
      <c r="I51" s="32"/>
      <c r="J51" s="32"/>
      <c r="K51" s="32"/>
      <c r="L51" s="32"/>
      <c r="N51" s="24">
        <v>14</v>
      </c>
      <c r="O51" s="56" t="s">
        <v>280</v>
      </c>
      <c r="P51" s="53" t="s">
        <v>266</v>
      </c>
      <c r="Q51" s="23"/>
      <c r="R51" s="23"/>
      <c r="S51" s="52"/>
      <c r="T51" s="54" t="s">
        <v>267</v>
      </c>
      <c r="U51" s="23"/>
      <c r="V51" s="23"/>
      <c r="W51" s="23"/>
      <c r="X51" s="23"/>
      <c r="Y51" s="23"/>
      <c r="Z51" s="23"/>
      <c r="AA51" s="52"/>
    </row>
    <row r="52" spans="2:27" x14ac:dyDescent="0.25">
      <c r="B52" s="32"/>
      <c r="C52" s="32"/>
      <c r="D52" s="32"/>
      <c r="E52" s="32"/>
      <c r="F52" s="32"/>
      <c r="G52" s="32"/>
      <c r="H52" s="32"/>
      <c r="I52" s="32"/>
      <c r="J52" s="32"/>
      <c r="K52" s="32"/>
      <c r="L52" s="32"/>
      <c r="N52" s="24">
        <v>15</v>
      </c>
      <c r="O52" s="56" t="s">
        <v>280</v>
      </c>
      <c r="P52" s="53" t="s">
        <v>268</v>
      </c>
      <c r="Q52" s="23"/>
      <c r="R52" s="23"/>
      <c r="S52" s="52"/>
      <c r="T52" s="54" t="s">
        <v>269</v>
      </c>
      <c r="U52" s="23"/>
      <c r="V52" s="23"/>
      <c r="W52" s="23"/>
      <c r="X52" s="23"/>
      <c r="Y52" s="23"/>
      <c r="Z52" s="23"/>
      <c r="AA52" s="52"/>
    </row>
    <row r="53" spans="2:27" x14ac:dyDescent="0.25">
      <c r="B53" s="32"/>
      <c r="C53" s="32"/>
      <c r="D53" s="32"/>
      <c r="E53" s="32"/>
      <c r="F53" s="32"/>
      <c r="G53" s="32"/>
      <c r="H53" s="32"/>
      <c r="I53" s="32"/>
      <c r="J53" s="32"/>
      <c r="K53" s="32"/>
      <c r="L53" s="32"/>
      <c r="N53" s="24">
        <v>16</v>
      </c>
      <c r="O53" s="56" t="s">
        <v>280</v>
      </c>
      <c r="P53" s="53" t="s">
        <v>266</v>
      </c>
      <c r="Q53" s="23"/>
      <c r="R53" s="23"/>
      <c r="S53" s="52"/>
      <c r="T53" s="23" t="s">
        <v>270</v>
      </c>
      <c r="U53" s="23"/>
      <c r="V53" s="23"/>
      <c r="W53" s="23"/>
      <c r="X53" s="23"/>
      <c r="Y53" s="23"/>
      <c r="Z53" s="23"/>
      <c r="AA53" s="52"/>
    </row>
    <row r="54" spans="2:27" x14ac:dyDescent="0.25">
      <c r="B54" s="32"/>
      <c r="C54" s="32"/>
      <c r="D54" s="32"/>
      <c r="E54" s="32"/>
      <c r="F54" s="32"/>
      <c r="G54" s="32"/>
      <c r="H54" s="32"/>
      <c r="I54" s="32"/>
      <c r="J54" s="32"/>
      <c r="K54" s="32"/>
      <c r="L54" s="32"/>
      <c r="N54" s="24">
        <v>17</v>
      </c>
      <c r="O54" s="56" t="s">
        <v>280</v>
      </c>
      <c r="P54" s="53" t="s">
        <v>271</v>
      </c>
      <c r="Q54" s="23"/>
      <c r="R54" s="23"/>
      <c r="S54" s="52"/>
      <c r="T54" s="54" t="s">
        <v>272</v>
      </c>
      <c r="U54" s="23"/>
      <c r="V54" s="23"/>
      <c r="W54" s="23"/>
      <c r="X54" s="23"/>
      <c r="Y54" s="23"/>
      <c r="Z54" s="23"/>
      <c r="AA54" s="52"/>
    </row>
    <row r="55" spans="2:27" x14ac:dyDescent="0.25">
      <c r="B55" s="32"/>
      <c r="C55" s="32"/>
      <c r="D55" s="32"/>
      <c r="E55" s="32"/>
      <c r="F55" s="32"/>
      <c r="G55" s="32"/>
      <c r="H55" s="32"/>
      <c r="I55" s="32"/>
      <c r="J55" s="32"/>
      <c r="K55" s="32"/>
      <c r="L55" s="32"/>
      <c r="N55" s="24">
        <v>18</v>
      </c>
      <c r="O55" s="56" t="s">
        <v>280</v>
      </c>
      <c r="P55" s="53" t="s">
        <v>271</v>
      </c>
      <c r="Q55" s="23"/>
      <c r="R55" s="23"/>
      <c r="S55" s="52"/>
      <c r="T55" s="54" t="s">
        <v>273</v>
      </c>
      <c r="U55" s="23"/>
      <c r="V55" s="23"/>
      <c r="W55" s="23"/>
      <c r="X55" s="23"/>
      <c r="Y55" s="23"/>
      <c r="Z55" s="23"/>
      <c r="AA55" s="52"/>
    </row>
    <row r="56" spans="2:27" x14ac:dyDescent="0.25">
      <c r="B56" s="32"/>
      <c r="C56" s="32"/>
      <c r="D56" s="32"/>
      <c r="E56" s="32"/>
      <c r="F56" s="32"/>
      <c r="G56" s="32"/>
      <c r="H56" s="32"/>
      <c r="I56" s="32"/>
      <c r="J56" s="32"/>
      <c r="K56" s="32"/>
      <c r="L56" s="32"/>
      <c r="N56" s="24">
        <v>19</v>
      </c>
      <c r="O56" s="56" t="s">
        <v>280</v>
      </c>
      <c r="P56" s="53" t="s">
        <v>485</v>
      </c>
      <c r="Q56" s="23"/>
      <c r="R56" s="23"/>
      <c r="S56" s="52"/>
      <c r="T56" s="54" t="s">
        <v>484</v>
      </c>
      <c r="U56" s="23"/>
      <c r="V56" s="23"/>
      <c r="W56" s="23"/>
      <c r="X56" s="23"/>
      <c r="Y56" s="23"/>
      <c r="Z56" s="23"/>
      <c r="AA56" s="52"/>
    </row>
    <row r="57" spans="2:27" x14ac:dyDescent="0.25">
      <c r="B57" s="32"/>
      <c r="C57" s="32"/>
      <c r="D57" s="32"/>
      <c r="E57" s="32"/>
      <c r="F57" s="32"/>
      <c r="G57" s="32"/>
      <c r="H57" s="32"/>
      <c r="I57" s="32"/>
      <c r="J57" s="32"/>
      <c r="K57" s="32"/>
      <c r="L57" s="32"/>
      <c r="N57" s="24">
        <v>20</v>
      </c>
      <c r="O57" s="56"/>
      <c r="P57" s="53"/>
      <c r="Q57" s="23"/>
      <c r="R57" s="23"/>
      <c r="S57" s="52"/>
      <c r="T57" s="54"/>
      <c r="U57" s="23"/>
      <c r="V57" s="23"/>
      <c r="W57" s="23"/>
      <c r="X57" s="23"/>
      <c r="Y57" s="23"/>
      <c r="Z57" s="23"/>
      <c r="AA57" s="52"/>
    </row>
    <row r="58" spans="2:27" x14ac:dyDescent="0.25">
      <c r="B58" s="32"/>
      <c r="C58" s="32"/>
      <c r="D58" s="32"/>
      <c r="E58" s="32"/>
      <c r="F58" s="32"/>
      <c r="G58" s="32"/>
      <c r="H58" s="32"/>
      <c r="I58" s="32"/>
      <c r="J58" s="32"/>
      <c r="K58" s="32"/>
      <c r="L58" s="32"/>
      <c r="N58" s="24">
        <v>21</v>
      </c>
      <c r="O58" s="56"/>
      <c r="P58" s="53"/>
      <c r="Q58" s="23"/>
      <c r="R58" s="23"/>
      <c r="S58" s="52"/>
      <c r="T58" s="54"/>
      <c r="U58" s="23"/>
      <c r="V58" s="23"/>
      <c r="W58" s="23"/>
      <c r="X58" s="23"/>
      <c r="Y58" s="23"/>
      <c r="Z58" s="23"/>
      <c r="AA58" s="52"/>
    </row>
    <row r="59" spans="2:27" x14ac:dyDescent="0.25">
      <c r="B59" s="32"/>
      <c r="C59" s="32"/>
      <c r="D59" s="32"/>
      <c r="E59" s="32"/>
      <c r="F59" s="32"/>
      <c r="G59" s="32"/>
      <c r="H59" s="32"/>
      <c r="I59" s="32"/>
      <c r="J59" s="32"/>
      <c r="K59" s="32"/>
      <c r="L59" s="32"/>
      <c r="N59" s="24">
        <v>22</v>
      </c>
      <c r="O59" s="56"/>
      <c r="P59" s="53"/>
      <c r="Q59" s="23"/>
      <c r="R59" s="23"/>
      <c r="S59" s="52"/>
      <c r="T59" s="54"/>
      <c r="U59" s="23"/>
      <c r="V59" s="23"/>
      <c r="W59" s="23"/>
      <c r="X59" s="23"/>
      <c r="Y59" s="23"/>
      <c r="Z59" s="23"/>
      <c r="AA59" s="52"/>
    </row>
    <row r="60" spans="2:27" x14ac:dyDescent="0.25">
      <c r="B60" s="32"/>
      <c r="C60" s="32"/>
      <c r="D60" s="32"/>
      <c r="E60" s="32"/>
      <c r="F60" s="32"/>
      <c r="G60" s="32"/>
      <c r="H60" s="32"/>
      <c r="I60" s="32"/>
      <c r="J60" s="32"/>
      <c r="K60" s="32"/>
      <c r="L60" s="32"/>
      <c r="N60" s="24">
        <v>23</v>
      </c>
      <c r="O60" s="56"/>
      <c r="P60" s="53"/>
      <c r="Q60" s="23"/>
      <c r="R60" s="23"/>
      <c r="S60" s="52"/>
      <c r="T60" s="54"/>
      <c r="U60" s="23"/>
      <c r="V60" s="23"/>
      <c r="W60" s="23"/>
      <c r="X60" s="23"/>
      <c r="Y60" s="23"/>
      <c r="Z60" s="23"/>
      <c r="AA60" s="52"/>
    </row>
    <row r="61" spans="2:27" x14ac:dyDescent="0.25">
      <c r="B61" s="32"/>
      <c r="C61" s="32"/>
      <c r="D61" s="32"/>
      <c r="E61" s="32"/>
      <c r="F61" s="32"/>
      <c r="G61" s="32"/>
      <c r="H61" s="32"/>
      <c r="I61" s="32"/>
      <c r="J61" s="32"/>
      <c r="K61" s="32"/>
      <c r="L61" s="32"/>
      <c r="N61" s="24">
        <v>24</v>
      </c>
      <c r="O61" s="56"/>
      <c r="P61" s="53"/>
      <c r="Q61" s="23"/>
      <c r="R61" s="23"/>
      <c r="S61" s="52"/>
      <c r="T61" s="54"/>
      <c r="U61" s="23"/>
      <c r="V61" s="23"/>
      <c r="W61" s="23"/>
      <c r="X61" s="23"/>
      <c r="Y61" s="23"/>
      <c r="Z61" s="23"/>
      <c r="AA61" s="52"/>
    </row>
    <row r="62" spans="2:27" x14ac:dyDescent="0.25">
      <c r="B62" s="32"/>
      <c r="C62" s="32"/>
      <c r="D62" s="32"/>
      <c r="E62" s="32"/>
      <c r="F62" s="32"/>
      <c r="G62" s="32"/>
      <c r="H62" s="32"/>
      <c r="I62" s="32"/>
      <c r="J62" s="32"/>
      <c r="K62" s="32"/>
      <c r="L62" s="32"/>
      <c r="N62" s="49">
        <v>25</v>
      </c>
      <c r="O62" s="56"/>
      <c r="P62" s="53"/>
      <c r="Q62" s="23"/>
      <c r="R62" s="23"/>
      <c r="S62" s="52"/>
      <c r="T62" s="54"/>
      <c r="U62" s="23"/>
      <c r="V62" s="23"/>
      <c r="W62" s="23"/>
      <c r="X62" s="23"/>
      <c r="Y62" s="23"/>
      <c r="Z62" s="23"/>
      <c r="AA62" s="52"/>
    </row>
    <row r="63" spans="2:27" x14ac:dyDescent="0.25">
      <c r="B63" s="32"/>
      <c r="C63" s="32"/>
      <c r="D63" s="32"/>
      <c r="E63" s="32"/>
      <c r="F63" s="32"/>
      <c r="G63" s="32"/>
      <c r="H63" s="32"/>
      <c r="I63" s="32"/>
      <c r="J63" s="32"/>
      <c r="K63" s="32"/>
      <c r="L63" s="32"/>
      <c r="N63" s="24">
        <v>26</v>
      </c>
      <c r="O63" s="56"/>
      <c r="P63" s="53"/>
      <c r="Q63" s="23"/>
      <c r="R63" s="23"/>
      <c r="S63" s="52"/>
      <c r="T63" s="54"/>
      <c r="U63" s="23"/>
      <c r="V63" s="23"/>
      <c r="W63" s="23"/>
      <c r="X63" s="23"/>
      <c r="Y63" s="23"/>
      <c r="Z63" s="23"/>
      <c r="AA63" s="52"/>
    </row>
    <row r="64" spans="2:27" x14ac:dyDescent="0.25">
      <c r="B64" s="32"/>
      <c r="C64" s="32"/>
      <c r="D64" s="32"/>
      <c r="E64" s="32"/>
      <c r="F64" s="32"/>
      <c r="G64" s="32"/>
      <c r="H64" s="32"/>
      <c r="I64" s="32"/>
      <c r="J64" s="32"/>
      <c r="K64" s="32"/>
      <c r="L64" s="32"/>
      <c r="N64" s="49">
        <v>27</v>
      </c>
      <c r="O64" s="56"/>
      <c r="P64" s="53"/>
      <c r="Q64" s="23"/>
      <c r="R64" s="23"/>
      <c r="S64" s="52"/>
      <c r="T64" s="54"/>
      <c r="U64" s="23"/>
      <c r="V64" s="23"/>
      <c r="W64" s="23"/>
      <c r="X64" s="23"/>
      <c r="Y64" s="23"/>
      <c r="Z64" s="23"/>
      <c r="AA64" s="52"/>
    </row>
    <row r="65" spans="2:27" x14ac:dyDescent="0.25">
      <c r="B65" s="32"/>
      <c r="C65" s="32"/>
      <c r="D65" s="32"/>
      <c r="E65" s="32"/>
      <c r="F65" s="32"/>
      <c r="G65" s="32"/>
      <c r="H65" s="32"/>
      <c r="I65" s="32"/>
      <c r="J65" s="32"/>
      <c r="K65" s="32"/>
      <c r="L65" s="32"/>
      <c r="N65" s="24">
        <v>28</v>
      </c>
      <c r="O65" s="56"/>
      <c r="P65" s="53"/>
      <c r="Q65" s="23"/>
      <c r="R65" s="23"/>
      <c r="S65" s="52"/>
      <c r="T65" s="54"/>
      <c r="U65" s="23"/>
      <c r="V65" s="23"/>
      <c r="W65" s="23"/>
      <c r="X65" s="23"/>
      <c r="Y65" s="23"/>
      <c r="Z65" s="23"/>
      <c r="AA65" s="52"/>
    </row>
    <row r="66" spans="2:27" x14ac:dyDescent="0.25">
      <c r="B66" s="32"/>
      <c r="C66" s="32"/>
      <c r="D66" s="32"/>
      <c r="E66" s="32"/>
      <c r="F66" s="32"/>
      <c r="G66" s="32"/>
      <c r="H66" s="32"/>
      <c r="I66" s="32"/>
      <c r="J66" s="32"/>
      <c r="K66" s="32"/>
      <c r="L66" s="32"/>
      <c r="N66" s="49">
        <v>29</v>
      </c>
      <c r="O66" s="56"/>
      <c r="P66" s="53"/>
      <c r="Q66" s="23"/>
      <c r="R66" s="23"/>
      <c r="S66" s="52"/>
      <c r="T66" s="54"/>
      <c r="U66" s="23"/>
      <c r="V66" s="23"/>
      <c r="W66" s="23"/>
      <c r="X66" s="23"/>
      <c r="Y66" s="23"/>
      <c r="Z66" s="23"/>
      <c r="AA66" s="52"/>
    </row>
    <row r="67" spans="2:27" x14ac:dyDescent="0.25">
      <c r="B67" s="32"/>
      <c r="C67" s="32"/>
      <c r="D67" s="32"/>
      <c r="E67" s="32"/>
      <c r="F67" s="32"/>
      <c r="G67" s="32"/>
      <c r="H67" s="32"/>
      <c r="I67" s="32"/>
      <c r="J67" s="32"/>
      <c r="K67" s="32"/>
      <c r="L67" s="32"/>
      <c r="N67" s="24">
        <v>30</v>
      </c>
      <c r="O67" s="56" t="s">
        <v>281</v>
      </c>
      <c r="P67" s="53" t="s">
        <v>276</v>
      </c>
      <c r="Q67" s="23"/>
      <c r="R67" s="23"/>
      <c r="S67" s="52"/>
      <c r="T67" s="54" t="s">
        <v>262</v>
      </c>
      <c r="U67" s="23"/>
      <c r="V67" s="23"/>
      <c r="W67" s="23"/>
      <c r="X67" s="23"/>
      <c r="Y67" s="23"/>
      <c r="Z67" s="23"/>
      <c r="AA67" s="52"/>
    </row>
    <row r="68" spans="2:27" x14ac:dyDescent="0.25">
      <c r="B68" s="32"/>
      <c r="C68" s="32"/>
      <c r="D68" s="32"/>
      <c r="E68" s="32"/>
      <c r="F68" s="32"/>
      <c r="G68" s="32"/>
      <c r="H68" s="32"/>
      <c r="I68" s="32"/>
      <c r="J68" s="32"/>
      <c r="K68" s="32"/>
      <c r="L68" s="32"/>
      <c r="N68" s="49">
        <v>31</v>
      </c>
      <c r="O68" s="56" t="s">
        <v>281</v>
      </c>
      <c r="P68" s="53" t="s">
        <v>276</v>
      </c>
      <c r="Q68" s="23"/>
      <c r="R68" s="23"/>
      <c r="S68" s="52"/>
      <c r="T68" s="54" t="s">
        <v>261</v>
      </c>
      <c r="U68" s="23"/>
      <c r="V68" s="23"/>
      <c r="W68" s="23"/>
      <c r="X68" s="23"/>
      <c r="Y68" s="23"/>
      <c r="Z68" s="23"/>
      <c r="AA68" s="52"/>
    </row>
    <row r="69" spans="2:27" x14ac:dyDescent="0.25">
      <c r="B69" s="32"/>
      <c r="C69" s="32"/>
      <c r="D69" s="32"/>
      <c r="E69" s="32"/>
      <c r="F69" s="32"/>
      <c r="G69" s="32"/>
      <c r="H69" s="32"/>
      <c r="I69" s="32"/>
      <c r="J69" s="32"/>
      <c r="K69" s="32"/>
      <c r="L69" s="32"/>
      <c r="N69" s="24">
        <v>32</v>
      </c>
      <c r="O69" s="56" t="s">
        <v>281</v>
      </c>
      <c r="P69" s="53" t="s">
        <v>485</v>
      </c>
      <c r="Q69" s="23"/>
      <c r="R69" s="23"/>
      <c r="S69" s="52"/>
      <c r="T69" s="54" t="s">
        <v>484</v>
      </c>
      <c r="U69" s="23"/>
      <c r="V69" s="23"/>
      <c r="W69" s="23"/>
      <c r="X69" s="23"/>
      <c r="Y69" s="23"/>
      <c r="Z69" s="23"/>
      <c r="AA69" s="52"/>
    </row>
    <row r="70" spans="2:27" x14ac:dyDescent="0.25">
      <c r="B70" s="32"/>
      <c r="C70" s="32"/>
      <c r="D70" s="32"/>
      <c r="E70" s="32"/>
      <c r="F70" s="32"/>
      <c r="G70" s="32"/>
      <c r="H70" s="32"/>
      <c r="I70" s="32"/>
      <c r="J70" s="32"/>
      <c r="K70" s="32"/>
      <c r="L70" s="32"/>
      <c r="N70" s="49">
        <v>33</v>
      </c>
      <c r="O70" s="56" t="s">
        <v>281</v>
      </c>
      <c r="P70" s="53" t="s">
        <v>492</v>
      </c>
      <c r="Q70" s="23"/>
      <c r="R70" s="23"/>
      <c r="S70" s="52"/>
      <c r="T70" s="54" t="s">
        <v>490</v>
      </c>
      <c r="U70" s="23"/>
      <c r="V70" s="23"/>
      <c r="W70" s="23"/>
      <c r="X70" s="23"/>
      <c r="Y70" s="23"/>
      <c r="Z70" s="23"/>
      <c r="AA70" s="52"/>
    </row>
    <row r="71" spans="2:27" x14ac:dyDescent="0.25">
      <c r="B71" s="32"/>
      <c r="C71" s="32"/>
      <c r="D71" s="32"/>
      <c r="E71" s="32"/>
      <c r="F71" s="32"/>
      <c r="G71" s="32"/>
      <c r="H71" s="32"/>
      <c r="I71" s="32"/>
      <c r="J71" s="32"/>
      <c r="K71" s="32"/>
      <c r="L71" s="32"/>
      <c r="N71" s="24">
        <v>34</v>
      </c>
      <c r="O71" s="56" t="s">
        <v>281</v>
      </c>
      <c r="P71" s="53" t="s">
        <v>492</v>
      </c>
      <c r="Q71" s="23"/>
      <c r="R71" s="23"/>
      <c r="S71" s="52"/>
      <c r="T71" s="54" t="s">
        <v>493</v>
      </c>
      <c r="U71" s="23"/>
      <c r="V71" s="23"/>
      <c r="W71" s="23"/>
      <c r="X71" s="23"/>
      <c r="Y71" s="23"/>
      <c r="Z71" s="23"/>
      <c r="AA71" s="52"/>
    </row>
    <row r="72" spans="2:27" x14ac:dyDescent="0.25">
      <c r="N72" s="49">
        <v>35</v>
      </c>
      <c r="O72" s="56" t="s">
        <v>281</v>
      </c>
      <c r="P72" s="53" t="s">
        <v>258</v>
      </c>
      <c r="Q72" s="23"/>
      <c r="R72" s="23"/>
      <c r="S72" s="52"/>
      <c r="T72" s="54" t="s">
        <v>260</v>
      </c>
      <c r="U72" s="23"/>
      <c r="V72" s="23"/>
      <c r="W72" s="23"/>
      <c r="X72" s="23"/>
      <c r="Y72" s="23"/>
      <c r="Z72" s="23"/>
      <c r="AA72" s="52"/>
    </row>
    <row r="73" spans="2:27" x14ac:dyDescent="0.25">
      <c r="B73" s="325" t="s">
        <v>543</v>
      </c>
      <c r="C73" s="326"/>
      <c r="D73" s="336"/>
      <c r="E73" s="336"/>
      <c r="F73" s="336"/>
      <c r="G73" s="336"/>
      <c r="H73" s="336"/>
      <c r="I73" s="336"/>
      <c r="J73" s="336"/>
      <c r="K73" s="336"/>
      <c r="L73" s="337"/>
      <c r="N73" s="24">
        <v>36</v>
      </c>
      <c r="O73" s="56" t="s">
        <v>281</v>
      </c>
      <c r="P73" s="53" t="s">
        <v>258</v>
      </c>
      <c r="Q73" s="23"/>
      <c r="R73" s="23"/>
      <c r="S73" s="52"/>
      <c r="T73" s="54" t="s">
        <v>259</v>
      </c>
      <c r="U73" s="23"/>
      <c r="V73" s="23"/>
      <c r="W73" s="23"/>
      <c r="X73" s="23"/>
      <c r="Y73" s="23"/>
      <c r="Z73" s="23"/>
      <c r="AA73" s="52"/>
    </row>
    <row r="74" spans="2:27" x14ac:dyDescent="0.25">
      <c r="B74" s="29" t="s">
        <v>213</v>
      </c>
      <c r="C74" s="149" t="s">
        <v>476</v>
      </c>
      <c r="D74" s="149" t="s">
        <v>535</v>
      </c>
      <c r="E74" s="152"/>
      <c r="F74" s="152"/>
      <c r="G74" s="152"/>
      <c r="H74" s="152"/>
      <c r="I74" s="152"/>
      <c r="J74" s="152"/>
      <c r="K74" s="152"/>
      <c r="L74" s="153"/>
      <c r="N74" s="49">
        <v>37</v>
      </c>
      <c r="O74" s="56" t="s">
        <v>281</v>
      </c>
      <c r="P74" s="53" t="s">
        <v>266</v>
      </c>
      <c r="Q74" s="23"/>
      <c r="R74" s="23"/>
      <c r="S74" s="52"/>
      <c r="T74" s="54" t="s">
        <v>267</v>
      </c>
      <c r="U74" s="23"/>
      <c r="V74" s="23"/>
      <c r="W74" s="23"/>
      <c r="X74" s="23"/>
      <c r="Y74" s="23"/>
      <c r="Z74" s="23"/>
      <c r="AA74" s="52"/>
    </row>
    <row r="75" spans="2:27" x14ac:dyDescent="0.25">
      <c r="B75" s="32">
        <v>2</v>
      </c>
      <c r="C75" s="145">
        <v>1</v>
      </c>
      <c r="D75" s="154" t="s">
        <v>536</v>
      </c>
      <c r="E75" s="150"/>
      <c r="F75" s="150"/>
      <c r="G75" s="150"/>
      <c r="H75" s="150"/>
      <c r="I75" s="150"/>
      <c r="J75" s="150"/>
      <c r="K75" s="150"/>
      <c r="L75" s="151"/>
      <c r="N75" s="24">
        <v>38</v>
      </c>
      <c r="O75" s="56" t="s">
        <v>281</v>
      </c>
      <c r="P75" s="53" t="s">
        <v>268</v>
      </c>
      <c r="Q75" s="23"/>
      <c r="R75" s="23"/>
      <c r="S75" s="52"/>
      <c r="T75" s="54" t="s">
        <v>269</v>
      </c>
      <c r="U75" s="23"/>
      <c r="V75" s="23"/>
      <c r="W75" s="23"/>
      <c r="X75" s="23"/>
      <c r="Y75" s="23"/>
      <c r="Z75" s="23"/>
      <c r="AA75" s="52"/>
    </row>
    <row r="76" spans="2:27" x14ac:dyDescent="0.25">
      <c r="B76" s="32">
        <v>2</v>
      </c>
      <c r="C76" s="144">
        <v>2</v>
      </c>
      <c r="D76" s="154" t="s">
        <v>537</v>
      </c>
      <c r="E76" s="147"/>
      <c r="F76" s="147"/>
      <c r="G76" s="147"/>
      <c r="H76" s="147"/>
      <c r="I76" s="147"/>
      <c r="J76" s="147"/>
      <c r="K76" s="147"/>
      <c r="L76" s="148"/>
      <c r="N76" s="49">
        <v>39</v>
      </c>
      <c r="O76" s="56" t="s">
        <v>281</v>
      </c>
      <c r="P76" s="53" t="s">
        <v>266</v>
      </c>
      <c r="Q76" s="23"/>
      <c r="R76" s="23"/>
      <c r="S76" s="52"/>
      <c r="T76" s="23" t="s">
        <v>270</v>
      </c>
      <c r="U76" s="23"/>
      <c r="V76" s="23"/>
      <c r="W76" s="23"/>
      <c r="X76" s="23"/>
      <c r="Y76" s="23"/>
      <c r="Z76" s="23"/>
      <c r="AA76" s="52"/>
    </row>
    <row r="77" spans="2:27" x14ac:dyDescent="0.25">
      <c r="B77" s="32">
        <v>2</v>
      </c>
      <c r="C77" s="145">
        <v>3</v>
      </c>
      <c r="D77" s="154" t="s">
        <v>538</v>
      </c>
      <c r="E77" s="147"/>
      <c r="F77" s="147"/>
      <c r="G77" s="147"/>
      <c r="H77" s="147"/>
      <c r="I77" s="147"/>
      <c r="J77" s="147"/>
      <c r="K77" s="147"/>
      <c r="L77" s="148"/>
      <c r="N77" s="24">
        <v>40</v>
      </c>
      <c r="O77" s="56" t="s">
        <v>281</v>
      </c>
      <c r="P77" s="53" t="s">
        <v>592</v>
      </c>
      <c r="Q77" s="23"/>
      <c r="R77" s="23"/>
      <c r="S77" s="52"/>
      <c r="T77" s="23" t="s">
        <v>270</v>
      </c>
      <c r="U77" s="23"/>
      <c r="V77" s="23"/>
      <c r="W77" s="23"/>
      <c r="X77" s="23"/>
      <c r="Y77" s="23"/>
      <c r="Z77" s="23"/>
      <c r="AA77" s="52"/>
    </row>
    <row r="78" spans="2:27" x14ac:dyDescent="0.25">
      <c r="B78" s="32">
        <v>2</v>
      </c>
      <c r="C78" s="144">
        <v>4</v>
      </c>
      <c r="D78" s="154" t="s">
        <v>539</v>
      </c>
      <c r="E78" s="147"/>
      <c r="F78" s="147"/>
      <c r="G78" s="147"/>
      <c r="H78" s="147"/>
      <c r="I78" s="147"/>
      <c r="J78" s="147"/>
      <c r="K78" s="147"/>
      <c r="L78" s="148"/>
      <c r="N78" s="49">
        <v>41</v>
      </c>
      <c r="O78" s="24"/>
      <c r="P78" s="53"/>
      <c r="Q78" s="23"/>
      <c r="R78" s="23"/>
      <c r="S78" s="52"/>
      <c r="T78" s="23"/>
      <c r="U78" s="23"/>
      <c r="V78" s="23"/>
      <c r="W78" s="23"/>
      <c r="X78" s="23"/>
      <c r="Y78" s="23"/>
      <c r="Z78" s="23"/>
      <c r="AA78" s="52"/>
    </row>
    <row r="79" spans="2:27" x14ac:dyDescent="0.25">
      <c r="B79" s="32">
        <v>2</v>
      </c>
      <c r="C79" s="145">
        <v>5</v>
      </c>
      <c r="D79" s="154" t="s">
        <v>540</v>
      </c>
      <c r="E79" s="147"/>
      <c r="F79" s="147"/>
      <c r="G79" s="147"/>
      <c r="H79" s="147"/>
      <c r="I79" s="147"/>
      <c r="J79" s="147"/>
      <c r="K79" s="147"/>
      <c r="L79" s="148"/>
      <c r="N79" s="24">
        <v>42</v>
      </c>
      <c r="O79" s="56"/>
      <c r="P79" s="53"/>
      <c r="Q79" s="23"/>
      <c r="R79" s="23"/>
      <c r="S79" s="52"/>
      <c r="T79" s="23"/>
      <c r="U79" s="23"/>
      <c r="V79" s="23"/>
      <c r="W79" s="23"/>
      <c r="X79" s="23"/>
      <c r="Y79" s="23"/>
      <c r="Z79" s="23"/>
      <c r="AA79" s="52"/>
    </row>
    <row r="80" spans="2:27" x14ac:dyDescent="0.25">
      <c r="B80" s="32">
        <v>2</v>
      </c>
      <c r="C80" s="144">
        <v>6</v>
      </c>
      <c r="D80" s="154" t="s">
        <v>541</v>
      </c>
      <c r="E80" s="147"/>
      <c r="F80" s="147"/>
      <c r="G80" s="147"/>
      <c r="H80" s="147"/>
      <c r="I80" s="147"/>
      <c r="J80" s="147"/>
      <c r="K80" s="147"/>
      <c r="L80" s="148"/>
      <c r="N80" s="49">
        <v>43</v>
      </c>
      <c r="O80" s="56" t="s">
        <v>594</v>
      </c>
      <c r="P80" s="53" t="s">
        <v>595</v>
      </c>
      <c r="Q80" s="23"/>
      <c r="R80" s="23"/>
      <c r="S80" s="52"/>
      <c r="T80" s="54" t="s">
        <v>596</v>
      </c>
      <c r="U80" s="23"/>
      <c r="V80" s="23"/>
      <c r="W80" s="23"/>
      <c r="X80" s="23"/>
      <c r="Y80" s="23"/>
      <c r="Z80" s="23"/>
      <c r="AA80" s="52"/>
    </row>
    <row r="81" spans="2:27" x14ac:dyDescent="0.25">
      <c r="B81" s="32"/>
      <c r="C81" s="32">
        <v>-1</v>
      </c>
      <c r="D81" s="146"/>
      <c r="E81" s="147"/>
      <c r="F81" s="147"/>
      <c r="G81" s="147"/>
      <c r="H81" s="147"/>
      <c r="I81" s="147"/>
      <c r="J81" s="147"/>
      <c r="K81" s="147"/>
      <c r="L81" s="148"/>
      <c r="N81" s="24">
        <v>44</v>
      </c>
      <c r="O81" s="56" t="s">
        <v>290</v>
      </c>
      <c r="P81" s="53" t="s">
        <v>291</v>
      </c>
      <c r="Q81" s="23"/>
      <c r="R81" s="23"/>
      <c r="S81" s="52"/>
      <c r="T81" s="54" t="s">
        <v>494</v>
      </c>
      <c r="U81" s="23"/>
      <c r="V81" s="23"/>
      <c r="W81" s="23"/>
      <c r="X81" s="23"/>
      <c r="Y81" s="23"/>
      <c r="Z81" s="23"/>
      <c r="AA81" s="52"/>
    </row>
    <row r="82" spans="2:27" x14ac:dyDescent="0.25">
      <c r="B82" s="32"/>
      <c r="C82" s="32"/>
      <c r="D82" s="146"/>
      <c r="E82" s="147"/>
      <c r="F82" s="147"/>
      <c r="G82" s="147"/>
      <c r="H82" s="147"/>
      <c r="I82" s="147"/>
      <c r="J82" s="147"/>
      <c r="K82" s="147"/>
      <c r="L82" s="148"/>
      <c r="N82" s="49">
        <v>45</v>
      </c>
      <c r="O82" s="56" t="s">
        <v>290</v>
      </c>
      <c r="P82" s="53" t="s">
        <v>291</v>
      </c>
      <c r="Q82" s="23"/>
      <c r="R82" s="23"/>
      <c r="S82" s="52"/>
      <c r="T82" s="54" t="s">
        <v>495</v>
      </c>
      <c r="U82" s="23"/>
      <c r="V82" s="23"/>
      <c r="W82" s="23"/>
      <c r="X82" s="23"/>
      <c r="Y82" s="23"/>
      <c r="Z82" s="23"/>
      <c r="AA82" s="52"/>
    </row>
    <row r="83" spans="2:27" x14ac:dyDescent="0.25">
      <c r="B83" s="32"/>
      <c r="C83" s="32"/>
      <c r="D83" s="146"/>
      <c r="E83" s="147"/>
      <c r="F83" s="147"/>
      <c r="G83" s="147"/>
      <c r="H83" s="147"/>
      <c r="I83" s="147"/>
      <c r="J83" s="147"/>
      <c r="K83" s="147"/>
      <c r="L83" s="148"/>
      <c r="N83" s="24">
        <v>46</v>
      </c>
      <c r="O83" s="56" t="s">
        <v>290</v>
      </c>
      <c r="P83" s="53" t="s">
        <v>291</v>
      </c>
      <c r="Q83" s="23"/>
      <c r="R83" s="23"/>
      <c r="S83" s="52"/>
      <c r="T83" s="54" t="s">
        <v>496</v>
      </c>
      <c r="U83" s="23"/>
      <c r="V83" s="23"/>
      <c r="W83" s="23"/>
      <c r="X83" s="23"/>
      <c r="Y83" s="23"/>
      <c r="Z83" s="23"/>
      <c r="AA83" s="52"/>
    </row>
    <row r="84" spans="2:27" x14ac:dyDescent="0.25">
      <c r="B84" s="32"/>
      <c r="C84" s="32"/>
      <c r="D84" s="146"/>
      <c r="E84" s="147"/>
      <c r="F84" s="147"/>
      <c r="G84" s="147"/>
      <c r="H84" s="147"/>
      <c r="I84" s="147"/>
      <c r="J84" s="147"/>
      <c r="K84" s="147"/>
      <c r="L84" s="148"/>
      <c r="N84" s="49">
        <v>47</v>
      </c>
      <c r="O84" s="56" t="s">
        <v>290</v>
      </c>
      <c r="P84" s="53" t="s">
        <v>291</v>
      </c>
      <c r="Q84" s="23"/>
      <c r="R84" s="23"/>
      <c r="S84" s="52"/>
      <c r="T84" s="54" t="s">
        <v>497</v>
      </c>
      <c r="U84" s="23"/>
      <c r="V84" s="23"/>
      <c r="W84" s="23"/>
      <c r="X84" s="23"/>
      <c r="Y84" s="23"/>
      <c r="Z84" s="23"/>
      <c r="AA84" s="52"/>
    </row>
    <row r="85" spans="2:27" x14ac:dyDescent="0.25">
      <c r="B85" s="32"/>
      <c r="C85" s="32"/>
      <c r="D85" s="146"/>
      <c r="E85" s="147"/>
      <c r="F85" s="147"/>
      <c r="G85" s="147"/>
      <c r="H85" s="147"/>
      <c r="I85" s="147"/>
      <c r="J85" s="147"/>
      <c r="K85" s="147"/>
      <c r="L85" s="148"/>
      <c r="N85" s="24">
        <v>48</v>
      </c>
      <c r="O85" s="56" t="s">
        <v>290</v>
      </c>
      <c r="P85" s="53" t="s">
        <v>291</v>
      </c>
      <c r="Q85" s="23"/>
      <c r="R85" s="23"/>
      <c r="S85" s="52"/>
      <c r="T85" s="54" t="s">
        <v>498</v>
      </c>
      <c r="U85" s="23"/>
      <c r="V85" s="23"/>
      <c r="W85" s="23"/>
      <c r="X85" s="23"/>
      <c r="Y85" s="23"/>
      <c r="Z85" s="23"/>
      <c r="AA85" s="52"/>
    </row>
    <row r="86" spans="2:27" x14ac:dyDescent="0.25">
      <c r="B86" s="32"/>
      <c r="C86" s="32"/>
      <c r="D86" s="146"/>
      <c r="E86" s="147"/>
      <c r="F86" s="147"/>
      <c r="G86" s="147"/>
      <c r="H86" s="147"/>
      <c r="I86" s="147"/>
      <c r="J86" s="147"/>
      <c r="K86" s="147"/>
      <c r="L86" s="148"/>
      <c r="N86" s="49">
        <v>49</v>
      </c>
      <c r="O86" s="56" t="s">
        <v>290</v>
      </c>
      <c r="P86" s="53" t="s">
        <v>291</v>
      </c>
      <c r="Q86" s="23"/>
      <c r="R86" s="23"/>
      <c r="S86" s="52"/>
      <c r="T86" s="54" t="s">
        <v>499</v>
      </c>
      <c r="U86" s="23"/>
      <c r="V86" s="23"/>
      <c r="W86" s="23"/>
      <c r="X86" s="23"/>
      <c r="Y86" s="23"/>
      <c r="Z86" s="23"/>
      <c r="AA86" s="52"/>
    </row>
    <row r="87" spans="2:27" x14ac:dyDescent="0.25">
      <c r="B87" s="32"/>
      <c r="C87" s="32"/>
      <c r="D87" s="146"/>
      <c r="E87" s="147"/>
      <c r="F87" s="147"/>
      <c r="G87" s="147"/>
      <c r="H87" s="147"/>
      <c r="I87" s="147"/>
      <c r="J87" s="147"/>
      <c r="K87" s="147"/>
      <c r="L87" s="148"/>
      <c r="N87" s="24">
        <v>50</v>
      </c>
      <c r="O87" s="56" t="s">
        <v>282</v>
      </c>
      <c r="P87" s="53" t="s">
        <v>271</v>
      </c>
      <c r="Q87" s="23"/>
      <c r="R87" s="23"/>
      <c r="S87" s="52"/>
      <c r="T87" s="54" t="s">
        <v>272</v>
      </c>
      <c r="U87" s="23"/>
      <c r="V87" s="23"/>
      <c r="W87" s="23"/>
      <c r="X87" s="23"/>
      <c r="Y87" s="23"/>
      <c r="Z87" s="23"/>
      <c r="AA87" s="52"/>
    </row>
    <row r="88" spans="2:27" x14ac:dyDescent="0.25">
      <c r="B88" s="32"/>
      <c r="C88" s="32"/>
      <c r="D88" s="146"/>
      <c r="E88" s="147"/>
      <c r="F88" s="147"/>
      <c r="G88" s="147"/>
      <c r="H88" s="147"/>
      <c r="I88" s="147"/>
      <c r="J88" s="147"/>
      <c r="K88" s="147"/>
      <c r="L88" s="148"/>
      <c r="N88" s="49">
        <v>51</v>
      </c>
      <c r="O88" s="56" t="s">
        <v>282</v>
      </c>
      <c r="P88" s="53" t="s">
        <v>271</v>
      </c>
      <c r="Q88" s="23"/>
      <c r="R88" s="23"/>
      <c r="S88" s="52"/>
      <c r="T88" s="54" t="s">
        <v>273</v>
      </c>
      <c r="U88" s="23"/>
      <c r="V88" s="23"/>
      <c r="W88" s="23"/>
      <c r="X88" s="23"/>
      <c r="Y88" s="23"/>
      <c r="Z88" s="23"/>
      <c r="AA88" s="52"/>
    </row>
    <row r="89" spans="2:27" x14ac:dyDescent="0.25">
      <c r="B89" s="32"/>
      <c r="C89" s="32"/>
      <c r="D89" s="146"/>
      <c r="E89" s="147"/>
      <c r="F89" s="147"/>
      <c r="G89" s="147"/>
      <c r="H89" s="147"/>
      <c r="I89" s="147"/>
      <c r="J89" s="147"/>
      <c r="K89" s="147"/>
      <c r="L89" s="148"/>
      <c r="N89" s="24">
        <v>52</v>
      </c>
      <c r="O89" s="56" t="s">
        <v>282</v>
      </c>
      <c r="P89" s="53" t="s">
        <v>258</v>
      </c>
      <c r="Q89" s="23"/>
      <c r="R89" s="23"/>
      <c r="S89" s="52"/>
      <c r="T89" s="54" t="s">
        <v>442</v>
      </c>
      <c r="U89" s="23"/>
      <c r="V89" s="23"/>
      <c r="W89" s="23"/>
      <c r="X89" s="23"/>
      <c r="Y89" s="23"/>
      <c r="Z89" s="23"/>
      <c r="AA89" s="52"/>
    </row>
    <row r="90" spans="2:27" x14ac:dyDescent="0.25">
      <c r="N90" s="49">
        <v>53</v>
      </c>
      <c r="O90" s="56" t="s">
        <v>282</v>
      </c>
      <c r="P90" s="53" t="s">
        <v>258</v>
      </c>
      <c r="Q90" s="23"/>
      <c r="R90" s="23"/>
      <c r="S90" s="52"/>
      <c r="T90" s="54" t="s">
        <v>443</v>
      </c>
      <c r="U90" s="23"/>
      <c r="V90" s="23"/>
      <c r="W90" s="23"/>
      <c r="X90" s="23"/>
      <c r="Y90" s="23"/>
      <c r="Z90" s="23"/>
      <c r="AA90" s="52"/>
    </row>
    <row r="91" spans="2:27" x14ac:dyDescent="0.25">
      <c r="B91" s="325" t="s">
        <v>673</v>
      </c>
      <c r="C91" s="326"/>
      <c r="D91" s="326"/>
      <c r="E91" s="326"/>
      <c r="F91" s="326"/>
      <c r="G91" s="326"/>
      <c r="H91" s="326"/>
      <c r="I91" s="326"/>
      <c r="J91" s="326"/>
      <c r="K91" s="326"/>
      <c r="L91" s="327"/>
      <c r="N91" s="24">
        <v>54</v>
      </c>
      <c r="O91" s="56" t="s">
        <v>282</v>
      </c>
      <c r="P91" s="53" t="s">
        <v>283</v>
      </c>
      <c r="Q91" s="23"/>
      <c r="R91" s="23"/>
      <c r="S91" s="52"/>
      <c r="T91" s="54" t="s">
        <v>284</v>
      </c>
      <c r="U91" s="23"/>
      <c r="V91" s="23"/>
      <c r="W91" s="23"/>
      <c r="X91" s="23"/>
      <c r="Y91" s="23"/>
      <c r="Z91" s="23"/>
      <c r="AA91" s="52"/>
    </row>
    <row r="92" spans="2:27" x14ac:dyDescent="0.25">
      <c r="B92" s="29" t="s">
        <v>213</v>
      </c>
      <c r="C92" s="29" t="s">
        <v>195</v>
      </c>
      <c r="D92" s="29">
        <v>5000</v>
      </c>
      <c r="E92" s="29" t="s">
        <v>196</v>
      </c>
      <c r="F92" s="29" t="s">
        <v>196</v>
      </c>
      <c r="G92" s="29" t="s">
        <v>196</v>
      </c>
      <c r="H92" s="29" t="s">
        <v>196</v>
      </c>
      <c r="I92" s="29" t="s">
        <v>196</v>
      </c>
      <c r="J92" s="29" t="s">
        <v>196</v>
      </c>
      <c r="K92" s="29" t="s">
        <v>196</v>
      </c>
      <c r="L92" s="29" t="s">
        <v>196</v>
      </c>
      <c r="N92" s="49">
        <v>55</v>
      </c>
      <c r="O92" s="56" t="s">
        <v>282</v>
      </c>
      <c r="P92" s="53" t="s">
        <v>283</v>
      </c>
      <c r="Q92" s="23"/>
      <c r="R92" s="23"/>
      <c r="S92" s="52"/>
      <c r="T92" s="54" t="s">
        <v>285</v>
      </c>
      <c r="U92" s="23"/>
      <c r="V92" s="23"/>
      <c r="W92" s="23"/>
      <c r="X92" s="23"/>
      <c r="Y92" s="23"/>
      <c r="Z92" s="23"/>
      <c r="AA92" s="52"/>
    </row>
    <row r="93" spans="2:27" x14ac:dyDescent="0.25">
      <c r="B93" s="31"/>
      <c r="C93" s="31"/>
      <c r="D93" s="31"/>
      <c r="E93" s="31"/>
      <c r="F93" s="31"/>
      <c r="G93" s="31"/>
      <c r="H93" s="31"/>
      <c r="I93" s="31"/>
      <c r="J93" s="31"/>
      <c r="K93" s="31"/>
      <c r="L93" s="31"/>
      <c r="N93" s="24">
        <v>56</v>
      </c>
      <c r="O93" s="56" t="s">
        <v>282</v>
      </c>
      <c r="P93" s="53" t="s">
        <v>283</v>
      </c>
      <c r="Q93" s="23"/>
      <c r="R93" s="23"/>
      <c r="S93" s="52"/>
      <c r="T93" s="54" t="s">
        <v>286</v>
      </c>
      <c r="U93" s="23"/>
      <c r="V93" s="23"/>
      <c r="W93" s="23"/>
      <c r="X93" s="23"/>
      <c r="Y93" s="23"/>
      <c r="Z93" s="23"/>
      <c r="AA93" s="52"/>
    </row>
    <row r="94" spans="2:27" x14ac:dyDescent="0.25">
      <c r="B94" s="32">
        <v>10</v>
      </c>
      <c r="C94" s="32">
        <v>0</v>
      </c>
      <c r="D94" s="32">
        <f>C94/2</f>
        <v>0</v>
      </c>
      <c r="E94" s="32"/>
      <c r="F94" s="32"/>
      <c r="G94" s="32"/>
      <c r="H94" s="32"/>
      <c r="I94" s="32"/>
      <c r="J94" s="32"/>
      <c r="K94" s="32"/>
      <c r="L94" s="32"/>
      <c r="N94" s="49">
        <v>57</v>
      </c>
      <c r="O94" s="56" t="s">
        <v>282</v>
      </c>
      <c r="P94" s="53" t="s">
        <v>266</v>
      </c>
      <c r="Q94" s="23"/>
      <c r="R94" s="23"/>
      <c r="S94" s="52"/>
      <c r="T94" s="54" t="s">
        <v>287</v>
      </c>
      <c r="U94" s="23"/>
      <c r="V94" s="23"/>
      <c r="W94" s="23"/>
      <c r="X94" s="23"/>
      <c r="Y94" s="23"/>
      <c r="Z94" s="23"/>
      <c r="AA94" s="52"/>
    </row>
    <row r="95" spans="2:27" x14ac:dyDescent="0.25">
      <c r="B95" s="32">
        <v>10</v>
      </c>
      <c r="C95" s="32">
        <v>20</v>
      </c>
      <c r="D95" s="32">
        <f t="shared" ref="D95:D98" si="11">C95/2</f>
        <v>10</v>
      </c>
      <c r="E95" s="32"/>
      <c r="F95" s="32"/>
      <c r="G95" s="32"/>
      <c r="H95" s="32"/>
      <c r="I95" s="32"/>
      <c r="J95" s="32"/>
      <c r="K95" s="32"/>
      <c r="L95" s="32"/>
      <c r="N95" s="24">
        <v>58</v>
      </c>
      <c r="O95" s="56" t="s">
        <v>282</v>
      </c>
      <c r="P95" s="53" t="s">
        <v>276</v>
      </c>
      <c r="Q95" s="23"/>
      <c r="R95" s="23"/>
      <c r="S95" s="52"/>
      <c r="T95" s="54" t="s">
        <v>262</v>
      </c>
      <c r="U95" s="23"/>
      <c r="V95" s="23"/>
      <c r="W95" s="23"/>
      <c r="X95" s="23"/>
      <c r="Y95" s="23"/>
      <c r="Z95" s="23"/>
      <c r="AA95" s="52"/>
    </row>
    <row r="96" spans="2:27" x14ac:dyDescent="0.25">
      <c r="B96" s="32">
        <v>10</v>
      </c>
      <c r="C96" s="32">
        <v>40</v>
      </c>
      <c r="D96" s="32">
        <f t="shared" si="11"/>
        <v>20</v>
      </c>
      <c r="E96" s="32"/>
      <c r="F96" s="32"/>
      <c r="G96" s="32"/>
      <c r="H96" s="32"/>
      <c r="I96" s="32"/>
      <c r="J96" s="32"/>
      <c r="K96" s="32"/>
      <c r="L96" s="32"/>
      <c r="N96" s="49">
        <v>59</v>
      </c>
      <c r="O96" s="56" t="s">
        <v>282</v>
      </c>
      <c r="P96" s="53" t="s">
        <v>276</v>
      </c>
      <c r="Q96" s="23"/>
      <c r="R96" s="23"/>
      <c r="S96" s="52"/>
      <c r="T96" s="54" t="s">
        <v>261</v>
      </c>
      <c r="U96" s="23"/>
      <c r="V96" s="23"/>
      <c r="W96" s="23"/>
      <c r="X96" s="23"/>
      <c r="Y96" s="23"/>
      <c r="Z96" s="23"/>
      <c r="AA96" s="52"/>
    </row>
    <row r="97" spans="2:27" x14ac:dyDescent="0.25">
      <c r="B97" s="32">
        <v>10</v>
      </c>
      <c r="C97" s="32">
        <v>80</v>
      </c>
      <c r="D97" s="32">
        <f t="shared" si="11"/>
        <v>40</v>
      </c>
      <c r="E97" s="32"/>
      <c r="F97" s="32"/>
      <c r="G97" s="32"/>
      <c r="H97" s="32"/>
      <c r="I97" s="32"/>
      <c r="J97" s="32"/>
      <c r="K97" s="32"/>
      <c r="L97" s="32"/>
      <c r="N97" s="24">
        <v>60</v>
      </c>
      <c r="O97" s="56" t="s">
        <v>282</v>
      </c>
      <c r="P97" s="53" t="s">
        <v>288</v>
      </c>
      <c r="Q97" s="23"/>
      <c r="R97" s="23"/>
      <c r="S97" s="52"/>
      <c r="T97" s="54" t="s">
        <v>289</v>
      </c>
      <c r="U97" s="23"/>
      <c r="V97" s="23"/>
      <c r="W97" s="23"/>
      <c r="X97" s="23"/>
      <c r="Y97" s="23"/>
      <c r="Z97" s="23"/>
      <c r="AA97" s="52"/>
    </row>
    <row r="98" spans="2:27" x14ac:dyDescent="0.25">
      <c r="B98" s="32">
        <v>0</v>
      </c>
      <c r="C98" s="32">
        <v>-1</v>
      </c>
      <c r="D98" s="32">
        <f t="shared" si="11"/>
        <v>-0.5</v>
      </c>
      <c r="E98" s="32"/>
      <c r="F98" s="32"/>
      <c r="G98" s="32"/>
      <c r="H98" s="32"/>
      <c r="I98" s="32"/>
      <c r="J98" s="32"/>
      <c r="K98" s="32"/>
      <c r="L98" s="32"/>
      <c r="N98" s="49">
        <v>61</v>
      </c>
      <c r="O98" s="56" t="s">
        <v>282</v>
      </c>
      <c r="P98" s="53" t="s">
        <v>485</v>
      </c>
      <c r="Q98" s="23"/>
      <c r="R98" s="23"/>
      <c r="S98" s="52"/>
      <c r="T98" s="54" t="s">
        <v>484</v>
      </c>
      <c r="U98" s="23"/>
      <c r="V98" s="23"/>
      <c r="W98" s="23"/>
      <c r="X98" s="23"/>
      <c r="Y98" s="23"/>
      <c r="Z98" s="23"/>
      <c r="AA98" s="52"/>
    </row>
    <row r="99" spans="2:27" x14ac:dyDescent="0.25">
      <c r="B99" s="32"/>
      <c r="C99" s="32"/>
      <c r="D99" s="32"/>
      <c r="E99" s="32"/>
      <c r="F99" s="32"/>
      <c r="G99" s="32"/>
      <c r="H99" s="32"/>
      <c r="I99" s="32"/>
      <c r="J99" s="32"/>
      <c r="K99" s="32"/>
      <c r="L99" s="32"/>
      <c r="N99" s="24">
        <v>62</v>
      </c>
      <c r="O99" s="56" t="s">
        <v>282</v>
      </c>
      <c r="P99" s="53" t="s">
        <v>268</v>
      </c>
      <c r="Q99" s="23"/>
      <c r="R99" s="23"/>
      <c r="S99" s="52"/>
      <c r="T99" s="54" t="s">
        <v>269</v>
      </c>
      <c r="U99" s="23"/>
      <c r="V99" s="23"/>
      <c r="W99" s="23"/>
      <c r="X99" s="23"/>
      <c r="Y99" s="23"/>
      <c r="Z99" s="23"/>
      <c r="AA99" s="52"/>
    </row>
    <row r="100" spans="2:27" x14ac:dyDescent="0.25">
      <c r="B100" s="32"/>
      <c r="C100" s="32"/>
      <c r="D100" s="32"/>
      <c r="E100" s="32"/>
      <c r="F100" s="32"/>
      <c r="G100" s="32"/>
      <c r="H100" s="32"/>
      <c r="I100" s="32"/>
      <c r="J100" s="32"/>
      <c r="K100" s="32"/>
      <c r="L100" s="32"/>
      <c r="N100" s="49">
        <v>63</v>
      </c>
      <c r="O100" s="56" t="s">
        <v>282</v>
      </c>
      <c r="P100" s="53" t="s">
        <v>266</v>
      </c>
      <c r="Q100" s="23"/>
      <c r="R100" s="23"/>
      <c r="S100" s="52"/>
      <c r="T100" s="23" t="s">
        <v>270</v>
      </c>
      <c r="U100" s="23"/>
      <c r="V100" s="23"/>
      <c r="W100" s="23"/>
      <c r="X100" s="23"/>
      <c r="Y100" s="23"/>
      <c r="Z100" s="23"/>
      <c r="AA100" s="52"/>
    </row>
    <row r="101" spans="2:27" x14ac:dyDescent="0.25">
      <c r="B101" s="32"/>
      <c r="C101" s="32"/>
      <c r="D101" s="32"/>
      <c r="E101" s="32"/>
      <c r="F101" s="32"/>
      <c r="G101" s="32"/>
      <c r="H101" s="32"/>
      <c r="I101" s="32"/>
      <c r="J101" s="32"/>
      <c r="K101" s="32"/>
      <c r="L101" s="32"/>
      <c r="N101" s="24">
        <v>64</v>
      </c>
      <c r="O101" s="56" t="s">
        <v>282</v>
      </c>
      <c r="P101" s="53" t="s">
        <v>283</v>
      </c>
      <c r="Q101" s="23"/>
      <c r="R101" s="23"/>
      <c r="S101" s="52"/>
      <c r="T101" s="54" t="s">
        <v>534</v>
      </c>
      <c r="U101" s="23"/>
      <c r="V101" s="23"/>
      <c r="W101" s="23"/>
      <c r="X101" s="23"/>
      <c r="Y101" s="23"/>
      <c r="Z101" s="23"/>
      <c r="AA101" s="52"/>
    </row>
    <row r="102" spans="2:27" x14ac:dyDescent="0.25">
      <c r="B102" s="32"/>
      <c r="C102" s="32"/>
      <c r="D102" s="32"/>
      <c r="E102" s="32"/>
      <c r="F102" s="32"/>
      <c r="G102" s="32"/>
      <c r="H102" s="32"/>
      <c r="I102" s="32"/>
      <c r="J102" s="32"/>
      <c r="K102" s="32"/>
      <c r="L102" s="32"/>
      <c r="N102" s="49">
        <v>65</v>
      </c>
      <c r="O102" s="56" t="s">
        <v>282</v>
      </c>
      <c r="P102" s="53"/>
      <c r="Q102" s="23"/>
      <c r="R102" s="23"/>
      <c r="S102" s="52"/>
      <c r="T102" s="54"/>
      <c r="U102" s="23"/>
      <c r="V102" s="23"/>
      <c r="W102" s="23"/>
      <c r="X102" s="23"/>
      <c r="Y102" s="23"/>
      <c r="Z102" s="23"/>
      <c r="AA102" s="52"/>
    </row>
    <row r="103" spans="2:27" x14ac:dyDescent="0.25">
      <c r="B103" s="32"/>
      <c r="C103" s="32"/>
      <c r="D103" s="32"/>
      <c r="E103" s="32"/>
      <c r="F103" s="32"/>
      <c r="G103" s="32"/>
      <c r="H103" s="32"/>
      <c r="I103" s="32"/>
      <c r="J103" s="32"/>
      <c r="K103" s="32"/>
      <c r="L103" s="32"/>
      <c r="N103" s="24">
        <v>66</v>
      </c>
      <c r="O103" s="56" t="s">
        <v>282</v>
      </c>
      <c r="P103" s="53" t="s">
        <v>619</v>
      </c>
      <c r="Q103" s="23"/>
      <c r="R103" s="23"/>
      <c r="S103" s="52"/>
      <c r="T103" s="54" t="s">
        <v>625</v>
      </c>
      <c r="U103" s="23"/>
      <c r="V103" s="23"/>
      <c r="W103" s="23"/>
      <c r="X103" s="23"/>
      <c r="Y103" s="23"/>
      <c r="Z103" s="23"/>
      <c r="AA103" s="52"/>
    </row>
    <row r="104" spans="2:27" x14ac:dyDescent="0.25">
      <c r="B104" s="32"/>
      <c r="C104" s="32"/>
      <c r="D104" s="32"/>
      <c r="E104" s="32"/>
      <c r="F104" s="32"/>
      <c r="G104" s="32"/>
      <c r="H104" s="32"/>
      <c r="I104" s="32"/>
      <c r="J104" s="32"/>
      <c r="K104" s="32"/>
      <c r="L104" s="32"/>
      <c r="N104" s="49">
        <v>67</v>
      </c>
      <c r="O104" s="56" t="s">
        <v>282</v>
      </c>
      <c r="P104" s="53" t="s">
        <v>620</v>
      </c>
      <c r="Q104" s="23"/>
      <c r="R104" s="23"/>
      <c r="S104" s="52"/>
      <c r="T104" s="54" t="s">
        <v>626</v>
      </c>
      <c r="U104" s="23"/>
      <c r="V104" s="23"/>
      <c r="W104" s="23"/>
      <c r="X104" s="23"/>
      <c r="Y104" s="23"/>
      <c r="Z104" s="23"/>
      <c r="AA104" s="52"/>
    </row>
    <row r="105" spans="2:27" x14ac:dyDescent="0.25">
      <c r="B105" s="32"/>
      <c r="C105" s="32"/>
      <c r="D105" s="32"/>
      <c r="E105" s="32"/>
      <c r="F105" s="32"/>
      <c r="G105" s="32"/>
      <c r="H105" s="32"/>
      <c r="I105" s="32"/>
      <c r="J105" s="32"/>
      <c r="K105" s="32"/>
      <c r="L105" s="32"/>
      <c r="N105" s="24">
        <v>68</v>
      </c>
      <c r="O105" s="56" t="s">
        <v>282</v>
      </c>
      <c r="P105" s="53" t="s">
        <v>621</v>
      </c>
      <c r="Q105" s="23"/>
      <c r="R105" s="23"/>
      <c r="S105" s="52"/>
      <c r="T105" s="54" t="s">
        <v>627</v>
      </c>
      <c r="U105" s="23"/>
      <c r="V105" s="23"/>
      <c r="W105" s="23"/>
      <c r="X105" s="23"/>
      <c r="Y105" s="23"/>
      <c r="Z105" s="23"/>
      <c r="AA105" s="52"/>
    </row>
    <row r="106" spans="2:27" x14ac:dyDescent="0.25">
      <c r="B106" s="32"/>
      <c r="C106" s="32"/>
      <c r="D106" s="32"/>
      <c r="E106" s="32"/>
      <c r="F106" s="32"/>
      <c r="G106" s="32"/>
      <c r="H106" s="32"/>
      <c r="I106" s="32"/>
      <c r="J106" s="32"/>
      <c r="K106" s="32"/>
      <c r="L106" s="32"/>
      <c r="N106" s="49">
        <v>69</v>
      </c>
      <c r="O106" s="56" t="s">
        <v>282</v>
      </c>
      <c r="P106" s="53" t="s">
        <v>622</v>
      </c>
      <c r="Q106" s="23"/>
      <c r="R106" s="23"/>
      <c r="S106" s="52"/>
      <c r="T106" s="54" t="s">
        <v>628</v>
      </c>
      <c r="U106" s="23"/>
      <c r="V106" s="23"/>
      <c r="W106" s="23"/>
      <c r="X106" s="23"/>
      <c r="Y106" s="23"/>
      <c r="Z106" s="23"/>
      <c r="AA106" s="52"/>
    </row>
    <row r="107" spans="2:27" x14ac:dyDescent="0.25">
      <c r="B107" s="32"/>
      <c r="C107" s="32"/>
      <c r="D107" s="32"/>
      <c r="E107" s="32"/>
      <c r="F107" s="32"/>
      <c r="G107" s="32"/>
      <c r="H107" s="32"/>
      <c r="I107" s="32"/>
      <c r="J107" s="32"/>
      <c r="K107" s="32"/>
      <c r="L107" s="32"/>
      <c r="N107" s="24">
        <v>70</v>
      </c>
      <c r="O107" s="56" t="s">
        <v>282</v>
      </c>
      <c r="P107" s="53" t="s">
        <v>623</v>
      </c>
      <c r="Q107" s="23"/>
      <c r="R107" s="23"/>
      <c r="S107" s="52"/>
      <c r="T107" s="54" t="s">
        <v>629</v>
      </c>
      <c r="U107" s="23"/>
      <c r="V107" s="173"/>
      <c r="W107" s="173"/>
      <c r="X107" s="173"/>
      <c r="Y107" s="173"/>
      <c r="Z107" s="173"/>
      <c r="AA107" s="174"/>
    </row>
    <row r="108" spans="2:27" x14ac:dyDescent="0.25">
      <c r="B108" s="32"/>
      <c r="C108" s="32"/>
      <c r="D108" s="32"/>
      <c r="E108" s="32"/>
      <c r="F108" s="32"/>
      <c r="G108" s="32"/>
      <c r="H108" s="32"/>
      <c r="I108" s="32"/>
      <c r="J108" s="32"/>
      <c r="K108" s="32"/>
      <c r="L108" s="32"/>
      <c r="N108" s="49">
        <v>71</v>
      </c>
      <c r="O108" s="56" t="s">
        <v>282</v>
      </c>
      <c r="P108" s="53" t="s">
        <v>624</v>
      </c>
      <c r="Q108" s="23"/>
      <c r="R108" s="23"/>
      <c r="S108" s="52"/>
      <c r="T108" s="54" t="s">
        <v>630</v>
      </c>
      <c r="U108" s="23"/>
      <c r="V108" s="173"/>
      <c r="W108" s="173"/>
      <c r="X108" s="173"/>
      <c r="Y108" s="173"/>
      <c r="Z108" s="173"/>
      <c r="AA108" s="174"/>
    </row>
    <row r="109" spans="2:27" x14ac:dyDescent="0.25">
      <c r="N109" s="24">
        <v>72</v>
      </c>
      <c r="O109" s="212" t="s">
        <v>282</v>
      </c>
      <c r="P109" s="213" t="s">
        <v>632</v>
      </c>
      <c r="Q109" s="173"/>
      <c r="R109" s="173"/>
      <c r="S109" s="174"/>
      <c r="T109" s="214" t="s">
        <v>633</v>
      </c>
      <c r="U109" s="173"/>
      <c r="V109" s="173"/>
      <c r="W109" s="173"/>
      <c r="X109" s="173"/>
      <c r="Y109" s="173"/>
      <c r="Z109" s="173"/>
      <c r="AA109" s="174"/>
    </row>
    <row r="110" spans="2:27" x14ac:dyDescent="0.25">
      <c r="N110" s="49">
        <v>73</v>
      </c>
      <c r="O110" s="212" t="s">
        <v>282</v>
      </c>
      <c r="P110" s="213" t="s">
        <v>634</v>
      </c>
      <c r="Q110" s="173"/>
      <c r="R110" s="173"/>
      <c r="S110" s="174"/>
      <c r="T110" s="214" t="s">
        <v>639</v>
      </c>
      <c r="U110" s="173"/>
      <c r="V110" s="173"/>
      <c r="W110" s="173"/>
      <c r="X110" s="173"/>
      <c r="Y110" s="173"/>
      <c r="Z110" s="173"/>
      <c r="AA110" s="174"/>
    </row>
    <row r="111" spans="2:27" x14ac:dyDescent="0.25">
      <c r="N111" s="24">
        <v>74</v>
      </c>
      <c r="O111" s="212" t="s">
        <v>282</v>
      </c>
      <c r="P111" s="213" t="s">
        <v>635</v>
      </c>
      <c r="Q111" s="173"/>
      <c r="R111" s="173"/>
      <c r="S111" s="174"/>
      <c r="T111" s="214" t="s">
        <v>640</v>
      </c>
      <c r="U111" s="173"/>
      <c r="V111" s="173"/>
      <c r="W111" s="173"/>
      <c r="X111" s="173"/>
      <c r="Y111" s="173"/>
      <c r="Z111" s="173"/>
      <c r="AA111" s="174"/>
    </row>
    <row r="112" spans="2:27" x14ac:dyDescent="0.25">
      <c r="N112" s="49">
        <v>75</v>
      </c>
      <c r="O112" s="212" t="s">
        <v>282</v>
      </c>
      <c r="P112" s="213" t="s">
        <v>636</v>
      </c>
      <c r="Q112" s="173"/>
      <c r="R112" s="173"/>
      <c r="S112" s="174"/>
      <c r="T112" s="214" t="s">
        <v>641</v>
      </c>
      <c r="U112" s="173"/>
      <c r="V112" s="173"/>
      <c r="W112" s="173"/>
      <c r="X112" s="173"/>
      <c r="Y112" s="173"/>
      <c r="Z112" s="173"/>
      <c r="AA112" s="174"/>
    </row>
    <row r="113" spans="14:27" x14ac:dyDescent="0.25">
      <c r="N113" s="24">
        <v>76</v>
      </c>
      <c r="O113" s="212" t="s">
        <v>282</v>
      </c>
      <c r="P113" s="213" t="s">
        <v>637</v>
      </c>
      <c r="Q113" s="173"/>
      <c r="R113" s="173"/>
      <c r="S113" s="174"/>
      <c r="T113" s="214" t="s">
        <v>642</v>
      </c>
      <c r="U113" s="173"/>
      <c r="V113" s="173"/>
      <c r="W113" s="173"/>
      <c r="X113" s="173"/>
      <c r="Y113" s="173"/>
      <c r="Z113" s="173"/>
      <c r="AA113" s="174"/>
    </row>
    <row r="114" spans="14:27" x14ac:dyDescent="0.25">
      <c r="N114" s="49">
        <v>77</v>
      </c>
      <c r="O114" s="212" t="s">
        <v>282</v>
      </c>
      <c r="P114" s="213" t="s">
        <v>638</v>
      </c>
      <c r="Q114" s="173"/>
      <c r="R114" s="173"/>
      <c r="S114" s="174"/>
      <c r="T114" s="214" t="s">
        <v>643</v>
      </c>
      <c r="U114" s="173"/>
      <c r="V114" s="173"/>
      <c r="W114" s="173"/>
      <c r="X114" s="173"/>
      <c r="Y114" s="173"/>
      <c r="Z114" s="173"/>
      <c r="AA114" s="174"/>
    </row>
    <row r="115" spans="14:27" x14ac:dyDescent="0.25">
      <c r="N115" s="24">
        <v>78</v>
      </c>
      <c r="O115" s="212"/>
      <c r="P115" s="213"/>
      <c r="Q115" s="173"/>
      <c r="R115" s="173"/>
      <c r="S115" s="174"/>
      <c r="T115" s="214"/>
      <c r="U115" s="173"/>
      <c r="V115" s="173"/>
      <c r="W115" s="173"/>
      <c r="X115" s="173"/>
      <c r="Y115" s="173"/>
      <c r="Z115" s="173"/>
      <c r="AA115" s="174"/>
    </row>
    <row r="116" spans="14:27" x14ac:dyDescent="0.25">
      <c r="N116" s="224">
        <v>79</v>
      </c>
      <c r="O116" s="212" t="s">
        <v>664</v>
      </c>
      <c r="P116" s="213" t="s">
        <v>680</v>
      </c>
      <c r="Q116" s="173"/>
      <c r="R116" s="173"/>
      <c r="S116" s="174"/>
      <c r="T116" s="214" t="s">
        <v>681</v>
      </c>
      <c r="U116" s="173"/>
      <c r="V116" s="173"/>
      <c r="W116" s="173"/>
      <c r="X116" s="173"/>
      <c r="Y116" s="173"/>
      <c r="Z116" s="173"/>
      <c r="AA116" s="174"/>
    </row>
    <row r="117" spans="14:27" x14ac:dyDescent="0.25">
      <c r="N117" s="239">
        <v>80</v>
      </c>
      <c r="O117" s="277" t="s">
        <v>664</v>
      </c>
      <c r="P117" s="331" t="s">
        <v>665</v>
      </c>
      <c r="Q117" s="331"/>
      <c r="R117" s="331"/>
      <c r="S117" s="331"/>
      <c r="T117" s="328" t="s">
        <v>667</v>
      </c>
      <c r="U117" s="329"/>
      <c r="V117" s="329"/>
      <c r="W117" s="329"/>
      <c r="X117" s="329"/>
      <c r="Y117" s="329"/>
      <c r="Z117" s="329"/>
      <c r="AA117" s="330"/>
    </row>
    <row r="118" spans="14:27" x14ac:dyDescent="0.25">
      <c r="N118" s="239">
        <v>81</v>
      </c>
      <c r="O118" s="277" t="s">
        <v>664</v>
      </c>
      <c r="P118" s="331" t="s">
        <v>666</v>
      </c>
      <c r="Q118" s="331"/>
      <c r="R118" s="331"/>
      <c r="S118" s="331"/>
      <c r="T118" s="328" t="s">
        <v>668</v>
      </c>
      <c r="U118" s="329"/>
      <c r="V118" s="329"/>
      <c r="W118" s="329"/>
      <c r="X118" s="329"/>
      <c r="Y118" s="329"/>
      <c r="Z118" s="329"/>
      <c r="AA118" s="330"/>
    </row>
    <row r="119" spans="14:27" x14ac:dyDescent="0.25">
      <c r="N119" s="239">
        <v>82</v>
      </c>
      <c r="O119" s="277" t="s">
        <v>664</v>
      </c>
      <c r="P119" s="331" t="s">
        <v>665</v>
      </c>
      <c r="Q119" s="331"/>
      <c r="R119" s="331"/>
      <c r="S119" s="331"/>
      <c r="T119" s="328" t="s">
        <v>672</v>
      </c>
      <c r="U119" s="329"/>
      <c r="V119" s="329"/>
      <c r="W119" s="329"/>
      <c r="X119" s="329"/>
      <c r="Y119" s="329"/>
      <c r="Z119" s="329"/>
      <c r="AA119" s="330"/>
    </row>
    <row r="120" spans="14:27" x14ac:dyDescent="0.25">
      <c r="N120" s="239">
        <v>83</v>
      </c>
      <c r="O120" s="277" t="s">
        <v>664</v>
      </c>
      <c r="P120" s="331" t="s">
        <v>666</v>
      </c>
      <c r="Q120" s="331"/>
      <c r="R120" s="331"/>
      <c r="S120" s="331"/>
      <c r="T120" s="328" t="s">
        <v>669</v>
      </c>
      <c r="U120" s="329"/>
      <c r="V120" s="329"/>
      <c r="W120" s="329"/>
      <c r="X120" s="329"/>
      <c r="Y120" s="329"/>
      <c r="Z120" s="329"/>
      <c r="AA120" s="330"/>
    </row>
    <row r="121" spans="14:27" x14ac:dyDescent="0.25">
      <c r="N121" s="239">
        <v>84</v>
      </c>
      <c r="O121" s="277" t="s">
        <v>664</v>
      </c>
      <c r="P121" s="331" t="s">
        <v>665</v>
      </c>
      <c r="Q121" s="331"/>
      <c r="R121" s="331"/>
      <c r="S121" s="331"/>
      <c r="T121" s="328" t="s">
        <v>670</v>
      </c>
      <c r="U121" s="329"/>
      <c r="V121" s="329"/>
      <c r="W121" s="329"/>
      <c r="X121" s="329"/>
      <c r="Y121" s="329"/>
      <c r="Z121" s="329"/>
      <c r="AA121" s="330"/>
    </row>
    <row r="122" spans="14:27" x14ac:dyDescent="0.25">
      <c r="N122" s="239">
        <v>85</v>
      </c>
      <c r="O122" s="277" t="s">
        <v>664</v>
      </c>
      <c r="P122" s="331" t="s">
        <v>666</v>
      </c>
      <c r="Q122" s="331"/>
      <c r="R122" s="331"/>
      <c r="S122" s="331"/>
      <c r="T122" s="328" t="s">
        <v>671</v>
      </c>
      <c r="U122" s="329"/>
      <c r="V122" s="329"/>
      <c r="W122" s="329"/>
      <c r="X122" s="329"/>
      <c r="Y122" s="329"/>
      <c r="Z122" s="329"/>
      <c r="AA122" s="330"/>
    </row>
    <row r="123" spans="14:27" x14ac:dyDescent="0.25">
      <c r="N123" s="239">
        <v>86</v>
      </c>
      <c r="O123" s="276" t="s">
        <v>664</v>
      </c>
      <c r="P123" s="331" t="s">
        <v>675</v>
      </c>
      <c r="Q123" s="331"/>
      <c r="R123" s="331"/>
      <c r="S123" s="331"/>
      <c r="T123" s="331" t="s">
        <v>684</v>
      </c>
      <c r="U123" s="331"/>
      <c r="V123" s="331"/>
      <c r="W123" s="331"/>
      <c r="X123" s="331"/>
      <c r="Y123" s="331"/>
      <c r="Z123" s="331"/>
      <c r="AA123" s="331"/>
    </row>
    <row r="124" spans="14:27" x14ac:dyDescent="0.25">
      <c r="N124" s="239">
        <v>87</v>
      </c>
      <c r="O124" s="276"/>
      <c r="P124" s="332"/>
      <c r="Q124" s="332"/>
      <c r="R124" s="332"/>
      <c r="S124" s="332"/>
      <c r="T124" s="332"/>
      <c r="U124" s="332"/>
      <c r="V124" s="332"/>
      <c r="W124" s="332"/>
      <c r="X124" s="332"/>
      <c r="Y124" s="332"/>
      <c r="Z124" s="332"/>
      <c r="AA124" s="332"/>
    </row>
    <row r="125" spans="14:27" x14ac:dyDescent="0.25">
      <c r="N125" s="239">
        <v>88</v>
      </c>
      <c r="O125" s="276"/>
      <c r="P125" s="332"/>
      <c r="Q125" s="332"/>
      <c r="R125" s="332"/>
      <c r="S125" s="332"/>
      <c r="T125" s="332"/>
      <c r="U125" s="332"/>
      <c r="V125" s="332"/>
      <c r="W125" s="332"/>
      <c r="X125" s="332"/>
      <c r="Y125" s="332"/>
      <c r="Z125" s="332"/>
      <c r="AA125" s="332"/>
    </row>
    <row r="126" spans="14:27" x14ac:dyDescent="0.25">
      <c r="N126" s="239">
        <v>89</v>
      </c>
      <c r="O126" s="276"/>
      <c r="P126" s="332"/>
      <c r="Q126" s="332"/>
      <c r="R126" s="332"/>
      <c r="S126" s="332"/>
      <c r="T126" s="332"/>
      <c r="U126" s="332"/>
      <c r="V126" s="332"/>
      <c r="W126" s="332"/>
      <c r="X126" s="332"/>
      <c r="Y126" s="332"/>
      <c r="Z126" s="332"/>
      <c r="AA126" s="332"/>
    </row>
  </sheetData>
  <mergeCells count="31">
    <mergeCell ref="B2:AE2"/>
    <mergeCell ref="B73:L73"/>
    <mergeCell ref="S18:X18"/>
    <mergeCell ref="AC35:AE35"/>
    <mergeCell ref="N35:AA35"/>
    <mergeCell ref="B18:L18"/>
    <mergeCell ref="N18:Q18"/>
    <mergeCell ref="Z26:AB26"/>
    <mergeCell ref="Z18:AB18"/>
    <mergeCell ref="AD18:AG18"/>
    <mergeCell ref="P126:S126"/>
    <mergeCell ref="P117:S117"/>
    <mergeCell ref="P118:S118"/>
    <mergeCell ref="P119:S119"/>
    <mergeCell ref="P120:S120"/>
    <mergeCell ref="P121:S121"/>
    <mergeCell ref="T126:AA126"/>
    <mergeCell ref="T117:AA117"/>
    <mergeCell ref="T118:AA118"/>
    <mergeCell ref="T119:AA119"/>
    <mergeCell ref="T120:AA120"/>
    <mergeCell ref="T121:AA121"/>
    <mergeCell ref="B91:L91"/>
    <mergeCell ref="T122:AA122"/>
    <mergeCell ref="T123:AA123"/>
    <mergeCell ref="T124:AA124"/>
    <mergeCell ref="T125:AA125"/>
    <mergeCell ref="P122:S122"/>
    <mergeCell ref="P123:S123"/>
    <mergeCell ref="P124:S124"/>
    <mergeCell ref="P125:S125"/>
  </mergeCells>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14</xdr:col>
                    <xdr:colOff>0</xdr:colOff>
                    <xdr:row>20</xdr:row>
                    <xdr:rowOff>180975</xdr:rowOff>
                  </from>
                  <to>
                    <xdr:col>14</xdr:col>
                    <xdr:colOff>409575</xdr:colOff>
                    <xdr:row>22</xdr:row>
                    <xdr:rowOff>76200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14</xdr:col>
                    <xdr:colOff>0</xdr:colOff>
                    <xdr:row>21</xdr:row>
                    <xdr:rowOff>180975</xdr:rowOff>
                  </from>
                  <to>
                    <xdr:col>14</xdr:col>
                    <xdr:colOff>409575</xdr:colOff>
                    <xdr:row>23</xdr:row>
                    <xdr:rowOff>66675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14</xdr:col>
                    <xdr:colOff>0</xdr:colOff>
                    <xdr:row>22</xdr:row>
                    <xdr:rowOff>180975</xdr:rowOff>
                  </from>
                  <to>
                    <xdr:col>14</xdr:col>
                    <xdr:colOff>409575</xdr:colOff>
                    <xdr:row>24</xdr:row>
                    <xdr:rowOff>76200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14</xdr:col>
                    <xdr:colOff>0</xdr:colOff>
                    <xdr:row>23</xdr:row>
                    <xdr:rowOff>180975</xdr:rowOff>
                  </from>
                  <to>
                    <xdr:col>14</xdr:col>
                    <xdr:colOff>409575</xdr:colOff>
                    <xdr:row>25</xdr:row>
                    <xdr:rowOff>66675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14</xdr:col>
                    <xdr:colOff>0</xdr:colOff>
                    <xdr:row>24</xdr:row>
                    <xdr:rowOff>180975</xdr:rowOff>
                  </from>
                  <to>
                    <xdr:col>14</xdr:col>
                    <xdr:colOff>409575</xdr:colOff>
                    <xdr:row>26</xdr:row>
                    <xdr:rowOff>66675</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14</xdr:col>
                    <xdr:colOff>0</xdr:colOff>
                    <xdr:row>25</xdr:row>
                    <xdr:rowOff>180975</xdr:rowOff>
                  </from>
                  <to>
                    <xdr:col>14</xdr:col>
                    <xdr:colOff>409575</xdr:colOff>
                    <xdr:row>27</xdr:row>
                    <xdr:rowOff>66675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14</xdr:col>
                    <xdr:colOff>0</xdr:colOff>
                    <xdr:row>26</xdr:row>
                    <xdr:rowOff>180975</xdr:rowOff>
                  </from>
                  <to>
                    <xdr:col>14</xdr:col>
                    <xdr:colOff>409575</xdr:colOff>
                    <xdr:row>28</xdr:row>
                    <xdr:rowOff>66675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14</xdr:col>
                    <xdr:colOff>0</xdr:colOff>
                    <xdr:row>27</xdr:row>
                    <xdr:rowOff>180975</xdr:rowOff>
                  </from>
                  <to>
                    <xdr:col>14</xdr:col>
                    <xdr:colOff>409575</xdr:colOff>
                    <xdr:row>29</xdr:row>
                    <xdr:rowOff>66675</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14</xdr:col>
                    <xdr:colOff>0</xdr:colOff>
                    <xdr:row>28</xdr:row>
                    <xdr:rowOff>180975</xdr:rowOff>
                  </from>
                  <to>
                    <xdr:col>14</xdr:col>
                    <xdr:colOff>409575</xdr:colOff>
                    <xdr:row>30</xdr:row>
                    <xdr:rowOff>66675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14</xdr:col>
                    <xdr:colOff>0</xdr:colOff>
                    <xdr:row>29</xdr:row>
                    <xdr:rowOff>180975</xdr:rowOff>
                  </from>
                  <to>
                    <xdr:col>14</xdr:col>
                    <xdr:colOff>409575</xdr:colOff>
                    <xdr:row>31</xdr:row>
                    <xdr:rowOff>66675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14</xdr:col>
                    <xdr:colOff>0</xdr:colOff>
                    <xdr:row>30</xdr:row>
                    <xdr:rowOff>180975</xdr:rowOff>
                  </from>
                  <to>
                    <xdr:col>14</xdr:col>
                    <xdr:colOff>409575</xdr:colOff>
                    <xdr:row>32</xdr:row>
                    <xdr:rowOff>66675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14</xdr:col>
                    <xdr:colOff>0</xdr:colOff>
                    <xdr:row>18</xdr:row>
                    <xdr:rowOff>180975</xdr:rowOff>
                  </from>
                  <to>
                    <xdr:col>14</xdr:col>
                    <xdr:colOff>409575</xdr:colOff>
                    <xdr:row>20</xdr:row>
                    <xdr:rowOff>76200</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14</xdr:col>
                    <xdr:colOff>0</xdr:colOff>
                    <xdr:row>19</xdr:row>
                    <xdr:rowOff>180975</xdr:rowOff>
                  </from>
                  <to>
                    <xdr:col>14</xdr:col>
                    <xdr:colOff>409575</xdr:colOff>
                    <xdr:row>21</xdr:row>
                    <xdr:rowOff>76200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14</xdr:col>
                    <xdr:colOff>0</xdr:colOff>
                    <xdr:row>31</xdr:row>
                    <xdr:rowOff>180975</xdr:rowOff>
                  </from>
                  <to>
                    <xdr:col>14</xdr:col>
                    <xdr:colOff>409575</xdr:colOff>
                    <xdr:row>33</xdr:row>
                    <xdr:rowOff>66675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67" r:id="rId21" name="Check Box 19">
              <controlPr defaultSize="0" autoFill="0" autoLine="0" autoPict="0">
                <anchor moveWithCells="1">
                  <from>
                    <xdr:col>30</xdr:col>
                    <xdr:colOff>0</xdr:colOff>
                    <xdr:row>20</xdr:row>
                    <xdr:rowOff>180975</xdr:rowOff>
                  </from>
                  <to>
                    <xdr:col>30</xdr:col>
                    <xdr:colOff>409575</xdr:colOff>
                    <xdr:row>22</xdr:row>
                    <xdr:rowOff>76200</xdr:rowOff>
                  </to>
                </anchor>
              </controlPr>
            </control>
          </mc:Choice>
        </mc:AlternateContent>
        <mc:AlternateContent xmlns:mc="http://schemas.openxmlformats.org/markup-compatibility/2006">
          <mc:Choice Requires="x14">
            <control shapeId="2068" r:id="rId22" name="Check Box 20">
              <controlPr defaultSize="0" autoFill="0" autoLine="0" autoPict="0">
                <anchor moveWithCells="1">
                  <from>
                    <xdr:col>30</xdr:col>
                    <xdr:colOff>0</xdr:colOff>
                    <xdr:row>21</xdr:row>
                    <xdr:rowOff>180975</xdr:rowOff>
                  </from>
                  <to>
                    <xdr:col>30</xdr:col>
                    <xdr:colOff>409575</xdr:colOff>
                    <xdr:row>23</xdr:row>
                    <xdr:rowOff>66675</xdr:rowOff>
                  </to>
                </anchor>
              </controlPr>
            </control>
          </mc:Choice>
        </mc:AlternateContent>
        <mc:AlternateContent xmlns:mc="http://schemas.openxmlformats.org/markup-compatibility/2006">
          <mc:Choice Requires="x14">
            <control shapeId="2069" r:id="rId23" name="Check Box 21">
              <controlPr defaultSize="0" autoFill="0" autoLine="0" autoPict="0">
                <anchor moveWithCells="1">
                  <from>
                    <xdr:col>30</xdr:col>
                    <xdr:colOff>0</xdr:colOff>
                    <xdr:row>22</xdr:row>
                    <xdr:rowOff>180975</xdr:rowOff>
                  </from>
                  <to>
                    <xdr:col>30</xdr:col>
                    <xdr:colOff>409575</xdr:colOff>
                    <xdr:row>24</xdr:row>
                    <xdr:rowOff>76200</xdr:rowOff>
                  </to>
                </anchor>
              </controlPr>
            </control>
          </mc:Choice>
        </mc:AlternateContent>
        <mc:AlternateContent xmlns:mc="http://schemas.openxmlformats.org/markup-compatibility/2006">
          <mc:Choice Requires="x14">
            <control shapeId="2070" r:id="rId24" name="Check Box 22">
              <controlPr defaultSize="0" autoFill="0" autoLine="0" autoPict="0">
                <anchor moveWithCells="1">
                  <from>
                    <xdr:col>30</xdr:col>
                    <xdr:colOff>0</xdr:colOff>
                    <xdr:row>23</xdr:row>
                    <xdr:rowOff>180975</xdr:rowOff>
                  </from>
                  <to>
                    <xdr:col>30</xdr:col>
                    <xdr:colOff>409575</xdr:colOff>
                    <xdr:row>25</xdr:row>
                    <xdr:rowOff>66675</xdr:rowOff>
                  </to>
                </anchor>
              </controlPr>
            </control>
          </mc:Choice>
        </mc:AlternateContent>
        <mc:AlternateContent xmlns:mc="http://schemas.openxmlformats.org/markup-compatibility/2006">
          <mc:Choice Requires="x14">
            <control shapeId="2071" r:id="rId25" name="Check Box 23">
              <controlPr defaultSize="0" autoFill="0" autoLine="0" autoPict="0">
                <anchor moveWithCells="1">
                  <from>
                    <xdr:col>30</xdr:col>
                    <xdr:colOff>0</xdr:colOff>
                    <xdr:row>24</xdr:row>
                    <xdr:rowOff>180975</xdr:rowOff>
                  </from>
                  <to>
                    <xdr:col>30</xdr:col>
                    <xdr:colOff>409575</xdr:colOff>
                    <xdr:row>26</xdr:row>
                    <xdr:rowOff>66675</xdr:rowOff>
                  </to>
                </anchor>
              </controlPr>
            </control>
          </mc:Choice>
        </mc:AlternateContent>
        <mc:AlternateContent xmlns:mc="http://schemas.openxmlformats.org/markup-compatibility/2006">
          <mc:Choice Requires="x14">
            <control shapeId="2072" r:id="rId26" name="Check Box 24">
              <controlPr defaultSize="0" autoFill="0" autoLine="0" autoPict="0">
                <anchor moveWithCells="1">
                  <from>
                    <xdr:col>30</xdr:col>
                    <xdr:colOff>0</xdr:colOff>
                    <xdr:row>25</xdr:row>
                    <xdr:rowOff>180975</xdr:rowOff>
                  </from>
                  <to>
                    <xdr:col>30</xdr:col>
                    <xdr:colOff>409575</xdr:colOff>
                    <xdr:row>27</xdr:row>
                    <xdr:rowOff>66675</xdr:rowOff>
                  </to>
                </anchor>
              </controlPr>
            </control>
          </mc:Choice>
        </mc:AlternateContent>
        <mc:AlternateContent xmlns:mc="http://schemas.openxmlformats.org/markup-compatibility/2006">
          <mc:Choice Requires="x14">
            <control shapeId="2073" r:id="rId27" name="Check Box 25">
              <controlPr defaultSize="0" autoFill="0" autoLine="0" autoPict="0">
                <anchor moveWithCells="1">
                  <from>
                    <xdr:col>30</xdr:col>
                    <xdr:colOff>0</xdr:colOff>
                    <xdr:row>26</xdr:row>
                    <xdr:rowOff>180975</xdr:rowOff>
                  </from>
                  <to>
                    <xdr:col>30</xdr:col>
                    <xdr:colOff>409575</xdr:colOff>
                    <xdr:row>28</xdr:row>
                    <xdr:rowOff>66675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30</xdr:col>
                    <xdr:colOff>0</xdr:colOff>
                    <xdr:row>27</xdr:row>
                    <xdr:rowOff>180975</xdr:rowOff>
                  </from>
                  <to>
                    <xdr:col>30</xdr:col>
                    <xdr:colOff>409575</xdr:colOff>
                    <xdr:row>29</xdr:row>
                    <xdr:rowOff>66675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30</xdr:col>
                    <xdr:colOff>0</xdr:colOff>
                    <xdr:row>28</xdr:row>
                    <xdr:rowOff>180975</xdr:rowOff>
                  </from>
                  <to>
                    <xdr:col>30</xdr:col>
                    <xdr:colOff>409575</xdr:colOff>
                    <xdr:row>30</xdr:row>
                    <xdr:rowOff>66675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30</xdr:col>
                    <xdr:colOff>0</xdr:colOff>
                    <xdr:row>29</xdr:row>
                    <xdr:rowOff>180975</xdr:rowOff>
                  </from>
                  <to>
                    <xdr:col>30</xdr:col>
                    <xdr:colOff>409575</xdr:colOff>
                    <xdr:row>31</xdr:row>
                    <xdr:rowOff>66675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30</xdr:col>
                    <xdr:colOff>0</xdr:colOff>
                    <xdr:row>30</xdr:row>
                    <xdr:rowOff>180975</xdr:rowOff>
                  </from>
                  <to>
                    <xdr:col>30</xdr:col>
                    <xdr:colOff>409575</xdr:colOff>
                    <xdr:row>32</xdr:row>
                    <xdr:rowOff>66675</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30</xdr:col>
                    <xdr:colOff>0</xdr:colOff>
                    <xdr:row>18</xdr:row>
                    <xdr:rowOff>180975</xdr:rowOff>
                  </from>
                  <to>
                    <xdr:col>30</xdr:col>
                    <xdr:colOff>409575</xdr:colOff>
                    <xdr:row>20</xdr:row>
                    <xdr:rowOff>76200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30</xdr:col>
                    <xdr:colOff>0</xdr:colOff>
                    <xdr:row>19</xdr:row>
                    <xdr:rowOff>180975</xdr:rowOff>
                  </from>
                  <to>
                    <xdr:col>30</xdr:col>
                    <xdr:colOff>409575</xdr:colOff>
                    <xdr:row>21</xdr:row>
                    <xdr:rowOff>76200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30</xdr:col>
                    <xdr:colOff>0</xdr:colOff>
                    <xdr:row>31</xdr:row>
                    <xdr:rowOff>180975</xdr:rowOff>
                  </from>
                  <to>
                    <xdr:col>30</xdr:col>
                    <xdr:colOff>409575</xdr:colOff>
                    <xdr:row>33</xdr:row>
                    <xdr:rowOff>66675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30" t="s">
        <v>234</v>
      </c>
      <c r="C3" s="30" t="s">
        <v>232</v>
      </c>
      <c r="D3" s="30" t="s">
        <v>193</v>
      </c>
      <c r="E3" s="38" t="s">
        <v>233</v>
      </c>
      <c r="F3" s="39"/>
      <c r="G3" s="40"/>
      <c r="I3" s="30" t="s">
        <v>234</v>
      </c>
      <c r="J3" s="30" t="s">
        <v>232</v>
      </c>
      <c r="K3" s="30" t="s">
        <v>193</v>
      </c>
      <c r="L3" s="38" t="s">
        <v>233</v>
      </c>
      <c r="M3" s="39"/>
      <c r="N3" s="40"/>
      <c r="P3" s="79" t="s">
        <v>326</v>
      </c>
      <c r="Q3" s="79" t="s">
        <v>327</v>
      </c>
      <c r="R3" s="79" t="s">
        <v>328</v>
      </c>
      <c r="S3" s="79" t="s">
        <v>329</v>
      </c>
      <c r="T3" s="79" t="s">
        <v>330</v>
      </c>
      <c r="U3" s="79" t="s">
        <v>331</v>
      </c>
      <c r="V3" s="79" t="s">
        <v>332</v>
      </c>
      <c r="W3" s="79" t="s">
        <v>333</v>
      </c>
      <c r="X3" s="79" t="s">
        <v>334</v>
      </c>
      <c r="Y3" s="79" t="s">
        <v>335</v>
      </c>
      <c r="Z3" s="79" t="s">
        <v>336</v>
      </c>
      <c r="AA3" s="79" t="s">
        <v>337</v>
      </c>
      <c r="AB3" s="79" t="s">
        <v>338</v>
      </c>
      <c r="AC3" s="79" t="s">
        <v>339</v>
      </c>
      <c r="AD3" s="79" t="s">
        <v>340</v>
      </c>
      <c r="AE3" s="79" t="s">
        <v>341</v>
      </c>
      <c r="AF3" s="79" t="s">
        <v>342</v>
      </c>
    </row>
    <row r="4" spans="2:32" x14ac:dyDescent="0.25">
      <c r="B4" s="41">
        <v>0</v>
      </c>
      <c r="C4" s="41" t="str">
        <f>CONCATENATE("0x",DEC2HEX(B4,3))</f>
        <v>0x000</v>
      </c>
      <c r="D4" s="65" t="s">
        <v>49</v>
      </c>
      <c r="E4" s="44" t="s">
        <v>50</v>
      </c>
      <c r="F4" s="45"/>
      <c r="G4" s="46"/>
      <c r="I4" s="41">
        <v>0</v>
      </c>
      <c r="J4" s="41" t="str">
        <f>CONCATENATE("0x",DEC2HEX(I4,3))</f>
        <v>0x000</v>
      </c>
      <c r="K4" s="65" t="s">
        <v>49</v>
      </c>
      <c r="L4" s="44" t="s">
        <v>50</v>
      </c>
      <c r="M4" s="45"/>
      <c r="N4" s="46"/>
      <c r="P4" s="79" t="s">
        <v>327</v>
      </c>
      <c r="Q4" s="80">
        <v>0</v>
      </c>
      <c r="R4" s="80">
        <f>Q4+1</f>
        <v>1</v>
      </c>
      <c r="S4" s="80">
        <f t="shared" ref="S4:AF4" si="0">R4+1</f>
        <v>2</v>
      </c>
      <c r="T4" s="80">
        <f t="shared" si="0"/>
        <v>3</v>
      </c>
      <c r="U4" s="80">
        <f t="shared" si="0"/>
        <v>4</v>
      </c>
      <c r="V4" s="80">
        <f t="shared" si="0"/>
        <v>5</v>
      </c>
      <c r="W4" s="80">
        <f t="shared" si="0"/>
        <v>6</v>
      </c>
      <c r="X4" s="80">
        <f t="shared" si="0"/>
        <v>7</v>
      </c>
      <c r="Y4" s="80">
        <f t="shared" si="0"/>
        <v>8</v>
      </c>
      <c r="Z4" s="80">
        <f t="shared" si="0"/>
        <v>9</v>
      </c>
      <c r="AA4" s="80">
        <f t="shared" si="0"/>
        <v>10</v>
      </c>
      <c r="AB4" s="80">
        <f t="shared" si="0"/>
        <v>11</v>
      </c>
      <c r="AC4" s="80">
        <f t="shared" si="0"/>
        <v>12</v>
      </c>
      <c r="AD4" s="80">
        <f t="shared" si="0"/>
        <v>13</v>
      </c>
      <c r="AE4" s="80">
        <f t="shared" si="0"/>
        <v>14</v>
      </c>
      <c r="AF4" s="80">
        <f t="shared" si="0"/>
        <v>15</v>
      </c>
    </row>
    <row r="5" spans="2:32" x14ac:dyDescent="0.25">
      <c r="B5" s="41">
        <v>1</v>
      </c>
      <c r="C5" s="41" t="str">
        <f t="shared" ref="C5:C68" si="1">CONCATENATE("0x",DEC2HEX(B5,3))</f>
        <v>0x001</v>
      </c>
      <c r="D5" s="65" t="s">
        <v>51</v>
      </c>
      <c r="E5" s="44" t="s">
        <v>52</v>
      </c>
      <c r="F5" s="45"/>
      <c r="G5" s="46"/>
      <c r="I5" s="41">
        <v>1</v>
      </c>
      <c r="J5" s="41" t="str">
        <f t="shared" ref="J5:J68" si="2">CONCATENATE("0x",DEC2HEX(I5,3))</f>
        <v>0x001</v>
      </c>
      <c r="K5" s="65" t="s">
        <v>51</v>
      </c>
      <c r="L5" s="44" t="s">
        <v>52</v>
      </c>
      <c r="M5" s="45"/>
      <c r="N5" s="46"/>
      <c r="P5" s="79" t="s">
        <v>343</v>
      </c>
      <c r="Q5" s="80">
        <f>AF4+1</f>
        <v>16</v>
      </c>
      <c r="R5" s="80">
        <f t="shared" ref="R5:AF5" si="3">Q5+1</f>
        <v>17</v>
      </c>
      <c r="S5" s="80">
        <f t="shared" si="3"/>
        <v>18</v>
      </c>
      <c r="T5" s="80">
        <f t="shared" si="3"/>
        <v>19</v>
      </c>
      <c r="U5" s="80">
        <f t="shared" si="3"/>
        <v>20</v>
      </c>
      <c r="V5" s="80">
        <f t="shared" si="3"/>
        <v>21</v>
      </c>
      <c r="W5" s="80">
        <f t="shared" si="3"/>
        <v>22</v>
      </c>
      <c r="X5" s="80">
        <f t="shared" si="3"/>
        <v>23</v>
      </c>
      <c r="Y5" s="80">
        <f t="shared" si="3"/>
        <v>24</v>
      </c>
      <c r="Z5" s="80">
        <f t="shared" si="3"/>
        <v>25</v>
      </c>
      <c r="AA5" s="80">
        <f t="shared" si="3"/>
        <v>26</v>
      </c>
      <c r="AB5" s="80">
        <f t="shared" si="3"/>
        <v>27</v>
      </c>
      <c r="AC5" s="80">
        <f t="shared" si="3"/>
        <v>28</v>
      </c>
      <c r="AD5" s="80">
        <f t="shared" si="3"/>
        <v>29</v>
      </c>
      <c r="AE5" s="80">
        <f t="shared" si="3"/>
        <v>30</v>
      </c>
      <c r="AF5" s="80">
        <f t="shared" si="3"/>
        <v>31</v>
      </c>
    </row>
    <row r="6" spans="2:32" x14ac:dyDescent="0.25">
      <c r="B6" s="41">
        <v>2</v>
      </c>
      <c r="C6" s="41" t="str">
        <f t="shared" si="1"/>
        <v>0x002</v>
      </c>
      <c r="D6" s="65" t="s">
        <v>51</v>
      </c>
      <c r="E6" s="44" t="s">
        <v>53</v>
      </c>
      <c r="F6" s="45"/>
      <c r="G6" s="46"/>
      <c r="I6" s="41">
        <v>2</v>
      </c>
      <c r="J6" s="41" t="str">
        <f t="shared" si="2"/>
        <v>0x002</v>
      </c>
      <c r="K6" s="65" t="s">
        <v>51</v>
      </c>
      <c r="L6" s="44" t="s">
        <v>53</v>
      </c>
      <c r="M6" s="45"/>
      <c r="N6" s="46"/>
      <c r="P6" s="79" t="s">
        <v>344</v>
      </c>
      <c r="Q6" s="80">
        <f t="shared" ref="Q6:Q19" si="4">AF5+1</f>
        <v>32</v>
      </c>
      <c r="R6" s="80">
        <f t="shared" ref="R6:AF6" si="5">Q6+1</f>
        <v>33</v>
      </c>
      <c r="S6" s="80">
        <f t="shared" si="5"/>
        <v>34</v>
      </c>
      <c r="T6" s="80">
        <f t="shared" si="5"/>
        <v>35</v>
      </c>
      <c r="U6" s="80">
        <f t="shared" si="5"/>
        <v>36</v>
      </c>
      <c r="V6" s="80">
        <f t="shared" si="5"/>
        <v>37</v>
      </c>
      <c r="W6" s="80">
        <f t="shared" si="5"/>
        <v>38</v>
      </c>
      <c r="X6" s="80">
        <f t="shared" si="5"/>
        <v>39</v>
      </c>
      <c r="Y6" s="80">
        <f t="shared" si="5"/>
        <v>40</v>
      </c>
      <c r="Z6" s="80">
        <f t="shared" si="5"/>
        <v>41</v>
      </c>
      <c r="AA6" s="80">
        <f t="shared" si="5"/>
        <v>42</v>
      </c>
      <c r="AB6" s="80">
        <f t="shared" si="5"/>
        <v>43</v>
      </c>
      <c r="AC6" s="80">
        <f t="shared" si="5"/>
        <v>44</v>
      </c>
      <c r="AD6" s="80">
        <f t="shared" si="5"/>
        <v>45</v>
      </c>
      <c r="AE6" s="80">
        <f t="shared" si="5"/>
        <v>46</v>
      </c>
      <c r="AF6" s="80">
        <f t="shared" si="5"/>
        <v>47</v>
      </c>
    </row>
    <row r="7" spans="2:32" x14ac:dyDescent="0.25">
      <c r="B7" s="41">
        <v>3</v>
      </c>
      <c r="C7" s="41" t="str">
        <f t="shared" si="1"/>
        <v>0x003</v>
      </c>
      <c r="D7" s="65" t="s">
        <v>51</v>
      </c>
      <c r="E7" s="44" t="s">
        <v>54</v>
      </c>
      <c r="F7" s="45"/>
      <c r="G7" s="46"/>
      <c r="I7" s="41">
        <v>3</v>
      </c>
      <c r="J7" s="41" t="str">
        <f t="shared" si="2"/>
        <v>0x003</v>
      </c>
      <c r="K7" s="65" t="s">
        <v>51</v>
      </c>
      <c r="L7" s="44" t="s">
        <v>54</v>
      </c>
      <c r="M7" s="45"/>
      <c r="N7" s="46"/>
      <c r="P7" s="79" t="s">
        <v>345</v>
      </c>
      <c r="Q7" s="80">
        <f t="shared" si="4"/>
        <v>48</v>
      </c>
      <c r="R7" s="80">
        <f t="shared" ref="R7:AF7" si="6">Q7+1</f>
        <v>49</v>
      </c>
      <c r="S7" s="80">
        <f t="shared" si="6"/>
        <v>50</v>
      </c>
      <c r="T7" s="80">
        <f t="shared" si="6"/>
        <v>51</v>
      </c>
      <c r="U7" s="80">
        <f t="shared" si="6"/>
        <v>52</v>
      </c>
      <c r="V7" s="80">
        <f t="shared" si="6"/>
        <v>53</v>
      </c>
      <c r="W7" s="80">
        <f t="shared" si="6"/>
        <v>54</v>
      </c>
      <c r="X7" s="80">
        <f t="shared" si="6"/>
        <v>55</v>
      </c>
      <c r="Y7" s="80">
        <f t="shared" si="6"/>
        <v>56</v>
      </c>
      <c r="Z7" s="80">
        <f t="shared" si="6"/>
        <v>57</v>
      </c>
      <c r="AA7" s="80">
        <f t="shared" si="6"/>
        <v>58</v>
      </c>
      <c r="AB7" s="80">
        <f t="shared" si="6"/>
        <v>59</v>
      </c>
      <c r="AC7" s="80">
        <f t="shared" si="6"/>
        <v>60</v>
      </c>
      <c r="AD7" s="80">
        <f t="shared" si="6"/>
        <v>61</v>
      </c>
      <c r="AE7" s="80">
        <f t="shared" si="6"/>
        <v>62</v>
      </c>
      <c r="AF7" s="80">
        <f t="shared" si="6"/>
        <v>63</v>
      </c>
    </row>
    <row r="8" spans="2:32" x14ac:dyDescent="0.25">
      <c r="B8" s="41">
        <v>4</v>
      </c>
      <c r="C8" s="41" t="str">
        <f t="shared" si="1"/>
        <v>0x004</v>
      </c>
      <c r="D8" s="65" t="s">
        <v>51</v>
      </c>
      <c r="E8" s="44" t="s">
        <v>55</v>
      </c>
      <c r="F8" s="45"/>
      <c r="G8" s="46"/>
      <c r="I8" s="41">
        <v>4</v>
      </c>
      <c r="J8" s="41" t="str">
        <f t="shared" si="2"/>
        <v>0x004</v>
      </c>
      <c r="K8" s="65" t="s">
        <v>51</v>
      </c>
      <c r="L8" s="44" t="s">
        <v>55</v>
      </c>
      <c r="M8" s="45"/>
      <c r="N8" s="46"/>
      <c r="P8" s="79" t="s">
        <v>347</v>
      </c>
      <c r="Q8" s="80">
        <f t="shared" si="4"/>
        <v>64</v>
      </c>
      <c r="R8" s="80">
        <f t="shared" ref="R8:AF8" si="7">Q8+1</f>
        <v>65</v>
      </c>
      <c r="S8" s="80">
        <f t="shared" si="7"/>
        <v>66</v>
      </c>
      <c r="T8" s="80">
        <f t="shared" si="7"/>
        <v>67</v>
      </c>
      <c r="U8" s="80">
        <f t="shared" si="7"/>
        <v>68</v>
      </c>
      <c r="V8" s="80">
        <f t="shared" si="7"/>
        <v>69</v>
      </c>
      <c r="W8" s="80">
        <f t="shared" si="7"/>
        <v>70</v>
      </c>
      <c r="X8" s="80">
        <f t="shared" si="7"/>
        <v>71</v>
      </c>
      <c r="Y8" s="80">
        <f t="shared" si="7"/>
        <v>72</v>
      </c>
      <c r="Z8" s="80">
        <f t="shared" si="7"/>
        <v>73</v>
      </c>
      <c r="AA8" s="80">
        <f t="shared" si="7"/>
        <v>74</v>
      </c>
      <c r="AB8" s="80">
        <f t="shared" si="7"/>
        <v>75</v>
      </c>
      <c r="AC8" s="80">
        <f t="shared" si="7"/>
        <v>76</v>
      </c>
      <c r="AD8" s="80">
        <f t="shared" si="7"/>
        <v>77</v>
      </c>
      <c r="AE8" s="80">
        <f t="shared" si="7"/>
        <v>78</v>
      </c>
      <c r="AF8" s="80">
        <f t="shared" si="7"/>
        <v>79</v>
      </c>
    </row>
    <row r="9" spans="2:32" x14ac:dyDescent="0.25">
      <c r="B9" s="41">
        <v>5</v>
      </c>
      <c r="C9" s="41" t="str">
        <f t="shared" si="1"/>
        <v>0x005</v>
      </c>
      <c r="D9" s="65" t="s">
        <v>51</v>
      </c>
      <c r="E9" s="44" t="s">
        <v>56</v>
      </c>
      <c r="F9" s="45"/>
      <c r="G9" s="46"/>
      <c r="I9" s="41">
        <v>5</v>
      </c>
      <c r="J9" s="41" t="str">
        <f t="shared" si="2"/>
        <v>0x005</v>
      </c>
      <c r="K9" s="65" t="s">
        <v>51</v>
      </c>
      <c r="L9" s="44" t="s">
        <v>56</v>
      </c>
      <c r="M9" s="45"/>
      <c r="N9" s="46"/>
      <c r="P9" s="79" t="s">
        <v>348</v>
      </c>
      <c r="Q9" s="80">
        <f t="shared" si="4"/>
        <v>80</v>
      </c>
      <c r="R9" s="80">
        <f t="shared" ref="R9:AF9" si="8">Q9+1</f>
        <v>81</v>
      </c>
      <c r="S9" s="80">
        <f t="shared" si="8"/>
        <v>82</v>
      </c>
      <c r="T9" s="80">
        <f t="shared" si="8"/>
        <v>83</v>
      </c>
      <c r="U9" s="80">
        <f t="shared" si="8"/>
        <v>84</v>
      </c>
      <c r="V9" s="80">
        <f t="shared" si="8"/>
        <v>85</v>
      </c>
      <c r="W9" s="80">
        <f t="shared" si="8"/>
        <v>86</v>
      </c>
      <c r="X9" s="80">
        <f t="shared" si="8"/>
        <v>87</v>
      </c>
      <c r="Y9" s="80">
        <f t="shared" si="8"/>
        <v>88</v>
      </c>
      <c r="Z9" s="80">
        <f t="shared" si="8"/>
        <v>89</v>
      </c>
      <c r="AA9" s="80">
        <f t="shared" si="8"/>
        <v>90</v>
      </c>
      <c r="AB9" s="80">
        <f t="shared" si="8"/>
        <v>91</v>
      </c>
      <c r="AC9" s="80">
        <f t="shared" si="8"/>
        <v>92</v>
      </c>
      <c r="AD9" s="80">
        <f t="shared" si="8"/>
        <v>93</v>
      </c>
      <c r="AE9" s="80">
        <f t="shared" si="8"/>
        <v>94</v>
      </c>
      <c r="AF9" s="80">
        <f t="shared" si="8"/>
        <v>95</v>
      </c>
    </row>
    <row r="10" spans="2:32" x14ac:dyDescent="0.25">
      <c r="B10" s="41">
        <v>6</v>
      </c>
      <c r="C10" s="41" t="str">
        <f t="shared" si="1"/>
        <v>0x006</v>
      </c>
      <c r="D10" s="65" t="s">
        <v>51</v>
      </c>
      <c r="E10" s="44" t="s">
        <v>57</v>
      </c>
      <c r="F10" s="45"/>
      <c r="G10" s="46"/>
      <c r="I10" s="41">
        <v>6</v>
      </c>
      <c r="J10" s="41" t="str">
        <f t="shared" si="2"/>
        <v>0x006</v>
      </c>
      <c r="K10" s="65" t="s">
        <v>51</v>
      </c>
      <c r="L10" s="44" t="s">
        <v>57</v>
      </c>
      <c r="M10" s="45"/>
      <c r="N10" s="46"/>
      <c r="P10" s="79" t="s">
        <v>349</v>
      </c>
      <c r="Q10" s="80">
        <f t="shared" si="4"/>
        <v>96</v>
      </c>
      <c r="R10" s="80">
        <f t="shared" ref="R10:AF12" si="9">Q10+1</f>
        <v>97</v>
      </c>
      <c r="S10" s="80">
        <f t="shared" si="9"/>
        <v>98</v>
      </c>
      <c r="T10" s="80">
        <f t="shared" si="9"/>
        <v>99</v>
      </c>
      <c r="U10" s="80">
        <f t="shared" si="9"/>
        <v>100</v>
      </c>
      <c r="V10" s="80">
        <f t="shared" si="9"/>
        <v>101</v>
      </c>
      <c r="W10" s="80">
        <f t="shared" si="9"/>
        <v>102</v>
      </c>
      <c r="X10" s="80">
        <f t="shared" si="9"/>
        <v>103</v>
      </c>
      <c r="Y10" s="80">
        <f t="shared" si="9"/>
        <v>104</v>
      </c>
      <c r="Z10" s="80">
        <f t="shared" si="9"/>
        <v>105</v>
      </c>
      <c r="AA10" s="80">
        <f t="shared" si="9"/>
        <v>106</v>
      </c>
      <c r="AB10" s="80">
        <f t="shared" si="9"/>
        <v>107</v>
      </c>
      <c r="AC10" s="80">
        <f t="shared" si="9"/>
        <v>108</v>
      </c>
      <c r="AD10" s="80">
        <f t="shared" si="9"/>
        <v>109</v>
      </c>
      <c r="AE10" s="80">
        <f t="shared" si="9"/>
        <v>110</v>
      </c>
      <c r="AF10" s="80">
        <f t="shared" si="9"/>
        <v>111</v>
      </c>
    </row>
    <row r="11" spans="2:32" x14ac:dyDescent="0.25">
      <c r="B11" s="41">
        <v>7</v>
      </c>
      <c r="C11" s="41" t="str">
        <f t="shared" si="1"/>
        <v>0x007</v>
      </c>
      <c r="D11" s="65" t="s">
        <v>51</v>
      </c>
      <c r="E11" s="44" t="s">
        <v>58</v>
      </c>
      <c r="F11" s="45"/>
      <c r="G11" s="46"/>
      <c r="I11" s="41">
        <v>7</v>
      </c>
      <c r="J11" s="41" t="str">
        <f t="shared" si="2"/>
        <v>0x007</v>
      </c>
      <c r="K11" s="65" t="s">
        <v>51</v>
      </c>
      <c r="L11" s="44" t="s">
        <v>58</v>
      </c>
      <c r="M11" s="45"/>
      <c r="N11" s="46"/>
      <c r="P11" s="79" t="s">
        <v>350</v>
      </c>
      <c r="Q11" s="80">
        <f t="shared" si="4"/>
        <v>112</v>
      </c>
      <c r="R11" s="80">
        <f t="shared" ref="R11:AF18" si="10">Q11+1</f>
        <v>113</v>
      </c>
      <c r="S11" s="80">
        <f t="shared" si="10"/>
        <v>114</v>
      </c>
      <c r="T11" s="80">
        <f t="shared" si="10"/>
        <v>115</v>
      </c>
      <c r="U11" s="80">
        <f t="shared" si="10"/>
        <v>116</v>
      </c>
      <c r="V11" s="80">
        <v>117</v>
      </c>
      <c r="W11" s="80">
        <f>AF9</f>
        <v>95</v>
      </c>
      <c r="X11" s="80">
        <f>W11+1</f>
        <v>96</v>
      </c>
      <c r="Y11" s="80">
        <f t="shared" si="9"/>
        <v>97</v>
      </c>
      <c r="Z11" s="80">
        <f t="shared" si="9"/>
        <v>98</v>
      </c>
      <c r="AA11" s="80">
        <f t="shared" si="9"/>
        <v>99</v>
      </c>
      <c r="AB11" s="80">
        <f t="shared" si="9"/>
        <v>100</v>
      </c>
      <c r="AC11" s="80">
        <f t="shared" si="9"/>
        <v>101</v>
      </c>
      <c r="AD11" s="80">
        <f t="shared" si="9"/>
        <v>102</v>
      </c>
      <c r="AE11" s="80">
        <f t="shared" si="9"/>
        <v>103</v>
      </c>
      <c r="AF11" s="80">
        <f t="shared" si="9"/>
        <v>104</v>
      </c>
    </row>
    <row r="12" spans="2:32" x14ac:dyDescent="0.25">
      <c r="B12" s="41">
        <v>8</v>
      </c>
      <c r="C12" s="41" t="str">
        <f t="shared" si="1"/>
        <v>0x008</v>
      </c>
      <c r="D12" s="65" t="s">
        <v>59</v>
      </c>
      <c r="E12" s="44" t="s">
        <v>60</v>
      </c>
      <c r="F12" s="45"/>
      <c r="G12" s="46"/>
      <c r="I12" s="41">
        <v>8</v>
      </c>
      <c r="J12" s="41" t="str">
        <f t="shared" si="2"/>
        <v>0x008</v>
      </c>
      <c r="K12" s="65" t="s">
        <v>51</v>
      </c>
      <c r="L12" s="44" t="s">
        <v>235</v>
      </c>
      <c r="M12" s="45"/>
      <c r="N12" s="46"/>
      <c r="P12" s="79" t="s">
        <v>351</v>
      </c>
      <c r="Q12" s="80">
        <f t="shared" si="4"/>
        <v>105</v>
      </c>
      <c r="R12" s="80">
        <f t="shared" si="10"/>
        <v>106</v>
      </c>
      <c r="S12" s="80">
        <f t="shared" si="10"/>
        <v>107</v>
      </c>
      <c r="T12" s="80">
        <f t="shared" si="10"/>
        <v>108</v>
      </c>
      <c r="U12" s="80">
        <f t="shared" si="10"/>
        <v>109</v>
      </c>
      <c r="V12" s="80">
        <f t="shared" si="10"/>
        <v>110</v>
      </c>
      <c r="W12" s="80">
        <f t="shared" si="10"/>
        <v>111</v>
      </c>
      <c r="X12" s="80">
        <f t="shared" si="10"/>
        <v>112</v>
      </c>
      <c r="Y12" s="80">
        <f t="shared" si="10"/>
        <v>113</v>
      </c>
      <c r="Z12" s="80">
        <f t="shared" si="10"/>
        <v>114</v>
      </c>
      <c r="AA12" s="80">
        <f t="shared" si="10"/>
        <v>115</v>
      </c>
      <c r="AB12" s="80">
        <f t="shared" si="10"/>
        <v>116</v>
      </c>
      <c r="AC12" s="80">
        <v>140</v>
      </c>
      <c r="AD12" s="80">
        <f>AF9</f>
        <v>95</v>
      </c>
      <c r="AE12" s="80">
        <f t="shared" si="9"/>
        <v>96</v>
      </c>
      <c r="AF12" s="80">
        <f t="shared" si="9"/>
        <v>97</v>
      </c>
    </row>
    <row r="13" spans="2:32" x14ac:dyDescent="0.25">
      <c r="B13" s="41">
        <v>9</v>
      </c>
      <c r="C13" s="41" t="str">
        <f t="shared" si="1"/>
        <v>0x009</v>
      </c>
      <c r="D13" s="65" t="s">
        <v>61</v>
      </c>
      <c r="E13" s="44" t="s">
        <v>62</v>
      </c>
      <c r="F13" s="45"/>
      <c r="G13" s="46"/>
      <c r="I13" s="41">
        <v>9</v>
      </c>
      <c r="J13" s="41" t="str">
        <f t="shared" si="2"/>
        <v>0x009</v>
      </c>
      <c r="K13" s="65" t="s">
        <v>51</v>
      </c>
      <c r="L13" s="44" t="s">
        <v>235</v>
      </c>
      <c r="M13" s="45"/>
      <c r="N13" s="46"/>
      <c r="P13" s="79" t="s">
        <v>352</v>
      </c>
      <c r="Q13" s="80">
        <f t="shared" si="4"/>
        <v>98</v>
      </c>
      <c r="R13" s="80">
        <f t="shared" si="10"/>
        <v>99</v>
      </c>
      <c r="S13" s="80">
        <f t="shared" si="10"/>
        <v>100</v>
      </c>
      <c r="T13" s="80">
        <f t="shared" si="10"/>
        <v>101</v>
      </c>
      <c r="U13" s="80">
        <f t="shared" si="10"/>
        <v>102</v>
      </c>
      <c r="V13" s="80">
        <f t="shared" si="10"/>
        <v>103</v>
      </c>
      <c r="W13" s="80">
        <f t="shared" si="10"/>
        <v>104</v>
      </c>
      <c r="X13" s="80">
        <f t="shared" si="10"/>
        <v>105</v>
      </c>
      <c r="Y13" s="80">
        <f t="shared" si="10"/>
        <v>106</v>
      </c>
      <c r="Z13" s="80">
        <f t="shared" si="10"/>
        <v>107</v>
      </c>
      <c r="AA13" s="80">
        <f t="shared" si="10"/>
        <v>108</v>
      </c>
      <c r="AB13" s="80">
        <f t="shared" si="10"/>
        <v>109</v>
      </c>
      <c r="AC13" s="80">
        <f t="shared" si="10"/>
        <v>110</v>
      </c>
      <c r="AD13" s="80">
        <f t="shared" si="10"/>
        <v>111</v>
      </c>
      <c r="AE13" s="80">
        <f t="shared" si="10"/>
        <v>112</v>
      </c>
      <c r="AF13" s="80">
        <f t="shared" si="10"/>
        <v>113</v>
      </c>
    </row>
    <row r="14" spans="2:32" x14ac:dyDescent="0.25">
      <c r="B14" s="41">
        <v>10</v>
      </c>
      <c r="C14" s="41" t="str">
        <f t="shared" si="1"/>
        <v>0x00A</v>
      </c>
      <c r="D14" s="65" t="s">
        <v>63</v>
      </c>
      <c r="E14" s="44" t="s">
        <v>64</v>
      </c>
      <c r="F14" s="45"/>
      <c r="G14" s="46"/>
      <c r="I14" s="41">
        <v>10</v>
      </c>
      <c r="J14" s="41" t="str">
        <f t="shared" si="2"/>
        <v>0x00A</v>
      </c>
      <c r="K14" s="65" t="s">
        <v>67</v>
      </c>
      <c r="L14" s="44" t="s">
        <v>236</v>
      </c>
      <c r="M14" s="45"/>
      <c r="N14" s="46"/>
      <c r="P14" s="79" t="s">
        <v>353</v>
      </c>
      <c r="Q14" s="80">
        <f t="shared" si="4"/>
        <v>114</v>
      </c>
      <c r="R14" s="80">
        <f t="shared" si="10"/>
        <v>115</v>
      </c>
      <c r="S14" s="80">
        <f t="shared" si="10"/>
        <v>116</v>
      </c>
      <c r="T14" s="80">
        <v>163</v>
      </c>
      <c r="U14" s="80">
        <f>AF9</f>
        <v>95</v>
      </c>
      <c r="V14" s="80">
        <f t="shared" si="10"/>
        <v>96</v>
      </c>
      <c r="W14" s="80">
        <f t="shared" si="10"/>
        <v>97</v>
      </c>
      <c r="X14" s="80">
        <f t="shared" si="10"/>
        <v>98</v>
      </c>
      <c r="Y14" s="80">
        <f t="shared" si="10"/>
        <v>99</v>
      </c>
      <c r="Z14" s="80">
        <f t="shared" si="10"/>
        <v>100</v>
      </c>
      <c r="AA14" s="80">
        <f t="shared" si="10"/>
        <v>101</v>
      </c>
      <c r="AB14" s="80">
        <f t="shared" si="10"/>
        <v>102</v>
      </c>
      <c r="AC14" s="80">
        <f t="shared" si="10"/>
        <v>103</v>
      </c>
      <c r="AD14" s="80">
        <f t="shared" si="10"/>
        <v>104</v>
      </c>
      <c r="AE14" s="80">
        <f t="shared" si="10"/>
        <v>105</v>
      </c>
      <c r="AF14" s="80">
        <f t="shared" si="10"/>
        <v>106</v>
      </c>
    </row>
    <row r="15" spans="2:32" x14ac:dyDescent="0.25">
      <c r="B15" s="41">
        <v>11</v>
      </c>
      <c r="C15" s="41" t="str">
        <f t="shared" si="1"/>
        <v>0x00B</v>
      </c>
      <c r="D15" s="65" t="s">
        <v>65</v>
      </c>
      <c r="E15" s="44" t="s">
        <v>66</v>
      </c>
      <c r="F15" s="45"/>
      <c r="G15" s="46"/>
      <c r="I15" s="41">
        <v>11</v>
      </c>
      <c r="J15" s="41" t="str">
        <f t="shared" si="2"/>
        <v>0x00B</v>
      </c>
      <c r="K15" s="65" t="s">
        <v>312</v>
      </c>
      <c r="L15" s="44" t="s">
        <v>237</v>
      </c>
      <c r="M15" s="45"/>
      <c r="N15" s="46"/>
      <c r="P15" s="79" t="s">
        <v>354</v>
      </c>
      <c r="Q15" s="80">
        <f t="shared" si="4"/>
        <v>107</v>
      </c>
      <c r="R15" s="80">
        <f t="shared" si="10"/>
        <v>108</v>
      </c>
      <c r="S15" s="80">
        <f t="shared" si="10"/>
        <v>109</v>
      </c>
      <c r="T15" s="80">
        <f t="shared" si="10"/>
        <v>110</v>
      </c>
      <c r="U15" s="80">
        <f t="shared" si="10"/>
        <v>111</v>
      </c>
      <c r="V15" s="80">
        <f t="shared" si="10"/>
        <v>112</v>
      </c>
      <c r="W15" s="80">
        <f t="shared" si="10"/>
        <v>113</v>
      </c>
      <c r="X15" s="80">
        <f t="shared" si="10"/>
        <v>114</v>
      </c>
      <c r="Y15" s="80">
        <f t="shared" si="10"/>
        <v>115</v>
      </c>
      <c r="Z15" s="80">
        <f t="shared" si="10"/>
        <v>116</v>
      </c>
      <c r="AA15" s="80">
        <v>186</v>
      </c>
      <c r="AB15" s="80">
        <f>AF9</f>
        <v>95</v>
      </c>
      <c r="AC15" s="80">
        <f t="shared" si="10"/>
        <v>96</v>
      </c>
      <c r="AD15" s="80">
        <f t="shared" si="10"/>
        <v>97</v>
      </c>
      <c r="AE15" s="80">
        <f t="shared" si="10"/>
        <v>98</v>
      </c>
      <c r="AF15" s="80">
        <f t="shared" si="10"/>
        <v>99</v>
      </c>
    </row>
    <row r="16" spans="2:32" x14ac:dyDescent="0.25">
      <c r="B16" s="41">
        <v>12</v>
      </c>
      <c r="C16" s="41" t="str">
        <f t="shared" si="1"/>
        <v>0x00C</v>
      </c>
      <c r="D16" s="65" t="s">
        <v>67</v>
      </c>
      <c r="E16" s="44" t="s">
        <v>68</v>
      </c>
      <c r="F16" s="45"/>
      <c r="G16" s="46"/>
      <c r="I16" s="41">
        <v>12</v>
      </c>
      <c r="J16" s="41" t="str">
        <f t="shared" si="2"/>
        <v>0x00C</v>
      </c>
      <c r="K16" s="65" t="s">
        <v>98</v>
      </c>
      <c r="L16" s="44" t="s">
        <v>238</v>
      </c>
      <c r="M16" s="45"/>
      <c r="N16" s="46"/>
      <c r="P16" s="79" t="s">
        <v>355</v>
      </c>
      <c r="Q16" s="80">
        <f t="shared" si="4"/>
        <v>100</v>
      </c>
      <c r="R16" s="80">
        <f t="shared" si="10"/>
        <v>101</v>
      </c>
      <c r="S16" s="80">
        <f t="shared" si="10"/>
        <v>102</v>
      </c>
      <c r="T16" s="80">
        <f t="shared" si="10"/>
        <v>103</v>
      </c>
      <c r="U16" s="80">
        <f t="shared" si="10"/>
        <v>104</v>
      </c>
      <c r="V16" s="80">
        <f t="shared" si="10"/>
        <v>105</v>
      </c>
      <c r="W16" s="80">
        <f t="shared" si="10"/>
        <v>106</v>
      </c>
      <c r="X16" s="80">
        <f t="shared" si="10"/>
        <v>107</v>
      </c>
      <c r="Y16" s="80">
        <f t="shared" si="10"/>
        <v>108</v>
      </c>
      <c r="Z16" s="80">
        <f t="shared" si="10"/>
        <v>109</v>
      </c>
      <c r="AA16" s="80">
        <f t="shared" si="10"/>
        <v>110</v>
      </c>
      <c r="AB16" s="80">
        <f t="shared" si="10"/>
        <v>111</v>
      </c>
      <c r="AC16" s="80">
        <f t="shared" si="10"/>
        <v>112</v>
      </c>
      <c r="AD16" s="80">
        <f t="shared" si="10"/>
        <v>113</v>
      </c>
      <c r="AE16" s="80">
        <f t="shared" si="10"/>
        <v>114</v>
      </c>
      <c r="AF16" s="80">
        <f t="shared" si="10"/>
        <v>115</v>
      </c>
    </row>
    <row r="17" spans="2:32" x14ac:dyDescent="0.25">
      <c r="B17" s="41">
        <v>13</v>
      </c>
      <c r="C17" s="41" t="str">
        <f t="shared" si="1"/>
        <v>0x00D</v>
      </c>
      <c r="D17" s="65" t="s">
        <v>51</v>
      </c>
      <c r="E17" s="44" t="s">
        <v>69</v>
      </c>
      <c r="F17" s="45"/>
      <c r="G17" s="46"/>
      <c r="I17" s="41">
        <v>13</v>
      </c>
      <c r="J17" s="41" t="str">
        <f t="shared" si="2"/>
        <v>0x00D</v>
      </c>
      <c r="K17" s="65" t="s">
        <v>313</v>
      </c>
      <c r="L17" s="44" t="s">
        <v>239</v>
      </c>
      <c r="M17" s="45"/>
      <c r="N17" s="46"/>
      <c r="P17" s="79" t="s">
        <v>356</v>
      </c>
      <c r="Q17" s="80">
        <f t="shared" si="4"/>
        <v>116</v>
      </c>
      <c r="R17" s="80">
        <v>209</v>
      </c>
      <c r="S17" s="80">
        <f>AF9</f>
        <v>95</v>
      </c>
      <c r="T17" s="80">
        <f t="shared" si="10"/>
        <v>96</v>
      </c>
      <c r="U17" s="80">
        <f t="shared" si="10"/>
        <v>97</v>
      </c>
      <c r="V17" s="80">
        <f t="shared" si="10"/>
        <v>98</v>
      </c>
      <c r="W17" s="80">
        <f t="shared" si="10"/>
        <v>99</v>
      </c>
      <c r="X17" s="80">
        <f t="shared" si="10"/>
        <v>100</v>
      </c>
      <c r="Y17" s="80">
        <f t="shared" si="10"/>
        <v>101</v>
      </c>
      <c r="Z17" s="80">
        <f t="shared" si="10"/>
        <v>102</v>
      </c>
      <c r="AA17" s="80">
        <f t="shared" si="10"/>
        <v>103</v>
      </c>
      <c r="AB17" s="80">
        <f t="shared" si="10"/>
        <v>104</v>
      </c>
      <c r="AC17" s="80">
        <f t="shared" si="10"/>
        <v>105</v>
      </c>
      <c r="AD17" s="80">
        <f t="shared" si="10"/>
        <v>106</v>
      </c>
      <c r="AE17" s="80">
        <f t="shared" si="10"/>
        <v>107</v>
      </c>
      <c r="AF17" s="80">
        <f t="shared" si="10"/>
        <v>108</v>
      </c>
    </row>
    <row r="18" spans="2:32" x14ac:dyDescent="0.25">
      <c r="B18" s="41">
        <v>14</v>
      </c>
      <c r="C18" s="41" t="str">
        <f t="shared" si="1"/>
        <v>0x00E</v>
      </c>
      <c r="D18" s="65" t="s">
        <v>70</v>
      </c>
      <c r="E18" s="44" t="s">
        <v>71</v>
      </c>
      <c r="F18" s="45"/>
      <c r="G18" s="46"/>
      <c r="I18" s="41">
        <v>14</v>
      </c>
      <c r="J18" s="41" t="str">
        <f t="shared" si="2"/>
        <v>0x00E</v>
      </c>
      <c r="K18" s="65" t="s">
        <v>314</v>
      </c>
      <c r="L18" s="44" t="s">
        <v>240</v>
      </c>
      <c r="M18" s="45"/>
      <c r="N18" s="46"/>
      <c r="P18" s="79" t="s">
        <v>357</v>
      </c>
      <c r="Q18" s="80">
        <f t="shared" si="4"/>
        <v>109</v>
      </c>
      <c r="R18" s="80">
        <f t="shared" ref="R18:R29" si="11">Q18+1</f>
        <v>110</v>
      </c>
      <c r="S18" s="80">
        <f t="shared" ref="S18:X18" si="12">R18+1</f>
        <v>111</v>
      </c>
      <c r="T18" s="80">
        <f t="shared" si="12"/>
        <v>112</v>
      </c>
      <c r="U18" s="80">
        <f t="shared" si="12"/>
        <v>113</v>
      </c>
      <c r="V18" s="80">
        <f t="shared" si="12"/>
        <v>114</v>
      </c>
      <c r="W18" s="80">
        <f>V18+1</f>
        <v>115</v>
      </c>
      <c r="X18" s="80">
        <f t="shared" si="12"/>
        <v>116</v>
      </c>
      <c r="Y18" s="80">
        <v>232</v>
      </c>
      <c r="Z18" s="80">
        <f>AF9</f>
        <v>95</v>
      </c>
      <c r="AA18" s="80">
        <f t="shared" si="10"/>
        <v>96</v>
      </c>
      <c r="AB18" s="80">
        <f t="shared" si="10"/>
        <v>97</v>
      </c>
      <c r="AC18" s="80">
        <f t="shared" si="10"/>
        <v>98</v>
      </c>
      <c r="AD18" s="80">
        <f t="shared" si="10"/>
        <v>99</v>
      </c>
      <c r="AE18" s="80">
        <f t="shared" si="10"/>
        <v>100</v>
      </c>
      <c r="AF18" s="80">
        <f t="shared" si="10"/>
        <v>101</v>
      </c>
    </row>
    <row r="19" spans="2:32" x14ac:dyDescent="0.25">
      <c r="B19" s="41">
        <v>15</v>
      </c>
      <c r="C19" s="41" t="str">
        <f t="shared" si="1"/>
        <v>0x00F</v>
      </c>
      <c r="D19" s="65" t="s">
        <v>51</v>
      </c>
      <c r="E19" s="44" t="s">
        <v>72</v>
      </c>
      <c r="F19" s="45"/>
      <c r="G19" s="46"/>
      <c r="I19" s="41">
        <v>15</v>
      </c>
      <c r="J19" s="41" t="str">
        <f t="shared" si="2"/>
        <v>0x00F</v>
      </c>
      <c r="K19" s="65" t="s">
        <v>315</v>
      </c>
      <c r="L19" s="44" t="s">
        <v>73</v>
      </c>
      <c r="M19" s="45"/>
      <c r="N19" s="46"/>
      <c r="P19" s="79" t="s">
        <v>358</v>
      </c>
      <c r="Q19" s="80">
        <f t="shared" si="4"/>
        <v>102</v>
      </c>
      <c r="R19" s="80">
        <f t="shared" si="11"/>
        <v>103</v>
      </c>
      <c r="S19" s="80">
        <f t="shared" ref="S19:AF22" si="13">R19+1</f>
        <v>104</v>
      </c>
      <c r="T19" s="80">
        <f t="shared" si="13"/>
        <v>105</v>
      </c>
      <c r="U19" s="80">
        <f t="shared" si="13"/>
        <v>106</v>
      </c>
      <c r="V19" s="80">
        <f t="shared" si="13"/>
        <v>107</v>
      </c>
      <c r="W19" s="80">
        <f t="shared" si="13"/>
        <v>108</v>
      </c>
      <c r="X19" s="80">
        <f t="shared" si="13"/>
        <v>109</v>
      </c>
      <c r="Y19" s="80">
        <f t="shared" si="13"/>
        <v>110</v>
      </c>
      <c r="Z19" s="80">
        <f t="shared" si="13"/>
        <v>111</v>
      </c>
      <c r="AA19" s="80">
        <f t="shared" si="13"/>
        <v>112</v>
      </c>
      <c r="AB19" s="80">
        <f t="shared" si="13"/>
        <v>113</v>
      </c>
      <c r="AC19" s="80">
        <f t="shared" si="13"/>
        <v>114</v>
      </c>
      <c r="AD19" s="80">
        <f>AC19+1</f>
        <v>115</v>
      </c>
      <c r="AE19" s="80">
        <f t="shared" si="13"/>
        <v>116</v>
      </c>
      <c r="AF19" s="80">
        <v>255</v>
      </c>
    </row>
    <row r="20" spans="2:32" x14ac:dyDescent="0.25">
      <c r="B20" s="41">
        <v>16</v>
      </c>
      <c r="C20" s="41" t="str">
        <f t="shared" si="1"/>
        <v>0x010</v>
      </c>
      <c r="D20" s="66"/>
      <c r="E20" s="44" t="s">
        <v>73</v>
      </c>
      <c r="F20" s="45"/>
      <c r="G20" s="46"/>
      <c r="I20" s="41">
        <v>16</v>
      </c>
      <c r="J20" s="41" t="str">
        <f t="shared" si="2"/>
        <v>0x010</v>
      </c>
      <c r="K20" s="65" t="s">
        <v>316</v>
      </c>
      <c r="L20" s="44" t="s">
        <v>241</v>
      </c>
      <c r="M20" s="45"/>
      <c r="N20" s="46"/>
      <c r="P20" s="79" t="s">
        <v>359</v>
      </c>
      <c r="Q20" s="80">
        <f>AF9</f>
        <v>95</v>
      </c>
      <c r="R20" s="80">
        <f t="shared" si="11"/>
        <v>96</v>
      </c>
      <c r="S20" s="80">
        <f t="shared" si="13"/>
        <v>97</v>
      </c>
      <c r="T20" s="80">
        <f t="shared" si="13"/>
        <v>98</v>
      </c>
      <c r="U20" s="80">
        <f t="shared" si="13"/>
        <v>99</v>
      </c>
      <c r="V20" s="80">
        <f t="shared" si="13"/>
        <v>100</v>
      </c>
      <c r="W20" s="80">
        <f t="shared" si="13"/>
        <v>101</v>
      </c>
      <c r="X20" s="80">
        <f t="shared" si="13"/>
        <v>102</v>
      </c>
      <c r="Y20" s="80">
        <f t="shared" si="13"/>
        <v>103</v>
      </c>
      <c r="Z20" s="80">
        <f t="shared" si="13"/>
        <v>104</v>
      </c>
      <c r="AA20" s="80">
        <f t="shared" si="13"/>
        <v>105</v>
      </c>
      <c r="AB20" s="80">
        <f t="shared" si="13"/>
        <v>106</v>
      </c>
      <c r="AC20" s="80">
        <f t="shared" si="13"/>
        <v>107</v>
      </c>
      <c r="AD20" s="80">
        <f>AC20+1</f>
        <v>108</v>
      </c>
      <c r="AE20" s="80">
        <f t="shared" si="13"/>
        <v>109</v>
      </c>
      <c r="AF20" s="80">
        <f t="shared" si="13"/>
        <v>110</v>
      </c>
    </row>
    <row r="21" spans="2:32" x14ac:dyDescent="0.25">
      <c r="B21" s="41">
        <v>17</v>
      </c>
      <c r="C21" s="41" t="str">
        <f t="shared" si="1"/>
        <v>0x011</v>
      </c>
      <c r="D21" s="65" t="s">
        <v>51</v>
      </c>
      <c r="E21" s="44" t="s">
        <v>74</v>
      </c>
      <c r="F21" s="45"/>
      <c r="G21" s="46"/>
      <c r="I21" s="41">
        <v>17</v>
      </c>
      <c r="J21" s="41" t="str">
        <f t="shared" si="2"/>
        <v>0x011</v>
      </c>
      <c r="K21" s="65" t="s">
        <v>317</v>
      </c>
      <c r="L21" s="44" t="s">
        <v>242</v>
      </c>
      <c r="M21" s="45"/>
      <c r="N21" s="46"/>
      <c r="P21" s="79" t="s">
        <v>360</v>
      </c>
      <c r="Q21" s="80">
        <f t="shared" ref="Q21:Q29" si="14">AF20+1</f>
        <v>111</v>
      </c>
      <c r="R21" s="80">
        <f t="shared" si="11"/>
        <v>112</v>
      </c>
      <c r="S21" s="80">
        <f t="shared" si="13"/>
        <v>113</v>
      </c>
      <c r="T21" s="80">
        <f t="shared" si="13"/>
        <v>114</v>
      </c>
      <c r="U21" s="80">
        <f t="shared" si="13"/>
        <v>115</v>
      </c>
      <c r="V21" s="80">
        <f t="shared" si="13"/>
        <v>116</v>
      </c>
      <c r="W21" s="80">
        <v>278</v>
      </c>
      <c r="X21" s="80">
        <f>AF9</f>
        <v>95</v>
      </c>
      <c r="Y21" s="80">
        <f t="shared" si="13"/>
        <v>96</v>
      </c>
      <c r="Z21" s="80">
        <f t="shared" si="13"/>
        <v>97</v>
      </c>
      <c r="AA21" s="80">
        <f t="shared" si="13"/>
        <v>98</v>
      </c>
      <c r="AB21" s="80">
        <f t="shared" si="13"/>
        <v>99</v>
      </c>
      <c r="AC21" s="80">
        <f t="shared" si="13"/>
        <v>100</v>
      </c>
      <c r="AD21" s="80">
        <f>AC21+1</f>
        <v>101</v>
      </c>
      <c r="AE21" s="80">
        <f t="shared" si="13"/>
        <v>102</v>
      </c>
      <c r="AF21" s="80">
        <f t="shared" si="13"/>
        <v>103</v>
      </c>
    </row>
    <row r="22" spans="2:32" x14ac:dyDescent="0.25">
      <c r="B22" s="41">
        <v>18</v>
      </c>
      <c r="C22" s="41" t="str">
        <f t="shared" si="1"/>
        <v>0x012</v>
      </c>
      <c r="D22" s="65" t="s">
        <v>51</v>
      </c>
      <c r="E22" s="44" t="s">
        <v>74</v>
      </c>
      <c r="F22" s="45"/>
      <c r="G22" s="46"/>
      <c r="I22" s="41">
        <v>18</v>
      </c>
      <c r="J22" s="41" t="str">
        <f t="shared" si="2"/>
        <v>0x012</v>
      </c>
      <c r="K22" s="65" t="s">
        <v>67</v>
      </c>
      <c r="L22" s="44" t="s">
        <v>243</v>
      </c>
      <c r="M22" s="45"/>
      <c r="N22" s="46"/>
      <c r="P22" s="79" t="s">
        <v>361</v>
      </c>
      <c r="Q22" s="80">
        <f t="shared" si="14"/>
        <v>104</v>
      </c>
      <c r="R22" s="80">
        <f t="shared" si="11"/>
        <v>105</v>
      </c>
      <c r="S22" s="80">
        <f t="shared" ref="S22:AC22" si="15">R22+1</f>
        <v>106</v>
      </c>
      <c r="T22" s="80">
        <f t="shared" si="15"/>
        <v>107</v>
      </c>
      <c r="U22" s="80">
        <f t="shared" si="15"/>
        <v>108</v>
      </c>
      <c r="V22" s="80">
        <f t="shared" si="15"/>
        <v>109</v>
      </c>
      <c r="W22" s="80">
        <f t="shared" si="15"/>
        <v>110</v>
      </c>
      <c r="X22" s="80">
        <f t="shared" si="15"/>
        <v>111</v>
      </c>
      <c r="Y22" s="80">
        <f t="shared" si="15"/>
        <v>112</v>
      </c>
      <c r="Z22" s="80">
        <f t="shared" si="15"/>
        <v>113</v>
      </c>
      <c r="AA22" s="80">
        <f>Z22+1</f>
        <v>114</v>
      </c>
      <c r="AB22" s="80">
        <f t="shared" si="15"/>
        <v>115</v>
      </c>
      <c r="AC22" s="80">
        <f t="shared" si="15"/>
        <v>116</v>
      </c>
      <c r="AD22" s="80">
        <v>301</v>
      </c>
      <c r="AE22" s="80">
        <f>AF9</f>
        <v>95</v>
      </c>
      <c r="AF22" s="80">
        <f t="shared" si="13"/>
        <v>96</v>
      </c>
    </row>
    <row r="23" spans="2:32" x14ac:dyDescent="0.25">
      <c r="B23" s="41">
        <v>19</v>
      </c>
      <c r="C23" s="41" t="str">
        <f t="shared" si="1"/>
        <v>0x013</v>
      </c>
      <c r="D23" s="65" t="s">
        <v>51</v>
      </c>
      <c r="E23" s="44" t="s">
        <v>74</v>
      </c>
      <c r="F23" s="45"/>
      <c r="G23" s="46"/>
      <c r="I23" s="41">
        <v>19</v>
      </c>
      <c r="J23" s="41" t="str">
        <f t="shared" si="2"/>
        <v>0x013</v>
      </c>
      <c r="K23" s="65" t="s">
        <v>51</v>
      </c>
      <c r="L23" s="44" t="s">
        <v>235</v>
      </c>
      <c r="M23" s="45"/>
      <c r="N23" s="46"/>
      <c r="P23" s="79" t="s">
        <v>362</v>
      </c>
      <c r="Q23" s="80">
        <f t="shared" si="14"/>
        <v>97</v>
      </c>
      <c r="R23" s="80">
        <f t="shared" si="11"/>
        <v>98</v>
      </c>
      <c r="S23" s="80">
        <f t="shared" ref="S23:AF25" si="16">R23+1</f>
        <v>99</v>
      </c>
      <c r="T23" s="80">
        <f t="shared" si="16"/>
        <v>100</v>
      </c>
      <c r="U23" s="80">
        <f t="shared" si="16"/>
        <v>101</v>
      </c>
      <c r="V23" s="80">
        <f t="shared" si="16"/>
        <v>102</v>
      </c>
      <c r="W23" s="80">
        <f t="shared" si="16"/>
        <v>103</v>
      </c>
      <c r="X23" s="80">
        <f t="shared" si="16"/>
        <v>104</v>
      </c>
      <c r="Y23" s="80">
        <f t="shared" si="16"/>
        <v>105</v>
      </c>
      <c r="Z23" s="80">
        <f t="shared" si="16"/>
        <v>106</v>
      </c>
      <c r="AA23" s="80">
        <f t="shared" si="16"/>
        <v>107</v>
      </c>
      <c r="AB23" s="80">
        <f t="shared" si="16"/>
        <v>108</v>
      </c>
      <c r="AC23" s="80">
        <f t="shared" si="16"/>
        <v>109</v>
      </c>
      <c r="AD23" s="80">
        <f t="shared" si="16"/>
        <v>110</v>
      </c>
      <c r="AE23" s="80">
        <f t="shared" si="16"/>
        <v>111</v>
      </c>
      <c r="AF23" s="80">
        <f t="shared" si="16"/>
        <v>112</v>
      </c>
    </row>
    <row r="24" spans="2:32" x14ac:dyDescent="0.25">
      <c r="B24" s="41">
        <v>20</v>
      </c>
      <c r="C24" s="41" t="str">
        <f t="shared" si="1"/>
        <v>0x014</v>
      </c>
      <c r="D24" s="65" t="s">
        <v>51</v>
      </c>
      <c r="E24" s="44" t="s">
        <v>74</v>
      </c>
      <c r="F24" s="45"/>
      <c r="G24" s="46"/>
      <c r="I24" s="41">
        <v>20</v>
      </c>
      <c r="J24" s="41" t="str">
        <f t="shared" si="2"/>
        <v>0x014</v>
      </c>
      <c r="K24" s="65" t="s">
        <v>51</v>
      </c>
      <c r="L24" s="44" t="s">
        <v>235</v>
      </c>
      <c r="M24" s="45"/>
      <c r="N24" s="46"/>
      <c r="P24" s="79" t="s">
        <v>363</v>
      </c>
      <c r="Q24" s="80">
        <f t="shared" si="14"/>
        <v>113</v>
      </c>
      <c r="R24" s="80">
        <f t="shared" si="11"/>
        <v>114</v>
      </c>
      <c r="S24" s="80">
        <f t="shared" ref="S24:AF28" si="17">R24+1</f>
        <v>115</v>
      </c>
      <c r="T24" s="80">
        <f t="shared" si="17"/>
        <v>116</v>
      </c>
      <c r="U24" s="80">
        <v>324</v>
      </c>
      <c r="V24" s="80">
        <f>AF9</f>
        <v>95</v>
      </c>
      <c r="W24" s="80">
        <f t="shared" si="16"/>
        <v>96</v>
      </c>
      <c r="X24" s="80">
        <f t="shared" si="16"/>
        <v>97</v>
      </c>
      <c r="Y24" s="80">
        <f t="shared" si="16"/>
        <v>98</v>
      </c>
      <c r="Z24" s="80">
        <f t="shared" si="16"/>
        <v>99</v>
      </c>
      <c r="AA24" s="80">
        <f t="shared" si="16"/>
        <v>100</v>
      </c>
      <c r="AB24" s="80">
        <f t="shared" si="16"/>
        <v>101</v>
      </c>
      <c r="AC24" s="80">
        <f t="shared" si="16"/>
        <v>102</v>
      </c>
      <c r="AD24" s="80">
        <f t="shared" si="16"/>
        <v>103</v>
      </c>
      <c r="AE24" s="80">
        <f t="shared" si="16"/>
        <v>104</v>
      </c>
      <c r="AF24" s="80">
        <f t="shared" si="16"/>
        <v>105</v>
      </c>
    </row>
    <row r="25" spans="2:32" x14ac:dyDescent="0.25">
      <c r="B25" s="41">
        <v>21</v>
      </c>
      <c r="C25" s="41" t="str">
        <f t="shared" si="1"/>
        <v>0x015</v>
      </c>
      <c r="D25" s="65" t="s">
        <v>51</v>
      </c>
      <c r="E25" s="44" t="s">
        <v>74</v>
      </c>
      <c r="F25" s="45"/>
      <c r="G25" s="46"/>
      <c r="I25" s="41">
        <v>21</v>
      </c>
      <c r="J25" s="41" t="str">
        <f t="shared" si="2"/>
        <v>0x015</v>
      </c>
      <c r="K25" s="65" t="s">
        <v>51</v>
      </c>
      <c r="L25" s="44" t="s">
        <v>235</v>
      </c>
      <c r="M25" s="45"/>
      <c r="N25" s="46"/>
      <c r="P25" s="79" t="s">
        <v>364</v>
      </c>
      <c r="Q25" s="80">
        <f t="shared" si="14"/>
        <v>106</v>
      </c>
      <c r="R25" s="80">
        <f t="shared" si="11"/>
        <v>107</v>
      </c>
      <c r="S25" s="80">
        <f t="shared" si="17"/>
        <v>108</v>
      </c>
      <c r="T25" s="80">
        <f t="shared" si="17"/>
        <v>109</v>
      </c>
      <c r="U25" s="80">
        <f t="shared" si="17"/>
        <v>110</v>
      </c>
      <c r="V25" s="80">
        <f t="shared" si="17"/>
        <v>111</v>
      </c>
      <c r="W25" s="80">
        <f t="shared" si="17"/>
        <v>112</v>
      </c>
      <c r="X25" s="80">
        <f t="shared" si="17"/>
        <v>113</v>
      </c>
      <c r="Y25" s="80">
        <f t="shared" si="17"/>
        <v>114</v>
      </c>
      <c r="Z25" s="80">
        <f t="shared" si="17"/>
        <v>115</v>
      </c>
      <c r="AA25" s="80">
        <f t="shared" si="17"/>
        <v>116</v>
      </c>
      <c r="AB25" s="80">
        <v>347</v>
      </c>
      <c r="AC25" s="80">
        <f>AF9</f>
        <v>95</v>
      </c>
      <c r="AD25" s="80">
        <f t="shared" si="16"/>
        <v>96</v>
      </c>
      <c r="AE25" s="80">
        <f t="shared" si="16"/>
        <v>97</v>
      </c>
      <c r="AF25" s="80">
        <f t="shared" si="16"/>
        <v>98</v>
      </c>
    </row>
    <row r="26" spans="2:32" x14ac:dyDescent="0.25">
      <c r="B26" s="41">
        <v>22</v>
      </c>
      <c r="C26" s="41" t="str">
        <f t="shared" si="1"/>
        <v>0x016</v>
      </c>
      <c r="D26" s="65" t="s">
        <v>75</v>
      </c>
      <c r="E26" s="44" t="s">
        <v>76</v>
      </c>
      <c r="F26" s="45"/>
      <c r="G26" s="46"/>
      <c r="I26" s="41">
        <v>22</v>
      </c>
      <c r="J26" s="41" t="str">
        <f t="shared" si="2"/>
        <v>0x016</v>
      </c>
      <c r="K26" s="65" t="s">
        <v>75</v>
      </c>
      <c r="L26" s="44" t="s">
        <v>76</v>
      </c>
      <c r="M26" s="45"/>
      <c r="N26" s="46"/>
      <c r="P26" s="79" t="s">
        <v>365</v>
      </c>
      <c r="Q26" s="80">
        <f t="shared" si="14"/>
        <v>99</v>
      </c>
      <c r="R26" s="80">
        <f t="shared" si="11"/>
        <v>100</v>
      </c>
      <c r="S26" s="80">
        <f t="shared" si="17"/>
        <v>101</v>
      </c>
      <c r="T26" s="80">
        <f t="shared" si="17"/>
        <v>102</v>
      </c>
      <c r="U26" s="80">
        <f t="shared" si="17"/>
        <v>103</v>
      </c>
      <c r="V26" s="80">
        <f t="shared" si="17"/>
        <v>104</v>
      </c>
      <c r="W26" s="80">
        <f t="shared" si="17"/>
        <v>105</v>
      </c>
      <c r="X26" s="80">
        <f t="shared" si="17"/>
        <v>106</v>
      </c>
      <c r="Y26" s="80">
        <f t="shared" si="17"/>
        <v>107</v>
      </c>
      <c r="Z26" s="80">
        <f t="shared" si="17"/>
        <v>108</v>
      </c>
      <c r="AA26" s="80">
        <f t="shared" si="17"/>
        <v>109</v>
      </c>
      <c r="AB26" s="80">
        <f t="shared" si="17"/>
        <v>110</v>
      </c>
      <c r="AC26" s="80">
        <f t="shared" si="17"/>
        <v>111</v>
      </c>
      <c r="AD26" s="80">
        <f t="shared" si="17"/>
        <v>112</v>
      </c>
      <c r="AE26" s="80">
        <f t="shared" si="17"/>
        <v>113</v>
      </c>
      <c r="AF26" s="80">
        <f t="shared" si="17"/>
        <v>114</v>
      </c>
    </row>
    <row r="27" spans="2:32" x14ac:dyDescent="0.25">
      <c r="B27" s="41">
        <v>23</v>
      </c>
      <c r="C27" s="41" t="str">
        <f t="shared" si="1"/>
        <v>0x017</v>
      </c>
      <c r="D27" s="65" t="s">
        <v>67</v>
      </c>
      <c r="E27" s="44" t="s">
        <v>77</v>
      </c>
      <c r="F27" s="45"/>
      <c r="G27" s="46"/>
      <c r="I27" s="41">
        <v>23</v>
      </c>
      <c r="J27" s="41" t="str">
        <f t="shared" si="2"/>
        <v>0x017</v>
      </c>
      <c r="K27" s="65" t="s">
        <v>67</v>
      </c>
      <c r="L27" s="44" t="s">
        <v>77</v>
      </c>
      <c r="M27" s="45"/>
      <c r="N27" s="46"/>
      <c r="P27" s="79" t="s">
        <v>366</v>
      </c>
      <c r="Q27" s="80">
        <f t="shared" si="14"/>
        <v>115</v>
      </c>
      <c r="R27" s="80">
        <f t="shared" si="11"/>
        <v>116</v>
      </c>
      <c r="S27" s="80">
        <v>370</v>
      </c>
      <c r="T27" s="80">
        <f>AF9</f>
        <v>95</v>
      </c>
      <c r="U27" s="80">
        <f t="shared" si="17"/>
        <v>96</v>
      </c>
      <c r="V27" s="80">
        <f t="shared" si="17"/>
        <v>97</v>
      </c>
      <c r="W27" s="80">
        <f t="shared" si="17"/>
        <v>98</v>
      </c>
      <c r="X27" s="80">
        <f t="shared" si="17"/>
        <v>99</v>
      </c>
      <c r="Y27" s="80">
        <f t="shared" si="17"/>
        <v>100</v>
      </c>
      <c r="Z27" s="80">
        <f t="shared" si="17"/>
        <v>101</v>
      </c>
      <c r="AA27" s="80">
        <f t="shared" si="17"/>
        <v>102</v>
      </c>
      <c r="AB27" s="80">
        <f t="shared" si="17"/>
        <v>103</v>
      </c>
      <c r="AC27" s="80">
        <f t="shared" si="17"/>
        <v>104</v>
      </c>
      <c r="AD27" s="80">
        <f t="shared" si="17"/>
        <v>105</v>
      </c>
      <c r="AE27" s="80">
        <f t="shared" si="17"/>
        <v>106</v>
      </c>
      <c r="AF27" s="80">
        <f t="shared" si="17"/>
        <v>107</v>
      </c>
    </row>
    <row r="28" spans="2:32" x14ac:dyDescent="0.25">
      <c r="B28" s="41">
        <v>24</v>
      </c>
      <c r="C28" s="41" t="str">
        <f t="shared" si="1"/>
        <v>0x018</v>
      </c>
      <c r="D28" s="65" t="s">
        <v>67</v>
      </c>
      <c r="E28" s="44" t="s">
        <v>78</v>
      </c>
      <c r="F28" s="45"/>
      <c r="G28" s="46"/>
      <c r="I28" s="41">
        <v>24</v>
      </c>
      <c r="J28" s="41" t="str">
        <f t="shared" si="2"/>
        <v>0x018</v>
      </c>
      <c r="K28" s="65" t="s">
        <v>67</v>
      </c>
      <c r="L28" s="44" t="s">
        <v>78</v>
      </c>
      <c r="M28" s="45"/>
      <c r="N28" s="46"/>
      <c r="P28" s="79" t="s">
        <v>367</v>
      </c>
      <c r="Q28" s="80">
        <f t="shared" si="14"/>
        <v>108</v>
      </c>
      <c r="R28" s="80">
        <f t="shared" si="11"/>
        <v>109</v>
      </c>
      <c r="S28" s="80">
        <f t="shared" ref="S28:AF35" si="18">R28+1</f>
        <v>110</v>
      </c>
      <c r="T28" s="80">
        <f t="shared" si="18"/>
        <v>111</v>
      </c>
      <c r="U28" s="80">
        <f t="shared" si="18"/>
        <v>112</v>
      </c>
      <c r="V28" s="80">
        <f t="shared" si="18"/>
        <v>113</v>
      </c>
      <c r="W28" s="80">
        <f t="shared" si="18"/>
        <v>114</v>
      </c>
      <c r="X28" s="80">
        <f t="shared" si="18"/>
        <v>115</v>
      </c>
      <c r="Y28" s="80">
        <f>X28+1</f>
        <v>116</v>
      </c>
      <c r="Z28" s="80">
        <v>393</v>
      </c>
      <c r="AA28" s="80">
        <f>AF9</f>
        <v>95</v>
      </c>
      <c r="AB28" s="80">
        <f t="shared" si="17"/>
        <v>96</v>
      </c>
      <c r="AC28" s="80">
        <f t="shared" si="17"/>
        <v>97</v>
      </c>
      <c r="AD28" s="80">
        <f t="shared" si="17"/>
        <v>98</v>
      </c>
      <c r="AE28" s="80">
        <f t="shared" si="17"/>
        <v>99</v>
      </c>
      <c r="AF28" s="80">
        <f t="shared" si="17"/>
        <v>100</v>
      </c>
    </row>
    <row r="29" spans="2:32" x14ac:dyDescent="0.25">
      <c r="B29" s="41">
        <v>25</v>
      </c>
      <c r="C29" s="41" t="str">
        <f t="shared" si="1"/>
        <v>0x019</v>
      </c>
      <c r="D29" s="65" t="s">
        <v>79</v>
      </c>
      <c r="E29" s="44" t="s">
        <v>80</v>
      </c>
      <c r="F29" s="45"/>
      <c r="G29" s="46"/>
      <c r="I29" s="41">
        <v>25</v>
      </c>
      <c r="J29" s="41" t="str">
        <f t="shared" si="2"/>
        <v>0x019</v>
      </c>
      <c r="K29" s="65" t="s">
        <v>318</v>
      </c>
      <c r="L29" s="44" t="s">
        <v>101</v>
      </c>
      <c r="M29" s="45"/>
      <c r="N29" s="46"/>
      <c r="P29" s="79" t="s">
        <v>368</v>
      </c>
      <c r="Q29" s="80">
        <f t="shared" si="14"/>
        <v>101</v>
      </c>
      <c r="R29" s="80">
        <f t="shared" si="11"/>
        <v>102</v>
      </c>
      <c r="S29" s="80">
        <f t="shared" si="18"/>
        <v>103</v>
      </c>
      <c r="T29" s="80">
        <f t="shared" si="18"/>
        <v>104</v>
      </c>
      <c r="U29" s="80">
        <f t="shared" si="18"/>
        <v>105</v>
      </c>
      <c r="V29" s="80">
        <f t="shared" si="18"/>
        <v>106</v>
      </c>
      <c r="W29" s="80">
        <f t="shared" si="18"/>
        <v>107</v>
      </c>
      <c r="X29" s="80">
        <f t="shared" si="18"/>
        <v>108</v>
      </c>
      <c r="Y29" s="80">
        <f>X29+1</f>
        <v>109</v>
      </c>
      <c r="Z29" s="80">
        <f t="shared" ref="Z29:AF31" si="19">Y29+1</f>
        <v>110</v>
      </c>
      <c r="AA29" s="80">
        <f t="shared" si="19"/>
        <v>111</v>
      </c>
      <c r="AB29" s="80">
        <f t="shared" si="19"/>
        <v>112</v>
      </c>
      <c r="AC29" s="80">
        <f t="shared" si="19"/>
        <v>113</v>
      </c>
      <c r="AD29" s="80">
        <f t="shared" si="19"/>
        <v>114</v>
      </c>
      <c r="AE29" s="80">
        <f>AD29+1</f>
        <v>115</v>
      </c>
      <c r="AF29" s="80">
        <f t="shared" si="19"/>
        <v>116</v>
      </c>
    </row>
    <row r="30" spans="2:32" x14ac:dyDescent="0.25">
      <c r="B30" s="41">
        <v>26</v>
      </c>
      <c r="C30" s="41" t="str">
        <f t="shared" si="1"/>
        <v>0x01A</v>
      </c>
      <c r="D30" s="65" t="s">
        <v>81</v>
      </c>
      <c r="E30" s="44" t="s">
        <v>82</v>
      </c>
      <c r="F30" s="45"/>
      <c r="G30" s="46"/>
      <c r="I30" s="41">
        <v>26</v>
      </c>
      <c r="J30" s="41" t="str">
        <f t="shared" si="2"/>
        <v>0x01A</v>
      </c>
      <c r="K30" s="65" t="s">
        <v>102</v>
      </c>
      <c r="L30" s="44" t="s">
        <v>103</v>
      </c>
      <c r="M30" s="45"/>
      <c r="N30" s="46"/>
      <c r="P30" s="79" t="s">
        <v>369</v>
      </c>
      <c r="Q30" s="80">
        <v>416</v>
      </c>
      <c r="R30" s="80">
        <f t="shared" ref="R30:R35" si="20">AF9</f>
        <v>95</v>
      </c>
      <c r="S30" s="80">
        <f t="shared" si="18"/>
        <v>96</v>
      </c>
      <c r="T30" s="80">
        <f t="shared" si="18"/>
        <v>97</v>
      </c>
      <c r="U30" s="80">
        <f t="shared" si="18"/>
        <v>98</v>
      </c>
      <c r="V30" s="80">
        <f t="shared" si="18"/>
        <v>99</v>
      </c>
      <c r="W30" s="80">
        <f t="shared" si="18"/>
        <v>100</v>
      </c>
      <c r="X30" s="80">
        <f t="shared" si="18"/>
        <v>101</v>
      </c>
      <c r="Y30" s="80">
        <f>X30+1</f>
        <v>102</v>
      </c>
      <c r="Z30" s="80">
        <f t="shared" si="19"/>
        <v>103</v>
      </c>
      <c r="AA30" s="80">
        <f t="shared" si="19"/>
        <v>104</v>
      </c>
      <c r="AB30" s="80">
        <f t="shared" si="19"/>
        <v>105</v>
      </c>
      <c r="AC30" s="80">
        <f t="shared" si="19"/>
        <v>106</v>
      </c>
      <c r="AD30" s="80">
        <f t="shared" si="19"/>
        <v>107</v>
      </c>
      <c r="AE30" s="80">
        <f>AD30+1</f>
        <v>108</v>
      </c>
      <c r="AF30" s="80">
        <f t="shared" si="19"/>
        <v>109</v>
      </c>
    </row>
    <row r="31" spans="2:32" x14ac:dyDescent="0.25">
      <c r="B31" s="41">
        <v>27</v>
      </c>
      <c r="C31" s="41" t="str">
        <f t="shared" si="1"/>
        <v>0x01B</v>
      </c>
      <c r="D31" s="65" t="s">
        <v>83</v>
      </c>
      <c r="E31" s="44" t="s">
        <v>84</v>
      </c>
      <c r="F31" s="45"/>
      <c r="G31" s="46"/>
      <c r="I31" s="41">
        <v>27</v>
      </c>
      <c r="J31" s="41" t="str">
        <f t="shared" si="2"/>
        <v>0x01B</v>
      </c>
      <c r="K31" s="65" t="s">
        <v>51</v>
      </c>
      <c r="L31" s="44" t="s">
        <v>68</v>
      </c>
      <c r="M31" s="45"/>
      <c r="N31" s="46"/>
      <c r="P31" s="79" t="s">
        <v>370</v>
      </c>
      <c r="Q31" s="80">
        <f>AF30+1</f>
        <v>110</v>
      </c>
      <c r="R31" s="80">
        <f t="shared" si="20"/>
        <v>111</v>
      </c>
      <c r="S31" s="80">
        <f t="shared" si="18"/>
        <v>112</v>
      </c>
      <c r="T31" s="80">
        <f t="shared" si="18"/>
        <v>113</v>
      </c>
      <c r="U31" s="80">
        <f t="shared" si="18"/>
        <v>114</v>
      </c>
      <c r="V31" s="80">
        <f t="shared" si="18"/>
        <v>115</v>
      </c>
      <c r="W31" s="80">
        <f t="shared" si="18"/>
        <v>116</v>
      </c>
      <c r="X31" s="80">
        <v>439</v>
      </c>
      <c r="Y31" s="80">
        <f>AF9</f>
        <v>95</v>
      </c>
      <c r="Z31" s="80">
        <f t="shared" si="19"/>
        <v>96</v>
      </c>
      <c r="AA31" s="80">
        <f t="shared" si="19"/>
        <v>97</v>
      </c>
      <c r="AB31" s="80">
        <f t="shared" si="19"/>
        <v>98</v>
      </c>
      <c r="AC31" s="80">
        <f t="shared" si="19"/>
        <v>99</v>
      </c>
      <c r="AD31" s="80">
        <f t="shared" si="19"/>
        <v>100</v>
      </c>
      <c r="AE31" s="80">
        <f>AD31+1</f>
        <v>101</v>
      </c>
      <c r="AF31" s="80">
        <f t="shared" si="19"/>
        <v>102</v>
      </c>
    </row>
    <row r="32" spans="2:32" x14ac:dyDescent="0.25">
      <c r="B32" s="41">
        <v>28</v>
      </c>
      <c r="C32" s="41" t="str">
        <f t="shared" si="1"/>
        <v>0x01C</v>
      </c>
      <c r="D32" s="65" t="s">
        <v>85</v>
      </c>
      <c r="E32" s="44" t="s">
        <v>86</v>
      </c>
      <c r="F32" s="45"/>
      <c r="G32" s="46"/>
      <c r="I32" s="41">
        <v>28</v>
      </c>
      <c r="J32" s="41" t="str">
        <f t="shared" si="2"/>
        <v>0x01C</v>
      </c>
      <c r="K32" s="65" t="s">
        <v>51</v>
      </c>
      <c r="L32" s="44" t="s">
        <v>72</v>
      </c>
      <c r="M32" s="45"/>
      <c r="N32" s="46"/>
      <c r="P32" s="79" t="s">
        <v>371</v>
      </c>
      <c r="Q32" s="80">
        <f>AF31+1</f>
        <v>103</v>
      </c>
      <c r="R32" s="80">
        <f t="shared" si="20"/>
        <v>104</v>
      </c>
      <c r="S32" s="80">
        <f t="shared" si="18"/>
        <v>105</v>
      </c>
      <c r="T32" s="80">
        <f t="shared" si="18"/>
        <v>106</v>
      </c>
      <c r="U32" s="80">
        <f t="shared" si="18"/>
        <v>107</v>
      </c>
      <c r="V32" s="80">
        <f t="shared" si="18"/>
        <v>108</v>
      </c>
      <c r="W32" s="80">
        <f t="shared" si="18"/>
        <v>109</v>
      </c>
      <c r="X32" s="80">
        <f t="shared" si="18"/>
        <v>110</v>
      </c>
      <c r="Y32" s="80">
        <f t="shared" si="18"/>
        <v>111</v>
      </c>
      <c r="Z32" s="80">
        <f t="shared" si="18"/>
        <v>112</v>
      </c>
      <c r="AA32" s="80">
        <f t="shared" si="18"/>
        <v>113</v>
      </c>
      <c r="AB32" s="80">
        <f t="shared" si="18"/>
        <v>114</v>
      </c>
      <c r="AC32" s="80">
        <f t="shared" si="18"/>
        <v>115</v>
      </c>
      <c r="AD32" s="80">
        <f t="shared" si="18"/>
        <v>116</v>
      </c>
      <c r="AE32" s="80">
        <v>462</v>
      </c>
      <c r="AF32" s="80">
        <f>AF9</f>
        <v>95</v>
      </c>
    </row>
    <row r="33" spans="2:32" x14ac:dyDescent="0.25">
      <c r="B33" s="41">
        <v>29</v>
      </c>
      <c r="C33" s="41" t="str">
        <f t="shared" si="1"/>
        <v>0x01D</v>
      </c>
      <c r="D33" s="66"/>
      <c r="E33" s="44" t="s">
        <v>87</v>
      </c>
      <c r="F33" s="45"/>
      <c r="G33" s="46"/>
      <c r="I33" s="41">
        <v>29</v>
      </c>
      <c r="J33" s="41" t="str">
        <f t="shared" si="2"/>
        <v>0x01D</v>
      </c>
      <c r="K33" s="66"/>
      <c r="L33" s="44" t="s">
        <v>87</v>
      </c>
      <c r="M33" s="45"/>
      <c r="N33" s="46"/>
      <c r="P33" s="79" t="s">
        <v>372</v>
      </c>
      <c r="Q33" s="80">
        <f>AF32+1</f>
        <v>96</v>
      </c>
      <c r="R33" s="80">
        <f t="shared" si="20"/>
        <v>97</v>
      </c>
      <c r="S33" s="80">
        <f t="shared" si="18"/>
        <v>98</v>
      </c>
      <c r="T33" s="80">
        <f t="shared" si="18"/>
        <v>99</v>
      </c>
      <c r="U33" s="80">
        <f t="shared" si="18"/>
        <v>100</v>
      </c>
      <c r="V33" s="80">
        <f t="shared" si="18"/>
        <v>101</v>
      </c>
      <c r="W33" s="80">
        <f t="shared" si="18"/>
        <v>102</v>
      </c>
      <c r="X33" s="80">
        <f t="shared" si="18"/>
        <v>103</v>
      </c>
      <c r="Y33" s="80">
        <f t="shared" si="18"/>
        <v>104</v>
      </c>
      <c r="Z33" s="80">
        <f t="shared" si="18"/>
        <v>105</v>
      </c>
      <c r="AA33" s="80">
        <f t="shared" si="18"/>
        <v>106</v>
      </c>
      <c r="AB33" s="80">
        <f t="shared" si="18"/>
        <v>107</v>
      </c>
      <c r="AC33" s="80">
        <f t="shared" si="18"/>
        <v>108</v>
      </c>
      <c r="AD33" s="80">
        <f t="shared" si="18"/>
        <v>109</v>
      </c>
      <c r="AE33" s="80">
        <f t="shared" si="18"/>
        <v>110</v>
      </c>
      <c r="AF33" s="80">
        <f t="shared" si="18"/>
        <v>111</v>
      </c>
    </row>
    <row r="34" spans="2:32" x14ac:dyDescent="0.25">
      <c r="B34" s="41">
        <v>30</v>
      </c>
      <c r="C34" s="41" t="str">
        <f t="shared" si="1"/>
        <v>0x01E</v>
      </c>
      <c r="D34" s="66"/>
      <c r="E34" s="44" t="s">
        <v>88</v>
      </c>
      <c r="F34" s="45"/>
      <c r="G34" s="46"/>
      <c r="I34" s="41">
        <v>30</v>
      </c>
      <c r="J34" s="41" t="str">
        <f t="shared" si="2"/>
        <v>0x01E</v>
      </c>
      <c r="K34" s="66"/>
      <c r="L34" s="44" t="s">
        <v>88</v>
      </c>
      <c r="M34" s="45"/>
      <c r="N34" s="46"/>
      <c r="P34" s="79" t="s">
        <v>373</v>
      </c>
      <c r="Q34" s="80">
        <f>AF33+1</f>
        <v>112</v>
      </c>
      <c r="R34" s="80">
        <f t="shared" si="20"/>
        <v>113</v>
      </c>
      <c r="S34" s="80">
        <f t="shared" si="18"/>
        <v>114</v>
      </c>
      <c r="T34" s="80">
        <f t="shared" si="18"/>
        <v>115</v>
      </c>
      <c r="U34" s="80">
        <f t="shared" si="18"/>
        <v>116</v>
      </c>
      <c r="V34" s="80">
        <v>485</v>
      </c>
      <c r="W34" s="80">
        <f>AF9</f>
        <v>95</v>
      </c>
      <c r="X34" s="80">
        <f t="shared" si="18"/>
        <v>96</v>
      </c>
      <c r="Y34" s="80">
        <f t="shared" si="18"/>
        <v>97</v>
      </c>
      <c r="Z34" s="80">
        <f t="shared" si="18"/>
        <v>98</v>
      </c>
      <c r="AA34" s="80">
        <f t="shared" si="18"/>
        <v>99</v>
      </c>
      <c r="AB34" s="80">
        <f t="shared" si="18"/>
        <v>100</v>
      </c>
      <c r="AC34" s="80">
        <f t="shared" si="18"/>
        <v>101</v>
      </c>
      <c r="AD34" s="80">
        <f t="shared" si="18"/>
        <v>102</v>
      </c>
      <c r="AE34" s="80">
        <f t="shared" si="18"/>
        <v>103</v>
      </c>
      <c r="AF34" s="80">
        <f t="shared" si="18"/>
        <v>104</v>
      </c>
    </row>
    <row r="35" spans="2:32" x14ac:dyDescent="0.25">
      <c r="B35" s="41">
        <v>31</v>
      </c>
      <c r="C35" s="41" t="str">
        <f t="shared" si="1"/>
        <v>0x01F</v>
      </c>
      <c r="D35" s="66"/>
      <c r="E35" s="44" t="s">
        <v>89</v>
      </c>
      <c r="F35" s="45"/>
      <c r="G35" s="46"/>
      <c r="I35" s="41">
        <v>31</v>
      </c>
      <c r="J35" s="41" t="str">
        <f t="shared" si="2"/>
        <v>0x01F</v>
      </c>
      <c r="K35" s="66"/>
      <c r="L35" s="44" t="s">
        <v>89</v>
      </c>
      <c r="M35" s="45"/>
      <c r="N35" s="46"/>
      <c r="P35" s="79" t="s">
        <v>374</v>
      </c>
      <c r="Q35" s="80">
        <f>AF34+1</f>
        <v>105</v>
      </c>
      <c r="R35" s="80">
        <f t="shared" si="20"/>
        <v>106</v>
      </c>
      <c r="S35" s="80">
        <f t="shared" si="18"/>
        <v>107</v>
      </c>
      <c r="T35" s="80">
        <f t="shared" si="18"/>
        <v>108</v>
      </c>
      <c r="U35" s="80">
        <f t="shared" si="18"/>
        <v>109</v>
      </c>
      <c r="V35" s="80">
        <f t="shared" si="18"/>
        <v>110</v>
      </c>
      <c r="W35" s="80">
        <f t="shared" si="18"/>
        <v>111</v>
      </c>
      <c r="X35" s="80">
        <f t="shared" si="18"/>
        <v>112</v>
      </c>
      <c r="Y35" s="80">
        <f t="shared" si="18"/>
        <v>113</v>
      </c>
      <c r="Z35" s="80">
        <f t="shared" si="18"/>
        <v>114</v>
      </c>
      <c r="AA35" s="80">
        <f t="shared" si="18"/>
        <v>115</v>
      </c>
      <c r="AB35" s="80">
        <f t="shared" si="18"/>
        <v>116</v>
      </c>
      <c r="AC35" s="80">
        <v>508</v>
      </c>
      <c r="AD35" s="80">
        <v>509</v>
      </c>
      <c r="AE35" s="80">
        <v>510</v>
      </c>
      <c r="AF35" s="80">
        <v>511</v>
      </c>
    </row>
    <row r="36" spans="2:32" x14ac:dyDescent="0.25">
      <c r="B36" s="41">
        <v>32</v>
      </c>
      <c r="C36" s="41" t="str">
        <f t="shared" si="1"/>
        <v>0x020</v>
      </c>
      <c r="D36" s="66"/>
      <c r="E36" s="44" t="s">
        <v>90</v>
      </c>
      <c r="F36" s="45"/>
      <c r="G36" s="46"/>
      <c r="I36" s="41">
        <v>32</v>
      </c>
      <c r="J36" s="41" t="str">
        <f t="shared" si="2"/>
        <v>0x020</v>
      </c>
      <c r="K36" s="66"/>
      <c r="L36" s="44" t="s">
        <v>90</v>
      </c>
      <c r="M36" s="45"/>
      <c r="N36" s="46"/>
    </row>
    <row r="37" spans="2:32" x14ac:dyDescent="0.25">
      <c r="B37" s="41">
        <v>33</v>
      </c>
      <c r="C37" s="41" t="str">
        <f t="shared" si="1"/>
        <v>0x021</v>
      </c>
      <c r="D37" s="66"/>
      <c r="E37" s="44" t="s">
        <v>91</v>
      </c>
      <c r="F37" s="45"/>
      <c r="G37" s="46"/>
      <c r="I37" s="41">
        <v>33</v>
      </c>
      <c r="J37" s="41" t="str">
        <f t="shared" si="2"/>
        <v>0x021</v>
      </c>
      <c r="K37" s="66"/>
      <c r="L37" s="44" t="s">
        <v>91</v>
      </c>
      <c r="M37" s="45"/>
      <c r="N37" s="46"/>
      <c r="P37" t="s">
        <v>399</v>
      </c>
    </row>
    <row r="38" spans="2:32" x14ac:dyDescent="0.25">
      <c r="B38" s="41">
        <v>34</v>
      </c>
      <c r="C38" s="41" t="str">
        <f t="shared" si="1"/>
        <v>0x022</v>
      </c>
      <c r="D38" s="66"/>
      <c r="E38" s="44" t="s">
        <v>92</v>
      </c>
      <c r="F38" s="45"/>
      <c r="G38" s="46"/>
      <c r="I38" s="41">
        <v>34</v>
      </c>
      <c r="J38" s="41" t="str">
        <f t="shared" si="2"/>
        <v>0x022</v>
      </c>
      <c r="K38" s="66"/>
      <c r="L38" s="44" t="s">
        <v>92</v>
      </c>
      <c r="M38" s="45"/>
      <c r="N38" s="46"/>
      <c r="P38" s="79" t="s">
        <v>326</v>
      </c>
      <c r="Q38" s="79" t="s">
        <v>327</v>
      </c>
      <c r="R38" s="79" t="s">
        <v>328</v>
      </c>
      <c r="S38" s="79" t="s">
        <v>329</v>
      </c>
      <c r="T38" s="79" t="s">
        <v>330</v>
      </c>
      <c r="U38" s="79" t="s">
        <v>331</v>
      </c>
      <c r="V38" s="79" t="s">
        <v>332</v>
      </c>
      <c r="W38" s="79" t="s">
        <v>333</v>
      </c>
      <c r="X38" s="79" t="s">
        <v>334</v>
      </c>
      <c r="Y38" s="79" t="s">
        <v>335</v>
      </c>
      <c r="Z38" s="79" t="s">
        <v>336</v>
      </c>
      <c r="AA38" s="79" t="s">
        <v>337</v>
      </c>
      <c r="AB38" s="79" t="s">
        <v>338</v>
      </c>
      <c r="AC38" s="79" t="s">
        <v>339</v>
      </c>
      <c r="AD38" s="79" t="s">
        <v>340</v>
      </c>
      <c r="AE38" s="79" t="s">
        <v>341</v>
      </c>
      <c r="AF38" s="79" t="s">
        <v>342</v>
      </c>
    </row>
    <row r="39" spans="2:32" x14ac:dyDescent="0.25">
      <c r="B39" s="41">
        <v>35</v>
      </c>
      <c r="C39" s="41" t="str">
        <f t="shared" si="1"/>
        <v>0x023</v>
      </c>
      <c r="D39" s="66"/>
      <c r="E39" s="44" t="s">
        <v>93</v>
      </c>
      <c r="F39" s="45"/>
      <c r="G39" s="46"/>
      <c r="I39" s="41">
        <v>35</v>
      </c>
      <c r="J39" s="41" t="str">
        <f t="shared" si="2"/>
        <v>0x023</v>
      </c>
      <c r="K39" s="66"/>
      <c r="L39" s="44" t="s">
        <v>93</v>
      </c>
      <c r="M39" s="45"/>
      <c r="N39" s="46"/>
      <c r="P39" s="79" t="s">
        <v>327</v>
      </c>
      <c r="Q39" s="80" t="str">
        <f>RIGHT(INDEX($D$4:$D$141,MATCH(Q4,$B$4:$B$141,0)),2)</f>
        <v>1B</v>
      </c>
      <c r="R39" s="80" t="str">
        <f t="shared" ref="R39:AF39" si="21">RIGHT(INDEX($D$4:$D$141,MATCH(R4,$B$4:$B$141,0)),2)</f>
        <v>00</v>
      </c>
      <c r="S39" s="80" t="str">
        <f t="shared" si="21"/>
        <v>00</v>
      </c>
      <c r="T39" s="80" t="str">
        <f t="shared" si="21"/>
        <v>00</v>
      </c>
      <c r="U39" s="80" t="str">
        <f t="shared" si="21"/>
        <v>00</v>
      </c>
      <c r="V39" s="80" t="str">
        <f t="shared" si="21"/>
        <v>00</v>
      </c>
      <c r="W39" s="80" t="str">
        <f t="shared" si="21"/>
        <v>00</v>
      </c>
      <c r="X39" s="80" t="str">
        <f t="shared" si="21"/>
        <v>00</v>
      </c>
      <c r="Y39" s="80" t="str">
        <f t="shared" si="21"/>
        <v>84</v>
      </c>
      <c r="Z39" s="80" t="str">
        <f t="shared" si="21"/>
        <v>60</v>
      </c>
      <c r="AA39" s="80" t="str">
        <f t="shared" si="21"/>
        <v>0D</v>
      </c>
      <c r="AB39" s="80" t="str">
        <f t="shared" si="21"/>
        <v>EA</v>
      </c>
      <c r="AC39" s="80" t="str">
        <f t="shared" si="21"/>
        <v>01</v>
      </c>
      <c r="AD39" s="80" t="str">
        <f t="shared" si="21"/>
        <v>00</v>
      </c>
      <c r="AE39" s="80" t="str">
        <f t="shared" si="21"/>
        <v>03</v>
      </c>
      <c r="AF39" s="80" t="str">
        <f t="shared" si="21"/>
        <v>00</v>
      </c>
    </row>
    <row r="40" spans="2:32" x14ac:dyDescent="0.25">
      <c r="B40" s="41">
        <v>36</v>
      </c>
      <c r="C40" s="41" t="str">
        <f t="shared" si="1"/>
        <v>0x024</v>
      </c>
      <c r="D40" s="66"/>
      <c r="E40" s="44" t="s">
        <v>94</v>
      </c>
      <c r="F40" s="45"/>
      <c r="G40" s="46"/>
      <c r="I40" s="41">
        <v>36</v>
      </c>
      <c r="J40" s="41" t="str">
        <f t="shared" si="2"/>
        <v>0x024</v>
      </c>
      <c r="K40" s="66"/>
      <c r="L40" s="44" t="s">
        <v>94</v>
      </c>
      <c r="M40" s="45"/>
      <c r="N40" s="46"/>
      <c r="P40" s="79" t="s">
        <v>343</v>
      </c>
      <c r="Q40" s="80" t="str">
        <f t="shared" ref="Q40:AF40" si="22">RIGHT(INDEX($D$4:$D$141,MATCH(Q5,$B$4:$B$141,0)),2)</f>
        <v/>
      </c>
      <c r="R40" s="80" t="str">
        <f t="shared" si="22"/>
        <v>00</v>
      </c>
      <c r="S40" s="80" t="str">
        <f t="shared" si="22"/>
        <v>00</v>
      </c>
      <c r="T40" s="80" t="str">
        <f t="shared" si="22"/>
        <v>00</v>
      </c>
      <c r="U40" s="80" t="str">
        <f t="shared" si="22"/>
        <v>00</v>
      </c>
      <c r="V40" s="80" t="str">
        <f t="shared" si="22"/>
        <v>00</v>
      </c>
      <c r="W40" s="80" t="str">
        <f t="shared" si="22"/>
        <v>06</v>
      </c>
      <c r="X40" s="80" t="str">
        <f t="shared" si="22"/>
        <v>01</v>
      </c>
      <c r="Y40" s="80" t="str">
        <f t="shared" si="22"/>
        <v>01</v>
      </c>
      <c r="Z40" s="80" t="str">
        <f t="shared" si="22"/>
        <v>02</v>
      </c>
      <c r="AA40" s="80" t="str">
        <f t="shared" si="22"/>
        <v>1F</v>
      </c>
      <c r="AB40" s="80" t="str">
        <f t="shared" si="22"/>
        <v>0C</v>
      </c>
      <c r="AC40" s="80" t="str">
        <f t="shared" si="22"/>
        <v>08</v>
      </c>
      <c r="AD40" s="80" t="str">
        <f t="shared" si="22"/>
        <v/>
      </c>
      <c r="AE40" s="80" t="str">
        <f t="shared" si="22"/>
        <v/>
      </c>
      <c r="AF40" s="80" t="str">
        <f t="shared" si="22"/>
        <v/>
      </c>
    </row>
    <row r="41" spans="2:32" x14ac:dyDescent="0.25">
      <c r="B41" s="41">
        <v>37</v>
      </c>
      <c r="C41" s="41" t="str">
        <f t="shared" si="1"/>
        <v>0x025</v>
      </c>
      <c r="D41" s="66"/>
      <c r="E41" s="44" t="s">
        <v>95</v>
      </c>
      <c r="F41" s="45"/>
      <c r="G41" s="46"/>
      <c r="I41" s="41">
        <v>37</v>
      </c>
      <c r="J41" s="41" t="str">
        <f t="shared" si="2"/>
        <v>0x025</v>
      </c>
      <c r="K41" s="66"/>
      <c r="L41" s="44" t="s">
        <v>95</v>
      </c>
      <c r="M41" s="45"/>
      <c r="N41" s="46"/>
      <c r="P41" s="79" t="s">
        <v>344</v>
      </c>
      <c r="Q41" s="80" t="str">
        <f t="shared" ref="Q41:AF41" si="23">RIGHT(INDEX($D$4:$D$141,MATCH(Q6,$B$4:$B$141,0)),2)</f>
        <v/>
      </c>
      <c r="R41" s="80" t="str">
        <f t="shared" si="23"/>
        <v/>
      </c>
      <c r="S41" s="80" t="str">
        <f t="shared" si="23"/>
        <v/>
      </c>
      <c r="T41" s="80" t="str">
        <f t="shared" si="23"/>
        <v/>
      </c>
      <c r="U41" s="80" t="str">
        <f t="shared" si="23"/>
        <v/>
      </c>
      <c r="V41" s="80" t="str">
        <f t="shared" si="23"/>
        <v/>
      </c>
      <c r="W41" s="80" t="str">
        <f t="shared" si="23"/>
        <v/>
      </c>
      <c r="X41" s="80" t="str">
        <f t="shared" si="23"/>
        <v>03</v>
      </c>
      <c r="Y41" s="80" t="str">
        <f t="shared" si="23"/>
        <v>21</v>
      </c>
      <c r="Z41" s="80" t="str">
        <f t="shared" si="23"/>
        <v>07</v>
      </c>
      <c r="AA41" s="80" t="str">
        <f t="shared" si="23"/>
        <v>10</v>
      </c>
      <c r="AB41" s="80" t="str">
        <f t="shared" si="23"/>
        <v>02</v>
      </c>
      <c r="AC41" s="80" t="str">
        <f t="shared" si="23"/>
        <v>20</v>
      </c>
      <c r="AD41" s="80" t="str">
        <f t="shared" si="23"/>
        <v>04</v>
      </c>
      <c r="AE41" s="80" t="str">
        <f t="shared" si="23"/>
        <v>40</v>
      </c>
      <c r="AF41" s="80" t="str">
        <f t="shared" si="23"/>
        <v/>
      </c>
    </row>
    <row r="42" spans="2:32" x14ac:dyDescent="0.25">
      <c r="B42" s="41">
        <v>38</v>
      </c>
      <c r="C42" s="41" t="str">
        <f t="shared" si="1"/>
        <v>0x026</v>
      </c>
      <c r="D42" s="66"/>
      <c r="E42" s="44" t="s">
        <v>96</v>
      </c>
      <c r="F42" s="45"/>
      <c r="G42" s="46"/>
      <c r="I42" s="41">
        <v>38</v>
      </c>
      <c r="J42" s="41" t="str">
        <f t="shared" si="2"/>
        <v>0x026</v>
      </c>
      <c r="K42" s="66"/>
      <c r="L42" s="44" t="s">
        <v>96</v>
      </c>
      <c r="M42" s="45"/>
      <c r="N42" s="46"/>
      <c r="P42" s="79" t="s">
        <v>345</v>
      </c>
      <c r="Q42" s="80" t="str">
        <f t="shared" ref="Q42:AF42" si="24">RIGHT(INDEX($D$4:$D$141,MATCH(Q7,$B$4:$B$141,0)),2)</f>
        <v>A8</v>
      </c>
      <c r="R42" s="80" t="str">
        <f t="shared" si="24"/>
        <v>06</v>
      </c>
      <c r="S42" s="80" t="str">
        <f t="shared" si="24"/>
        <v>2E</v>
      </c>
      <c r="T42" s="80" t="str">
        <f t="shared" si="24"/>
        <v>2F</v>
      </c>
      <c r="U42" s="80" t="str">
        <f t="shared" si="24"/>
        <v>1B</v>
      </c>
      <c r="V42" s="80" t="str">
        <f t="shared" si="24"/>
        <v>D3</v>
      </c>
      <c r="W42" s="80" t="str">
        <f t="shared" si="24"/>
        <v>91</v>
      </c>
      <c r="X42" s="80" t="str">
        <f t="shared" si="24"/>
        <v>1B</v>
      </c>
      <c r="Y42" s="80" t="str">
        <f t="shared" si="24"/>
        <v>08</v>
      </c>
      <c r="Z42" s="80" t="str">
        <f t="shared" si="24"/>
        <v>44</v>
      </c>
      <c r="AA42" s="80" t="str">
        <f t="shared" si="24"/>
        <v>00</v>
      </c>
      <c r="AB42" s="80" t="str">
        <f t="shared" si="24"/>
        <v/>
      </c>
      <c r="AC42" s="80" t="str">
        <f t="shared" si="24"/>
        <v>0F</v>
      </c>
      <c r="AD42" s="80" t="str">
        <f t="shared" si="24"/>
        <v>00</v>
      </c>
      <c r="AE42" s="80" t="str">
        <f t="shared" si="24"/>
        <v>0F</v>
      </c>
      <c r="AF42" s="80" t="str">
        <f t="shared" si="24"/>
        <v>6C</v>
      </c>
    </row>
    <row r="43" spans="2:32" x14ac:dyDescent="0.25">
      <c r="B43" s="41">
        <v>39</v>
      </c>
      <c r="C43" s="41" t="str">
        <f t="shared" si="1"/>
        <v>0x027</v>
      </c>
      <c r="D43" s="65" t="s">
        <v>70</v>
      </c>
      <c r="E43" s="44" t="s">
        <v>97</v>
      </c>
      <c r="F43" s="45"/>
      <c r="G43" s="46"/>
      <c r="I43" s="41">
        <v>39</v>
      </c>
      <c r="J43" s="41" t="str">
        <f t="shared" si="2"/>
        <v>0x027</v>
      </c>
      <c r="K43" s="65" t="s">
        <v>51</v>
      </c>
      <c r="L43" s="44" t="s">
        <v>244</v>
      </c>
      <c r="M43" s="45"/>
      <c r="N43" s="46"/>
      <c r="P43" s="79" t="s">
        <v>347</v>
      </c>
      <c r="Q43" s="80" t="str">
        <f t="shared" ref="Q43:AF43" si="25">RIGHT(INDEX($D$4:$D$141,MATCH(Q8,$B$4:$B$141,0)),2)</f>
        <v>CC</v>
      </c>
      <c r="R43" s="80" t="str">
        <f t="shared" si="25"/>
        <v>5B</v>
      </c>
      <c r="S43" s="80" t="str">
        <f t="shared" si="25"/>
        <v>F8</v>
      </c>
      <c r="T43" s="80" t="str">
        <f t="shared" si="25"/>
        <v>17</v>
      </c>
      <c r="U43" s="80" t="str">
        <f t="shared" si="25"/>
        <v>23</v>
      </c>
      <c r="V43" s="80" t="str">
        <f t="shared" si="25"/>
        <v>9A</v>
      </c>
      <c r="W43" s="80" t="str">
        <f t="shared" si="25"/>
        <v>47</v>
      </c>
      <c r="X43" s="80" t="str">
        <f t="shared" si="25"/>
        <v>00</v>
      </c>
      <c r="Y43" s="80" t="str">
        <f t="shared" si="25"/>
        <v>30</v>
      </c>
      <c r="Z43" s="80" t="str">
        <f t="shared" si="25"/>
        <v>18</v>
      </c>
      <c r="AA43" s="80" t="str">
        <f t="shared" si="25"/>
        <v>16</v>
      </c>
      <c r="AB43" s="80" t="str">
        <f t="shared" si="25"/>
        <v>6C</v>
      </c>
      <c r="AC43" s="80" t="str">
        <f t="shared" si="25"/>
        <v>03</v>
      </c>
      <c r="AD43" s="80" t="str">
        <f t="shared" si="25"/>
        <v>40</v>
      </c>
      <c r="AE43" s="80" t="str">
        <f t="shared" si="25"/>
        <v>91</v>
      </c>
      <c r="AF43" s="80" t="str">
        <f t="shared" si="25"/>
        <v>00</v>
      </c>
    </row>
    <row r="44" spans="2:32" x14ac:dyDescent="0.25">
      <c r="B44" s="41">
        <v>40</v>
      </c>
      <c r="C44" s="41" t="str">
        <f t="shared" si="1"/>
        <v>0x028</v>
      </c>
      <c r="D44" s="65" t="s">
        <v>98</v>
      </c>
      <c r="E44" s="44" t="s">
        <v>99</v>
      </c>
      <c r="F44" s="45"/>
      <c r="G44" s="46"/>
      <c r="I44" s="41">
        <v>40</v>
      </c>
      <c r="J44" s="41" t="str">
        <f t="shared" si="2"/>
        <v>0x028</v>
      </c>
      <c r="K44" s="65" t="s">
        <v>98</v>
      </c>
      <c r="L44" s="44" t="s">
        <v>245</v>
      </c>
      <c r="M44" s="45"/>
      <c r="N44" s="46"/>
      <c r="P44" s="79" t="s">
        <v>348</v>
      </c>
      <c r="Q44" s="80" t="str">
        <f t="shared" ref="Q44:AF44" si="26">RIGHT(INDEX($D$4:$D$141,MATCH(Q9,$B$4:$B$141,0)),2)</f>
        <v>C0</v>
      </c>
      <c r="R44" s="80" t="str">
        <f t="shared" si="26"/>
        <v>78</v>
      </c>
      <c r="S44" s="80" t="str">
        <f t="shared" si="26"/>
        <v>56</v>
      </c>
      <c r="T44" s="80" t="str">
        <f t="shared" si="26"/>
        <v>10</v>
      </c>
      <c r="U44" s="80" t="str">
        <f t="shared" si="26"/>
        <v>EA</v>
      </c>
      <c r="V44" s="80" t="str">
        <f t="shared" si="26"/>
        <v>2A</v>
      </c>
      <c r="W44" s="80" t="str">
        <f t="shared" si="26"/>
        <v>00</v>
      </c>
      <c r="X44" s="80" t="str">
        <f t="shared" si="26"/>
        <v>1F</v>
      </c>
      <c r="Y44" s="80" t="str">
        <f t="shared" si="26"/>
        <v>41</v>
      </c>
      <c r="Z44" s="80" t="str">
        <f t="shared" si="26"/>
        <v>00</v>
      </c>
      <c r="AA44" s="80" t="str">
        <f t="shared" si="26"/>
        <v>00</v>
      </c>
      <c r="AB44" s="80" t="str">
        <f t="shared" si="26"/>
        <v/>
      </c>
      <c r="AC44" s="80" t="str">
        <f t="shared" si="26"/>
        <v/>
      </c>
      <c r="AD44" s="80" t="str">
        <f t="shared" si="26"/>
        <v/>
      </c>
      <c r="AE44" s="80" t="str">
        <f t="shared" si="26"/>
        <v/>
      </c>
      <c r="AF44" s="80" t="str">
        <f t="shared" si="26"/>
        <v/>
      </c>
    </row>
    <row r="45" spans="2:32" x14ac:dyDescent="0.25">
      <c r="B45" s="41">
        <v>41</v>
      </c>
      <c r="C45" s="41" t="str">
        <f t="shared" si="1"/>
        <v>0x029</v>
      </c>
      <c r="D45" s="65" t="s">
        <v>100</v>
      </c>
      <c r="E45" s="44" t="s">
        <v>101</v>
      </c>
      <c r="F45" s="45"/>
      <c r="G45" s="46"/>
      <c r="I45" s="41">
        <v>41</v>
      </c>
      <c r="J45" s="41" t="str">
        <f t="shared" si="2"/>
        <v>0x029</v>
      </c>
      <c r="K45" s="65" t="s">
        <v>597</v>
      </c>
      <c r="L45" s="44" t="s">
        <v>246</v>
      </c>
      <c r="M45" s="45"/>
      <c r="N45" s="46" t="s">
        <v>598</v>
      </c>
      <c r="P45" s="79" t="s">
        <v>349</v>
      </c>
      <c r="Q45" s="80" t="str">
        <f t="shared" ref="Q45:AF45" si="27">RIGHT(INDEX($D$4:$D$141,MATCH(Q10,$B$4:$B$141,0)),2)</f>
        <v/>
      </c>
      <c r="R45" s="80" t="str">
        <f t="shared" si="27"/>
        <v/>
      </c>
      <c r="S45" s="80" t="str">
        <f t="shared" si="27"/>
        <v/>
      </c>
      <c r="T45" s="80" t="str">
        <f t="shared" si="27"/>
        <v/>
      </c>
      <c r="U45" s="80" t="str">
        <f t="shared" si="27"/>
        <v/>
      </c>
      <c r="V45" s="80" t="str">
        <f t="shared" si="27"/>
        <v/>
      </c>
      <c r="W45" s="80" t="str">
        <f t="shared" si="27"/>
        <v/>
      </c>
      <c r="X45" s="80" t="str">
        <f t="shared" si="27"/>
        <v/>
      </c>
      <c r="Y45" s="80" t="str">
        <f t="shared" si="27"/>
        <v/>
      </c>
      <c r="Z45" s="80" t="str">
        <f t="shared" si="27"/>
        <v>00</v>
      </c>
      <c r="AA45" s="80" t="str">
        <f t="shared" si="27"/>
        <v>00</v>
      </c>
      <c r="AB45" s="80" t="str">
        <f t="shared" si="27"/>
        <v>00</v>
      </c>
      <c r="AC45" s="80" t="str">
        <f t="shared" si="27"/>
        <v>00</v>
      </c>
      <c r="AD45" s="80" t="str">
        <f t="shared" si="27"/>
        <v>00</v>
      </c>
      <c r="AE45" s="80" t="str">
        <f t="shared" si="27"/>
        <v>00</v>
      </c>
      <c r="AF45" s="80" t="str">
        <f t="shared" si="27"/>
        <v>00</v>
      </c>
    </row>
    <row r="46" spans="2:32" x14ac:dyDescent="0.25">
      <c r="B46" s="41">
        <v>42</v>
      </c>
      <c r="C46" s="41" t="str">
        <f t="shared" si="1"/>
        <v>0x02A</v>
      </c>
      <c r="D46" s="65" t="s">
        <v>102</v>
      </c>
      <c r="E46" s="44" t="s">
        <v>103</v>
      </c>
      <c r="F46" s="45"/>
      <c r="G46" s="46"/>
      <c r="I46" s="41">
        <v>42</v>
      </c>
      <c r="J46" s="41" t="str">
        <f t="shared" si="2"/>
        <v>0x02A</v>
      </c>
      <c r="K46" s="65" t="s">
        <v>319</v>
      </c>
      <c r="L46" s="44" t="s">
        <v>247</v>
      </c>
      <c r="M46" s="45"/>
      <c r="N46" s="46"/>
      <c r="P46" s="79" t="s">
        <v>350</v>
      </c>
      <c r="Q46" s="80" t="str">
        <f t="shared" ref="Q46:AF46" si="28">RIGHT(INDEX($D$4:$D$141,MATCH(Q11,$B$4:$B$141,0)),2)</f>
        <v>00</v>
      </c>
      <c r="R46" s="80" t="str">
        <f t="shared" si="28"/>
        <v/>
      </c>
      <c r="S46" s="80" t="str">
        <f t="shared" si="28"/>
        <v/>
      </c>
      <c r="T46" s="80" t="str">
        <f t="shared" si="28"/>
        <v/>
      </c>
      <c r="U46" s="80" t="str">
        <f t="shared" si="28"/>
        <v/>
      </c>
      <c r="V46" s="80" t="str">
        <f t="shared" si="28"/>
        <v>01</v>
      </c>
      <c r="W46" s="80" t="str">
        <f t="shared" si="28"/>
        <v/>
      </c>
      <c r="X46" s="80" t="str">
        <f t="shared" si="28"/>
        <v/>
      </c>
      <c r="Y46" s="80" t="str">
        <f t="shared" si="28"/>
        <v/>
      </c>
      <c r="Z46" s="80" t="str">
        <f t="shared" si="28"/>
        <v/>
      </c>
      <c r="AA46" s="80" t="str">
        <f t="shared" si="28"/>
        <v/>
      </c>
      <c r="AB46" s="80" t="str">
        <f t="shared" si="28"/>
        <v/>
      </c>
      <c r="AC46" s="80" t="str">
        <f t="shared" si="28"/>
        <v/>
      </c>
      <c r="AD46" s="80" t="str">
        <f t="shared" si="28"/>
        <v/>
      </c>
      <c r="AE46" s="80" t="str">
        <f t="shared" si="28"/>
        <v/>
      </c>
      <c r="AF46" s="80" t="str">
        <f t="shared" si="28"/>
        <v/>
      </c>
    </row>
    <row r="47" spans="2:32" x14ac:dyDescent="0.25">
      <c r="B47" s="41">
        <v>43</v>
      </c>
      <c r="C47" s="41" t="str">
        <f t="shared" si="1"/>
        <v>0x02B</v>
      </c>
      <c r="D47" s="65" t="s">
        <v>79</v>
      </c>
      <c r="E47" s="44" t="s">
        <v>104</v>
      </c>
      <c r="F47" s="45"/>
      <c r="G47" s="46"/>
      <c r="I47" s="41">
        <v>43</v>
      </c>
      <c r="J47" s="41" t="str">
        <f t="shared" si="2"/>
        <v>0x02B</v>
      </c>
      <c r="K47" s="65" t="s">
        <v>79</v>
      </c>
      <c r="L47" s="44" t="s">
        <v>248</v>
      </c>
      <c r="M47" s="45"/>
      <c r="N47" s="46"/>
      <c r="P47" s="79" t="s">
        <v>351</v>
      </c>
      <c r="Q47" s="80" t="str">
        <f t="shared" ref="Q47:AF47" si="29">RIGHT(INDEX($D$4:$D$141,MATCH(Q12,$B$4:$B$141,0)),2)</f>
        <v>00</v>
      </c>
      <c r="R47" s="80" t="str">
        <f t="shared" si="29"/>
        <v>00</v>
      </c>
      <c r="S47" s="80" t="str">
        <f t="shared" si="29"/>
        <v>00</v>
      </c>
      <c r="T47" s="80" t="str">
        <f t="shared" si="29"/>
        <v>00</v>
      </c>
      <c r="U47" s="80" t="str">
        <f t="shared" si="29"/>
        <v>00</v>
      </c>
      <c r="V47" s="80" t="str">
        <f t="shared" si="29"/>
        <v>00</v>
      </c>
      <c r="W47" s="80" t="str">
        <f t="shared" si="29"/>
        <v>00</v>
      </c>
      <c r="X47" s="80" t="str">
        <f t="shared" si="29"/>
        <v>00</v>
      </c>
      <c r="Y47" s="80" t="str">
        <f t="shared" si="29"/>
        <v/>
      </c>
      <c r="Z47" s="80" t="str">
        <f t="shared" si="29"/>
        <v/>
      </c>
      <c r="AA47" s="80" t="str">
        <f t="shared" si="29"/>
        <v/>
      </c>
      <c r="AB47" s="80" t="str">
        <f t="shared" si="29"/>
        <v/>
      </c>
      <c r="AC47" s="80" t="str">
        <f t="shared" si="29"/>
        <v>02</v>
      </c>
      <c r="AD47" s="80" t="str">
        <f t="shared" si="29"/>
        <v/>
      </c>
      <c r="AE47" s="80" t="str">
        <f t="shared" si="29"/>
        <v/>
      </c>
      <c r="AF47" s="80" t="str">
        <f t="shared" si="29"/>
        <v/>
      </c>
    </row>
    <row r="48" spans="2:32" x14ac:dyDescent="0.25">
      <c r="B48" s="41">
        <v>44</v>
      </c>
      <c r="C48" s="41" t="str">
        <f t="shared" si="1"/>
        <v>0x02C</v>
      </c>
      <c r="D48" s="65" t="s">
        <v>105</v>
      </c>
      <c r="E48" s="44" t="s">
        <v>106</v>
      </c>
      <c r="F48" s="45"/>
      <c r="G48" s="46"/>
      <c r="I48" s="41">
        <v>44</v>
      </c>
      <c r="J48" s="41" t="str">
        <f t="shared" si="2"/>
        <v>0x02C</v>
      </c>
      <c r="K48" s="65" t="s">
        <v>105</v>
      </c>
      <c r="L48" s="44" t="s">
        <v>248</v>
      </c>
      <c r="M48" s="45"/>
      <c r="N48" s="46"/>
      <c r="P48" s="79" t="s">
        <v>352</v>
      </c>
      <c r="Q48" s="80" t="str">
        <f t="shared" ref="Q48:AF48" si="30">RIGHT(INDEX($D$4:$D$141,MATCH(Q13,$B$4:$B$141,0)),2)</f>
        <v/>
      </c>
      <c r="R48" s="80" t="str">
        <f t="shared" si="30"/>
        <v/>
      </c>
      <c r="S48" s="80" t="str">
        <f t="shared" si="30"/>
        <v/>
      </c>
      <c r="T48" s="80" t="str">
        <f t="shared" si="30"/>
        <v/>
      </c>
      <c r="U48" s="80" t="str">
        <f t="shared" si="30"/>
        <v/>
      </c>
      <c r="V48" s="80" t="str">
        <f t="shared" si="30"/>
        <v/>
      </c>
      <c r="W48" s="80" t="str">
        <f t="shared" si="30"/>
        <v/>
      </c>
      <c r="X48" s="80" t="str">
        <f t="shared" si="30"/>
        <v>00</v>
      </c>
      <c r="Y48" s="80" t="str">
        <f t="shared" si="30"/>
        <v>00</v>
      </c>
      <c r="Z48" s="80" t="str">
        <f t="shared" si="30"/>
        <v>00</v>
      </c>
      <c r="AA48" s="80" t="str">
        <f t="shared" si="30"/>
        <v>00</v>
      </c>
      <c r="AB48" s="80" t="str">
        <f t="shared" si="30"/>
        <v>00</v>
      </c>
      <c r="AC48" s="80" t="str">
        <f t="shared" si="30"/>
        <v>00</v>
      </c>
      <c r="AD48" s="80" t="str">
        <f t="shared" si="30"/>
        <v>00</v>
      </c>
      <c r="AE48" s="80" t="str">
        <f t="shared" si="30"/>
        <v>00</v>
      </c>
      <c r="AF48" s="80" t="str">
        <f t="shared" si="30"/>
        <v/>
      </c>
    </row>
    <row r="49" spans="2:32" x14ac:dyDescent="0.25">
      <c r="B49" s="41">
        <v>45</v>
      </c>
      <c r="C49" s="41" t="str">
        <f t="shared" si="1"/>
        <v>0x02D</v>
      </c>
      <c r="D49" s="65" t="s">
        <v>107</v>
      </c>
      <c r="E49" s="44" t="s">
        <v>108</v>
      </c>
      <c r="F49" s="45"/>
      <c r="G49" s="46"/>
      <c r="I49" s="41">
        <v>45</v>
      </c>
      <c r="J49" s="41" t="str">
        <f t="shared" si="2"/>
        <v>0x02D</v>
      </c>
      <c r="K49" s="65" t="s">
        <v>105</v>
      </c>
      <c r="L49" s="44" t="s">
        <v>108</v>
      </c>
      <c r="M49" s="45"/>
      <c r="N49" s="46"/>
      <c r="P49" s="79" t="s">
        <v>353</v>
      </c>
      <c r="Q49" s="80" t="str">
        <f t="shared" ref="Q49:AF49" si="31">RIGHT(INDEX($D$4:$D$141,MATCH(Q14,$B$4:$B$141,0)),2)</f>
        <v/>
      </c>
      <c r="R49" s="80" t="str">
        <f t="shared" si="31"/>
        <v/>
      </c>
      <c r="S49" s="80" t="str">
        <f t="shared" si="31"/>
        <v/>
      </c>
      <c r="T49" s="80" t="str">
        <f t="shared" si="31"/>
        <v>03</v>
      </c>
      <c r="U49" s="80" t="str">
        <f t="shared" si="31"/>
        <v/>
      </c>
      <c r="V49" s="80" t="str">
        <f t="shared" si="31"/>
        <v/>
      </c>
      <c r="W49" s="80" t="str">
        <f t="shared" si="31"/>
        <v/>
      </c>
      <c r="X49" s="80" t="str">
        <f t="shared" si="31"/>
        <v/>
      </c>
      <c r="Y49" s="80" t="str">
        <f t="shared" si="31"/>
        <v/>
      </c>
      <c r="Z49" s="80" t="str">
        <f t="shared" si="31"/>
        <v/>
      </c>
      <c r="AA49" s="80" t="str">
        <f t="shared" si="31"/>
        <v/>
      </c>
      <c r="AB49" s="80" t="str">
        <f t="shared" si="31"/>
        <v/>
      </c>
      <c r="AC49" s="80" t="str">
        <f t="shared" si="31"/>
        <v/>
      </c>
      <c r="AD49" s="80" t="str">
        <f t="shared" si="31"/>
        <v/>
      </c>
      <c r="AE49" s="80" t="str">
        <f t="shared" si="31"/>
        <v>00</v>
      </c>
      <c r="AF49" s="80" t="str">
        <f t="shared" si="31"/>
        <v>00</v>
      </c>
    </row>
    <row r="50" spans="2:32" x14ac:dyDescent="0.25">
      <c r="B50" s="41">
        <v>46</v>
      </c>
      <c r="C50" s="41" t="str">
        <f t="shared" si="1"/>
        <v>0x02E</v>
      </c>
      <c r="D50" s="65" t="s">
        <v>109</v>
      </c>
      <c r="E50" s="44" t="s">
        <v>110</v>
      </c>
      <c r="F50" s="45"/>
      <c r="G50" s="46"/>
      <c r="I50" s="41">
        <v>46</v>
      </c>
      <c r="J50" s="41" t="str">
        <f t="shared" si="2"/>
        <v>0x02E</v>
      </c>
      <c r="K50" s="65" t="s">
        <v>320</v>
      </c>
      <c r="L50" s="44" t="s">
        <v>110</v>
      </c>
      <c r="M50" s="45"/>
      <c r="N50" s="46"/>
      <c r="P50" s="79" t="s">
        <v>354</v>
      </c>
      <c r="Q50" s="80" t="str">
        <f t="shared" ref="Q50:AF50" si="32">RIGHT(INDEX($D$4:$D$141,MATCH(Q15,$B$4:$B$141,0)),2)</f>
        <v>00</v>
      </c>
      <c r="R50" s="80" t="str">
        <f t="shared" si="32"/>
        <v>00</v>
      </c>
      <c r="S50" s="80" t="str">
        <f t="shared" si="32"/>
        <v>00</v>
      </c>
      <c r="T50" s="80" t="str">
        <f t="shared" si="32"/>
        <v>00</v>
      </c>
      <c r="U50" s="80" t="str">
        <f t="shared" si="32"/>
        <v>00</v>
      </c>
      <c r="V50" s="80" t="str">
        <f t="shared" si="32"/>
        <v>00</v>
      </c>
      <c r="W50" s="80" t="str">
        <f t="shared" si="32"/>
        <v/>
      </c>
      <c r="X50" s="80" t="str">
        <f t="shared" si="32"/>
        <v/>
      </c>
      <c r="Y50" s="80" t="str">
        <f t="shared" si="32"/>
        <v/>
      </c>
      <c r="Z50" s="80" t="str">
        <f t="shared" si="32"/>
        <v/>
      </c>
      <c r="AA50" s="80" t="str">
        <f t="shared" si="32"/>
        <v>04</v>
      </c>
      <c r="AB50" s="80" t="str">
        <f t="shared" si="32"/>
        <v/>
      </c>
      <c r="AC50" s="80" t="str">
        <f t="shared" si="32"/>
        <v/>
      </c>
      <c r="AD50" s="80" t="str">
        <f t="shared" si="32"/>
        <v/>
      </c>
      <c r="AE50" s="80" t="str">
        <f t="shared" si="32"/>
        <v/>
      </c>
      <c r="AF50" s="80" t="str">
        <f t="shared" si="32"/>
        <v/>
      </c>
    </row>
    <row r="51" spans="2:32" x14ac:dyDescent="0.25">
      <c r="B51" s="41">
        <v>47</v>
      </c>
      <c r="C51" s="41" t="str">
        <f t="shared" si="1"/>
        <v>0x02F</v>
      </c>
      <c r="D51" s="66"/>
      <c r="E51" s="44" t="s">
        <v>111</v>
      </c>
      <c r="F51" s="45"/>
      <c r="G51" s="46"/>
      <c r="I51" s="41">
        <v>47</v>
      </c>
      <c r="J51" s="41" t="str">
        <f t="shared" si="2"/>
        <v>0x02F</v>
      </c>
      <c r="K51" s="66"/>
      <c r="L51" s="44" t="s">
        <v>111</v>
      </c>
      <c r="M51" s="45"/>
      <c r="N51" s="46"/>
      <c r="P51" s="79" t="s">
        <v>355</v>
      </c>
      <c r="Q51" s="80" t="str">
        <f t="shared" ref="Q51:AF51" si="33">RIGHT(INDEX($D$4:$D$141,MATCH(Q16,$B$4:$B$141,0)),2)</f>
        <v/>
      </c>
      <c r="R51" s="80" t="str">
        <f t="shared" si="33"/>
        <v/>
      </c>
      <c r="S51" s="80" t="str">
        <f t="shared" si="33"/>
        <v/>
      </c>
      <c r="T51" s="80" t="str">
        <f t="shared" si="33"/>
        <v/>
      </c>
      <c r="U51" s="80" t="str">
        <f t="shared" si="33"/>
        <v/>
      </c>
      <c r="V51" s="80" t="str">
        <f t="shared" si="33"/>
        <v>00</v>
      </c>
      <c r="W51" s="80" t="str">
        <f t="shared" si="33"/>
        <v>00</v>
      </c>
      <c r="X51" s="80" t="str">
        <f t="shared" si="33"/>
        <v>00</v>
      </c>
      <c r="Y51" s="80" t="str">
        <f t="shared" si="33"/>
        <v>00</v>
      </c>
      <c r="Z51" s="80" t="str">
        <f t="shared" si="33"/>
        <v>00</v>
      </c>
      <c r="AA51" s="80" t="str">
        <f t="shared" si="33"/>
        <v>00</v>
      </c>
      <c r="AB51" s="80" t="str">
        <f t="shared" si="33"/>
        <v>00</v>
      </c>
      <c r="AC51" s="80" t="str">
        <f t="shared" si="33"/>
        <v>00</v>
      </c>
      <c r="AD51" s="80" t="str">
        <f t="shared" si="33"/>
        <v/>
      </c>
      <c r="AE51" s="80" t="str">
        <f t="shared" si="33"/>
        <v/>
      </c>
      <c r="AF51" s="80" t="str">
        <f t="shared" si="33"/>
        <v/>
      </c>
    </row>
    <row r="52" spans="2:32" x14ac:dyDescent="0.25">
      <c r="B52" s="41">
        <v>48</v>
      </c>
      <c r="C52" s="41" t="str">
        <f t="shared" si="1"/>
        <v>0x030</v>
      </c>
      <c r="D52" s="65" t="s">
        <v>112</v>
      </c>
      <c r="E52" s="44" t="s">
        <v>113</v>
      </c>
      <c r="F52" s="45"/>
      <c r="G52" s="46"/>
      <c r="I52" s="41">
        <v>48</v>
      </c>
      <c r="J52" s="41" t="str">
        <f t="shared" si="2"/>
        <v>0x030</v>
      </c>
      <c r="K52" s="65" t="s">
        <v>51</v>
      </c>
      <c r="L52" s="44" t="s">
        <v>235</v>
      </c>
      <c r="M52" s="45"/>
      <c r="N52" s="46"/>
      <c r="P52" s="79" t="s">
        <v>356</v>
      </c>
      <c r="Q52" s="80" t="str">
        <f t="shared" ref="Q52:AF52" si="34">RIGHT(INDEX($D$4:$D$141,MATCH(Q17,$B$4:$B$141,0)),2)</f>
        <v/>
      </c>
      <c r="R52" s="80" t="str">
        <f t="shared" si="34"/>
        <v>05</v>
      </c>
      <c r="S52" s="80" t="str">
        <f t="shared" si="34"/>
        <v/>
      </c>
      <c r="T52" s="80" t="str">
        <f t="shared" si="34"/>
        <v/>
      </c>
      <c r="U52" s="80" t="str">
        <f t="shared" si="34"/>
        <v/>
      </c>
      <c r="V52" s="80" t="str">
        <f t="shared" si="34"/>
        <v/>
      </c>
      <c r="W52" s="80" t="str">
        <f t="shared" si="34"/>
        <v/>
      </c>
      <c r="X52" s="80" t="str">
        <f t="shared" si="34"/>
        <v/>
      </c>
      <c r="Y52" s="80" t="str">
        <f t="shared" si="34"/>
        <v/>
      </c>
      <c r="Z52" s="80" t="str">
        <f t="shared" si="34"/>
        <v/>
      </c>
      <c r="AA52" s="80" t="str">
        <f t="shared" si="34"/>
        <v/>
      </c>
      <c r="AB52" s="80" t="str">
        <f t="shared" si="34"/>
        <v/>
      </c>
      <c r="AC52" s="80" t="str">
        <f t="shared" si="34"/>
        <v>00</v>
      </c>
      <c r="AD52" s="80" t="str">
        <f t="shared" si="34"/>
        <v>00</v>
      </c>
      <c r="AE52" s="80" t="str">
        <f t="shared" si="34"/>
        <v>00</v>
      </c>
      <c r="AF52" s="80" t="str">
        <f t="shared" si="34"/>
        <v>00</v>
      </c>
    </row>
    <row r="53" spans="2:32" x14ac:dyDescent="0.25">
      <c r="B53" s="41">
        <v>49</v>
      </c>
      <c r="C53" s="41" t="str">
        <f t="shared" si="1"/>
        <v>0x031</v>
      </c>
      <c r="D53" s="65" t="s">
        <v>75</v>
      </c>
      <c r="E53" s="44" t="s">
        <v>114</v>
      </c>
      <c r="F53" s="45"/>
      <c r="G53" s="46"/>
      <c r="I53" s="41">
        <v>49</v>
      </c>
      <c r="J53" s="41" t="str">
        <f t="shared" si="2"/>
        <v>0x031</v>
      </c>
      <c r="K53" s="65" t="s">
        <v>75</v>
      </c>
      <c r="L53" s="44" t="s">
        <v>114</v>
      </c>
      <c r="M53" s="45"/>
      <c r="N53" s="46"/>
      <c r="P53" s="79" t="s">
        <v>357</v>
      </c>
      <c r="Q53" s="80" t="str">
        <f t="shared" ref="Q53:AF53" si="35">RIGHT(INDEX($D$4:$D$141,MATCH(Q18,$B$4:$B$141,0)),2)</f>
        <v>00</v>
      </c>
      <c r="R53" s="80" t="str">
        <f t="shared" si="35"/>
        <v>00</v>
      </c>
      <c r="S53" s="80" t="str">
        <f t="shared" si="35"/>
        <v>00</v>
      </c>
      <c r="T53" s="80" t="str">
        <f t="shared" si="35"/>
        <v>00</v>
      </c>
      <c r="U53" s="80" t="str">
        <f t="shared" si="35"/>
        <v/>
      </c>
      <c r="V53" s="80" t="str">
        <f t="shared" si="35"/>
        <v/>
      </c>
      <c r="W53" s="80" t="str">
        <f t="shared" si="35"/>
        <v/>
      </c>
      <c r="X53" s="80" t="str">
        <f t="shared" si="35"/>
        <v/>
      </c>
      <c r="Y53" s="80" t="str">
        <f t="shared" si="35"/>
        <v>06</v>
      </c>
      <c r="Z53" s="80" t="str">
        <f t="shared" si="35"/>
        <v/>
      </c>
      <c r="AA53" s="80" t="str">
        <f t="shared" si="35"/>
        <v/>
      </c>
      <c r="AB53" s="80" t="str">
        <f t="shared" si="35"/>
        <v/>
      </c>
      <c r="AC53" s="80" t="str">
        <f t="shared" si="35"/>
        <v/>
      </c>
      <c r="AD53" s="80" t="str">
        <f t="shared" si="35"/>
        <v/>
      </c>
      <c r="AE53" s="80" t="str">
        <f t="shared" si="35"/>
        <v/>
      </c>
      <c r="AF53" s="80" t="str">
        <f t="shared" si="35"/>
        <v/>
      </c>
    </row>
    <row r="54" spans="2:32" x14ac:dyDescent="0.25">
      <c r="B54" s="41">
        <v>50</v>
      </c>
      <c r="C54" s="41" t="str">
        <f t="shared" si="1"/>
        <v>0x032</v>
      </c>
      <c r="D54" s="65" t="s">
        <v>115</v>
      </c>
      <c r="E54" s="44" t="s">
        <v>116</v>
      </c>
      <c r="F54" s="45"/>
      <c r="G54" s="46"/>
      <c r="I54" s="41">
        <v>50</v>
      </c>
      <c r="J54" s="41" t="str">
        <f t="shared" si="2"/>
        <v>0x032</v>
      </c>
      <c r="K54" s="65" t="s">
        <v>115</v>
      </c>
      <c r="L54" s="44" t="s">
        <v>116</v>
      </c>
      <c r="M54" s="45"/>
      <c r="N54" s="46"/>
      <c r="P54" s="79" t="s">
        <v>358</v>
      </c>
      <c r="Q54" s="80" t="str">
        <f t="shared" ref="Q54:AF54" si="36">RIGHT(INDEX($D$4:$D$141,MATCH(Q19,$B$4:$B$141,0)),2)</f>
        <v/>
      </c>
      <c r="R54" s="80" t="str">
        <f t="shared" si="36"/>
        <v/>
      </c>
      <c r="S54" s="80" t="str">
        <f t="shared" si="36"/>
        <v/>
      </c>
      <c r="T54" s="80" t="str">
        <f t="shared" si="36"/>
        <v>00</v>
      </c>
      <c r="U54" s="80" t="str">
        <f t="shared" si="36"/>
        <v>00</v>
      </c>
      <c r="V54" s="80" t="str">
        <f t="shared" si="36"/>
        <v>00</v>
      </c>
      <c r="W54" s="80" t="str">
        <f t="shared" si="36"/>
        <v>00</v>
      </c>
      <c r="X54" s="80" t="str">
        <f t="shared" si="36"/>
        <v>00</v>
      </c>
      <c r="Y54" s="80" t="str">
        <f t="shared" si="36"/>
        <v>00</v>
      </c>
      <c r="Z54" s="80" t="str">
        <f t="shared" si="36"/>
        <v>00</v>
      </c>
      <c r="AA54" s="80" t="str">
        <f t="shared" si="36"/>
        <v>00</v>
      </c>
      <c r="AB54" s="80" t="str">
        <f t="shared" si="36"/>
        <v/>
      </c>
      <c r="AC54" s="80" t="str">
        <f t="shared" si="36"/>
        <v/>
      </c>
      <c r="AD54" s="80" t="str">
        <f t="shared" si="36"/>
        <v/>
      </c>
      <c r="AE54" s="80" t="str">
        <f t="shared" si="36"/>
        <v/>
      </c>
      <c r="AF54" s="80" t="str">
        <f t="shared" si="36"/>
        <v>07</v>
      </c>
    </row>
    <row r="55" spans="2:32" x14ac:dyDescent="0.25">
      <c r="B55" s="41">
        <v>51</v>
      </c>
      <c r="C55" s="41" t="str">
        <f t="shared" si="1"/>
        <v>0x033</v>
      </c>
      <c r="D55" s="65" t="s">
        <v>117</v>
      </c>
      <c r="E55" s="44" t="s">
        <v>118</v>
      </c>
      <c r="F55" s="45"/>
      <c r="G55" s="46"/>
      <c r="I55" s="41">
        <v>51</v>
      </c>
      <c r="J55" s="41" t="str">
        <f t="shared" si="2"/>
        <v>0x033</v>
      </c>
      <c r="K55" s="65" t="s">
        <v>117</v>
      </c>
      <c r="L55" s="44" t="s">
        <v>118</v>
      </c>
      <c r="M55" s="45"/>
      <c r="N55" s="46"/>
      <c r="P55" s="79" t="s">
        <v>359</v>
      </c>
      <c r="Q55" s="80" t="str">
        <f t="shared" ref="Q55:AF55" si="37">RIGHT(INDEX($D$4:$D$141,MATCH(Q20,$B$4:$B$141,0)),2)</f>
        <v/>
      </c>
      <c r="R55" s="80" t="str">
        <f t="shared" si="37"/>
        <v/>
      </c>
      <c r="S55" s="80" t="str">
        <f t="shared" si="37"/>
        <v/>
      </c>
      <c r="T55" s="80" t="str">
        <f t="shared" si="37"/>
        <v/>
      </c>
      <c r="U55" s="80" t="str">
        <f t="shared" si="37"/>
        <v/>
      </c>
      <c r="V55" s="80" t="str">
        <f t="shared" si="37"/>
        <v/>
      </c>
      <c r="W55" s="80" t="str">
        <f t="shared" si="37"/>
        <v/>
      </c>
      <c r="X55" s="80" t="str">
        <f t="shared" si="37"/>
        <v/>
      </c>
      <c r="Y55" s="80" t="str">
        <f t="shared" si="37"/>
        <v/>
      </c>
      <c r="Z55" s="80" t="str">
        <f t="shared" si="37"/>
        <v/>
      </c>
      <c r="AA55" s="80" t="str">
        <f t="shared" si="37"/>
        <v>00</v>
      </c>
      <c r="AB55" s="80" t="str">
        <f t="shared" si="37"/>
        <v>00</v>
      </c>
      <c r="AC55" s="80" t="str">
        <f t="shared" si="37"/>
        <v>00</v>
      </c>
      <c r="AD55" s="80" t="str">
        <f t="shared" si="37"/>
        <v>00</v>
      </c>
      <c r="AE55" s="80" t="str">
        <f t="shared" si="37"/>
        <v>00</v>
      </c>
      <c r="AF55" s="80" t="str">
        <f t="shared" si="37"/>
        <v>00</v>
      </c>
    </row>
    <row r="56" spans="2:32" x14ac:dyDescent="0.25">
      <c r="B56" s="41">
        <v>52</v>
      </c>
      <c r="C56" s="41" t="str">
        <f t="shared" si="1"/>
        <v>0x034</v>
      </c>
      <c r="D56" s="65" t="s">
        <v>49</v>
      </c>
      <c r="E56" s="44" t="s">
        <v>119</v>
      </c>
      <c r="F56" s="45"/>
      <c r="G56" s="46"/>
      <c r="I56" s="41">
        <v>52</v>
      </c>
      <c r="J56" s="41" t="str">
        <f t="shared" si="2"/>
        <v>0x034</v>
      </c>
      <c r="K56" s="65" t="s">
        <v>100</v>
      </c>
      <c r="L56" s="44" t="s">
        <v>119</v>
      </c>
      <c r="M56" s="45"/>
      <c r="N56" s="46"/>
      <c r="P56" s="79" t="s">
        <v>360</v>
      </c>
      <c r="Q56" s="80" t="str">
        <f t="shared" ref="Q56:AF56" si="38">RIGHT(INDEX($D$4:$D$141,MATCH(Q21,$B$4:$B$141,0)),2)</f>
        <v>00</v>
      </c>
      <c r="R56" s="80" t="str">
        <f t="shared" si="38"/>
        <v>00</v>
      </c>
      <c r="S56" s="80" t="str">
        <f t="shared" si="38"/>
        <v/>
      </c>
      <c r="T56" s="80" t="str">
        <f t="shared" si="38"/>
        <v/>
      </c>
      <c r="U56" s="80" t="str">
        <f t="shared" si="38"/>
        <v/>
      </c>
      <c r="V56" s="80" t="str">
        <f t="shared" si="38"/>
        <v/>
      </c>
      <c r="W56" s="80" t="str">
        <f t="shared" si="38"/>
        <v>08</v>
      </c>
      <c r="X56" s="80" t="str">
        <f t="shared" si="38"/>
        <v/>
      </c>
      <c r="Y56" s="80" t="str">
        <f t="shared" si="38"/>
        <v/>
      </c>
      <c r="Z56" s="80" t="str">
        <f t="shared" si="38"/>
        <v/>
      </c>
      <c r="AA56" s="80" t="str">
        <f t="shared" si="38"/>
        <v/>
      </c>
      <c r="AB56" s="80" t="str">
        <f t="shared" si="38"/>
        <v/>
      </c>
      <c r="AC56" s="80" t="str">
        <f t="shared" si="38"/>
        <v/>
      </c>
      <c r="AD56" s="80" t="str">
        <f t="shared" si="38"/>
        <v/>
      </c>
      <c r="AE56" s="80" t="str">
        <f t="shared" si="38"/>
        <v/>
      </c>
      <c r="AF56" s="80" t="str">
        <f t="shared" si="38"/>
        <v/>
      </c>
    </row>
    <row r="57" spans="2:32" x14ac:dyDescent="0.25">
      <c r="B57" s="41">
        <v>53</v>
      </c>
      <c r="C57" s="41" t="str">
        <f t="shared" si="1"/>
        <v>0x035</v>
      </c>
      <c r="D57" s="65" t="s">
        <v>120</v>
      </c>
      <c r="E57" s="44" t="s">
        <v>121</v>
      </c>
      <c r="F57" s="45"/>
      <c r="G57" s="46"/>
      <c r="I57" s="41">
        <v>53</v>
      </c>
      <c r="J57" s="41" t="str">
        <f t="shared" si="2"/>
        <v>0x035</v>
      </c>
      <c r="K57" s="65" t="s">
        <v>120</v>
      </c>
      <c r="L57" s="44" t="s">
        <v>121</v>
      </c>
      <c r="M57" s="45"/>
      <c r="N57" s="46"/>
      <c r="P57" s="79" t="s">
        <v>361</v>
      </c>
      <c r="Q57" s="80" t="str">
        <f t="shared" ref="Q57:AF57" si="39">RIGHT(INDEX($D$4:$D$141,MATCH(Q22,$B$4:$B$141,0)),2)</f>
        <v/>
      </c>
      <c r="R57" s="80" t="str">
        <f t="shared" si="39"/>
        <v>00</v>
      </c>
      <c r="S57" s="80" t="str">
        <f t="shared" si="39"/>
        <v>00</v>
      </c>
      <c r="T57" s="80" t="str">
        <f t="shared" si="39"/>
        <v>00</v>
      </c>
      <c r="U57" s="80" t="str">
        <f t="shared" si="39"/>
        <v>00</v>
      </c>
      <c r="V57" s="80" t="str">
        <f t="shared" si="39"/>
        <v>00</v>
      </c>
      <c r="W57" s="80" t="str">
        <f t="shared" si="39"/>
        <v>00</v>
      </c>
      <c r="X57" s="80" t="str">
        <f t="shared" si="39"/>
        <v>00</v>
      </c>
      <c r="Y57" s="80" t="str">
        <f t="shared" si="39"/>
        <v>00</v>
      </c>
      <c r="Z57" s="80" t="str">
        <f t="shared" si="39"/>
        <v/>
      </c>
      <c r="AA57" s="80" t="str">
        <f t="shared" si="39"/>
        <v/>
      </c>
      <c r="AB57" s="80" t="str">
        <f t="shared" si="39"/>
        <v/>
      </c>
      <c r="AC57" s="80" t="str">
        <f t="shared" si="39"/>
        <v/>
      </c>
      <c r="AD57" s="80" t="str">
        <f t="shared" si="39"/>
        <v>09</v>
      </c>
      <c r="AE57" s="80" t="str">
        <f t="shared" si="39"/>
        <v/>
      </c>
      <c r="AF57" s="80" t="str">
        <f t="shared" si="39"/>
        <v/>
      </c>
    </row>
    <row r="58" spans="2:32" x14ac:dyDescent="0.25">
      <c r="B58" s="41">
        <v>54</v>
      </c>
      <c r="C58" s="41" t="str">
        <f t="shared" si="1"/>
        <v>0x036</v>
      </c>
      <c r="D58" s="65" t="s">
        <v>122</v>
      </c>
      <c r="E58" s="44" t="s">
        <v>123</v>
      </c>
      <c r="F58" s="45"/>
      <c r="G58" s="46"/>
      <c r="I58" s="41">
        <v>54</v>
      </c>
      <c r="J58" s="41" t="str">
        <f t="shared" si="2"/>
        <v>0x036</v>
      </c>
      <c r="K58" s="65" t="s">
        <v>122</v>
      </c>
      <c r="L58" s="44" t="s">
        <v>123</v>
      </c>
      <c r="M58" s="45"/>
      <c r="N58" s="46"/>
      <c r="P58" s="79" t="s">
        <v>362</v>
      </c>
      <c r="Q58" s="80" t="str">
        <f t="shared" ref="Q58:AF58" si="40">RIGHT(INDEX($D$4:$D$141,MATCH(Q23,$B$4:$B$141,0)),2)</f>
        <v/>
      </c>
      <c r="R58" s="80" t="str">
        <f t="shared" si="40"/>
        <v/>
      </c>
      <c r="S58" s="80" t="str">
        <f t="shared" si="40"/>
        <v/>
      </c>
      <c r="T58" s="80" t="str">
        <f t="shared" si="40"/>
        <v/>
      </c>
      <c r="U58" s="80" t="str">
        <f t="shared" si="40"/>
        <v/>
      </c>
      <c r="V58" s="80" t="str">
        <f t="shared" si="40"/>
        <v/>
      </c>
      <c r="W58" s="80" t="str">
        <f t="shared" si="40"/>
        <v/>
      </c>
      <c r="X58" s="80" t="str">
        <f t="shared" si="40"/>
        <v/>
      </c>
      <c r="Y58" s="80" t="str">
        <f t="shared" si="40"/>
        <v>00</v>
      </c>
      <c r="Z58" s="80" t="str">
        <f t="shared" si="40"/>
        <v>00</v>
      </c>
      <c r="AA58" s="80" t="str">
        <f t="shared" si="40"/>
        <v>00</v>
      </c>
      <c r="AB58" s="80" t="str">
        <f t="shared" si="40"/>
        <v>00</v>
      </c>
      <c r="AC58" s="80" t="str">
        <f t="shared" si="40"/>
        <v>00</v>
      </c>
      <c r="AD58" s="80" t="str">
        <f t="shared" si="40"/>
        <v>00</v>
      </c>
      <c r="AE58" s="80" t="str">
        <f t="shared" si="40"/>
        <v>00</v>
      </c>
      <c r="AF58" s="80" t="str">
        <f t="shared" si="40"/>
        <v>00</v>
      </c>
    </row>
    <row r="59" spans="2:32" x14ac:dyDescent="0.25">
      <c r="B59" s="41">
        <v>55</v>
      </c>
      <c r="C59" s="41" t="str">
        <f t="shared" si="1"/>
        <v>0x037</v>
      </c>
      <c r="D59" s="65" t="s">
        <v>49</v>
      </c>
      <c r="E59" s="44" t="s">
        <v>124</v>
      </c>
      <c r="F59" s="45"/>
      <c r="G59" s="46"/>
      <c r="I59" s="41">
        <v>55</v>
      </c>
      <c r="J59" s="41" t="str">
        <f t="shared" si="2"/>
        <v>0x037</v>
      </c>
      <c r="K59" s="65" t="s">
        <v>49</v>
      </c>
      <c r="L59" s="44" t="s">
        <v>124</v>
      </c>
      <c r="M59" s="45"/>
      <c r="N59" s="46"/>
      <c r="P59" s="79" t="s">
        <v>363</v>
      </c>
      <c r="Q59" s="80" t="str">
        <f t="shared" ref="Q59:AF59" si="41">RIGHT(INDEX($D$4:$D$141,MATCH(Q24,$B$4:$B$141,0)),2)</f>
        <v/>
      </c>
      <c r="R59" s="80" t="str">
        <f t="shared" si="41"/>
        <v/>
      </c>
      <c r="S59" s="80" t="str">
        <f t="shared" si="41"/>
        <v/>
      </c>
      <c r="T59" s="80" t="str">
        <f t="shared" si="41"/>
        <v/>
      </c>
      <c r="U59" s="80" t="str">
        <f t="shared" si="41"/>
        <v>0A</v>
      </c>
      <c r="V59" s="80" t="str">
        <f t="shared" si="41"/>
        <v/>
      </c>
      <c r="W59" s="80" t="str">
        <f t="shared" si="41"/>
        <v/>
      </c>
      <c r="X59" s="80" t="str">
        <f t="shared" si="41"/>
        <v/>
      </c>
      <c r="Y59" s="80" t="str">
        <f t="shared" si="41"/>
        <v/>
      </c>
      <c r="Z59" s="80" t="str">
        <f t="shared" si="41"/>
        <v/>
      </c>
      <c r="AA59" s="80" t="str">
        <f t="shared" si="41"/>
        <v/>
      </c>
      <c r="AB59" s="80" t="str">
        <f t="shared" si="41"/>
        <v/>
      </c>
      <c r="AC59" s="80" t="str">
        <f t="shared" si="41"/>
        <v/>
      </c>
      <c r="AD59" s="80" t="str">
        <f t="shared" si="41"/>
        <v/>
      </c>
      <c r="AE59" s="80" t="str">
        <f t="shared" si="41"/>
        <v/>
      </c>
      <c r="AF59" s="80" t="str">
        <f t="shared" si="41"/>
        <v>00</v>
      </c>
    </row>
    <row r="60" spans="2:32" x14ac:dyDescent="0.25">
      <c r="B60" s="41">
        <v>56</v>
      </c>
      <c r="C60" s="41" t="str">
        <f t="shared" si="1"/>
        <v>0x038</v>
      </c>
      <c r="D60" s="65" t="s">
        <v>85</v>
      </c>
      <c r="E60" s="44" t="s">
        <v>125</v>
      </c>
      <c r="F60" s="45"/>
      <c r="G60" s="46"/>
      <c r="I60" s="41">
        <v>56</v>
      </c>
      <c r="J60" s="41" t="str">
        <f t="shared" si="2"/>
        <v>0x038</v>
      </c>
      <c r="K60" s="65" t="s">
        <v>321</v>
      </c>
      <c r="L60" s="44" t="s">
        <v>125</v>
      </c>
      <c r="M60" s="45"/>
      <c r="N60" s="46"/>
      <c r="P60" s="79" t="s">
        <v>364</v>
      </c>
      <c r="Q60" s="80" t="str">
        <f t="shared" ref="Q60:AF60" si="42">RIGHT(INDEX($D$4:$D$141,MATCH(Q25,$B$4:$B$141,0)),2)</f>
        <v>00</v>
      </c>
      <c r="R60" s="80" t="str">
        <f t="shared" si="42"/>
        <v>00</v>
      </c>
      <c r="S60" s="80" t="str">
        <f t="shared" si="42"/>
        <v>00</v>
      </c>
      <c r="T60" s="80" t="str">
        <f t="shared" si="42"/>
        <v>00</v>
      </c>
      <c r="U60" s="80" t="str">
        <f t="shared" si="42"/>
        <v>00</v>
      </c>
      <c r="V60" s="80" t="str">
        <f t="shared" si="42"/>
        <v>00</v>
      </c>
      <c r="W60" s="80" t="str">
        <f t="shared" si="42"/>
        <v>00</v>
      </c>
      <c r="X60" s="80" t="str">
        <f t="shared" si="42"/>
        <v/>
      </c>
      <c r="Y60" s="80" t="str">
        <f t="shared" si="42"/>
        <v/>
      </c>
      <c r="Z60" s="80" t="str">
        <f t="shared" si="42"/>
        <v/>
      </c>
      <c r="AA60" s="80" t="str">
        <f t="shared" si="42"/>
        <v/>
      </c>
      <c r="AB60" s="80" t="str">
        <f t="shared" si="42"/>
        <v>0B</v>
      </c>
      <c r="AC60" s="80" t="str">
        <f t="shared" si="42"/>
        <v/>
      </c>
      <c r="AD60" s="80" t="str">
        <f t="shared" si="42"/>
        <v/>
      </c>
      <c r="AE60" s="80" t="str">
        <f t="shared" si="42"/>
        <v/>
      </c>
      <c r="AF60" s="80" t="str">
        <f t="shared" si="42"/>
        <v/>
      </c>
    </row>
    <row r="61" spans="2:32" x14ac:dyDescent="0.25">
      <c r="B61" s="41">
        <v>57</v>
      </c>
      <c r="C61" s="41" t="str">
        <f t="shared" si="1"/>
        <v>0x039</v>
      </c>
      <c r="D61" s="65" t="s">
        <v>126</v>
      </c>
      <c r="E61" s="44" t="s">
        <v>127</v>
      </c>
      <c r="F61" s="45"/>
      <c r="G61" s="46"/>
      <c r="I61" s="41">
        <v>57</v>
      </c>
      <c r="J61" s="41" t="str">
        <f t="shared" si="2"/>
        <v>0x039</v>
      </c>
      <c r="K61" s="65" t="s">
        <v>126</v>
      </c>
      <c r="L61" s="44" t="s">
        <v>127</v>
      </c>
      <c r="M61" s="45"/>
      <c r="N61" s="46"/>
      <c r="P61" s="79" t="s">
        <v>365</v>
      </c>
      <c r="Q61" s="80" t="str">
        <f t="shared" ref="Q61:AF61" si="43">RIGHT(INDEX($D$4:$D$141,MATCH(Q26,$B$4:$B$141,0)),2)</f>
        <v/>
      </c>
      <c r="R61" s="80" t="str">
        <f t="shared" si="43"/>
        <v/>
      </c>
      <c r="S61" s="80" t="str">
        <f t="shared" si="43"/>
        <v/>
      </c>
      <c r="T61" s="80" t="str">
        <f t="shared" si="43"/>
        <v/>
      </c>
      <c r="U61" s="80" t="str">
        <f t="shared" si="43"/>
        <v/>
      </c>
      <c r="V61" s="80" t="str">
        <f t="shared" si="43"/>
        <v/>
      </c>
      <c r="W61" s="80" t="str">
        <f t="shared" si="43"/>
        <v>00</v>
      </c>
      <c r="X61" s="80" t="str">
        <f t="shared" si="43"/>
        <v>00</v>
      </c>
      <c r="Y61" s="80" t="str">
        <f t="shared" si="43"/>
        <v>00</v>
      </c>
      <c r="Z61" s="80" t="str">
        <f t="shared" si="43"/>
        <v>00</v>
      </c>
      <c r="AA61" s="80" t="str">
        <f t="shared" si="43"/>
        <v>00</v>
      </c>
      <c r="AB61" s="80" t="str">
        <f t="shared" si="43"/>
        <v>00</v>
      </c>
      <c r="AC61" s="80" t="str">
        <f t="shared" si="43"/>
        <v>00</v>
      </c>
      <c r="AD61" s="80" t="str">
        <f t="shared" si="43"/>
        <v>00</v>
      </c>
      <c r="AE61" s="80" t="str">
        <f t="shared" si="43"/>
        <v/>
      </c>
      <c r="AF61" s="80" t="str">
        <f t="shared" si="43"/>
        <v/>
      </c>
    </row>
    <row r="62" spans="2:32" x14ac:dyDescent="0.25">
      <c r="B62" s="41">
        <v>58</v>
      </c>
      <c r="C62" s="41" t="str">
        <f t="shared" si="1"/>
        <v>0x03A</v>
      </c>
      <c r="D62" s="65" t="s">
        <v>51</v>
      </c>
      <c r="E62" s="44" t="s">
        <v>128</v>
      </c>
      <c r="F62" s="45"/>
      <c r="G62" s="46"/>
      <c r="I62" s="41">
        <v>58</v>
      </c>
      <c r="J62" s="41" t="str">
        <f t="shared" si="2"/>
        <v>0x03A</v>
      </c>
      <c r="K62" s="65" t="s">
        <v>51</v>
      </c>
      <c r="L62" s="44" t="s">
        <v>128</v>
      </c>
      <c r="M62" s="45"/>
      <c r="N62" s="46"/>
      <c r="P62" s="79" t="s">
        <v>366</v>
      </c>
      <c r="Q62" s="80" t="str">
        <f t="shared" ref="Q62:AF62" si="44">RIGHT(INDEX($D$4:$D$141,MATCH(Q27,$B$4:$B$141,0)),2)</f>
        <v/>
      </c>
      <c r="R62" s="80" t="str">
        <f t="shared" si="44"/>
        <v/>
      </c>
      <c r="S62" s="80" t="str">
        <f t="shared" si="44"/>
        <v>0C</v>
      </c>
      <c r="T62" s="80" t="str">
        <f t="shared" si="44"/>
        <v/>
      </c>
      <c r="U62" s="80" t="str">
        <f t="shared" si="44"/>
        <v/>
      </c>
      <c r="V62" s="80" t="str">
        <f t="shared" si="44"/>
        <v/>
      </c>
      <c r="W62" s="80" t="str">
        <f t="shared" si="44"/>
        <v/>
      </c>
      <c r="X62" s="80" t="str">
        <f t="shared" si="44"/>
        <v/>
      </c>
      <c r="Y62" s="80" t="str">
        <f t="shared" si="44"/>
        <v/>
      </c>
      <c r="Z62" s="80" t="str">
        <f t="shared" si="44"/>
        <v/>
      </c>
      <c r="AA62" s="80" t="str">
        <f t="shared" si="44"/>
        <v/>
      </c>
      <c r="AB62" s="80" t="str">
        <f t="shared" si="44"/>
        <v/>
      </c>
      <c r="AC62" s="80" t="str">
        <f t="shared" si="44"/>
        <v/>
      </c>
      <c r="AD62" s="80" t="str">
        <f t="shared" si="44"/>
        <v>00</v>
      </c>
      <c r="AE62" s="80" t="str">
        <f t="shared" si="44"/>
        <v>00</v>
      </c>
      <c r="AF62" s="80" t="str">
        <f t="shared" si="44"/>
        <v>00</v>
      </c>
    </row>
    <row r="63" spans="2:32" x14ac:dyDescent="0.25">
      <c r="B63" s="41">
        <v>59</v>
      </c>
      <c r="C63" s="41" t="str">
        <f t="shared" si="1"/>
        <v>0x03B</v>
      </c>
      <c r="D63" s="66"/>
      <c r="E63" s="44" t="s">
        <v>129</v>
      </c>
      <c r="F63" s="45"/>
      <c r="G63" s="46"/>
      <c r="I63" s="41">
        <v>59</v>
      </c>
      <c r="J63" s="41" t="str">
        <f t="shared" si="2"/>
        <v>0x03B</v>
      </c>
      <c r="K63" s="66"/>
      <c r="L63" s="44" t="s">
        <v>129</v>
      </c>
      <c r="M63" s="45"/>
      <c r="N63" s="46"/>
      <c r="P63" s="79" t="s">
        <v>367</v>
      </c>
      <c r="Q63" s="80" t="str">
        <f t="shared" ref="Q63:AF63" si="45">RIGHT(INDEX($D$4:$D$141,MATCH(Q28,$B$4:$B$141,0)),2)</f>
        <v>00</v>
      </c>
      <c r="R63" s="80" t="str">
        <f t="shared" si="45"/>
        <v>00</v>
      </c>
      <c r="S63" s="80" t="str">
        <f t="shared" si="45"/>
        <v>00</v>
      </c>
      <c r="T63" s="80" t="str">
        <f t="shared" si="45"/>
        <v>00</v>
      </c>
      <c r="U63" s="80" t="str">
        <f t="shared" si="45"/>
        <v>00</v>
      </c>
      <c r="V63" s="80" t="str">
        <f t="shared" si="45"/>
        <v/>
      </c>
      <c r="W63" s="80" t="str">
        <f t="shared" si="45"/>
        <v/>
      </c>
      <c r="X63" s="80" t="str">
        <f t="shared" si="45"/>
        <v/>
      </c>
      <c r="Y63" s="80" t="str">
        <f t="shared" si="45"/>
        <v/>
      </c>
      <c r="Z63" s="80" t="str">
        <f t="shared" si="45"/>
        <v>0D</v>
      </c>
      <c r="AA63" s="80" t="str">
        <f t="shared" si="45"/>
        <v/>
      </c>
      <c r="AB63" s="80" t="str">
        <f t="shared" si="45"/>
        <v/>
      </c>
      <c r="AC63" s="80" t="str">
        <f t="shared" si="45"/>
        <v/>
      </c>
      <c r="AD63" s="80" t="str">
        <f t="shared" si="45"/>
        <v/>
      </c>
      <c r="AE63" s="80" t="str">
        <f t="shared" si="45"/>
        <v/>
      </c>
      <c r="AF63" s="80" t="str">
        <f t="shared" si="45"/>
        <v/>
      </c>
    </row>
    <row r="64" spans="2:32" x14ac:dyDescent="0.25">
      <c r="B64" s="41">
        <v>60</v>
      </c>
      <c r="C64" s="41" t="str">
        <f t="shared" si="1"/>
        <v>0x03C</v>
      </c>
      <c r="D64" s="65" t="s">
        <v>130</v>
      </c>
      <c r="E64" s="44" t="s">
        <v>131</v>
      </c>
      <c r="F64" s="45"/>
      <c r="G64" s="46"/>
      <c r="I64" s="41">
        <v>60</v>
      </c>
      <c r="J64" s="41" t="str">
        <f t="shared" si="2"/>
        <v>0x03C</v>
      </c>
      <c r="K64" s="65" t="s">
        <v>130</v>
      </c>
      <c r="L64" s="44" t="s">
        <v>131</v>
      </c>
      <c r="M64" s="45"/>
      <c r="N64" s="46"/>
      <c r="P64" s="79" t="s">
        <v>368</v>
      </c>
      <c r="Q64" s="80" t="str">
        <f t="shared" ref="Q64:AF64" si="46">RIGHT(INDEX($D$4:$D$141,MATCH(Q29,$B$4:$B$141,0)),2)</f>
        <v/>
      </c>
      <c r="R64" s="80" t="str">
        <f t="shared" si="46"/>
        <v/>
      </c>
      <c r="S64" s="80" t="str">
        <f t="shared" si="46"/>
        <v/>
      </c>
      <c r="T64" s="80" t="str">
        <f t="shared" si="46"/>
        <v/>
      </c>
      <c r="U64" s="80" t="str">
        <f t="shared" si="46"/>
        <v>00</v>
      </c>
      <c r="V64" s="80" t="str">
        <f t="shared" si="46"/>
        <v>00</v>
      </c>
      <c r="W64" s="80" t="str">
        <f t="shared" si="46"/>
        <v>00</v>
      </c>
      <c r="X64" s="80" t="str">
        <f t="shared" si="46"/>
        <v>00</v>
      </c>
      <c r="Y64" s="80" t="str">
        <f t="shared" si="46"/>
        <v>00</v>
      </c>
      <c r="Z64" s="80" t="str">
        <f t="shared" si="46"/>
        <v>00</v>
      </c>
      <c r="AA64" s="80" t="str">
        <f t="shared" si="46"/>
        <v>00</v>
      </c>
      <c r="AB64" s="80" t="str">
        <f t="shared" si="46"/>
        <v>00</v>
      </c>
      <c r="AC64" s="80" t="str">
        <f t="shared" si="46"/>
        <v/>
      </c>
      <c r="AD64" s="80" t="str">
        <f t="shared" si="46"/>
        <v/>
      </c>
      <c r="AE64" s="80" t="str">
        <f t="shared" si="46"/>
        <v/>
      </c>
      <c r="AF64" s="80" t="str">
        <f t="shared" si="46"/>
        <v/>
      </c>
    </row>
    <row r="65" spans="2:32" x14ac:dyDescent="0.25">
      <c r="B65" s="41">
        <v>61</v>
      </c>
      <c r="C65" s="41" t="str">
        <f t="shared" si="1"/>
        <v>0x03D</v>
      </c>
      <c r="D65" s="65" t="s">
        <v>51</v>
      </c>
      <c r="E65" s="44" t="s">
        <v>132</v>
      </c>
      <c r="F65" s="45"/>
      <c r="G65" s="46"/>
      <c r="I65" s="41">
        <v>61</v>
      </c>
      <c r="J65" s="41" t="str">
        <f t="shared" si="2"/>
        <v>0x03D</v>
      </c>
      <c r="K65" s="65" t="s">
        <v>51</v>
      </c>
      <c r="L65" s="44" t="s">
        <v>132</v>
      </c>
      <c r="M65" s="45"/>
      <c r="N65" s="46"/>
      <c r="P65" s="79" t="s">
        <v>369</v>
      </c>
      <c r="Q65" s="80" t="str">
        <f t="shared" ref="Q65:AF65" si="47">RIGHT(INDEX($D$4:$D$141,MATCH(Q30,$B$4:$B$141,0)),2)</f>
        <v>0E</v>
      </c>
      <c r="R65" s="80" t="str">
        <f t="shared" si="47"/>
        <v/>
      </c>
      <c r="S65" s="80" t="str">
        <f t="shared" si="47"/>
        <v/>
      </c>
      <c r="T65" s="80" t="str">
        <f t="shared" si="47"/>
        <v/>
      </c>
      <c r="U65" s="80" t="str">
        <f t="shared" si="47"/>
        <v/>
      </c>
      <c r="V65" s="80" t="str">
        <f t="shared" si="47"/>
        <v/>
      </c>
      <c r="W65" s="80" t="str">
        <f t="shared" si="47"/>
        <v/>
      </c>
      <c r="X65" s="80" t="str">
        <f t="shared" si="47"/>
        <v/>
      </c>
      <c r="Y65" s="80" t="str">
        <f t="shared" si="47"/>
        <v/>
      </c>
      <c r="Z65" s="80" t="str">
        <f t="shared" si="47"/>
        <v/>
      </c>
      <c r="AA65" s="80" t="str">
        <f t="shared" si="47"/>
        <v/>
      </c>
      <c r="AB65" s="80" t="str">
        <f t="shared" si="47"/>
        <v>00</v>
      </c>
      <c r="AC65" s="80" t="str">
        <f t="shared" si="47"/>
        <v>00</v>
      </c>
      <c r="AD65" s="80" t="str">
        <f t="shared" si="47"/>
        <v>00</v>
      </c>
      <c r="AE65" s="80" t="str">
        <f t="shared" si="47"/>
        <v>00</v>
      </c>
      <c r="AF65" s="80" t="str">
        <f t="shared" si="47"/>
        <v>00</v>
      </c>
    </row>
    <row r="66" spans="2:32" x14ac:dyDescent="0.25">
      <c r="B66" s="41">
        <v>62</v>
      </c>
      <c r="C66" s="41" t="str">
        <f t="shared" si="1"/>
        <v>0x03E</v>
      </c>
      <c r="D66" s="65" t="s">
        <v>130</v>
      </c>
      <c r="E66" s="44" t="s">
        <v>133</v>
      </c>
      <c r="F66" s="45"/>
      <c r="G66" s="46"/>
      <c r="I66" s="41">
        <v>62</v>
      </c>
      <c r="J66" s="41" t="str">
        <f t="shared" si="2"/>
        <v>0x03E</v>
      </c>
      <c r="K66" s="65" t="s">
        <v>130</v>
      </c>
      <c r="L66" s="44" t="s">
        <v>133</v>
      </c>
      <c r="M66" s="45"/>
      <c r="N66" s="46"/>
      <c r="P66" s="79" t="s">
        <v>370</v>
      </c>
      <c r="Q66" s="80" t="str">
        <f t="shared" ref="Q66:AF66" si="48">RIGHT(INDEX($D$4:$D$141,MATCH(Q31,$B$4:$B$141,0)),2)</f>
        <v>00</v>
      </c>
      <c r="R66" s="80" t="str">
        <f t="shared" si="48"/>
        <v>00</v>
      </c>
      <c r="S66" s="80" t="str">
        <f t="shared" si="48"/>
        <v>00</v>
      </c>
      <c r="T66" s="80" t="str">
        <f t="shared" si="48"/>
        <v/>
      </c>
      <c r="U66" s="80" t="str">
        <f t="shared" si="48"/>
        <v/>
      </c>
      <c r="V66" s="80" t="str">
        <f t="shared" si="48"/>
        <v/>
      </c>
      <c r="W66" s="80" t="str">
        <f t="shared" si="48"/>
        <v/>
      </c>
      <c r="X66" s="80" t="str">
        <f t="shared" si="48"/>
        <v>0F</v>
      </c>
      <c r="Y66" s="80" t="str">
        <f t="shared" si="48"/>
        <v/>
      </c>
      <c r="Z66" s="80" t="str">
        <f t="shared" si="48"/>
        <v/>
      </c>
      <c r="AA66" s="80" t="str">
        <f t="shared" si="48"/>
        <v/>
      </c>
      <c r="AB66" s="80" t="str">
        <f t="shared" si="48"/>
        <v/>
      </c>
      <c r="AC66" s="80" t="str">
        <f t="shared" si="48"/>
        <v/>
      </c>
      <c r="AD66" s="80" t="str">
        <f t="shared" si="48"/>
        <v/>
      </c>
      <c r="AE66" s="80" t="str">
        <f t="shared" si="48"/>
        <v/>
      </c>
      <c r="AF66" s="80" t="str">
        <f t="shared" si="48"/>
        <v/>
      </c>
    </row>
    <row r="67" spans="2:32" x14ac:dyDescent="0.25">
      <c r="B67" s="41">
        <v>63</v>
      </c>
      <c r="C67" s="41" t="str">
        <f t="shared" si="1"/>
        <v>0x03F</v>
      </c>
      <c r="D67" s="65" t="s">
        <v>134</v>
      </c>
      <c r="E67" s="44" t="s">
        <v>135</v>
      </c>
      <c r="F67" s="45"/>
      <c r="G67" s="46"/>
      <c r="I67" s="41">
        <v>63</v>
      </c>
      <c r="J67" s="41" t="str">
        <f t="shared" si="2"/>
        <v>0x03F</v>
      </c>
      <c r="K67" s="65" t="s">
        <v>134</v>
      </c>
      <c r="L67" s="44" t="s">
        <v>135</v>
      </c>
      <c r="M67" s="45"/>
      <c r="N67" s="46"/>
      <c r="P67" s="79" t="s">
        <v>371</v>
      </c>
      <c r="Q67" s="80" t="str">
        <f t="shared" ref="Q67:AF67" si="49">RIGHT(INDEX($D$4:$D$141,MATCH(Q32,$B$4:$B$141,0)),2)</f>
        <v/>
      </c>
      <c r="R67" s="80" t="str">
        <f t="shared" si="49"/>
        <v/>
      </c>
      <c r="S67" s="80" t="str">
        <f t="shared" si="49"/>
        <v>00</v>
      </c>
      <c r="T67" s="80" t="str">
        <f t="shared" si="49"/>
        <v>00</v>
      </c>
      <c r="U67" s="80" t="str">
        <f t="shared" si="49"/>
        <v>00</v>
      </c>
      <c r="V67" s="80" t="str">
        <f t="shared" si="49"/>
        <v>00</v>
      </c>
      <c r="W67" s="80" t="str">
        <f t="shared" si="49"/>
        <v>00</v>
      </c>
      <c r="X67" s="80" t="str">
        <f t="shared" si="49"/>
        <v>00</v>
      </c>
      <c r="Y67" s="80" t="str">
        <f t="shared" si="49"/>
        <v>00</v>
      </c>
      <c r="Z67" s="80" t="str">
        <f t="shared" si="49"/>
        <v>00</v>
      </c>
      <c r="AA67" s="80" t="str">
        <f t="shared" si="49"/>
        <v/>
      </c>
      <c r="AB67" s="80" t="str">
        <f t="shared" si="49"/>
        <v/>
      </c>
      <c r="AC67" s="80" t="str">
        <f t="shared" si="49"/>
        <v/>
      </c>
      <c r="AD67" s="80" t="str">
        <f t="shared" si="49"/>
        <v/>
      </c>
      <c r="AE67" s="80" t="str">
        <f t="shared" si="49"/>
        <v>10</v>
      </c>
      <c r="AF67" s="80" t="str">
        <f t="shared" si="49"/>
        <v/>
      </c>
    </row>
    <row r="68" spans="2:32" x14ac:dyDescent="0.25">
      <c r="B68" s="41">
        <v>64</v>
      </c>
      <c r="C68" s="41" t="str">
        <f t="shared" si="1"/>
        <v>0x040</v>
      </c>
      <c r="D68" s="65" t="s">
        <v>136</v>
      </c>
      <c r="E68" s="44" t="s">
        <v>137</v>
      </c>
      <c r="F68" s="45"/>
      <c r="G68" s="46"/>
      <c r="I68" s="41">
        <v>64</v>
      </c>
      <c r="J68" s="41" t="str">
        <f t="shared" si="2"/>
        <v>0x040</v>
      </c>
      <c r="K68" s="65" t="s">
        <v>136</v>
      </c>
      <c r="L68" s="44" t="s">
        <v>137</v>
      </c>
      <c r="M68" s="45"/>
      <c r="N68" s="46"/>
      <c r="P68" s="79" t="s">
        <v>372</v>
      </c>
      <c r="Q68" s="80" t="str">
        <f t="shared" ref="Q68:AF68" si="50">RIGHT(INDEX($D$4:$D$141,MATCH(Q33,$B$4:$B$141,0)),2)</f>
        <v/>
      </c>
      <c r="R68" s="80" t="str">
        <f t="shared" si="50"/>
        <v/>
      </c>
      <c r="S68" s="80" t="str">
        <f t="shared" si="50"/>
        <v/>
      </c>
      <c r="T68" s="80" t="str">
        <f t="shared" si="50"/>
        <v/>
      </c>
      <c r="U68" s="80" t="str">
        <f t="shared" si="50"/>
        <v/>
      </c>
      <c r="V68" s="80" t="str">
        <f t="shared" si="50"/>
        <v/>
      </c>
      <c r="W68" s="80" t="str">
        <f t="shared" si="50"/>
        <v/>
      </c>
      <c r="X68" s="80" t="str">
        <f t="shared" si="50"/>
        <v/>
      </c>
      <c r="Y68" s="80" t="str">
        <f t="shared" si="50"/>
        <v/>
      </c>
      <c r="Z68" s="80" t="str">
        <f t="shared" si="50"/>
        <v>00</v>
      </c>
      <c r="AA68" s="80" t="str">
        <f t="shared" si="50"/>
        <v>00</v>
      </c>
      <c r="AB68" s="80" t="str">
        <f t="shared" si="50"/>
        <v>00</v>
      </c>
      <c r="AC68" s="80" t="str">
        <f t="shared" si="50"/>
        <v>00</v>
      </c>
      <c r="AD68" s="80" t="str">
        <f t="shared" si="50"/>
        <v>00</v>
      </c>
      <c r="AE68" s="80" t="str">
        <f t="shared" si="50"/>
        <v>00</v>
      </c>
      <c r="AF68" s="80" t="str">
        <f t="shared" si="50"/>
        <v>00</v>
      </c>
    </row>
    <row r="69" spans="2:32" x14ac:dyDescent="0.25">
      <c r="B69" s="41">
        <v>65</v>
      </c>
      <c r="C69" s="41" t="str">
        <f t="shared" ref="C69:C141" si="51">CONCATENATE("0x",DEC2HEX(B69,3))</f>
        <v>0x041</v>
      </c>
      <c r="D69" s="65" t="s">
        <v>138</v>
      </c>
      <c r="E69" s="44" t="s">
        <v>139</v>
      </c>
      <c r="F69" s="45"/>
      <c r="G69" s="46"/>
      <c r="I69" s="41">
        <v>65</v>
      </c>
      <c r="J69" s="41" t="str">
        <f t="shared" ref="J69:J132" si="52">CONCATENATE("0x",DEC2HEX(I69,3))</f>
        <v>0x041</v>
      </c>
      <c r="K69" s="65" t="s">
        <v>138</v>
      </c>
      <c r="L69" s="44" t="s">
        <v>139</v>
      </c>
      <c r="M69" s="45"/>
      <c r="N69" s="46"/>
      <c r="P69" s="79" t="s">
        <v>373</v>
      </c>
      <c r="Q69" s="80" t="str">
        <f t="shared" ref="Q69:AF69" si="53">RIGHT(INDEX($D$4:$D$141,MATCH(Q34,$B$4:$B$141,0)),2)</f>
        <v>00</v>
      </c>
      <c r="R69" s="80" t="str">
        <f t="shared" si="53"/>
        <v/>
      </c>
      <c r="S69" s="80" t="str">
        <f t="shared" si="53"/>
        <v/>
      </c>
      <c r="T69" s="80" t="str">
        <f t="shared" si="53"/>
        <v/>
      </c>
      <c r="U69" s="80" t="str">
        <f t="shared" si="53"/>
        <v/>
      </c>
      <c r="V69" s="80" t="str">
        <f t="shared" si="53"/>
        <v>11</v>
      </c>
      <c r="W69" s="80" t="str">
        <f t="shared" si="53"/>
        <v/>
      </c>
      <c r="X69" s="80" t="str">
        <f t="shared" si="53"/>
        <v/>
      </c>
      <c r="Y69" s="80" t="str">
        <f t="shared" si="53"/>
        <v/>
      </c>
      <c r="Z69" s="80" t="str">
        <f t="shared" si="53"/>
        <v/>
      </c>
      <c r="AA69" s="80" t="str">
        <f t="shared" si="53"/>
        <v/>
      </c>
      <c r="AB69" s="80" t="str">
        <f t="shared" si="53"/>
        <v/>
      </c>
      <c r="AC69" s="80" t="str">
        <f t="shared" si="53"/>
        <v/>
      </c>
      <c r="AD69" s="80" t="str">
        <f t="shared" si="53"/>
        <v/>
      </c>
      <c r="AE69" s="80" t="str">
        <f t="shared" si="53"/>
        <v/>
      </c>
      <c r="AF69" s="80" t="str">
        <f t="shared" si="53"/>
        <v/>
      </c>
    </row>
    <row r="70" spans="2:32" x14ac:dyDescent="0.25">
      <c r="B70" s="41">
        <v>66</v>
      </c>
      <c r="C70" s="41" t="str">
        <f t="shared" si="51"/>
        <v>0x042</v>
      </c>
      <c r="D70" s="65" t="s">
        <v>140</v>
      </c>
      <c r="E70" s="44" t="s">
        <v>141</v>
      </c>
      <c r="F70" s="45"/>
      <c r="G70" s="46"/>
      <c r="I70" s="41">
        <v>66</v>
      </c>
      <c r="J70" s="41" t="str">
        <f t="shared" si="52"/>
        <v>0x042</v>
      </c>
      <c r="K70" s="65" t="s">
        <v>140</v>
      </c>
      <c r="L70" s="44" t="s">
        <v>141</v>
      </c>
      <c r="M70" s="45"/>
      <c r="N70" s="46"/>
      <c r="P70" s="79" t="s">
        <v>374</v>
      </c>
      <c r="Q70" s="80" t="str">
        <f t="shared" ref="Q70:AF70" si="54">RIGHT(INDEX($D$4:$D$141,MATCH(Q35,$B$4:$B$141,0)),2)</f>
        <v>00</v>
      </c>
      <c r="R70" s="80" t="str">
        <f t="shared" si="54"/>
        <v>00</v>
      </c>
      <c r="S70" s="80" t="str">
        <f t="shared" si="54"/>
        <v>00</v>
      </c>
      <c r="T70" s="80" t="str">
        <f t="shared" si="54"/>
        <v>00</v>
      </c>
      <c r="U70" s="80" t="str">
        <f t="shared" si="54"/>
        <v>00</v>
      </c>
      <c r="V70" s="80" t="str">
        <f t="shared" si="54"/>
        <v>00</v>
      </c>
      <c r="W70" s="80" t="str">
        <f t="shared" si="54"/>
        <v>00</v>
      </c>
      <c r="X70" s="80" t="str">
        <f t="shared" si="54"/>
        <v>00</v>
      </c>
      <c r="Y70" s="80" t="str">
        <f t="shared" si="54"/>
        <v/>
      </c>
      <c r="Z70" s="80" t="str">
        <f t="shared" si="54"/>
        <v/>
      </c>
      <c r="AA70" s="80" t="str">
        <f t="shared" si="54"/>
        <v/>
      </c>
      <c r="AB70" s="80" t="str">
        <f t="shared" si="54"/>
        <v/>
      </c>
      <c r="AC70" s="80" t="str">
        <f t="shared" si="54"/>
        <v>12</v>
      </c>
      <c r="AD70" s="80" t="str">
        <f t="shared" si="54"/>
        <v>00</v>
      </c>
      <c r="AE70" s="80" t="str">
        <f t="shared" si="54"/>
        <v>00</v>
      </c>
      <c r="AF70" s="80" t="str">
        <f t="shared" si="54"/>
        <v>00</v>
      </c>
    </row>
    <row r="71" spans="2:32" x14ac:dyDescent="0.25">
      <c r="B71" s="41">
        <v>67</v>
      </c>
      <c r="C71" s="41" t="str">
        <f t="shared" si="51"/>
        <v>0x043</v>
      </c>
      <c r="D71" s="65" t="s">
        <v>142</v>
      </c>
      <c r="E71" s="44" t="s">
        <v>143</v>
      </c>
      <c r="F71" s="45"/>
      <c r="G71" s="46"/>
      <c r="I71" s="41">
        <v>67</v>
      </c>
      <c r="J71" s="41" t="str">
        <f t="shared" si="52"/>
        <v>0x043</v>
      </c>
      <c r="K71" s="65" t="s">
        <v>142</v>
      </c>
      <c r="L71" s="44" t="s">
        <v>143</v>
      </c>
      <c r="M71" s="45"/>
      <c r="N71" s="46"/>
    </row>
    <row r="72" spans="2:32" x14ac:dyDescent="0.25">
      <c r="B72" s="41">
        <v>68</v>
      </c>
      <c r="C72" s="41" t="str">
        <f t="shared" si="51"/>
        <v>0x044</v>
      </c>
      <c r="D72" s="65" t="s">
        <v>144</v>
      </c>
      <c r="E72" s="44" t="s">
        <v>145</v>
      </c>
      <c r="F72" s="45"/>
      <c r="G72" s="46"/>
      <c r="I72" s="41">
        <v>68</v>
      </c>
      <c r="J72" s="41" t="str">
        <f t="shared" si="52"/>
        <v>0x044</v>
      </c>
      <c r="K72" s="65" t="s">
        <v>144</v>
      </c>
      <c r="L72" s="44" t="s">
        <v>145</v>
      </c>
      <c r="M72" s="45"/>
      <c r="N72" s="46"/>
      <c r="P72" t="s">
        <v>401</v>
      </c>
    </row>
    <row r="73" spans="2:32" x14ac:dyDescent="0.25">
      <c r="B73" s="41">
        <v>69</v>
      </c>
      <c r="C73" s="41" t="str">
        <f t="shared" si="51"/>
        <v>0x045</v>
      </c>
      <c r="D73" s="65" t="s">
        <v>146</v>
      </c>
      <c r="E73" s="44" t="s">
        <v>147</v>
      </c>
      <c r="F73" s="45"/>
      <c r="G73" s="46"/>
      <c r="I73" s="41">
        <v>69</v>
      </c>
      <c r="J73" s="41" t="str">
        <f t="shared" si="52"/>
        <v>0x045</v>
      </c>
      <c r="K73" s="65" t="s">
        <v>146</v>
      </c>
      <c r="L73" s="44" t="s">
        <v>147</v>
      </c>
      <c r="M73" s="45"/>
      <c r="N73" s="46"/>
      <c r="P73" s="79" t="s">
        <v>326</v>
      </c>
      <c r="Q73" s="79" t="s">
        <v>327</v>
      </c>
      <c r="R73" s="79" t="s">
        <v>328</v>
      </c>
      <c r="S73" s="79" t="s">
        <v>329</v>
      </c>
      <c r="T73" s="79" t="s">
        <v>330</v>
      </c>
      <c r="U73" s="79" t="s">
        <v>331</v>
      </c>
      <c r="V73" s="79" t="s">
        <v>332</v>
      </c>
      <c r="W73" s="79" t="s">
        <v>333</v>
      </c>
      <c r="X73" s="79" t="s">
        <v>334</v>
      </c>
      <c r="Y73" s="79" t="s">
        <v>335</v>
      </c>
      <c r="Z73" s="79" t="s">
        <v>336</v>
      </c>
      <c r="AA73" s="79" t="s">
        <v>337</v>
      </c>
      <c r="AB73" s="79" t="s">
        <v>338</v>
      </c>
      <c r="AC73" s="79" t="s">
        <v>339</v>
      </c>
      <c r="AD73" s="79" t="s">
        <v>340</v>
      </c>
      <c r="AE73" s="79" t="s">
        <v>341</v>
      </c>
      <c r="AF73" s="79" t="s">
        <v>342</v>
      </c>
    </row>
    <row r="74" spans="2:32" x14ac:dyDescent="0.25">
      <c r="B74" s="41">
        <v>70</v>
      </c>
      <c r="C74" s="41" t="str">
        <f t="shared" si="51"/>
        <v>0x046</v>
      </c>
      <c r="D74" s="65" t="s">
        <v>148</v>
      </c>
      <c r="E74" s="44" t="s">
        <v>149</v>
      </c>
      <c r="F74" s="45"/>
      <c r="G74" s="46"/>
      <c r="I74" s="41">
        <v>70</v>
      </c>
      <c r="J74" s="41" t="str">
        <f t="shared" si="52"/>
        <v>0x046</v>
      </c>
      <c r="K74" s="65" t="s">
        <v>148</v>
      </c>
      <c r="L74" s="44" t="s">
        <v>149</v>
      </c>
      <c r="M74" s="45"/>
      <c r="N74" s="46"/>
      <c r="P74" s="79" t="s">
        <v>327</v>
      </c>
      <c r="Q74" s="80" t="str">
        <f>RIGHT(INDEX($K$4:$K$141,MATCH(Q4,$I$4:$I$141,0)),2)</f>
        <v>1B</v>
      </c>
      <c r="R74" s="80" t="str">
        <f t="shared" ref="R74:AF74" si="55">RIGHT(INDEX($K$4:$K$141,MATCH(R4,$I$4:$I$141,0)),2)</f>
        <v>00</v>
      </c>
      <c r="S74" s="80" t="str">
        <f t="shared" si="55"/>
        <v>00</v>
      </c>
      <c r="T74" s="80" t="str">
        <f t="shared" si="55"/>
        <v>00</v>
      </c>
      <c r="U74" s="80" t="str">
        <f t="shared" si="55"/>
        <v>00</v>
      </c>
      <c r="V74" s="80" t="str">
        <f t="shared" si="55"/>
        <v>00</v>
      </c>
      <c r="W74" s="80" t="str">
        <f t="shared" si="55"/>
        <v>00</v>
      </c>
      <c r="X74" s="80" t="str">
        <f t="shared" si="55"/>
        <v>00</v>
      </c>
      <c r="Y74" s="80" t="str">
        <f t="shared" si="55"/>
        <v>00</v>
      </c>
      <c r="Z74" s="80" t="str">
        <f t="shared" si="55"/>
        <v>00</v>
      </c>
      <c r="AA74" s="80" t="str">
        <f t="shared" si="55"/>
        <v>01</v>
      </c>
      <c r="AB74" s="80" t="str">
        <f t="shared" si="55"/>
        <v>38</v>
      </c>
      <c r="AC74" s="80" t="str">
        <f t="shared" si="55"/>
        <v>21</v>
      </c>
      <c r="AD74" s="80" t="str">
        <f t="shared" si="55"/>
        <v>50</v>
      </c>
      <c r="AE74" s="80" t="str">
        <f t="shared" si="55"/>
        <v>FF</v>
      </c>
      <c r="AF74" s="80" t="str">
        <f t="shared" si="55"/>
        <v>EF</v>
      </c>
    </row>
    <row r="75" spans="2:32" x14ac:dyDescent="0.25">
      <c r="B75" s="41">
        <v>71</v>
      </c>
      <c r="C75" s="41" t="str">
        <f t="shared" si="51"/>
        <v>0x047</v>
      </c>
      <c r="D75" s="65" t="s">
        <v>51</v>
      </c>
      <c r="E75" s="44" t="s">
        <v>150</v>
      </c>
      <c r="F75" s="45"/>
      <c r="G75" s="46"/>
      <c r="I75" s="41">
        <v>71</v>
      </c>
      <c r="J75" s="41" t="str">
        <f t="shared" si="52"/>
        <v>0x047</v>
      </c>
      <c r="K75" s="65" t="s">
        <v>51</v>
      </c>
      <c r="L75" s="44" t="s">
        <v>150</v>
      </c>
      <c r="M75" s="45"/>
      <c r="N75" s="46"/>
      <c r="P75" s="79" t="s">
        <v>343</v>
      </c>
      <c r="Q75" s="80" t="str">
        <f t="shared" ref="Q75:AF75" si="56">RIGHT(INDEX($K$4:$K$141,MATCH(Q5,$I$4:$I$141,0)),2)</f>
        <v>F0</v>
      </c>
      <c r="R75" s="80" t="str">
        <f t="shared" si="56"/>
        <v>5D</v>
      </c>
      <c r="S75" s="80" t="str">
        <f t="shared" si="56"/>
        <v>01</v>
      </c>
      <c r="T75" s="80" t="str">
        <f t="shared" si="56"/>
        <v>00</v>
      </c>
      <c r="U75" s="80" t="str">
        <f t="shared" si="56"/>
        <v>00</v>
      </c>
      <c r="V75" s="80" t="str">
        <f t="shared" si="56"/>
        <v>00</v>
      </c>
      <c r="W75" s="80" t="str">
        <f t="shared" si="56"/>
        <v>06</v>
      </c>
      <c r="X75" s="80" t="str">
        <f t="shared" si="56"/>
        <v>01</v>
      </c>
      <c r="Y75" s="80" t="str">
        <f t="shared" si="56"/>
        <v>01</v>
      </c>
      <c r="Z75" s="80" t="str">
        <f t="shared" si="56"/>
        <v>A5</v>
      </c>
      <c r="AA75" s="80" t="str">
        <f t="shared" si="56"/>
        <v>10</v>
      </c>
      <c r="AB75" s="80" t="str">
        <f t="shared" si="56"/>
        <v>00</v>
      </c>
      <c r="AC75" s="80" t="str">
        <f t="shared" si="56"/>
        <v>00</v>
      </c>
      <c r="AD75" s="80" t="str">
        <f t="shared" si="56"/>
        <v/>
      </c>
      <c r="AE75" s="80" t="str">
        <f t="shared" si="56"/>
        <v/>
      </c>
      <c r="AF75" s="80" t="str">
        <f t="shared" si="56"/>
        <v/>
      </c>
    </row>
    <row r="76" spans="2:32" x14ac:dyDescent="0.25">
      <c r="B76" s="41">
        <v>72</v>
      </c>
      <c r="C76" s="41" t="str">
        <f t="shared" si="51"/>
        <v>0x048</v>
      </c>
      <c r="D76" s="65" t="s">
        <v>151</v>
      </c>
      <c r="E76" s="44" t="s">
        <v>152</v>
      </c>
      <c r="F76" s="45"/>
      <c r="G76" s="46"/>
      <c r="I76" s="41">
        <v>72</v>
      </c>
      <c r="J76" s="41" t="str">
        <f t="shared" si="52"/>
        <v>0x048</v>
      </c>
      <c r="K76" s="65" t="s">
        <v>151</v>
      </c>
      <c r="L76" s="44" t="s">
        <v>152</v>
      </c>
      <c r="M76" s="45"/>
      <c r="N76" s="46"/>
      <c r="P76" s="79" t="s">
        <v>344</v>
      </c>
      <c r="Q76" s="80" t="str">
        <f t="shared" ref="Q76:AF76" si="57">RIGHT(INDEX($K$4:$K$141,MATCH(Q6,$I$4:$I$141,0)),2)</f>
        <v/>
      </c>
      <c r="R76" s="80" t="str">
        <f t="shared" si="57"/>
        <v/>
      </c>
      <c r="S76" s="80" t="str">
        <f t="shared" si="57"/>
        <v/>
      </c>
      <c r="T76" s="80" t="str">
        <f t="shared" si="57"/>
        <v/>
      </c>
      <c r="U76" s="80" t="str">
        <f t="shared" si="57"/>
        <v/>
      </c>
      <c r="V76" s="80" t="str">
        <f t="shared" si="57"/>
        <v/>
      </c>
      <c r="W76" s="80" t="str">
        <f t="shared" si="57"/>
        <v/>
      </c>
      <c r="X76" s="80" t="str">
        <f t="shared" si="57"/>
        <v>00</v>
      </c>
      <c r="Y76" s="80" t="str">
        <f t="shared" si="57"/>
        <v>21</v>
      </c>
      <c r="Z76" s="80" t="str">
        <f t="shared" si="57"/>
        <v>BF</v>
      </c>
      <c r="AA76" s="80" t="str">
        <f t="shared" si="57"/>
        <v>88</v>
      </c>
      <c r="AB76" s="80" t="str">
        <f t="shared" si="57"/>
        <v>02</v>
      </c>
      <c r="AC76" s="80" t="str">
        <f t="shared" si="57"/>
        <v>20</v>
      </c>
      <c r="AD76" s="80" t="str">
        <f t="shared" si="57"/>
        <v>20</v>
      </c>
      <c r="AE76" s="80" t="str">
        <f t="shared" si="57"/>
        <v>A0</v>
      </c>
      <c r="AF76" s="80" t="str">
        <f t="shared" si="57"/>
        <v/>
      </c>
    </row>
    <row r="77" spans="2:32" x14ac:dyDescent="0.25">
      <c r="B77" s="41">
        <v>73</v>
      </c>
      <c r="C77" s="41" t="str">
        <f t="shared" si="51"/>
        <v>0x049</v>
      </c>
      <c r="D77" s="65" t="s">
        <v>153</v>
      </c>
      <c r="E77" s="44" t="s">
        <v>154</v>
      </c>
      <c r="F77" s="45"/>
      <c r="G77" s="46"/>
      <c r="I77" s="41">
        <v>73</v>
      </c>
      <c r="J77" s="41" t="str">
        <f t="shared" si="52"/>
        <v>0x049</v>
      </c>
      <c r="K77" s="65" t="s">
        <v>153</v>
      </c>
      <c r="L77" s="44" t="s">
        <v>154</v>
      </c>
      <c r="M77" s="45"/>
      <c r="N77" s="46"/>
      <c r="P77" s="79" t="s">
        <v>345</v>
      </c>
      <c r="Q77" s="80" t="str">
        <f t="shared" ref="Q77:AF77" si="58">RIGHT(INDEX($K$4:$K$141,MATCH(Q7,$I$4:$I$141,0)),2)</f>
        <v>00</v>
      </c>
      <c r="R77" s="80" t="str">
        <f t="shared" si="58"/>
        <v>06</v>
      </c>
      <c r="S77" s="80" t="str">
        <f t="shared" si="58"/>
        <v>2E</v>
      </c>
      <c r="T77" s="80" t="str">
        <f t="shared" si="58"/>
        <v>2F</v>
      </c>
      <c r="U77" s="80" t="str">
        <f t="shared" si="58"/>
        <v>07</v>
      </c>
      <c r="V77" s="80" t="str">
        <f t="shared" si="58"/>
        <v>D3</v>
      </c>
      <c r="W77" s="80" t="str">
        <f t="shared" si="58"/>
        <v>91</v>
      </c>
      <c r="X77" s="80" t="str">
        <f t="shared" si="58"/>
        <v>1B</v>
      </c>
      <c r="Y77" s="80" t="str">
        <f t="shared" si="58"/>
        <v>28</v>
      </c>
      <c r="Z77" s="80" t="str">
        <f t="shared" si="58"/>
        <v>44</v>
      </c>
      <c r="AA77" s="80" t="str">
        <f t="shared" si="58"/>
        <v>00</v>
      </c>
      <c r="AB77" s="80" t="str">
        <f t="shared" si="58"/>
        <v/>
      </c>
      <c r="AC77" s="80" t="str">
        <f t="shared" si="58"/>
        <v>0F</v>
      </c>
      <c r="AD77" s="80" t="str">
        <f t="shared" si="58"/>
        <v>00</v>
      </c>
      <c r="AE77" s="80" t="str">
        <f t="shared" si="58"/>
        <v>0F</v>
      </c>
      <c r="AF77" s="80" t="str">
        <f t="shared" si="58"/>
        <v>6C</v>
      </c>
    </row>
    <row r="78" spans="2:32" x14ac:dyDescent="0.25">
      <c r="B78" s="41">
        <v>74</v>
      </c>
      <c r="C78" s="41" t="str">
        <f t="shared" si="51"/>
        <v>0x04A</v>
      </c>
      <c r="D78" s="65" t="s">
        <v>155</v>
      </c>
      <c r="E78" s="44" t="s">
        <v>156</v>
      </c>
      <c r="F78" s="45"/>
      <c r="G78" s="46"/>
      <c r="I78" s="41">
        <v>74</v>
      </c>
      <c r="J78" s="41" t="str">
        <f t="shared" si="52"/>
        <v>0x04A</v>
      </c>
      <c r="K78" s="65" t="s">
        <v>155</v>
      </c>
      <c r="L78" s="44" t="s">
        <v>156</v>
      </c>
      <c r="M78" s="45"/>
      <c r="N78" s="46"/>
      <c r="P78" s="79" t="s">
        <v>347</v>
      </c>
      <c r="Q78" s="80" t="str">
        <f t="shared" ref="Q78:AF78" si="59">RIGHT(INDEX($K$4:$K$141,MATCH(Q8,$I$4:$I$141,0)),2)</f>
        <v>CC</v>
      </c>
      <c r="R78" s="80" t="str">
        <f t="shared" si="59"/>
        <v>5B</v>
      </c>
      <c r="S78" s="80" t="str">
        <f t="shared" si="59"/>
        <v>F8</v>
      </c>
      <c r="T78" s="80" t="str">
        <f t="shared" si="59"/>
        <v>17</v>
      </c>
      <c r="U78" s="80" t="str">
        <f t="shared" si="59"/>
        <v>23</v>
      </c>
      <c r="V78" s="80" t="str">
        <f t="shared" si="59"/>
        <v>9A</v>
      </c>
      <c r="W78" s="80" t="str">
        <f t="shared" si="59"/>
        <v>47</v>
      </c>
      <c r="X78" s="80" t="str">
        <f t="shared" si="59"/>
        <v>00</v>
      </c>
      <c r="Y78" s="80" t="str">
        <f t="shared" si="59"/>
        <v>30</v>
      </c>
      <c r="Z78" s="80" t="str">
        <f t="shared" si="59"/>
        <v>18</v>
      </c>
      <c r="AA78" s="80" t="str">
        <f t="shared" si="59"/>
        <v>16</v>
      </c>
      <c r="AB78" s="80" t="str">
        <f t="shared" si="59"/>
        <v>6C</v>
      </c>
      <c r="AC78" s="80" t="str">
        <f t="shared" si="59"/>
        <v>03</v>
      </c>
      <c r="AD78" s="80" t="str">
        <f t="shared" si="59"/>
        <v>60</v>
      </c>
      <c r="AE78" s="80" t="str">
        <f t="shared" si="59"/>
        <v>91</v>
      </c>
      <c r="AF78" s="80" t="str">
        <f t="shared" si="59"/>
        <v>02</v>
      </c>
    </row>
    <row r="79" spans="2:32" x14ac:dyDescent="0.25">
      <c r="B79" s="41">
        <v>75</v>
      </c>
      <c r="C79" s="41" t="str">
        <f t="shared" si="51"/>
        <v>0x04B</v>
      </c>
      <c r="D79" s="65" t="s">
        <v>134</v>
      </c>
      <c r="E79" s="44" t="s">
        <v>157</v>
      </c>
      <c r="F79" s="45"/>
      <c r="G79" s="46"/>
      <c r="I79" s="41">
        <v>75</v>
      </c>
      <c r="J79" s="41" t="str">
        <f t="shared" si="52"/>
        <v>0x04B</v>
      </c>
      <c r="K79" s="65" t="s">
        <v>134</v>
      </c>
      <c r="L79" s="44" t="s">
        <v>157</v>
      </c>
      <c r="M79" s="45"/>
      <c r="N79" s="46"/>
      <c r="P79" s="79" t="s">
        <v>348</v>
      </c>
      <c r="Q79" s="80" t="str">
        <f t="shared" ref="Q79:AF79" si="60">RIGHT(INDEX($K$4:$K$141,MATCH(Q9,$I$4:$I$141,0)),2)</f>
        <v>0E</v>
      </c>
      <c r="R79" s="80" t="str">
        <f t="shared" si="60"/>
        <v>78</v>
      </c>
      <c r="S79" s="80" t="str">
        <f t="shared" si="60"/>
        <v>56</v>
      </c>
      <c r="T79" s="80" t="str">
        <f t="shared" si="60"/>
        <v>10</v>
      </c>
      <c r="U79" s="80" t="str">
        <f t="shared" si="60"/>
        <v>EA</v>
      </c>
      <c r="V79" s="80" t="str">
        <f t="shared" si="60"/>
        <v>2A</v>
      </c>
      <c r="W79" s="80" t="str">
        <f t="shared" si="60"/>
        <v>00</v>
      </c>
      <c r="X79" s="80" t="str">
        <f t="shared" si="60"/>
        <v>1F</v>
      </c>
      <c r="Y79" s="80" t="str">
        <f t="shared" si="60"/>
        <v>41</v>
      </c>
      <c r="Z79" s="80" t="str">
        <f t="shared" si="60"/>
        <v>00</v>
      </c>
      <c r="AA79" s="80" t="str">
        <f t="shared" si="60"/>
        <v>00</v>
      </c>
      <c r="AB79" s="80" t="str">
        <f t="shared" si="60"/>
        <v/>
      </c>
      <c r="AC79" s="80" t="str">
        <f t="shared" si="60"/>
        <v/>
      </c>
      <c r="AD79" s="80" t="str">
        <f t="shared" si="60"/>
        <v/>
      </c>
      <c r="AE79" s="80" t="str">
        <f t="shared" si="60"/>
        <v/>
      </c>
      <c r="AF79" s="80" t="str">
        <f t="shared" si="60"/>
        <v/>
      </c>
    </row>
    <row r="80" spans="2:32" x14ac:dyDescent="0.25">
      <c r="B80" s="41">
        <v>76</v>
      </c>
      <c r="C80" s="41" t="str">
        <f t="shared" si="51"/>
        <v>0x04C</v>
      </c>
      <c r="D80" s="65" t="s">
        <v>70</v>
      </c>
      <c r="E80" s="44" t="s">
        <v>158</v>
      </c>
      <c r="F80" s="45"/>
      <c r="G80" s="46"/>
      <c r="I80" s="41">
        <v>76</v>
      </c>
      <c r="J80" s="41" t="str">
        <f t="shared" si="52"/>
        <v>0x04C</v>
      </c>
      <c r="K80" s="65" t="s">
        <v>70</v>
      </c>
      <c r="L80" s="44" t="s">
        <v>158</v>
      </c>
      <c r="M80" s="45"/>
      <c r="N80" s="46"/>
      <c r="P80" s="79" t="s">
        <v>349</v>
      </c>
      <c r="Q80" s="80" t="str">
        <f t="shared" ref="Q80:AF80" si="61">RIGHT(INDEX($K$4:$K$141,MATCH(Q10,$I$4:$I$141,0)),2)</f>
        <v/>
      </c>
      <c r="R80" s="80" t="str">
        <f t="shared" si="61"/>
        <v/>
      </c>
      <c r="S80" s="80" t="str">
        <f t="shared" si="61"/>
        <v/>
      </c>
      <c r="T80" s="80" t="str">
        <f t="shared" si="61"/>
        <v/>
      </c>
      <c r="U80" s="80" t="str">
        <f t="shared" si="61"/>
        <v/>
      </c>
      <c r="V80" s="80" t="str">
        <f t="shared" si="61"/>
        <v/>
      </c>
      <c r="W80" s="80" t="str">
        <f t="shared" si="61"/>
        <v/>
      </c>
      <c r="X80" s="80" t="str">
        <f t="shared" si="61"/>
        <v/>
      </c>
      <c r="Y80" s="80" t="str">
        <f t="shared" si="61"/>
        <v/>
      </c>
      <c r="Z80" s="80" t="str">
        <f t="shared" si="61"/>
        <v/>
      </c>
      <c r="AA80" s="80" t="str">
        <f t="shared" si="61"/>
        <v/>
      </c>
      <c r="AB80" s="80" t="str">
        <f t="shared" si="61"/>
        <v/>
      </c>
      <c r="AC80" s="80" t="str">
        <f t="shared" si="61"/>
        <v/>
      </c>
      <c r="AD80" s="80" t="str">
        <f t="shared" si="61"/>
        <v/>
      </c>
      <c r="AE80" s="80" t="str">
        <f t="shared" si="61"/>
        <v/>
      </c>
      <c r="AF80" s="80" t="str">
        <f t="shared" si="61"/>
        <v/>
      </c>
    </row>
    <row r="81" spans="2:32" x14ac:dyDescent="0.25">
      <c r="B81" s="41">
        <v>77</v>
      </c>
      <c r="C81" s="41" t="str">
        <f t="shared" si="51"/>
        <v>0x04D</v>
      </c>
      <c r="D81" s="65" t="s">
        <v>109</v>
      </c>
      <c r="E81" s="44" t="s">
        <v>159</v>
      </c>
      <c r="F81" s="45"/>
      <c r="G81" s="46"/>
      <c r="I81" s="41">
        <v>77</v>
      </c>
      <c r="J81" s="41" t="str">
        <f t="shared" si="52"/>
        <v>0x04D</v>
      </c>
      <c r="K81" s="65" t="s">
        <v>61</v>
      </c>
      <c r="L81" s="44" t="s">
        <v>159</v>
      </c>
      <c r="M81" s="45"/>
      <c r="N81" s="46"/>
      <c r="P81" s="79" t="s">
        <v>350</v>
      </c>
      <c r="Q81" s="80" t="str">
        <f t="shared" ref="Q81:AF81" si="62">RIGHT(INDEX($K$4:$K$141,MATCH(Q11,$I$4:$I$141,0)),2)</f>
        <v/>
      </c>
      <c r="R81" s="80" t="str">
        <f t="shared" si="62"/>
        <v/>
      </c>
      <c r="S81" s="80" t="str">
        <f t="shared" si="62"/>
        <v/>
      </c>
      <c r="T81" s="80" t="str">
        <f t="shared" si="62"/>
        <v/>
      </c>
      <c r="U81" s="80" t="str">
        <f t="shared" si="62"/>
        <v/>
      </c>
      <c r="V81" s="80" t="str">
        <f t="shared" si="62"/>
        <v>01</v>
      </c>
      <c r="W81" s="80" t="str">
        <f t="shared" si="62"/>
        <v/>
      </c>
      <c r="X81" s="80" t="str">
        <f t="shared" si="62"/>
        <v/>
      </c>
      <c r="Y81" s="80" t="str">
        <f t="shared" si="62"/>
        <v/>
      </c>
      <c r="Z81" s="80" t="str">
        <f t="shared" si="62"/>
        <v/>
      </c>
      <c r="AA81" s="80" t="str">
        <f t="shared" si="62"/>
        <v/>
      </c>
      <c r="AB81" s="80" t="str">
        <f t="shared" si="62"/>
        <v/>
      </c>
      <c r="AC81" s="80" t="str">
        <f t="shared" si="62"/>
        <v/>
      </c>
      <c r="AD81" s="80" t="str">
        <f t="shared" si="62"/>
        <v/>
      </c>
      <c r="AE81" s="80" t="str">
        <f t="shared" si="62"/>
        <v/>
      </c>
      <c r="AF81" s="80" t="str">
        <f t="shared" si="62"/>
        <v/>
      </c>
    </row>
    <row r="82" spans="2:32" x14ac:dyDescent="0.25">
      <c r="B82" s="41">
        <v>78</v>
      </c>
      <c r="C82" s="41" t="str">
        <f t="shared" si="51"/>
        <v>0x04E</v>
      </c>
      <c r="D82" s="65" t="s">
        <v>122</v>
      </c>
      <c r="E82" s="44" t="s">
        <v>160</v>
      </c>
      <c r="F82" s="45"/>
      <c r="G82" s="46"/>
      <c r="I82" s="41">
        <v>78</v>
      </c>
      <c r="J82" s="41" t="str">
        <f t="shared" si="52"/>
        <v>0x04E</v>
      </c>
      <c r="K82" s="65" t="s">
        <v>122</v>
      </c>
      <c r="L82" s="44" t="s">
        <v>160</v>
      </c>
      <c r="M82" s="45"/>
      <c r="N82" s="46"/>
      <c r="P82" s="79" t="s">
        <v>351</v>
      </c>
      <c r="Q82" s="80" t="str">
        <f t="shared" ref="Q82:AF82" si="63">RIGHT(INDEX($K$4:$K$141,MATCH(Q12,$I$4:$I$141,0)),2)</f>
        <v/>
      </c>
      <c r="R82" s="80" t="str">
        <f t="shared" si="63"/>
        <v/>
      </c>
      <c r="S82" s="80" t="str">
        <f t="shared" si="63"/>
        <v/>
      </c>
      <c r="T82" s="80" t="str">
        <f t="shared" si="63"/>
        <v/>
      </c>
      <c r="U82" s="80" t="str">
        <f t="shared" si="63"/>
        <v/>
      </c>
      <c r="V82" s="80" t="str">
        <f t="shared" si="63"/>
        <v/>
      </c>
      <c r="W82" s="80" t="str">
        <f t="shared" si="63"/>
        <v/>
      </c>
      <c r="X82" s="80" t="str">
        <f t="shared" si="63"/>
        <v/>
      </c>
      <c r="Y82" s="80" t="str">
        <f t="shared" si="63"/>
        <v/>
      </c>
      <c r="Z82" s="80" t="str">
        <f t="shared" si="63"/>
        <v/>
      </c>
      <c r="AA82" s="80" t="str">
        <f t="shared" si="63"/>
        <v/>
      </c>
      <c r="AB82" s="80" t="str">
        <f t="shared" si="63"/>
        <v/>
      </c>
      <c r="AC82" s="80" t="str">
        <f t="shared" si="63"/>
        <v>02</v>
      </c>
      <c r="AD82" s="80" t="str">
        <f t="shared" si="63"/>
        <v/>
      </c>
      <c r="AE82" s="80" t="str">
        <f t="shared" si="63"/>
        <v/>
      </c>
      <c r="AF82" s="80" t="str">
        <f t="shared" si="63"/>
        <v/>
      </c>
    </row>
    <row r="83" spans="2:32" x14ac:dyDescent="0.25">
      <c r="B83" s="41">
        <v>79</v>
      </c>
      <c r="C83" s="41" t="str">
        <f t="shared" si="51"/>
        <v>0x04F</v>
      </c>
      <c r="D83" s="65" t="s">
        <v>51</v>
      </c>
      <c r="E83" s="44" t="s">
        <v>161</v>
      </c>
      <c r="F83" s="45"/>
      <c r="G83" s="46"/>
      <c r="I83" s="41">
        <v>79</v>
      </c>
      <c r="J83" s="41" t="str">
        <f t="shared" si="52"/>
        <v>0x04F</v>
      </c>
      <c r="K83" s="65" t="s">
        <v>79</v>
      </c>
      <c r="L83" s="44" t="s">
        <v>161</v>
      </c>
      <c r="M83" s="45"/>
      <c r="N83" s="46"/>
      <c r="P83" s="79" t="s">
        <v>352</v>
      </c>
      <c r="Q83" s="80" t="str">
        <f t="shared" ref="Q83:AF83" si="64">RIGHT(INDEX($K$4:$K$141,MATCH(Q13,$I$4:$I$141,0)),2)</f>
        <v/>
      </c>
      <c r="R83" s="80" t="str">
        <f t="shared" si="64"/>
        <v/>
      </c>
      <c r="S83" s="80" t="str">
        <f t="shared" si="64"/>
        <v/>
      </c>
      <c r="T83" s="80" t="str">
        <f t="shared" si="64"/>
        <v/>
      </c>
      <c r="U83" s="80" t="str">
        <f t="shared" si="64"/>
        <v/>
      </c>
      <c r="V83" s="80" t="str">
        <f t="shared" si="64"/>
        <v/>
      </c>
      <c r="W83" s="80" t="str">
        <f t="shared" si="64"/>
        <v/>
      </c>
      <c r="X83" s="80" t="str">
        <f t="shared" si="64"/>
        <v/>
      </c>
      <c r="Y83" s="80" t="str">
        <f t="shared" si="64"/>
        <v/>
      </c>
      <c r="Z83" s="80" t="str">
        <f t="shared" si="64"/>
        <v/>
      </c>
      <c r="AA83" s="80" t="str">
        <f t="shared" si="64"/>
        <v/>
      </c>
      <c r="AB83" s="80" t="str">
        <f t="shared" si="64"/>
        <v/>
      </c>
      <c r="AC83" s="80" t="str">
        <f t="shared" si="64"/>
        <v/>
      </c>
      <c r="AD83" s="80" t="str">
        <f t="shared" si="64"/>
        <v/>
      </c>
      <c r="AE83" s="80" t="str">
        <f t="shared" si="64"/>
        <v/>
      </c>
      <c r="AF83" s="80" t="str">
        <f t="shared" si="64"/>
        <v/>
      </c>
    </row>
    <row r="84" spans="2:32" x14ac:dyDescent="0.25">
      <c r="B84" s="41">
        <v>80</v>
      </c>
      <c r="C84" s="41" t="str">
        <f t="shared" si="51"/>
        <v>0x050</v>
      </c>
      <c r="D84" s="65" t="s">
        <v>162</v>
      </c>
      <c r="E84" s="44" t="s">
        <v>163</v>
      </c>
      <c r="F84" s="45"/>
      <c r="G84" s="46"/>
      <c r="I84" s="41">
        <v>80</v>
      </c>
      <c r="J84" s="41" t="str">
        <f t="shared" si="52"/>
        <v>0x050</v>
      </c>
      <c r="K84" s="65" t="s">
        <v>322</v>
      </c>
      <c r="L84" s="44" t="s">
        <v>163</v>
      </c>
      <c r="M84" s="45"/>
      <c r="N84" s="46"/>
      <c r="P84" s="79" t="s">
        <v>353</v>
      </c>
      <c r="Q84" s="80" t="str">
        <f t="shared" ref="Q84:AF84" si="65">RIGHT(INDEX($K$4:$K$141,MATCH(Q14,$I$4:$I$141,0)),2)</f>
        <v/>
      </c>
      <c r="R84" s="80" t="str">
        <f t="shared" si="65"/>
        <v/>
      </c>
      <c r="S84" s="80" t="str">
        <f t="shared" si="65"/>
        <v/>
      </c>
      <c r="T84" s="80" t="str">
        <f t="shared" si="65"/>
        <v>03</v>
      </c>
      <c r="U84" s="80" t="str">
        <f t="shared" si="65"/>
        <v/>
      </c>
      <c r="V84" s="80" t="str">
        <f t="shared" si="65"/>
        <v/>
      </c>
      <c r="W84" s="80" t="str">
        <f t="shared" si="65"/>
        <v/>
      </c>
      <c r="X84" s="80" t="str">
        <f t="shared" si="65"/>
        <v/>
      </c>
      <c r="Y84" s="80" t="str">
        <f t="shared" si="65"/>
        <v/>
      </c>
      <c r="Z84" s="80" t="str">
        <f t="shared" si="65"/>
        <v/>
      </c>
      <c r="AA84" s="80" t="str">
        <f t="shared" si="65"/>
        <v/>
      </c>
      <c r="AB84" s="80" t="str">
        <f t="shared" si="65"/>
        <v/>
      </c>
      <c r="AC84" s="80" t="str">
        <f t="shared" si="65"/>
        <v/>
      </c>
      <c r="AD84" s="80" t="str">
        <f t="shared" si="65"/>
        <v/>
      </c>
      <c r="AE84" s="80" t="str">
        <f t="shared" si="65"/>
        <v/>
      </c>
      <c r="AF84" s="80" t="str">
        <f t="shared" si="65"/>
        <v/>
      </c>
    </row>
    <row r="85" spans="2:32" x14ac:dyDescent="0.25">
      <c r="B85" s="41">
        <v>81</v>
      </c>
      <c r="C85" s="41" t="str">
        <f t="shared" si="51"/>
        <v>0x051</v>
      </c>
      <c r="D85" s="65" t="s">
        <v>164</v>
      </c>
      <c r="E85" s="44" t="s">
        <v>165</v>
      </c>
      <c r="F85" s="45"/>
      <c r="G85" s="46"/>
      <c r="I85" s="41">
        <v>81</v>
      </c>
      <c r="J85" s="41" t="str">
        <f t="shared" si="52"/>
        <v>0x051</v>
      </c>
      <c r="K85" s="65" t="s">
        <v>164</v>
      </c>
      <c r="L85" s="44" t="s">
        <v>165</v>
      </c>
      <c r="M85" s="45"/>
      <c r="N85" s="46"/>
      <c r="P85" s="79" t="s">
        <v>354</v>
      </c>
      <c r="Q85" s="80" t="str">
        <f t="shared" ref="Q85:AF85" si="66">RIGHT(INDEX($K$4:$K$141,MATCH(Q15,$I$4:$I$141,0)),2)</f>
        <v/>
      </c>
      <c r="R85" s="80" t="str">
        <f t="shared" si="66"/>
        <v/>
      </c>
      <c r="S85" s="80" t="str">
        <f t="shared" si="66"/>
        <v/>
      </c>
      <c r="T85" s="80" t="str">
        <f t="shared" si="66"/>
        <v/>
      </c>
      <c r="U85" s="80" t="str">
        <f t="shared" si="66"/>
        <v/>
      </c>
      <c r="V85" s="80" t="str">
        <f t="shared" si="66"/>
        <v/>
      </c>
      <c r="W85" s="80" t="str">
        <f t="shared" si="66"/>
        <v/>
      </c>
      <c r="X85" s="80" t="str">
        <f t="shared" si="66"/>
        <v/>
      </c>
      <c r="Y85" s="80" t="str">
        <f t="shared" si="66"/>
        <v/>
      </c>
      <c r="Z85" s="80" t="str">
        <f t="shared" si="66"/>
        <v/>
      </c>
      <c r="AA85" s="80" t="str">
        <f t="shared" si="66"/>
        <v>04</v>
      </c>
      <c r="AB85" s="80" t="str">
        <f t="shared" si="66"/>
        <v/>
      </c>
      <c r="AC85" s="80" t="str">
        <f t="shared" si="66"/>
        <v/>
      </c>
      <c r="AD85" s="80" t="str">
        <f t="shared" si="66"/>
        <v/>
      </c>
      <c r="AE85" s="80" t="str">
        <f t="shared" si="66"/>
        <v/>
      </c>
      <c r="AF85" s="80" t="str">
        <f t="shared" si="66"/>
        <v/>
      </c>
    </row>
    <row r="86" spans="2:32" x14ac:dyDescent="0.25">
      <c r="B86" s="41">
        <v>82</v>
      </c>
      <c r="C86" s="41" t="str">
        <f t="shared" si="51"/>
        <v>0x052</v>
      </c>
      <c r="D86" s="65" t="s">
        <v>166</v>
      </c>
      <c r="E86" s="44" t="s">
        <v>167</v>
      </c>
      <c r="F86" s="45"/>
      <c r="G86" s="46"/>
      <c r="I86" s="41">
        <v>82</v>
      </c>
      <c r="J86" s="41" t="str">
        <f t="shared" si="52"/>
        <v>0x052</v>
      </c>
      <c r="K86" s="65" t="s">
        <v>166</v>
      </c>
      <c r="L86" s="44" t="s">
        <v>167</v>
      </c>
      <c r="M86" s="45"/>
      <c r="N86" s="46"/>
      <c r="P86" s="79" t="s">
        <v>355</v>
      </c>
      <c r="Q86" s="80" t="str">
        <f t="shared" ref="Q86:AF86" si="67">RIGHT(INDEX($K$4:$K$141,MATCH(Q16,$I$4:$I$141,0)),2)</f>
        <v/>
      </c>
      <c r="R86" s="80" t="str">
        <f t="shared" si="67"/>
        <v/>
      </c>
      <c r="S86" s="80" t="str">
        <f t="shared" si="67"/>
        <v/>
      </c>
      <c r="T86" s="80" t="str">
        <f t="shared" si="67"/>
        <v/>
      </c>
      <c r="U86" s="80" t="str">
        <f t="shared" si="67"/>
        <v/>
      </c>
      <c r="V86" s="80" t="str">
        <f t="shared" si="67"/>
        <v/>
      </c>
      <c r="W86" s="80" t="str">
        <f t="shared" si="67"/>
        <v/>
      </c>
      <c r="X86" s="80" t="str">
        <f t="shared" si="67"/>
        <v/>
      </c>
      <c r="Y86" s="80" t="str">
        <f t="shared" si="67"/>
        <v/>
      </c>
      <c r="Z86" s="80" t="str">
        <f t="shared" si="67"/>
        <v/>
      </c>
      <c r="AA86" s="80" t="str">
        <f t="shared" si="67"/>
        <v/>
      </c>
      <c r="AB86" s="80" t="str">
        <f t="shared" si="67"/>
        <v/>
      </c>
      <c r="AC86" s="80" t="str">
        <f t="shared" si="67"/>
        <v/>
      </c>
      <c r="AD86" s="80" t="str">
        <f t="shared" si="67"/>
        <v/>
      </c>
      <c r="AE86" s="80" t="str">
        <f t="shared" si="67"/>
        <v/>
      </c>
      <c r="AF86" s="80" t="str">
        <f t="shared" si="67"/>
        <v/>
      </c>
    </row>
    <row r="87" spans="2:32" x14ac:dyDescent="0.25">
      <c r="B87" s="41">
        <v>83</v>
      </c>
      <c r="C87" s="41" t="str">
        <f t="shared" si="51"/>
        <v>0x053</v>
      </c>
      <c r="D87" s="65" t="s">
        <v>102</v>
      </c>
      <c r="E87" s="44" t="s">
        <v>168</v>
      </c>
      <c r="F87" s="45"/>
      <c r="G87" s="46"/>
      <c r="I87" s="41">
        <v>83</v>
      </c>
      <c r="J87" s="41" t="str">
        <f t="shared" si="52"/>
        <v>0x053</v>
      </c>
      <c r="K87" s="65" t="s">
        <v>102</v>
      </c>
      <c r="L87" s="44" t="s">
        <v>168</v>
      </c>
      <c r="M87" s="45"/>
      <c r="N87" s="46"/>
      <c r="P87" s="79" t="s">
        <v>356</v>
      </c>
      <c r="Q87" s="80" t="str">
        <f t="shared" ref="Q87:AF87" si="68">RIGHT(INDEX($K$4:$K$141,MATCH(Q17,$I$4:$I$141,0)),2)</f>
        <v/>
      </c>
      <c r="R87" s="80" t="str">
        <f t="shared" si="68"/>
        <v>05</v>
      </c>
      <c r="S87" s="80" t="str">
        <f t="shared" si="68"/>
        <v/>
      </c>
      <c r="T87" s="80" t="str">
        <f t="shared" si="68"/>
        <v/>
      </c>
      <c r="U87" s="80" t="str">
        <f t="shared" si="68"/>
        <v/>
      </c>
      <c r="V87" s="80" t="str">
        <f t="shared" si="68"/>
        <v/>
      </c>
      <c r="W87" s="80" t="str">
        <f t="shared" si="68"/>
        <v/>
      </c>
      <c r="X87" s="80" t="str">
        <f t="shared" si="68"/>
        <v/>
      </c>
      <c r="Y87" s="80" t="str">
        <f t="shared" si="68"/>
        <v/>
      </c>
      <c r="Z87" s="80" t="str">
        <f t="shared" si="68"/>
        <v/>
      </c>
      <c r="AA87" s="80" t="str">
        <f t="shared" si="68"/>
        <v/>
      </c>
      <c r="AB87" s="80" t="str">
        <f t="shared" si="68"/>
        <v/>
      </c>
      <c r="AC87" s="80" t="str">
        <f t="shared" si="68"/>
        <v/>
      </c>
      <c r="AD87" s="80" t="str">
        <f t="shared" si="68"/>
        <v/>
      </c>
      <c r="AE87" s="80" t="str">
        <f t="shared" si="68"/>
        <v/>
      </c>
      <c r="AF87" s="80" t="str">
        <f t="shared" si="68"/>
        <v/>
      </c>
    </row>
    <row r="88" spans="2:32" x14ac:dyDescent="0.25">
      <c r="B88" s="41">
        <v>84</v>
      </c>
      <c r="C88" s="41" t="str">
        <f t="shared" si="51"/>
        <v>0x054</v>
      </c>
      <c r="D88" s="65" t="s">
        <v>65</v>
      </c>
      <c r="E88" s="44" t="s">
        <v>169</v>
      </c>
      <c r="F88" s="45"/>
      <c r="G88" s="46"/>
      <c r="I88" s="41">
        <v>84</v>
      </c>
      <c r="J88" s="41" t="str">
        <f t="shared" si="52"/>
        <v>0x054</v>
      </c>
      <c r="K88" s="65" t="s">
        <v>65</v>
      </c>
      <c r="L88" s="44" t="s">
        <v>169</v>
      </c>
      <c r="M88" s="45"/>
      <c r="N88" s="46"/>
      <c r="P88" s="79" t="s">
        <v>357</v>
      </c>
      <c r="Q88" s="80" t="str">
        <f t="shared" ref="Q88:AF88" si="69">RIGHT(INDEX($K$4:$K$141,MATCH(Q18,$I$4:$I$141,0)),2)</f>
        <v/>
      </c>
      <c r="R88" s="80" t="str">
        <f t="shared" si="69"/>
        <v/>
      </c>
      <c r="S88" s="80" t="str">
        <f t="shared" si="69"/>
        <v/>
      </c>
      <c r="T88" s="80" t="str">
        <f t="shared" si="69"/>
        <v/>
      </c>
      <c r="U88" s="80" t="str">
        <f t="shared" si="69"/>
        <v/>
      </c>
      <c r="V88" s="80" t="str">
        <f t="shared" si="69"/>
        <v/>
      </c>
      <c r="W88" s="80" t="str">
        <f t="shared" si="69"/>
        <v/>
      </c>
      <c r="X88" s="80" t="str">
        <f t="shared" si="69"/>
        <v/>
      </c>
      <c r="Y88" s="80" t="str">
        <f t="shared" si="69"/>
        <v>06</v>
      </c>
      <c r="Z88" s="80" t="str">
        <f t="shared" si="69"/>
        <v/>
      </c>
      <c r="AA88" s="80" t="str">
        <f t="shared" si="69"/>
        <v/>
      </c>
      <c r="AB88" s="80" t="str">
        <f t="shared" si="69"/>
        <v/>
      </c>
      <c r="AC88" s="80" t="str">
        <f t="shared" si="69"/>
        <v/>
      </c>
      <c r="AD88" s="80" t="str">
        <f t="shared" si="69"/>
        <v/>
      </c>
      <c r="AE88" s="80" t="str">
        <f t="shared" si="69"/>
        <v/>
      </c>
      <c r="AF88" s="80" t="str">
        <f t="shared" si="69"/>
        <v/>
      </c>
    </row>
    <row r="89" spans="2:32" x14ac:dyDescent="0.25">
      <c r="B89" s="41">
        <v>85</v>
      </c>
      <c r="C89" s="41" t="str">
        <f t="shared" si="51"/>
        <v>0x055</v>
      </c>
      <c r="D89" s="65" t="s">
        <v>170</v>
      </c>
      <c r="E89" s="44" t="s">
        <v>171</v>
      </c>
      <c r="F89" s="45"/>
      <c r="G89" s="46"/>
      <c r="I89" s="41">
        <v>85</v>
      </c>
      <c r="J89" s="41" t="str">
        <f t="shared" si="52"/>
        <v>0x055</v>
      </c>
      <c r="K89" s="65" t="s">
        <v>170</v>
      </c>
      <c r="L89" s="44" t="s">
        <v>171</v>
      </c>
      <c r="M89" s="45"/>
      <c r="N89" s="46"/>
      <c r="P89" s="79" t="s">
        <v>358</v>
      </c>
      <c r="Q89" s="80" t="str">
        <f t="shared" ref="Q89:AF89" si="70">RIGHT(INDEX($K$4:$K$141,MATCH(Q19,$I$4:$I$141,0)),2)</f>
        <v/>
      </c>
      <c r="R89" s="80" t="str">
        <f t="shared" si="70"/>
        <v/>
      </c>
      <c r="S89" s="80" t="str">
        <f t="shared" si="70"/>
        <v/>
      </c>
      <c r="T89" s="80" t="str">
        <f t="shared" si="70"/>
        <v/>
      </c>
      <c r="U89" s="80" t="str">
        <f t="shared" si="70"/>
        <v/>
      </c>
      <c r="V89" s="80" t="str">
        <f t="shared" si="70"/>
        <v/>
      </c>
      <c r="W89" s="80" t="str">
        <f t="shared" si="70"/>
        <v/>
      </c>
      <c r="X89" s="80" t="str">
        <f t="shared" si="70"/>
        <v/>
      </c>
      <c r="Y89" s="80" t="str">
        <f t="shared" si="70"/>
        <v/>
      </c>
      <c r="Z89" s="80" t="str">
        <f t="shared" si="70"/>
        <v/>
      </c>
      <c r="AA89" s="80" t="str">
        <f t="shared" si="70"/>
        <v/>
      </c>
      <c r="AB89" s="80" t="str">
        <f t="shared" si="70"/>
        <v/>
      </c>
      <c r="AC89" s="80" t="str">
        <f t="shared" si="70"/>
        <v/>
      </c>
      <c r="AD89" s="80" t="str">
        <f t="shared" si="70"/>
        <v/>
      </c>
      <c r="AE89" s="80" t="str">
        <f t="shared" si="70"/>
        <v/>
      </c>
      <c r="AF89" s="80" t="str">
        <f t="shared" si="70"/>
        <v>07</v>
      </c>
    </row>
    <row r="90" spans="2:32" x14ac:dyDescent="0.25">
      <c r="B90" s="41">
        <v>86</v>
      </c>
      <c r="C90" s="41" t="str">
        <f t="shared" si="51"/>
        <v>0x056</v>
      </c>
      <c r="D90" s="65" t="s">
        <v>51</v>
      </c>
      <c r="E90" s="44" t="s">
        <v>172</v>
      </c>
      <c r="F90" s="45"/>
      <c r="G90" s="46"/>
      <c r="I90" s="41">
        <v>86</v>
      </c>
      <c r="J90" s="41" t="str">
        <f t="shared" si="52"/>
        <v>0x056</v>
      </c>
      <c r="K90" s="65" t="s">
        <v>51</v>
      </c>
      <c r="L90" s="44" t="s">
        <v>172</v>
      </c>
      <c r="M90" s="45"/>
      <c r="N90" s="46"/>
      <c r="P90" s="79" t="s">
        <v>359</v>
      </c>
      <c r="Q90" s="80" t="str">
        <f t="shared" ref="Q90:AF90" si="71">RIGHT(INDEX($K$4:$K$141,MATCH(Q20,$I$4:$I$141,0)),2)</f>
        <v/>
      </c>
      <c r="R90" s="80" t="str">
        <f t="shared" si="71"/>
        <v/>
      </c>
      <c r="S90" s="80" t="str">
        <f t="shared" si="71"/>
        <v/>
      </c>
      <c r="T90" s="80" t="str">
        <f t="shared" si="71"/>
        <v/>
      </c>
      <c r="U90" s="80" t="str">
        <f t="shared" si="71"/>
        <v/>
      </c>
      <c r="V90" s="80" t="str">
        <f t="shared" si="71"/>
        <v/>
      </c>
      <c r="W90" s="80" t="str">
        <f t="shared" si="71"/>
        <v/>
      </c>
      <c r="X90" s="80" t="str">
        <f t="shared" si="71"/>
        <v/>
      </c>
      <c r="Y90" s="80" t="str">
        <f t="shared" si="71"/>
        <v/>
      </c>
      <c r="Z90" s="80" t="str">
        <f t="shared" si="71"/>
        <v/>
      </c>
      <c r="AA90" s="80" t="str">
        <f t="shared" si="71"/>
        <v/>
      </c>
      <c r="AB90" s="80" t="str">
        <f t="shared" si="71"/>
        <v/>
      </c>
      <c r="AC90" s="80" t="str">
        <f t="shared" si="71"/>
        <v/>
      </c>
      <c r="AD90" s="80" t="str">
        <f t="shared" si="71"/>
        <v/>
      </c>
      <c r="AE90" s="80" t="str">
        <f t="shared" si="71"/>
        <v/>
      </c>
      <c r="AF90" s="80" t="str">
        <f t="shared" si="71"/>
        <v/>
      </c>
    </row>
    <row r="91" spans="2:32" x14ac:dyDescent="0.25">
      <c r="B91" s="41">
        <v>87</v>
      </c>
      <c r="C91" s="41" t="str">
        <f t="shared" si="51"/>
        <v>0x057</v>
      </c>
      <c r="D91" s="65" t="s">
        <v>81</v>
      </c>
      <c r="E91" s="44" t="s">
        <v>173</v>
      </c>
      <c r="F91" s="45"/>
      <c r="G91" s="46"/>
      <c r="I91" s="41">
        <v>87</v>
      </c>
      <c r="J91" s="41" t="str">
        <f t="shared" si="52"/>
        <v>0x057</v>
      </c>
      <c r="K91" s="65" t="s">
        <v>81</v>
      </c>
      <c r="L91" s="44" t="s">
        <v>173</v>
      </c>
      <c r="M91" s="45"/>
      <c r="N91" s="46"/>
      <c r="P91" s="79" t="s">
        <v>360</v>
      </c>
      <c r="Q91" s="80" t="str">
        <f t="shared" ref="Q91:AF91" si="72">RIGHT(INDEX($K$4:$K$141,MATCH(Q21,$I$4:$I$141,0)),2)</f>
        <v/>
      </c>
      <c r="R91" s="80" t="str">
        <f t="shared" si="72"/>
        <v/>
      </c>
      <c r="S91" s="80" t="str">
        <f t="shared" si="72"/>
        <v/>
      </c>
      <c r="T91" s="80" t="str">
        <f t="shared" si="72"/>
        <v/>
      </c>
      <c r="U91" s="80" t="str">
        <f t="shared" si="72"/>
        <v/>
      </c>
      <c r="V91" s="80" t="str">
        <f t="shared" si="72"/>
        <v/>
      </c>
      <c r="W91" s="80" t="str">
        <f t="shared" si="72"/>
        <v>08</v>
      </c>
      <c r="X91" s="80" t="str">
        <f t="shared" si="72"/>
        <v/>
      </c>
      <c r="Y91" s="80" t="str">
        <f t="shared" si="72"/>
        <v/>
      </c>
      <c r="Z91" s="80" t="str">
        <f t="shared" si="72"/>
        <v/>
      </c>
      <c r="AA91" s="80" t="str">
        <f t="shared" si="72"/>
        <v/>
      </c>
      <c r="AB91" s="80" t="str">
        <f t="shared" si="72"/>
        <v/>
      </c>
      <c r="AC91" s="80" t="str">
        <f t="shared" si="72"/>
        <v/>
      </c>
      <c r="AD91" s="80" t="str">
        <f t="shared" si="72"/>
        <v/>
      </c>
      <c r="AE91" s="80" t="str">
        <f t="shared" si="72"/>
        <v/>
      </c>
      <c r="AF91" s="80" t="str">
        <f t="shared" si="72"/>
        <v/>
      </c>
    </row>
    <row r="92" spans="2:32" x14ac:dyDescent="0.25">
      <c r="B92" s="41">
        <v>88</v>
      </c>
      <c r="C92" s="41" t="str">
        <f t="shared" si="51"/>
        <v>0x058</v>
      </c>
      <c r="D92" s="65" t="s">
        <v>174</v>
      </c>
      <c r="E92" s="44" t="s">
        <v>175</v>
      </c>
      <c r="F92" s="45"/>
      <c r="G92" s="46"/>
      <c r="I92" s="41">
        <v>88</v>
      </c>
      <c r="J92" s="41" t="str">
        <f t="shared" si="52"/>
        <v>0x058</v>
      </c>
      <c r="K92" s="65" t="s">
        <v>174</v>
      </c>
      <c r="L92" s="44" t="s">
        <v>175</v>
      </c>
      <c r="M92" s="45"/>
      <c r="N92" s="46"/>
      <c r="P92" s="79" t="s">
        <v>361</v>
      </c>
      <c r="Q92" s="80" t="str">
        <f t="shared" ref="Q92:AF92" si="73">RIGHT(INDEX($K$4:$K$141,MATCH(Q22,$I$4:$I$141,0)),2)</f>
        <v/>
      </c>
      <c r="R92" s="80" t="str">
        <f t="shared" si="73"/>
        <v/>
      </c>
      <c r="S92" s="80" t="str">
        <f t="shared" si="73"/>
        <v/>
      </c>
      <c r="T92" s="80" t="str">
        <f t="shared" si="73"/>
        <v/>
      </c>
      <c r="U92" s="80" t="str">
        <f t="shared" si="73"/>
        <v/>
      </c>
      <c r="V92" s="80" t="str">
        <f t="shared" si="73"/>
        <v/>
      </c>
      <c r="W92" s="80" t="str">
        <f t="shared" si="73"/>
        <v/>
      </c>
      <c r="X92" s="80" t="str">
        <f t="shared" si="73"/>
        <v/>
      </c>
      <c r="Y92" s="80" t="str">
        <f t="shared" si="73"/>
        <v/>
      </c>
      <c r="Z92" s="80" t="str">
        <f t="shared" si="73"/>
        <v/>
      </c>
      <c r="AA92" s="80" t="str">
        <f t="shared" si="73"/>
        <v/>
      </c>
      <c r="AB92" s="80" t="str">
        <f t="shared" si="73"/>
        <v/>
      </c>
      <c r="AC92" s="80" t="str">
        <f t="shared" si="73"/>
        <v/>
      </c>
      <c r="AD92" s="80" t="str">
        <f t="shared" si="73"/>
        <v>09</v>
      </c>
      <c r="AE92" s="80" t="str">
        <f t="shared" si="73"/>
        <v/>
      </c>
      <c r="AF92" s="80" t="str">
        <f t="shared" si="73"/>
        <v/>
      </c>
    </row>
    <row r="93" spans="2:32" x14ac:dyDescent="0.25">
      <c r="B93" s="41">
        <v>89</v>
      </c>
      <c r="C93" s="41" t="str">
        <f t="shared" si="51"/>
        <v>0x059</v>
      </c>
      <c r="D93" s="65" t="s">
        <v>51</v>
      </c>
      <c r="E93" s="44" t="s">
        <v>176</v>
      </c>
      <c r="F93" s="45"/>
      <c r="G93" s="46"/>
      <c r="I93" s="41">
        <v>89</v>
      </c>
      <c r="J93" s="41" t="str">
        <f t="shared" si="52"/>
        <v>0x059</v>
      </c>
      <c r="K93" s="65" t="s">
        <v>51</v>
      </c>
      <c r="L93" s="44" t="s">
        <v>176</v>
      </c>
      <c r="M93" s="45"/>
      <c r="N93" s="46"/>
      <c r="P93" s="79" t="s">
        <v>362</v>
      </c>
      <c r="Q93" s="80" t="str">
        <f t="shared" ref="Q93:AF93" si="74">RIGHT(INDEX($K$4:$K$141,MATCH(Q23,$I$4:$I$141,0)),2)</f>
        <v/>
      </c>
      <c r="R93" s="80" t="str">
        <f t="shared" si="74"/>
        <v/>
      </c>
      <c r="S93" s="80" t="str">
        <f t="shared" si="74"/>
        <v/>
      </c>
      <c r="T93" s="80" t="str">
        <f t="shared" si="74"/>
        <v/>
      </c>
      <c r="U93" s="80" t="str">
        <f t="shared" si="74"/>
        <v/>
      </c>
      <c r="V93" s="80" t="str">
        <f t="shared" si="74"/>
        <v/>
      </c>
      <c r="W93" s="80" t="str">
        <f t="shared" si="74"/>
        <v/>
      </c>
      <c r="X93" s="80" t="str">
        <f t="shared" si="74"/>
        <v/>
      </c>
      <c r="Y93" s="80" t="str">
        <f t="shared" si="74"/>
        <v/>
      </c>
      <c r="Z93" s="80" t="str">
        <f t="shared" si="74"/>
        <v/>
      </c>
      <c r="AA93" s="80" t="str">
        <f t="shared" si="74"/>
        <v/>
      </c>
      <c r="AB93" s="80" t="str">
        <f t="shared" si="74"/>
        <v/>
      </c>
      <c r="AC93" s="80" t="str">
        <f t="shared" si="74"/>
        <v/>
      </c>
      <c r="AD93" s="80" t="str">
        <f t="shared" si="74"/>
        <v/>
      </c>
      <c r="AE93" s="80" t="str">
        <f t="shared" si="74"/>
        <v/>
      </c>
      <c r="AF93" s="80" t="str">
        <f t="shared" si="74"/>
        <v/>
      </c>
    </row>
    <row r="94" spans="2:32" x14ac:dyDescent="0.25">
      <c r="B94" s="41">
        <v>90</v>
      </c>
      <c r="C94" s="41" t="str">
        <f t="shared" si="51"/>
        <v>0x05A</v>
      </c>
      <c r="D94" s="65" t="s">
        <v>51</v>
      </c>
      <c r="E94" s="44" t="s">
        <v>379</v>
      </c>
      <c r="F94" s="45"/>
      <c r="G94" s="46"/>
      <c r="I94" s="41">
        <v>90</v>
      </c>
      <c r="J94" s="41" t="str">
        <f t="shared" si="52"/>
        <v>0x05A</v>
      </c>
      <c r="K94" s="65" t="s">
        <v>51</v>
      </c>
      <c r="L94" s="44" t="s">
        <v>177</v>
      </c>
      <c r="M94" s="45"/>
      <c r="N94" s="46"/>
      <c r="P94" s="79" t="s">
        <v>363</v>
      </c>
      <c r="Q94" s="80" t="str">
        <f t="shared" ref="Q94:AF94" si="75">RIGHT(INDEX($K$4:$K$141,MATCH(Q24,$I$4:$I$141,0)),2)</f>
        <v/>
      </c>
      <c r="R94" s="80" t="str">
        <f t="shared" si="75"/>
        <v/>
      </c>
      <c r="S94" s="80" t="str">
        <f t="shared" si="75"/>
        <v/>
      </c>
      <c r="T94" s="80" t="str">
        <f t="shared" si="75"/>
        <v/>
      </c>
      <c r="U94" s="80" t="str">
        <f t="shared" si="75"/>
        <v>0A</v>
      </c>
      <c r="V94" s="80" t="str">
        <f t="shared" si="75"/>
        <v/>
      </c>
      <c r="W94" s="80" t="str">
        <f t="shared" si="75"/>
        <v/>
      </c>
      <c r="X94" s="80" t="str">
        <f t="shared" si="75"/>
        <v/>
      </c>
      <c r="Y94" s="80" t="str">
        <f t="shared" si="75"/>
        <v/>
      </c>
      <c r="Z94" s="80" t="str">
        <f t="shared" si="75"/>
        <v/>
      </c>
      <c r="AA94" s="80" t="str">
        <f t="shared" si="75"/>
        <v/>
      </c>
      <c r="AB94" s="80" t="str">
        <f t="shared" si="75"/>
        <v/>
      </c>
      <c r="AC94" s="80" t="str">
        <f t="shared" si="75"/>
        <v/>
      </c>
      <c r="AD94" s="80" t="str">
        <f t="shared" si="75"/>
        <v/>
      </c>
      <c r="AE94" s="80" t="str">
        <f t="shared" si="75"/>
        <v/>
      </c>
      <c r="AF94" s="80" t="str">
        <f t="shared" si="75"/>
        <v/>
      </c>
    </row>
    <row r="95" spans="2:32" x14ac:dyDescent="0.25">
      <c r="B95" s="41">
        <v>91</v>
      </c>
      <c r="C95" s="41" t="str">
        <f t="shared" si="51"/>
        <v>0x05B</v>
      </c>
      <c r="D95" s="66"/>
      <c r="E95" s="44" t="s">
        <v>178</v>
      </c>
      <c r="F95" s="45"/>
      <c r="G95" s="46"/>
      <c r="I95" s="41">
        <v>91</v>
      </c>
      <c r="J95" s="41" t="str">
        <f t="shared" si="52"/>
        <v>0x05B</v>
      </c>
      <c r="K95" s="66"/>
      <c r="L95" s="44" t="s">
        <v>249</v>
      </c>
      <c r="M95" s="45"/>
      <c r="N95" s="46"/>
      <c r="P95" s="79" t="s">
        <v>364</v>
      </c>
      <c r="Q95" s="80" t="str">
        <f t="shared" ref="Q95:AF95" si="76">RIGHT(INDEX($K$4:$K$141,MATCH(Q25,$I$4:$I$141,0)),2)</f>
        <v/>
      </c>
      <c r="R95" s="80" t="str">
        <f t="shared" si="76"/>
        <v/>
      </c>
      <c r="S95" s="80" t="str">
        <f t="shared" si="76"/>
        <v/>
      </c>
      <c r="T95" s="80" t="str">
        <f t="shared" si="76"/>
        <v/>
      </c>
      <c r="U95" s="80" t="str">
        <f t="shared" si="76"/>
        <v/>
      </c>
      <c r="V95" s="80" t="str">
        <f t="shared" si="76"/>
        <v/>
      </c>
      <c r="W95" s="80" t="str">
        <f t="shared" si="76"/>
        <v/>
      </c>
      <c r="X95" s="80" t="str">
        <f t="shared" si="76"/>
        <v/>
      </c>
      <c r="Y95" s="80" t="str">
        <f t="shared" si="76"/>
        <v/>
      </c>
      <c r="Z95" s="80" t="str">
        <f t="shared" si="76"/>
        <v/>
      </c>
      <c r="AA95" s="80" t="str">
        <f t="shared" si="76"/>
        <v/>
      </c>
      <c r="AB95" s="80" t="str">
        <f t="shared" si="76"/>
        <v>0B</v>
      </c>
      <c r="AC95" s="80" t="str">
        <f t="shared" si="76"/>
        <v/>
      </c>
      <c r="AD95" s="80" t="str">
        <f t="shared" si="76"/>
        <v/>
      </c>
      <c r="AE95" s="80" t="str">
        <f t="shared" si="76"/>
        <v/>
      </c>
      <c r="AF95" s="80" t="str">
        <f t="shared" si="76"/>
        <v/>
      </c>
    </row>
    <row r="96" spans="2:32" x14ac:dyDescent="0.25">
      <c r="B96" s="41">
        <v>92</v>
      </c>
      <c r="C96" s="41" t="str">
        <f t="shared" si="51"/>
        <v>0x05C</v>
      </c>
      <c r="D96" s="66"/>
      <c r="E96" s="44" t="s">
        <v>179</v>
      </c>
      <c r="F96" s="45"/>
      <c r="G96" s="46"/>
      <c r="I96" s="41">
        <v>92</v>
      </c>
      <c r="J96" s="41" t="str">
        <f t="shared" si="52"/>
        <v>0x05C</v>
      </c>
      <c r="K96" s="66"/>
      <c r="L96" s="44" t="s">
        <v>249</v>
      </c>
      <c r="M96" s="45"/>
      <c r="N96" s="46"/>
      <c r="P96" s="79" t="s">
        <v>365</v>
      </c>
      <c r="Q96" s="80" t="str">
        <f t="shared" ref="Q96:AF96" si="77">RIGHT(INDEX($K$4:$K$141,MATCH(Q26,$I$4:$I$141,0)),2)</f>
        <v/>
      </c>
      <c r="R96" s="80" t="str">
        <f t="shared" si="77"/>
        <v/>
      </c>
      <c r="S96" s="80" t="str">
        <f t="shared" si="77"/>
        <v/>
      </c>
      <c r="T96" s="80" t="str">
        <f t="shared" si="77"/>
        <v/>
      </c>
      <c r="U96" s="80" t="str">
        <f t="shared" si="77"/>
        <v/>
      </c>
      <c r="V96" s="80" t="str">
        <f t="shared" si="77"/>
        <v/>
      </c>
      <c r="W96" s="80" t="str">
        <f t="shared" si="77"/>
        <v/>
      </c>
      <c r="X96" s="80" t="str">
        <f t="shared" si="77"/>
        <v/>
      </c>
      <c r="Y96" s="80" t="str">
        <f t="shared" si="77"/>
        <v/>
      </c>
      <c r="Z96" s="80" t="str">
        <f t="shared" si="77"/>
        <v/>
      </c>
      <c r="AA96" s="80" t="str">
        <f t="shared" si="77"/>
        <v/>
      </c>
      <c r="AB96" s="80" t="str">
        <f t="shared" si="77"/>
        <v/>
      </c>
      <c r="AC96" s="80" t="str">
        <f t="shared" si="77"/>
        <v/>
      </c>
      <c r="AD96" s="80" t="str">
        <f t="shared" si="77"/>
        <v/>
      </c>
      <c r="AE96" s="80" t="str">
        <f t="shared" si="77"/>
        <v/>
      </c>
      <c r="AF96" s="80" t="str">
        <f t="shared" si="77"/>
        <v/>
      </c>
    </row>
    <row r="97" spans="2:32" x14ac:dyDescent="0.25">
      <c r="B97" s="41">
        <v>93</v>
      </c>
      <c r="C97" s="41" t="str">
        <f t="shared" si="51"/>
        <v>0x05D</v>
      </c>
      <c r="D97" s="66"/>
      <c r="E97" s="44" t="s">
        <v>180</v>
      </c>
      <c r="F97" s="45"/>
      <c r="G97" s="46"/>
      <c r="I97" s="41">
        <v>93</v>
      </c>
      <c r="J97" s="41" t="str">
        <f t="shared" si="52"/>
        <v>0x05D</v>
      </c>
      <c r="K97" s="66"/>
      <c r="L97" s="44" t="s">
        <v>249</v>
      </c>
      <c r="M97" s="45"/>
      <c r="N97" s="46"/>
      <c r="P97" s="79" t="s">
        <v>366</v>
      </c>
      <c r="Q97" s="80" t="str">
        <f t="shared" ref="Q97:AF97" si="78">RIGHT(INDEX($K$4:$K$141,MATCH(Q27,$I$4:$I$141,0)),2)</f>
        <v/>
      </c>
      <c r="R97" s="80" t="str">
        <f t="shared" si="78"/>
        <v/>
      </c>
      <c r="S97" s="80" t="str">
        <f t="shared" si="78"/>
        <v>0C</v>
      </c>
      <c r="T97" s="80" t="str">
        <f t="shared" si="78"/>
        <v/>
      </c>
      <c r="U97" s="80" t="str">
        <f t="shared" si="78"/>
        <v/>
      </c>
      <c r="V97" s="80" t="str">
        <f t="shared" si="78"/>
        <v/>
      </c>
      <c r="W97" s="80" t="str">
        <f t="shared" si="78"/>
        <v/>
      </c>
      <c r="X97" s="80" t="str">
        <f t="shared" si="78"/>
        <v/>
      </c>
      <c r="Y97" s="80" t="str">
        <f t="shared" si="78"/>
        <v/>
      </c>
      <c r="Z97" s="80" t="str">
        <f t="shared" si="78"/>
        <v/>
      </c>
      <c r="AA97" s="80" t="str">
        <f t="shared" si="78"/>
        <v/>
      </c>
      <c r="AB97" s="80" t="str">
        <f t="shared" si="78"/>
        <v/>
      </c>
      <c r="AC97" s="80" t="str">
        <f t="shared" si="78"/>
        <v/>
      </c>
      <c r="AD97" s="80" t="str">
        <f t="shared" si="78"/>
        <v/>
      </c>
      <c r="AE97" s="80" t="str">
        <f t="shared" si="78"/>
        <v/>
      </c>
      <c r="AF97" s="80" t="str">
        <f t="shared" si="78"/>
        <v/>
      </c>
    </row>
    <row r="98" spans="2:32" x14ac:dyDescent="0.25">
      <c r="B98" s="41">
        <v>94</v>
      </c>
      <c r="C98" s="41" t="str">
        <f t="shared" si="51"/>
        <v>0x05E</v>
      </c>
      <c r="D98" s="66"/>
      <c r="E98" s="44" t="s">
        <v>181</v>
      </c>
      <c r="F98" s="45"/>
      <c r="G98" s="46"/>
      <c r="I98" s="41">
        <v>94</v>
      </c>
      <c r="J98" s="41" t="str">
        <f t="shared" si="52"/>
        <v>0x05E</v>
      </c>
      <c r="K98" s="66"/>
      <c r="L98" s="44" t="s">
        <v>249</v>
      </c>
      <c r="M98" s="45"/>
      <c r="N98" s="46"/>
      <c r="P98" s="79" t="s">
        <v>367</v>
      </c>
      <c r="Q98" s="80" t="str">
        <f t="shared" ref="Q98:AF98" si="79">RIGHT(INDEX($K$4:$K$141,MATCH(Q28,$I$4:$I$141,0)),2)</f>
        <v/>
      </c>
      <c r="R98" s="80" t="str">
        <f t="shared" si="79"/>
        <v/>
      </c>
      <c r="S98" s="80" t="str">
        <f t="shared" si="79"/>
        <v/>
      </c>
      <c r="T98" s="80" t="str">
        <f t="shared" si="79"/>
        <v/>
      </c>
      <c r="U98" s="80" t="str">
        <f t="shared" si="79"/>
        <v/>
      </c>
      <c r="V98" s="80" t="str">
        <f t="shared" si="79"/>
        <v/>
      </c>
      <c r="W98" s="80" t="str">
        <f t="shared" si="79"/>
        <v/>
      </c>
      <c r="X98" s="80" t="str">
        <f t="shared" si="79"/>
        <v/>
      </c>
      <c r="Y98" s="80" t="str">
        <f t="shared" si="79"/>
        <v/>
      </c>
      <c r="Z98" s="80" t="str">
        <f t="shared" si="79"/>
        <v>0D</v>
      </c>
      <c r="AA98" s="80" t="str">
        <f t="shared" si="79"/>
        <v/>
      </c>
      <c r="AB98" s="80" t="str">
        <f t="shared" si="79"/>
        <v/>
      </c>
      <c r="AC98" s="80" t="str">
        <f t="shared" si="79"/>
        <v/>
      </c>
      <c r="AD98" s="80" t="str">
        <f t="shared" si="79"/>
        <v/>
      </c>
      <c r="AE98" s="80" t="str">
        <f t="shared" si="79"/>
        <v/>
      </c>
      <c r="AF98" s="80" t="str">
        <f t="shared" si="79"/>
        <v/>
      </c>
    </row>
    <row r="99" spans="2:32" x14ac:dyDescent="0.25">
      <c r="B99" s="41">
        <v>95</v>
      </c>
      <c r="C99" s="41" t="str">
        <f t="shared" si="51"/>
        <v>0x05F</v>
      </c>
      <c r="D99" s="66"/>
      <c r="E99" s="44" t="s">
        <v>309</v>
      </c>
      <c r="F99" s="45"/>
      <c r="G99" s="46"/>
      <c r="I99" s="41">
        <v>95</v>
      </c>
      <c r="J99" s="41" t="str">
        <f t="shared" si="52"/>
        <v>0x05F</v>
      </c>
      <c r="K99" s="66"/>
      <c r="L99" s="44" t="s">
        <v>250</v>
      </c>
      <c r="M99" s="45"/>
      <c r="N99" s="46"/>
      <c r="P99" s="79" t="s">
        <v>368</v>
      </c>
      <c r="Q99" s="80" t="str">
        <f t="shared" ref="Q99:AF99" si="80">RIGHT(INDEX($K$4:$K$141,MATCH(Q29,$I$4:$I$141,0)),2)</f>
        <v/>
      </c>
      <c r="R99" s="80" t="str">
        <f t="shared" si="80"/>
        <v/>
      </c>
      <c r="S99" s="80" t="str">
        <f t="shared" si="80"/>
        <v/>
      </c>
      <c r="T99" s="80" t="str">
        <f t="shared" si="80"/>
        <v/>
      </c>
      <c r="U99" s="80" t="str">
        <f t="shared" si="80"/>
        <v/>
      </c>
      <c r="V99" s="80" t="str">
        <f t="shared" si="80"/>
        <v/>
      </c>
      <c r="W99" s="80" t="str">
        <f t="shared" si="80"/>
        <v/>
      </c>
      <c r="X99" s="80" t="str">
        <f t="shared" si="80"/>
        <v/>
      </c>
      <c r="Y99" s="80" t="str">
        <f t="shared" si="80"/>
        <v/>
      </c>
      <c r="Z99" s="80" t="str">
        <f t="shared" si="80"/>
        <v/>
      </c>
      <c r="AA99" s="80" t="str">
        <f t="shared" si="80"/>
        <v/>
      </c>
      <c r="AB99" s="80" t="str">
        <f t="shared" si="80"/>
        <v/>
      </c>
      <c r="AC99" s="80" t="str">
        <f t="shared" si="80"/>
        <v/>
      </c>
      <c r="AD99" s="80" t="str">
        <f t="shared" si="80"/>
        <v/>
      </c>
      <c r="AE99" s="80" t="str">
        <f t="shared" si="80"/>
        <v/>
      </c>
      <c r="AF99" s="80" t="str">
        <f t="shared" si="80"/>
        <v/>
      </c>
    </row>
    <row r="100" spans="2:32" x14ac:dyDescent="0.25">
      <c r="B100" s="41">
        <v>96</v>
      </c>
      <c r="C100" s="41" t="str">
        <f t="shared" si="51"/>
        <v>0x060</v>
      </c>
      <c r="D100" s="66"/>
      <c r="E100" s="44" t="s">
        <v>185</v>
      </c>
      <c r="F100" s="45"/>
      <c r="G100" s="46"/>
      <c r="I100" s="41">
        <v>96</v>
      </c>
      <c r="J100" s="41" t="str">
        <f t="shared" si="52"/>
        <v>0x060</v>
      </c>
      <c r="K100" s="66"/>
      <c r="L100" s="44" t="s">
        <v>185</v>
      </c>
      <c r="M100" s="45"/>
      <c r="N100" s="46"/>
      <c r="P100" s="79" t="s">
        <v>369</v>
      </c>
      <c r="Q100" s="80" t="str">
        <f t="shared" ref="Q100:AF100" si="81">RIGHT(INDEX($K$4:$K$141,MATCH(Q30,$I$4:$I$141,0)),2)</f>
        <v>0E</v>
      </c>
      <c r="R100" s="80" t="str">
        <f t="shared" si="81"/>
        <v/>
      </c>
      <c r="S100" s="80" t="str">
        <f t="shared" si="81"/>
        <v/>
      </c>
      <c r="T100" s="80" t="str">
        <f t="shared" si="81"/>
        <v/>
      </c>
      <c r="U100" s="80" t="str">
        <f t="shared" si="81"/>
        <v/>
      </c>
      <c r="V100" s="80" t="str">
        <f t="shared" si="81"/>
        <v/>
      </c>
      <c r="W100" s="80" t="str">
        <f t="shared" si="81"/>
        <v/>
      </c>
      <c r="X100" s="80" t="str">
        <f t="shared" si="81"/>
        <v/>
      </c>
      <c r="Y100" s="80" t="str">
        <f t="shared" si="81"/>
        <v/>
      </c>
      <c r="Z100" s="80" t="str">
        <f t="shared" si="81"/>
        <v/>
      </c>
      <c r="AA100" s="80" t="str">
        <f t="shared" si="81"/>
        <v/>
      </c>
      <c r="AB100" s="80" t="str">
        <f t="shared" si="81"/>
        <v/>
      </c>
      <c r="AC100" s="80" t="str">
        <f t="shared" si="81"/>
        <v/>
      </c>
      <c r="AD100" s="80" t="str">
        <f t="shared" si="81"/>
        <v/>
      </c>
      <c r="AE100" s="80" t="str">
        <f t="shared" si="81"/>
        <v/>
      </c>
      <c r="AF100" s="80" t="str">
        <f t="shared" si="81"/>
        <v/>
      </c>
    </row>
    <row r="101" spans="2:32" x14ac:dyDescent="0.25">
      <c r="B101" s="41">
        <v>97</v>
      </c>
      <c r="C101" s="41" t="str">
        <f t="shared" si="51"/>
        <v>0x061</v>
      </c>
      <c r="D101" s="66"/>
      <c r="E101" s="44" t="s">
        <v>183</v>
      </c>
      <c r="F101" s="45"/>
      <c r="G101" s="46"/>
      <c r="I101" s="41">
        <v>97</v>
      </c>
      <c r="J101" s="41" t="str">
        <f t="shared" si="52"/>
        <v>0x061</v>
      </c>
      <c r="K101" s="66"/>
      <c r="L101" s="44" t="s">
        <v>183</v>
      </c>
      <c r="M101" s="45"/>
      <c r="N101" s="46"/>
      <c r="P101" s="79" t="s">
        <v>370</v>
      </c>
      <c r="Q101" s="80" t="str">
        <f t="shared" ref="Q101:AF101" si="82">RIGHT(INDEX($K$4:$K$141,MATCH(Q31,$I$4:$I$141,0)),2)</f>
        <v/>
      </c>
      <c r="R101" s="80" t="str">
        <f t="shared" si="82"/>
        <v/>
      </c>
      <c r="S101" s="80" t="str">
        <f t="shared" si="82"/>
        <v/>
      </c>
      <c r="T101" s="80" t="str">
        <f t="shared" si="82"/>
        <v/>
      </c>
      <c r="U101" s="80" t="str">
        <f t="shared" si="82"/>
        <v/>
      </c>
      <c r="V101" s="80" t="str">
        <f t="shared" si="82"/>
        <v/>
      </c>
      <c r="W101" s="80" t="str">
        <f t="shared" si="82"/>
        <v/>
      </c>
      <c r="X101" s="80" t="str">
        <f t="shared" si="82"/>
        <v>0F</v>
      </c>
      <c r="Y101" s="80" t="str">
        <f t="shared" si="82"/>
        <v/>
      </c>
      <c r="Z101" s="80" t="str">
        <f t="shared" si="82"/>
        <v/>
      </c>
      <c r="AA101" s="80" t="str">
        <f t="shared" si="82"/>
        <v/>
      </c>
      <c r="AB101" s="80" t="str">
        <f t="shared" si="82"/>
        <v/>
      </c>
      <c r="AC101" s="80" t="str">
        <f t="shared" si="82"/>
        <v/>
      </c>
      <c r="AD101" s="80" t="str">
        <f t="shared" si="82"/>
        <v/>
      </c>
      <c r="AE101" s="80" t="str">
        <f t="shared" si="82"/>
        <v/>
      </c>
      <c r="AF101" s="80" t="str">
        <f t="shared" si="82"/>
        <v/>
      </c>
    </row>
    <row r="102" spans="2:32" x14ac:dyDescent="0.25">
      <c r="B102" s="41">
        <v>98</v>
      </c>
      <c r="C102" s="41" t="str">
        <f t="shared" si="51"/>
        <v>0x062</v>
      </c>
      <c r="D102" s="66"/>
      <c r="E102" s="44" t="s">
        <v>184</v>
      </c>
      <c r="F102" s="45"/>
      <c r="G102" s="46"/>
      <c r="I102" s="41">
        <v>98</v>
      </c>
      <c r="J102" s="41" t="str">
        <f t="shared" si="52"/>
        <v>0x062</v>
      </c>
      <c r="K102" s="66"/>
      <c r="L102" s="44" t="s">
        <v>184</v>
      </c>
      <c r="M102" s="45"/>
      <c r="N102" s="46"/>
      <c r="P102" s="79" t="s">
        <v>371</v>
      </c>
      <c r="Q102" s="80" t="str">
        <f t="shared" ref="Q102:AF102" si="83">RIGHT(INDEX($K$4:$K$141,MATCH(Q32,$I$4:$I$141,0)),2)</f>
        <v/>
      </c>
      <c r="R102" s="80" t="str">
        <f t="shared" si="83"/>
        <v/>
      </c>
      <c r="S102" s="80" t="str">
        <f t="shared" si="83"/>
        <v/>
      </c>
      <c r="T102" s="80" t="str">
        <f t="shared" si="83"/>
        <v/>
      </c>
      <c r="U102" s="80" t="str">
        <f t="shared" si="83"/>
        <v/>
      </c>
      <c r="V102" s="80" t="str">
        <f t="shared" si="83"/>
        <v/>
      </c>
      <c r="W102" s="80" t="str">
        <f t="shared" si="83"/>
        <v/>
      </c>
      <c r="X102" s="80" t="str">
        <f t="shared" si="83"/>
        <v/>
      </c>
      <c r="Y102" s="80" t="str">
        <f t="shared" si="83"/>
        <v/>
      </c>
      <c r="Z102" s="80" t="str">
        <f t="shared" si="83"/>
        <v/>
      </c>
      <c r="AA102" s="80" t="str">
        <f t="shared" si="83"/>
        <v/>
      </c>
      <c r="AB102" s="80" t="str">
        <f t="shared" si="83"/>
        <v/>
      </c>
      <c r="AC102" s="80" t="str">
        <f t="shared" si="83"/>
        <v/>
      </c>
      <c r="AD102" s="80" t="str">
        <f t="shared" si="83"/>
        <v/>
      </c>
      <c r="AE102" s="80" t="str">
        <f t="shared" si="83"/>
        <v>10</v>
      </c>
      <c r="AF102" s="80" t="str">
        <f t="shared" si="83"/>
        <v/>
      </c>
    </row>
    <row r="103" spans="2:32" x14ac:dyDescent="0.25">
      <c r="B103" s="41">
        <v>99</v>
      </c>
      <c r="C103" s="41" t="str">
        <f t="shared" si="51"/>
        <v>0x063</v>
      </c>
      <c r="D103" s="66"/>
      <c r="E103" s="44" t="s">
        <v>186</v>
      </c>
      <c r="F103" s="45"/>
      <c r="G103" s="46"/>
      <c r="I103" s="41">
        <v>99</v>
      </c>
      <c r="J103" s="41" t="str">
        <f t="shared" si="52"/>
        <v>0x063</v>
      </c>
      <c r="K103" s="66"/>
      <c r="L103" s="44" t="s">
        <v>186</v>
      </c>
      <c r="M103" s="45"/>
      <c r="N103" s="46"/>
      <c r="P103" s="79" t="s">
        <v>372</v>
      </c>
      <c r="Q103" s="80" t="str">
        <f t="shared" ref="Q103:AF103" si="84">RIGHT(INDEX($K$4:$K$141,MATCH(Q33,$I$4:$I$141,0)),2)</f>
        <v/>
      </c>
      <c r="R103" s="80" t="str">
        <f t="shared" si="84"/>
        <v/>
      </c>
      <c r="S103" s="80" t="str">
        <f t="shared" si="84"/>
        <v/>
      </c>
      <c r="T103" s="80" t="str">
        <f t="shared" si="84"/>
        <v/>
      </c>
      <c r="U103" s="80" t="str">
        <f t="shared" si="84"/>
        <v/>
      </c>
      <c r="V103" s="80" t="str">
        <f t="shared" si="84"/>
        <v/>
      </c>
      <c r="W103" s="80" t="str">
        <f t="shared" si="84"/>
        <v/>
      </c>
      <c r="X103" s="80" t="str">
        <f t="shared" si="84"/>
        <v/>
      </c>
      <c r="Y103" s="80" t="str">
        <f t="shared" si="84"/>
        <v/>
      </c>
      <c r="Z103" s="80" t="str">
        <f t="shared" si="84"/>
        <v/>
      </c>
      <c r="AA103" s="80" t="str">
        <f t="shared" si="84"/>
        <v/>
      </c>
      <c r="AB103" s="80" t="str">
        <f t="shared" si="84"/>
        <v/>
      </c>
      <c r="AC103" s="80" t="str">
        <f t="shared" si="84"/>
        <v/>
      </c>
      <c r="AD103" s="80" t="str">
        <f t="shared" si="84"/>
        <v/>
      </c>
      <c r="AE103" s="80" t="str">
        <f t="shared" si="84"/>
        <v/>
      </c>
      <c r="AF103" s="80" t="str">
        <f t="shared" si="84"/>
        <v/>
      </c>
    </row>
    <row r="104" spans="2:32" x14ac:dyDescent="0.25">
      <c r="B104" s="41">
        <v>100</v>
      </c>
      <c r="C104" s="41" t="str">
        <f t="shared" si="51"/>
        <v>0x064</v>
      </c>
      <c r="D104" s="66"/>
      <c r="E104" s="44" t="s">
        <v>186</v>
      </c>
      <c r="F104" s="45"/>
      <c r="G104" s="46"/>
      <c r="I104" s="41">
        <v>100</v>
      </c>
      <c r="J104" s="41" t="str">
        <f t="shared" si="52"/>
        <v>0x064</v>
      </c>
      <c r="K104" s="66"/>
      <c r="L104" s="44" t="s">
        <v>186</v>
      </c>
      <c r="M104" s="45"/>
      <c r="N104" s="46"/>
      <c r="P104" s="79" t="s">
        <v>373</v>
      </c>
      <c r="Q104" s="80" t="str">
        <f t="shared" ref="Q104:AF104" si="85">RIGHT(INDEX($K$4:$K$141,MATCH(Q34,$I$4:$I$141,0)),2)</f>
        <v/>
      </c>
      <c r="R104" s="80" t="str">
        <f t="shared" si="85"/>
        <v/>
      </c>
      <c r="S104" s="80" t="str">
        <f t="shared" si="85"/>
        <v/>
      </c>
      <c r="T104" s="80" t="str">
        <f t="shared" si="85"/>
        <v/>
      </c>
      <c r="U104" s="80" t="str">
        <f t="shared" si="85"/>
        <v/>
      </c>
      <c r="V104" s="80" t="str">
        <f t="shared" si="85"/>
        <v>11</v>
      </c>
      <c r="W104" s="80" t="str">
        <f t="shared" si="85"/>
        <v/>
      </c>
      <c r="X104" s="80" t="str">
        <f t="shared" si="85"/>
        <v/>
      </c>
      <c r="Y104" s="80" t="str">
        <f t="shared" si="85"/>
        <v/>
      </c>
      <c r="Z104" s="80" t="str">
        <f t="shared" si="85"/>
        <v/>
      </c>
      <c r="AA104" s="80" t="str">
        <f t="shared" si="85"/>
        <v/>
      </c>
      <c r="AB104" s="80" t="str">
        <f t="shared" si="85"/>
        <v/>
      </c>
      <c r="AC104" s="80" t="str">
        <f t="shared" si="85"/>
        <v/>
      </c>
      <c r="AD104" s="80" t="str">
        <f t="shared" si="85"/>
        <v/>
      </c>
      <c r="AE104" s="80" t="str">
        <f t="shared" si="85"/>
        <v/>
      </c>
      <c r="AF104" s="80" t="str">
        <f t="shared" si="85"/>
        <v/>
      </c>
    </row>
    <row r="105" spans="2:32" x14ac:dyDescent="0.25">
      <c r="B105" s="41">
        <v>101</v>
      </c>
      <c r="C105" s="41" t="str">
        <f t="shared" si="51"/>
        <v>0x065</v>
      </c>
      <c r="D105" s="66"/>
      <c r="E105" s="44" t="s">
        <v>187</v>
      </c>
      <c r="F105" s="45"/>
      <c r="G105" s="46"/>
      <c r="I105" s="41">
        <v>101</v>
      </c>
      <c r="J105" s="41" t="str">
        <f t="shared" si="52"/>
        <v>0x065</v>
      </c>
      <c r="K105" s="66"/>
      <c r="L105" s="44" t="s">
        <v>187</v>
      </c>
      <c r="M105" s="45"/>
      <c r="N105" s="46"/>
      <c r="P105" s="79" t="s">
        <v>374</v>
      </c>
      <c r="Q105" s="80" t="str">
        <f t="shared" ref="Q105:AF105" si="86">RIGHT(INDEX($K$4:$K$141,MATCH(Q35,$I$4:$I$141,0)),2)</f>
        <v/>
      </c>
      <c r="R105" s="80" t="str">
        <f t="shared" si="86"/>
        <v/>
      </c>
      <c r="S105" s="80" t="str">
        <f t="shared" si="86"/>
        <v/>
      </c>
      <c r="T105" s="80" t="str">
        <f t="shared" si="86"/>
        <v/>
      </c>
      <c r="U105" s="80" t="str">
        <f t="shared" si="86"/>
        <v/>
      </c>
      <c r="V105" s="80" t="str">
        <f t="shared" si="86"/>
        <v/>
      </c>
      <c r="W105" s="80" t="str">
        <f t="shared" si="86"/>
        <v/>
      </c>
      <c r="X105" s="80" t="str">
        <f t="shared" si="86"/>
        <v/>
      </c>
      <c r="Y105" s="80" t="str">
        <f t="shared" si="86"/>
        <v/>
      </c>
      <c r="Z105" s="80" t="str">
        <f t="shared" si="86"/>
        <v/>
      </c>
      <c r="AA105" s="80" t="str">
        <f t="shared" si="86"/>
        <v/>
      </c>
      <c r="AB105" s="80" t="str">
        <f t="shared" si="86"/>
        <v/>
      </c>
      <c r="AC105" s="80" t="str">
        <f t="shared" si="86"/>
        <v>12</v>
      </c>
      <c r="AD105" s="80" t="str">
        <f t="shared" si="86"/>
        <v>80</v>
      </c>
      <c r="AE105" s="80" t="str">
        <f t="shared" si="86"/>
        <v>00</v>
      </c>
      <c r="AF105" s="80" t="str">
        <f t="shared" si="86"/>
        <v>00</v>
      </c>
    </row>
    <row r="106" spans="2:32" x14ac:dyDescent="0.25">
      <c r="B106" s="41">
        <v>102</v>
      </c>
      <c r="C106" s="41" t="str">
        <f t="shared" si="51"/>
        <v>0x066</v>
      </c>
      <c r="D106" s="66"/>
      <c r="E106" s="44" t="s">
        <v>187</v>
      </c>
      <c r="F106" s="45"/>
      <c r="G106" s="46"/>
      <c r="I106" s="41">
        <v>102</v>
      </c>
      <c r="J106" s="41" t="str">
        <f t="shared" si="52"/>
        <v>0x066</v>
      </c>
      <c r="K106" s="66"/>
      <c r="L106" s="44" t="s">
        <v>187</v>
      </c>
      <c r="M106" s="45"/>
      <c r="N106" s="46"/>
    </row>
    <row r="107" spans="2:32" x14ac:dyDescent="0.25">
      <c r="B107" s="41">
        <v>103</v>
      </c>
      <c r="C107" s="41" t="str">
        <f t="shared" si="51"/>
        <v>0x067</v>
      </c>
      <c r="D107" s="66"/>
      <c r="E107" s="44" t="s">
        <v>187</v>
      </c>
      <c r="F107" s="45"/>
      <c r="G107" s="46"/>
      <c r="I107" s="41">
        <v>103</v>
      </c>
      <c r="J107" s="41" t="str">
        <f t="shared" si="52"/>
        <v>0x067</v>
      </c>
      <c r="K107" s="66"/>
      <c r="L107" s="44" t="s">
        <v>187</v>
      </c>
      <c r="M107" s="45"/>
      <c r="N107" s="46"/>
    </row>
    <row r="108" spans="2:32" x14ac:dyDescent="0.25">
      <c r="B108" s="41">
        <v>104</v>
      </c>
      <c r="C108" s="41" t="str">
        <f t="shared" si="51"/>
        <v>0x068</v>
      </c>
      <c r="D108" s="66"/>
      <c r="E108" s="44" t="s">
        <v>187</v>
      </c>
      <c r="F108" s="45"/>
      <c r="G108" s="46"/>
      <c r="I108" s="41">
        <v>104</v>
      </c>
      <c r="J108" s="41" t="str">
        <f t="shared" si="52"/>
        <v>0x068</v>
      </c>
      <c r="K108" s="66"/>
      <c r="L108" s="44" t="s">
        <v>187</v>
      </c>
      <c r="M108" s="45"/>
      <c r="N108" s="46"/>
    </row>
    <row r="109" spans="2:32" x14ac:dyDescent="0.25">
      <c r="B109" s="41">
        <v>105</v>
      </c>
      <c r="C109" s="41" t="str">
        <f t="shared" si="51"/>
        <v>0x069</v>
      </c>
      <c r="D109" s="65" t="s">
        <v>51</v>
      </c>
      <c r="E109" s="44" t="s">
        <v>188</v>
      </c>
      <c r="F109" s="45"/>
      <c r="G109" s="46"/>
      <c r="I109" s="41">
        <v>105</v>
      </c>
      <c r="J109" s="41" t="str">
        <f t="shared" si="52"/>
        <v>0x069</v>
      </c>
      <c r="K109" s="66"/>
      <c r="L109" s="163" t="s">
        <v>563</v>
      </c>
      <c r="M109" s="45"/>
      <c r="N109" s="46"/>
    </row>
    <row r="110" spans="2:32" x14ac:dyDescent="0.25">
      <c r="B110" s="41">
        <v>106</v>
      </c>
      <c r="C110" s="41" t="str">
        <f t="shared" si="51"/>
        <v>0x06A</v>
      </c>
      <c r="D110" s="65" t="s">
        <v>51</v>
      </c>
      <c r="E110" s="44" t="s">
        <v>188</v>
      </c>
      <c r="F110" s="45"/>
      <c r="G110" s="46"/>
      <c r="I110" s="41">
        <v>106</v>
      </c>
      <c r="J110" s="41" t="str">
        <f t="shared" si="52"/>
        <v>0x06A</v>
      </c>
      <c r="K110" s="66"/>
      <c r="L110" s="163" t="s">
        <v>563</v>
      </c>
      <c r="M110" s="45"/>
      <c r="N110" s="46"/>
    </row>
    <row r="111" spans="2:32" x14ac:dyDescent="0.25">
      <c r="B111" s="41">
        <v>107</v>
      </c>
      <c r="C111" s="41" t="str">
        <f t="shared" si="51"/>
        <v>0x06B</v>
      </c>
      <c r="D111" s="65" t="s">
        <v>51</v>
      </c>
      <c r="E111" s="44" t="s">
        <v>188</v>
      </c>
      <c r="F111" s="45"/>
      <c r="G111" s="46"/>
      <c r="I111" s="41">
        <v>107</v>
      </c>
      <c r="J111" s="41" t="str">
        <f t="shared" si="52"/>
        <v>0x06B</v>
      </c>
      <c r="K111" s="66"/>
      <c r="L111" s="163" t="s">
        <v>563</v>
      </c>
      <c r="M111" s="45"/>
      <c r="N111" s="46"/>
    </row>
    <row r="112" spans="2:32" x14ac:dyDescent="0.25">
      <c r="B112" s="41">
        <v>108</v>
      </c>
      <c r="C112" s="41" t="str">
        <f t="shared" si="51"/>
        <v>0x06C</v>
      </c>
      <c r="D112" s="65" t="s">
        <v>51</v>
      </c>
      <c r="E112" s="44" t="s">
        <v>188</v>
      </c>
      <c r="F112" s="45"/>
      <c r="G112" s="46"/>
      <c r="I112" s="41">
        <v>108</v>
      </c>
      <c r="J112" s="41" t="str">
        <f t="shared" si="52"/>
        <v>0x06C</v>
      </c>
      <c r="K112" s="66"/>
      <c r="L112" s="163" t="s">
        <v>563</v>
      </c>
      <c r="M112" s="45"/>
      <c r="N112" s="46"/>
    </row>
    <row r="113" spans="2:14" x14ac:dyDescent="0.25">
      <c r="B113" s="41">
        <v>109</v>
      </c>
      <c r="C113" s="41" t="str">
        <f t="shared" si="51"/>
        <v>0x06D</v>
      </c>
      <c r="D113" s="65" t="s">
        <v>51</v>
      </c>
      <c r="E113" s="44" t="s">
        <v>188</v>
      </c>
      <c r="F113" s="45"/>
      <c r="G113" s="46"/>
      <c r="I113" s="41">
        <v>109</v>
      </c>
      <c r="J113" s="41" t="str">
        <f t="shared" si="52"/>
        <v>0x06D</v>
      </c>
      <c r="K113" s="66"/>
      <c r="L113" s="163" t="s">
        <v>563</v>
      </c>
      <c r="M113" s="45"/>
      <c r="N113" s="46"/>
    </row>
    <row r="114" spans="2:14" x14ac:dyDescent="0.25">
      <c r="B114" s="41">
        <v>110</v>
      </c>
      <c r="C114" s="41" t="str">
        <f t="shared" si="51"/>
        <v>0x06E</v>
      </c>
      <c r="D114" s="65" t="s">
        <v>51</v>
      </c>
      <c r="E114" s="44" t="s">
        <v>188</v>
      </c>
      <c r="F114" s="45"/>
      <c r="G114" s="46"/>
      <c r="I114" s="41">
        <v>110</v>
      </c>
      <c r="J114" s="41" t="str">
        <f t="shared" si="52"/>
        <v>0x06E</v>
      </c>
      <c r="K114" s="66"/>
      <c r="L114" s="163" t="s">
        <v>563</v>
      </c>
      <c r="M114" s="45"/>
      <c r="N114" s="46"/>
    </row>
    <row r="115" spans="2:14" x14ac:dyDescent="0.25">
      <c r="B115" s="41">
        <v>111</v>
      </c>
      <c r="C115" s="41" t="str">
        <f t="shared" si="51"/>
        <v>0x06F</v>
      </c>
      <c r="D115" s="65" t="s">
        <v>51</v>
      </c>
      <c r="E115" s="44" t="s">
        <v>188</v>
      </c>
      <c r="F115" s="45"/>
      <c r="G115" s="46"/>
      <c r="I115" s="41">
        <v>111</v>
      </c>
      <c r="J115" s="41" t="str">
        <f t="shared" si="52"/>
        <v>0x06F</v>
      </c>
      <c r="K115" s="66"/>
      <c r="L115" s="44" t="s">
        <v>560</v>
      </c>
      <c r="M115" s="45"/>
      <c r="N115" s="46"/>
    </row>
    <row r="116" spans="2:14" x14ac:dyDescent="0.25">
      <c r="B116" s="41">
        <v>112</v>
      </c>
      <c r="C116" s="41" t="str">
        <f t="shared" si="51"/>
        <v>0x070</v>
      </c>
      <c r="D116" s="65" t="s">
        <v>51</v>
      </c>
      <c r="E116" s="44" t="s">
        <v>188</v>
      </c>
      <c r="F116" s="45"/>
      <c r="G116" s="46"/>
      <c r="I116" s="41">
        <v>112</v>
      </c>
      <c r="J116" s="41" t="str">
        <f t="shared" si="52"/>
        <v>0x070</v>
      </c>
      <c r="K116" s="66"/>
      <c r="L116" s="44" t="s">
        <v>561</v>
      </c>
      <c r="M116" s="45"/>
      <c r="N116" s="46"/>
    </row>
    <row r="117" spans="2:14" x14ac:dyDescent="0.25">
      <c r="B117" s="41">
        <v>113</v>
      </c>
      <c r="C117" s="41" t="str">
        <f t="shared" si="51"/>
        <v>0x071</v>
      </c>
      <c r="D117" s="66"/>
      <c r="E117" s="44" t="s">
        <v>73</v>
      </c>
      <c r="F117" s="45"/>
      <c r="G117" s="46"/>
      <c r="I117" s="41">
        <v>113</v>
      </c>
      <c r="J117" s="41" t="str">
        <f t="shared" si="52"/>
        <v>0x071</v>
      </c>
      <c r="K117" s="66"/>
      <c r="L117" s="44" t="s">
        <v>585</v>
      </c>
      <c r="M117" s="45"/>
      <c r="N117" s="46"/>
    </row>
    <row r="118" spans="2:14" x14ac:dyDescent="0.25">
      <c r="B118" s="41">
        <v>114</v>
      </c>
      <c r="C118" s="41" t="str">
        <f t="shared" si="51"/>
        <v>0x072</v>
      </c>
      <c r="D118" s="66"/>
      <c r="E118" s="44" t="s">
        <v>189</v>
      </c>
      <c r="F118" s="45"/>
      <c r="G118" s="46"/>
      <c r="I118" s="41">
        <v>114</v>
      </c>
      <c r="J118" s="41" t="str">
        <f t="shared" si="52"/>
        <v>0x072</v>
      </c>
      <c r="K118" s="66"/>
      <c r="L118" s="44" t="s">
        <v>189</v>
      </c>
      <c r="M118" s="45"/>
      <c r="N118" s="46"/>
    </row>
    <row r="119" spans="2:14" x14ac:dyDescent="0.25">
      <c r="B119" s="41">
        <v>115</v>
      </c>
      <c r="C119" s="41" t="str">
        <f t="shared" si="51"/>
        <v>0x073</v>
      </c>
      <c r="D119" s="66"/>
      <c r="E119" s="44" t="s">
        <v>190</v>
      </c>
      <c r="F119" s="45"/>
      <c r="G119" s="46"/>
      <c r="I119" s="41">
        <v>115</v>
      </c>
      <c r="J119" s="41" t="str">
        <f t="shared" si="52"/>
        <v>0x073</v>
      </c>
      <c r="K119" s="66"/>
      <c r="L119" s="44" t="s">
        <v>190</v>
      </c>
      <c r="M119" s="45"/>
      <c r="N119" s="46"/>
    </row>
    <row r="120" spans="2:14" x14ac:dyDescent="0.25">
      <c r="B120" s="41">
        <v>116</v>
      </c>
      <c r="C120" s="41" t="str">
        <f t="shared" si="51"/>
        <v>0x074</v>
      </c>
      <c r="D120" s="66"/>
      <c r="E120" s="44" t="s">
        <v>191</v>
      </c>
      <c r="F120" s="45"/>
      <c r="G120" s="46"/>
      <c r="I120" s="41">
        <v>116</v>
      </c>
      <c r="J120" s="41" t="str">
        <f t="shared" si="52"/>
        <v>0x074</v>
      </c>
      <c r="K120" s="66"/>
      <c r="L120" s="44" t="s">
        <v>191</v>
      </c>
      <c r="M120" s="45"/>
      <c r="N120" s="46"/>
    </row>
    <row r="121" spans="2:14" x14ac:dyDescent="0.25">
      <c r="B121" s="41">
        <v>117</v>
      </c>
      <c r="C121" s="84" t="str">
        <f t="shared" si="51"/>
        <v>0x075</v>
      </c>
      <c r="D121" s="65" t="s">
        <v>67</v>
      </c>
      <c r="E121" s="44" t="s">
        <v>380</v>
      </c>
      <c r="F121" s="45"/>
      <c r="G121" s="46"/>
      <c r="I121" s="41">
        <v>117</v>
      </c>
      <c r="J121" s="84" t="str">
        <f t="shared" si="52"/>
        <v>0x075</v>
      </c>
      <c r="K121" s="65" t="s">
        <v>67</v>
      </c>
      <c r="L121" s="44" t="s">
        <v>380</v>
      </c>
      <c r="M121" s="45"/>
      <c r="N121" s="46"/>
    </row>
    <row r="122" spans="2:14" x14ac:dyDescent="0.25">
      <c r="B122" s="41">
        <v>140</v>
      </c>
      <c r="C122" s="84" t="str">
        <f t="shared" si="51"/>
        <v>0x08C</v>
      </c>
      <c r="D122" s="65" t="s">
        <v>79</v>
      </c>
      <c r="E122" s="44" t="s">
        <v>381</v>
      </c>
      <c r="F122" s="45"/>
      <c r="G122" s="46"/>
      <c r="I122" s="41">
        <v>140</v>
      </c>
      <c r="J122" s="84" t="str">
        <f t="shared" si="52"/>
        <v>0x08C</v>
      </c>
      <c r="K122" s="65" t="s">
        <v>79</v>
      </c>
      <c r="L122" s="44" t="s">
        <v>381</v>
      </c>
      <c r="M122" s="45"/>
      <c r="N122" s="46"/>
    </row>
    <row r="123" spans="2:14" x14ac:dyDescent="0.25">
      <c r="B123" s="41">
        <v>163</v>
      </c>
      <c r="C123" s="84" t="str">
        <f t="shared" si="51"/>
        <v>0x0A3</v>
      </c>
      <c r="D123" s="65" t="s">
        <v>70</v>
      </c>
      <c r="E123" s="44" t="s">
        <v>382</v>
      </c>
      <c r="F123" s="45"/>
      <c r="G123" s="46"/>
      <c r="I123" s="41">
        <v>163</v>
      </c>
      <c r="J123" s="84" t="str">
        <f t="shared" si="52"/>
        <v>0x0A3</v>
      </c>
      <c r="K123" s="65" t="s">
        <v>70</v>
      </c>
      <c r="L123" s="44" t="s">
        <v>382</v>
      </c>
      <c r="M123" s="45"/>
      <c r="N123" s="46"/>
    </row>
    <row r="124" spans="2:14" x14ac:dyDescent="0.25">
      <c r="B124" s="41">
        <v>186</v>
      </c>
      <c r="C124" s="84" t="str">
        <f t="shared" si="51"/>
        <v>0x0BA</v>
      </c>
      <c r="D124" s="65" t="s">
        <v>107</v>
      </c>
      <c r="E124" s="44" t="s">
        <v>383</v>
      </c>
      <c r="F124" s="45"/>
      <c r="G124" s="46"/>
      <c r="I124" s="41">
        <v>186</v>
      </c>
      <c r="J124" s="84" t="str">
        <f t="shared" si="52"/>
        <v>0x0BA</v>
      </c>
      <c r="K124" s="65" t="s">
        <v>107</v>
      </c>
      <c r="L124" s="44" t="s">
        <v>383</v>
      </c>
      <c r="M124" s="45"/>
      <c r="N124" s="46"/>
    </row>
    <row r="125" spans="2:14" x14ac:dyDescent="0.25">
      <c r="B125" s="41">
        <v>209</v>
      </c>
      <c r="C125" s="84" t="str">
        <f t="shared" si="51"/>
        <v>0x0D1</v>
      </c>
      <c r="D125" s="65" t="s">
        <v>308</v>
      </c>
      <c r="E125" s="44" t="s">
        <v>384</v>
      </c>
      <c r="F125" s="45"/>
      <c r="G125" s="46"/>
      <c r="I125" s="41">
        <v>209</v>
      </c>
      <c r="J125" s="84" t="str">
        <f t="shared" si="52"/>
        <v>0x0D1</v>
      </c>
      <c r="K125" s="65" t="s">
        <v>308</v>
      </c>
      <c r="L125" s="44" t="s">
        <v>384</v>
      </c>
      <c r="M125" s="45"/>
      <c r="N125" s="46"/>
    </row>
    <row r="126" spans="2:14" x14ac:dyDescent="0.25">
      <c r="B126" s="41">
        <v>232</v>
      </c>
      <c r="C126" s="84" t="str">
        <f t="shared" si="51"/>
        <v>0x0E8</v>
      </c>
      <c r="D126" s="65" t="s">
        <v>75</v>
      </c>
      <c r="E126" s="44" t="s">
        <v>385</v>
      </c>
      <c r="F126" s="45"/>
      <c r="G126" s="46"/>
      <c r="I126" s="41">
        <v>232</v>
      </c>
      <c r="J126" s="84" t="str">
        <f t="shared" si="52"/>
        <v>0x0E8</v>
      </c>
      <c r="K126" s="65" t="s">
        <v>75</v>
      </c>
      <c r="L126" s="44" t="s">
        <v>385</v>
      </c>
      <c r="M126" s="45"/>
      <c r="N126" s="46"/>
    </row>
    <row r="127" spans="2:14" x14ac:dyDescent="0.25">
      <c r="B127" s="41">
        <v>255</v>
      </c>
      <c r="C127" s="84" t="str">
        <f t="shared" si="51"/>
        <v>0x0FF</v>
      </c>
      <c r="D127" s="65" t="s">
        <v>100</v>
      </c>
      <c r="E127" s="44" t="s">
        <v>386</v>
      </c>
      <c r="F127" s="45"/>
      <c r="G127" s="46"/>
      <c r="I127" s="41">
        <v>255</v>
      </c>
      <c r="J127" s="84" t="str">
        <f t="shared" si="52"/>
        <v>0x0FF</v>
      </c>
      <c r="K127" s="65" t="s">
        <v>100</v>
      </c>
      <c r="L127" s="44" t="s">
        <v>386</v>
      </c>
      <c r="M127" s="45"/>
      <c r="N127" s="46"/>
    </row>
    <row r="128" spans="2:14" x14ac:dyDescent="0.25">
      <c r="B128" s="41">
        <v>278</v>
      </c>
      <c r="C128" s="84" t="str">
        <f t="shared" si="51"/>
        <v>0x116</v>
      </c>
      <c r="D128" s="65" t="s">
        <v>85</v>
      </c>
      <c r="E128" s="44" t="s">
        <v>387</v>
      </c>
      <c r="F128" s="45"/>
      <c r="G128" s="46"/>
      <c r="I128" s="41">
        <v>278</v>
      </c>
      <c r="J128" s="84" t="str">
        <f t="shared" si="52"/>
        <v>0x116</v>
      </c>
      <c r="K128" s="65" t="s">
        <v>85</v>
      </c>
      <c r="L128" s="44" t="s">
        <v>387</v>
      </c>
      <c r="M128" s="45"/>
      <c r="N128" s="46"/>
    </row>
    <row r="129" spans="2:14" x14ac:dyDescent="0.25">
      <c r="B129" s="41">
        <v>301</v>
      </c>
      <c r="C129" s="84" t="str">
        <f t="shared" si="51"/>
        <v>0x12D</v>
      </c>
      <c r="D129" s="65" t="s">
        <v>251</v>
      </c>
      <c r="E129" s="44" t="s">
        <v>388</v>
      </c>
      <c r="F129" s="45"/>
      <c r="G129" s="46"/>
      <c r="I129" s="41">
        <v>301</v>
      </c>
      <c r="J129" s="84" t="str">
        <f t="shared" si="52"/>
        <v>0x12D</v>
      </c>
      <c r="K129" s="65" t="s">
        <v>251</v>
      </c>
      <c r="L129" s="44" t="s">
        <v>388</v>
      </c>
      <c r="M129" s="45"/>
      <c r="N129" s="46"/>
    </row>
    <row r="130" spans="2:14" x14ac:dyDescent="0.25">
      <c r="B130" s="41">
        <v>324</v>
      </c>
      <c r="C130" s="84" t="str">
        <f t="shared" si="51"/>
        <v>0x144</v>
      </c>
      <c r="D130" s="65" t="s">
        <v>378</v>
      </c>
      <c r="E130" s="44" t="s">
        <v>389</v>
      </c>
      <c r="F130" s="45"/>
      <c r="G130" s="46"/>
      <c r="I130" s="41">
        <v>324</v>
      </c>
      <c r="J130" s="84" t="str">
        <f t="shared" si="52"/>
        <v>0x144</v>
      </c>
      <c r="K130" s="65" t="s">
        <v>378</v>
      </c>
      <c r="L130" s="44" t="s">
        <v>389</v>
      </c>
      <c r="M130" s="45"/>
      <c r="N130" s="46"/>
    </row>
    <row r="131" spans="2:14" x14ac:dyDescent="0.25">
      <c r="B131" s="41">
        <v>347</v>
      </c>
      <c r="C131" s="84" t="str">
        <f t="shared" si="51"/>
        <v>0x15B</v>
      </c>
      <c r="D131" s="65" t="s">
        <v>252</v>
      </c>
      <c r="E131" s="44" t="s">
        <v>390</v>
      </c>
      <c r="F131" s="45"/>
      <c r="G131" s="46"/>
      <c r="I131" s="41">
        <v>347</v>
      </c>
      <c r="J131" s="84" t="str">
        <f t="shared" si="52"/>
        <v>0x15B</v>
      </c>
      <c r="K131" s="65" t="s">
        <v>252</v>
      </c>
      <c r="L131" s="44" t="s">
        <v>390</v>
      </c>
      <c r="M131" s="45"/>
      <c r="N131" s="46"/>
    </row>
    <row r="132" spans="2:14" x14ac:dyDescent="0.25">
      <c r="B132" s="41">
        <v>370</v>
      </c>
      <c r="C132" s="84" t="str">
        <f t="shared" si="51"/>
        <v>0x172</v>
      </c>
      <c r="D132" s="65" t="s">
        <v>83</v>
      </c>
      <c r="E132" s="44" t="s">
        <v>391</v>
      </c>
      <c r="F132" s="45"/>
      <c r="G132" s="46"/>
      <c r="I132" s="41">
        <v>370</v>
      </c>
      <c r="J132" s="84" t="str">
        <f t="shared" si="52"/>
        <v>0x172</v>
      </c>
      <c r="K132" s="65" t="s">
        <v>83</v>
      </c>
      <c r="L132" s="44" t="s">
        <v>391</v>
      </c>
      <c r="M132" s="45"/>
      <c r="N132" s="46"/>
    </row>
    <row r="133" spans="2:14" x14ac:dyDescent="0.25">
      <c r="B133" s="41">
        <v>393</v>
      </c>
      <c r="C133" s="84" t="str">
        <f t="shared" si="51"/>
        <v>0x189</v>
      </c>
      <c r="D133" s="65" t="s">
        <v>63</v>
      </c>
      <c r="E133" s="44" t="s">
        <v>392</v>
      </c>
      <c r="F133" s="45"/>
      <c r="G133" s="46"/>
      <c r="I133" s="41">
        <v>393</v>
      </c>
      <c r="J133" s="84" t="str">
        <f t="shared" ref="J133:J141" si="87">CONCATENATE("0x",DEC2HEX(I133,3))</f>
        <v>0x189</v>
      </c>
      <c r="K133" s="65" t="s">
        <v>63</v>
      </c>
      <c r="L133" s="44" t="s">
        <v>392</v>
      </c>
      <c r="M133" s="45"/>
      <c r="N133" s="46"/>
    </row>
    <row r="134" spans="2:14" x14ac:dyDescent="0.25">
      <c r="B134" s="41">
        <v>416</v>
      </c>
      <c r="C134" s="84" t="str">
        <f t="shared" si="51"/>
        <v>0x1A0</v>
      </c>
      <c r="D134" s="65" t="s">
        <v>322</v>
      </c>
      <c r="E134" s="44" t="s">
        <v>393</v>
      </c>
      <c r="F134" s="45"/>
      <c r="G134" s="46"/>
      <c r="I134" s="41">
        <v>416</v>
      </c>
      <c r="J134" s="84" t="str">
        <f t="shared" si="87"/>
        <v>0x1A0</v>
      </c>
      <c r="K134" s="65" t="s">
        <v>322</v>
      </c>
      <c r="L134" s="44" t="s">
        <v>393</v>
      </c>
      <c r="M134" s="45"/>
      <c r="N134" s="46"/>
    </row>
    <row r="135" spans="2:14" x14ac:dyDescent="0.25">
      <c r="B135" s="41">
        <v>439</v>
      </c>
      <c r="C135" s="84" t="str">
        <f t="shared" si="51"/>
        <v>0x1B7</v>
      </c>
      <c r="D135" s="65" t="s">
        <v>130</v>
      </c>
      <c r="E135" s="44" t="s">
        <v>394</v>
      </c>
      <c r="F135" s="45"/>
      <c r="G135" s="46"/>
      <c r="I135" s="41">
        <v>439</v>
      </c>
      <c r="J135" s="84" t="str">
        <f t="shared" si="87"/>
        <v>0x1B7</v>
      </c>
      <c r="K135" s="65" t="s">
        <v>130</v>
      </c>
      <c r="L135" s="44" t="s">
        <v>394</v>
      </c>
      <c r="M135" s="45"/>
      <c r="N135" s="46"/>
    </row>
    <row r="136" spans="2:14" x14ac:dyDescent="0.25">
      <c r="B136" s="41">
        <v>462</v>
      </c>
      <c r="C136" s="84" t="str">
        <f t="shared" si="51"/>
        <v>0x1CE</v>
      </c>
      <c r="D136" s="65" t="s">
        <v>102</v>
      </c>
      <c r="E136" s="44" t="s">
        <v>395</v>
      </c>
      <c r="F136" s="45"/>
      <c r="G136" s="46"/>
      <c r="I136" s="41">
        <v>462</v>
      </c>
      <c r="J136" s="84" t="str">
        <f t="shared" si="87"/>
        <v>0x1CE</v>
      </c>
      <c r="K136" s="65" t="s">
        <v>102</v>
      </c>
      <c r="L136" s="44" t="s">
        <v>395</v>
      </c>
      <c r="M136" s="45"/>
      <c r="N136" s="46"/>
    </row>
    <row r="137" spans="2:14" x14ac:dyDescent="0.25">
      <c r="B137" s="41">
        <v>485</v>
      </c>
      <c r="C137" s="84" t="str">
        <f t="shared" si="51"/>
        <v>0x1E5</v>
      </c>
      <c r="D137" s="65" t="s">
        <v>376</v>
      </c>
      <c r="E137" s="44" t="s">
        <v>396</v>
      </c>
      <c r="F137" s="45"/>
      <c r="G137" s="46"/>
      <c r="I137" s="41">
        <v>485</v>
      </c>
      <c r="J137" s="84" t="str">
        <f t="shared" si="87"/>
        <v>0x1E5</v>
      </c>
      <c r="K137" s="65" t="s">
        <v>376</v>
      </c>
      <c r="L137" s="44" t="s">
        <v>396</v>
      </c>
      <c r="M137" s="45"/>
      <c r="N137" s="46"/>
    </row>
    <row r="138" spans="2:14" x14ac:dyDescent="0.25">
      <c r="B138" s="41">
        <v>508</v>
      </c>
      <c r="C138" s="84" t="str">
        <f t="shared" si="51"/>
        <v>0x1FC</v>
      </c>
      <c r="D138" s="65" t="s">
        <v>377</v>
      </c>
      <c r="E138" s="44" t="s">
        <v>397</v>
      </c>
      <c r="F138" s="45"/>
      <c r="G138" s="46"/>
      <c r="I138" s="41">
        <v>508</v>
      </c>
      <c r="J138" s="84" t="str">
        <f t="shared" si="87"/>
        <v>0x1FC</v>
      </c>
      <c r="K138" s="65" t="s">
        <v>377</v>
      </c>
      <c r="L138" s="44" t="s">
        <v>397</v>
      </c>
      <c r="M138" s="45"/>
      <c r="N138" s="46"/>
    </row>
    <row r="139" spans="2:14" x14ac:dyDescent="0.25">
      <c r="B139" s="41">
        <v>509</v>
      </c>
      <c r="C139" s="84" t="str">
        <f t="shared" si="51"/>
        <v>0x1FD</v>
      </c>
      <c r="D139" s="65" t="s">
        <v>51</v>
      </c>
      <c r="E139" s="44" t="s">
        <v>74</v>
      </c>
      <c r="F139" s="45"/>
      <c r="G139" s="46"/>
      <c r="I139" s="41">
        <v>509</v>
      </c>
      <c r="J139" s="84" t="str">
        <f t="shared" si="87"/>
        <v>0x1FD</v>
      </c>
      <c r="K139" s="65" t="s">
        <v>400</v>
      </c>
      <c r="L139" s="44" t="s">
        <v>460</v>
      </c>
      <c r="M139" s="45"/>
      <c r="N139" s="46"/>
    </row>
    <row r="140" spans="2:14" x14ac:dyDescent="0.25">
      <c r="B140" s="41">
        <v>510</v>
      </c>
      <c r="C140" s="84" t="str">
        <f t="shared" si="51"/>
        <v>0x1FE</v>
      </c>
      <c r="D140" s="65" t="s">
        <v>51</v>
      </c>
      <c r="E140" s="44" t="s">
        <v>74</v>
      </c>
      <c r="F140" s="45"/>
      <c r="G140" s="46"/>
      <c r="I140" s="41">
        <v>510</v>
      </c>
      <c r="J140" s="84" t="str">
        <f t="shared" si="87"/>
        <v>0x1FE</v>
      </c>
      <c r="K140" s="65" t="s">
        <v>51</v>
      </c>
      <c r="L140" s="44" t="s">
        <v>74</v>
      </c>
      <c r="M140" s="45"/>
      <c r="N140" s="46"/>
    </row>
    <row r="141" spans="2:14" x14ac:dyDescent="0.25">
      <c r="B141" s="41">
        <v>511</v>
      </c>
      <c r="C141" s="84" t="str">
        <f t="shared" si="51"/>
        <v>0x1FF</v>
      </c>
      <c r="D141" s="65" t="s">
        <v>51</v>
      </c>
      <c r="E141" s="44" t="s">
        <v>74</v>
      </c>
      <c r="F141" s="45"/>
      <c r="G141" s="46"/>
      <c r="I141" s="41">
        <v>511</v>
      </c>
      <c r="J141" s="84" t="str">
        <f t="shared" si="87"/>
        <v>0x1FF</v>
      </c>
      <c r="K141" s="65" t="s">
        <v>51</v>
      </c>
      <c r="L141" s="44" t="s">
        <v>74</v>
      </c>
      <c r="M141" s="45"/>
      <c r="N141" s="46"/>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4">
        <v>6003</v>
      </c>
      <c r="C4" s="24">
        <v>5</v>
      </c>
      <c r="D4" s="24"/>
      <c r="E4" s="24"/>
      <c r="F4" s="26" t="str">
        <f>'FTS-Initialization'!$AA$28</f>
        <v>BF</v>
      </c>
      <c r="G4" s="26">
        <f>INDEX('FTS-Initialization'!$W$20:$W$32,MATCH(FLOOR($B$4,1000),'FTS-Initialization'!$V$20:$V$32,0))</f>
        <v>84</v>
      </c>
      <c r="H4" s="26" t="str">
        <f>INDEX('FTS-Initialization'!$X$20:$X$32,MATCH(FLOOR($B$4,1000),'FTS-Initialization'!$V$20:$V$32,0))</f>
        <v>TKA</v>
      </c>
      <c r="I4" s="61">
        <f ca="1">TODAY()</f>
        <v>42506</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10</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N11" s="79" t="s">
        <v>343</v>
      </c>
      <c r="O11" s="85" t="str">
        <f>RIGHT(INDEX($D$9:$D$47,MATCH('EEPROM-Contents'!Q5,$B$9:$B$47,0)),2)</f>
        <v>BF</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CONCATENATE("00000000000000000000",O11,P11,Q11,R11,S11,T11,U11,V11,W11,X11,Y11,Z11,AA11,AB11,AC11,AD11,"00")</f>
        <v>00000000000000000000BF0000000000060101021F0C0802020200</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3"/>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3"/>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3"/>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3"/>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3"/>
        <v>000000000000000000000605101773000000000000000000000000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N17" s="79" t="s">
        <v>350</v>
      </c>
      <c r="O17" s="80" t="str">
        <f>RIGHT(INDEX('EEPROM-Contents'!$D$4:'EEPROM-Contents'!$D$141,MATCH('EEPROM-Contents'!Q11,'EEPROM-Contents'!$B$4:'EEPROM-Contents'!$B$141,0)),2)</f>
        <v>00</v>
      </c>
      <c r="P17" s="85" t="str">
        <f>RIGHT(INDEX($D$9:$D$47,MATCH('EEPROM-Contents'!R11,$B$9:$B$47,0)),2)</f>
        <v>BF</v>
      </c>
      <c r="Q17" s="85" t="str">
        <f>RIGHT(INDEX($D$9:$D$47,MATCH('EEPROM-Contents'!S11,$B$9:$B$47,0)),2)</f>
        <v>64</v>
      </c>
      <c r="R17" s="85" t="str">
        <f>RIGHT(INDEX($D$9:$D$47,MATCH('EEPROM-Contents'!T11,$B$9:$B$47,0)),2)</f>
        <v>64</v>
      </c>
      <c r="S17" s="85" t="str">
        <f ca="1">RIGHT(INDEX($D$9:$D$47,MATCH('EEPROM-Contents'!U11,$B$9:$B$47,0)),2)</f>
        <v>CA</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str">
        <f t="shared" ca="1" si="3"/>
        <v>0000000000000000000000BF6464CA010906051017730000000000</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str">
        <f>RIGHT(INDEX($D$9:$D$47,MATCH('EEPROM-Contents'!Y12,$B$9:$B$47,0)),2)</f>
        <v>BF</v>
      </c>
      <c r="X18" s="85" t="str">
        <f>RIGHT(INDEX($D$9:$D$47,MATCH('EEPROM-Contents'!Z12,$B$9:$B$47,0)),2)</f>
        <v>64</v>
      </c>
      <c r="Y18" s="85" t="str">
        <f>RIGHT(INDEX($D$9:$D$47,MATCH('EEPROM-Contents'!AA12,$B$9:$B$47,0)),2)</f>
        <v>64</v>
      </c>
      <c r="Z18" s="85" t="str">
        <f ca="1">RIGHT(INDEX($D$9:$D$47,MATCH('EEPROM-Contents'!AB12,$B$9:$B$47,0)),2)</f>
        <v>CA</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str">
        <f t="shared" ca="1" si="3"/>
        <v>000000000000000000000000000000000000BF6464CA0209060500</v>
      </c>
    </row>
    <row r="19" spans="2:32" x14ac:dyDescent="0.25">
      <c r="B19" s="86">
        <f>'EEPROM-Contents'!B20</f>
        <v>16</v>
      </c>
      <c r="C19" s="75">
        <f t="shared" si="2"/>
        <v>191</v>
      </c>
      <c r="D19" s="78" t="str">
        <f>$F$4</f>
        <v>BF</v>
      </c>
      <c r="E19" s="70" t="str">
        <f>'EEPROM-Contents'!E20</f>
        <v>GAINC</v>
      </c>
      <c r="F19" s="71"/>
      <c r="G19" s="74"/>
      <c r="N19" s="79" t="s">
        <v>352</v>
      </c>
      <c r="O19" s="85" t="str">
        <f ca="1">RIGHT(INDEX($D$9:$D$47,MATCH('EEPROM-Contents'!Q13,$B$9:$B$47,0)),2)</f>
        <v>10</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str">
        <f>RIGHT(INDEX($D$9:$D$47,MATCH('EEPROM-Contents'!AF13,$B$9:$B$47,0)),2)</f>
        <v>BF</v>
      </c>
      <c r="AF19" s="82" t="str">
        <f t="shared" ca="1" si="3"/>
        <v>00000000000000000000101773000000000000000000000000BF00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CA</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str">
        <f t="shared" ca="1" si="3"/>
        <v>000000000000000000006464CA0309060510177300000000000000</v>
      </c>
    </row>
    <row r="21" spans="2:32" x14ac:dyDescent="0.25">
      <c r="B21" s="86">
        <f>'EEPROM-Contents'!B63</f>
        <v>59</v>
      </c>
      <c r="C21" s="75">
        <f t="shared" si="2"/>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str">
        <f>RIGHT(INDEX($D$9:$D$47,MATCH('EEPROM-Contents'!W15,$B$9:$B$47,0)),2)</f>
        <v>BF</v>
      </c>
      <c r="V21" s="85" t="str">
        <f>RIGHT(INDEX($D$9:$D$47,MATCH('EEPROM-Contents'!X15,$B$9:$B$47,0)),2)</f>
        <v>64</v>
      </c>
      <c r="W21" s="85" t="str">
        <f>RIGHT(INDEX($D$9:$D$47,MATCH('EEPROM-Contents'!Y15,$B$9:$B$47,0)),2)</f>
        <v>64</v>
      </c>
      <c r="X21" s="85" t="str">
        <f ca="1">RIGHT(INDEX($D$9:$D$47,MATCH('EEPROM-Contents'!Z15,$B$9:$B$47,0)),2)</f>
        <v>CA</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17</v>
      </c>
      <c r="AF21" s="82" t="str">
        <f t="shared" ca="1" si="3"/>
        <v>00000000000000000000000000000000BF6464CA04090605101700</v>
      </c>
    </row>
    <row r="22" spans="2:32"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str">
        <f>RIGHT(INDEX($D$9:$D$47,MATCH('EEPROM-Contents'!AD16,$B$9:$B$47,0)),2)</f>
        <v>BF</v>
      </c>
      <c r="AC22" s="85" t="str">
        <f>RIGHT(INDEX($D$9:$D$47,MATCH('EEPROM-Contents'!AE16,$B$9:$B$47,0)),2)</f>
        <v>64</v>
      </c>
      <c r="AD22" s="85" t="str">
        <f>RIGHT(INDEX($D$9:$D$47,MATCH('EEPROM-Contents'!AF16,$B$9:$B$47,0)),2)</f>
        <v>64</v>
      </c>
      <c r="AF22" s="82" t="str">
        <f t="shared" si="3"/>
        <v>0000000000000000000073000000000000000000000000BF646400</v>
      </c>
    </row>
    <row r="23" spans="2:32" x14ac:dyDescent="0.25">
      <c r="B23" s="86">
        <f>'EEPROM-Contents'!B96</f>
        <v>92</v>
      </c>
      <c r="C23" s="78">
        <f t="shared" ref="C23:C46" si="4">HEX2DEC(D23)</f>
        <v>0</v>
      </c>
      <c r="D23" s="78" t="str">
        <f>LEFT(RIGHT($E$5,6),2)</f>
        <v>00</v>
      </c>
      <c r="E23" s="70" t="str">
        <f>'EEPROM-Contents'!E96</f>
        <v>Info byte 2</v>
      </c>
      <c r="F23" s="71"/>
      <c r="G23" s="74"/>
      <c r="N23" s="79" t="s">
        <v>356</v>
      </c>
      <c r="O23" s="85" t="str">
        <f ca="1">RIGHT(INDEX($D$9:$D$47,MATCH('EEPROM-Contents'!Q17,$B$9:$B$47,0)),2)</f>
        <v>CA</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str">
        <f t="shared" ca="1" si="3"/>
        <v>00000000000000000000CA05090605101773000000000000000000</v>
      </c>
    </row>
    <row r="24" spans="2:32"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str">
        <f>RIGHT(INDEX($D$9:$D$47,MATCH('EEPROM-Contents'!U18,$B$9:$B$47,0)),2)</f>
        <v>BF</v>
      </c>
      <c r="T24" s="85" t="str">
        <f>RIGHT(INDEX($D$9:$D$47,MATCH('EEPROM-Contents'!V18,$B$9:$B$47,0)),2)</f>
        <v>64</v>
      </c>
      <c r="U24" s="85" t="str">
        <f>RIGHT(INDEX($D$9:$D$47,MATCH('EEPROM-Contents'!W18,$B$9:$B$47,0)),2)</f>
        <v>64</v>
      </c>
      <c r="V24" s="85" t="str">
        <f ca="1">RIGHT(INDEX($D$9:$D$47,MATCH('EEPROM-Contents'!X18,$B$9:$B$47,0)),2)</f>
        <v>CA</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17</v>
      </c>
      <c r="AC24" s="85" t="str">
        <f>RIGHT(INDEX($D$9:$D$47,MATCH('EEPROM-Contents'!AE18,$B$9:$B$47,0)),2)</f>
        <v>73</v>
      </c>
      <c r="AD24" s="85" t="str">
        <f>RIGHT(INDEX($D$9:$D$47,MATCH('EEPROM-Contents'!AF18,$B$9:$B$47,0)),2)</f>
        <v>00</v>
      </c>
      <c r="AF24" s="82" t="str">
        <f t="shared" ca="1" si="3"/>
        <v>0000000000000000000000000000BF6464CA060906051017730000</v>
      </c>
    </row>
    <row r="25" spans="2:32"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str">
        <f>RIGHT(INDEX($D$9:$D$47,MATCH('EEPROM-Contents'!AB19,$B$9:$B$47,0)),2)</f>
        <v>BF</v>
      </c>
      <c r="AA25" s="85" t="str">
        <f>RIGHT(INDEX($D$9:$D$47,MATCH('EEPROM-Contents'!AC19,$B$9:$B$47,0)),2)</f>
        <v>64</v>
      </c>
      <c r="AB25" s="85" t="str">
        <f>RIGHT(INDEX($D$9:$D$47,MATCH('EEPROM-Contents'!AD19,$B$9:$B$47,0)),2)</f>
        <v>64</v>
      </c>
      <c r="AC25" s="85" t="str">
        <f ca="1">RIGHT(INDEX($D$9:$D$47,MATCH('EEPROM-Contents'!AE19,$B$9:$B$47,0)),2)</f>
        <v>CA</v>
      </c>
      <c r="AD25" s="80" t="str">
        <f>RIGHT(INDEX('EEPROM-Contents'!$D$4:'EEPROM-Contents'!$D$141,MATCH('EEPROM-Contents'!AF19,'EEPROM-Contents'!$B$4:'EEPROM-Contents'!$B$141,0)),2)</f>
        <v>07</v>
      </c>
      <c r="AF25" s="82" t="str">
        <f t="shared" ca="1" si="3"/>
        <v>000000000000000000000000000000000000000000BF6464CA0700</v>
      </c>
    </row>
    <row r="26" spans="2:32"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3"/>
        <v>000000000000000000000906051017730000000000000000000000</v>
      </c>
    </row>
    <row r="27" spans="2:32"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str">
        <f>RIGHT(INDEX($D$9:$D$47,MATCH('EEPROM-Contents'!S21,$B$9:$B$47,0)),2)</f>
        <v>BF</v>
      </c>
      <c r="R27" s="85" t="str">
        <f>RIGHT(INDEX($D$9:$D$47,MATCH('EEPROM-Contents'!T21,$B$9:$B$47,0)),2)</f>
        <v>64</v>
      </c>
      <c r="S27" s="85" t="str">
        <f>RIGHT(INDEX($D$9:$D$47,MATCH('EEPROM-Contents'!U21,$B$9:$B$47,0)),2)</f>
        <v>64</v>
      </c>
      <c r="T27" s="85" t="str">
        <f ca="1">RIGHT(INDEX($D$9:$D$47,MATCH('EEPROM-Contents'!V21,$B$9:$B$47,0)),2)</f>
        <v>CA</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str">
        <f t="shared" ca="1" si="3"/>
        <v>000000000000000000000000BF6464CA0809060510177300000000</v>
      </c>
    </row>
    <row r="28" spans="2:32"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str">
        <f>RIGHT(INDEX($D$9:$D$47,MATCH('EEPROM-Contents'!Z22,$B$9:$B$47,0)),2)</f>
        <v>BF</v>
      </c>
      <c r="Y28" s="85" t="str">
        <f>RIGHT(INDEX($D$9:$D$47,MATCH('EEPROM-Contents'!AA22,$B$9:$B$47,0)),2)</f>
        <v>64</v>
      </c>
      <c r="Z28" s="85" t="str">
        <f>RIGHT(INDEX($D$9:$D$47,MATCH('EEPROM-Contents'!AB22,$B$9:$B$47,0)),2)</f>
        <v>64</v>
      </c>
      <c r="AA28" s="85" t="str">
        <f ca="1">RIGHT(INDEX($D$9:$D$47,MATCH('EEPROM-Contents'!AC22,$B$9:$B$47,0)),2)</f>
        <v>CA</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str">
        <f t="shared" ca="1" si="3"/>
        <v>00000000000000000000000000000000000000BF6464CA09090600</v>
      </c>
    </row>
    <row r="29" spans="2:32" x14ac:dyDescent="0.25">
      <c r="B29" s="86">
        <f>'EEPROM-Contents'!B102</f>
        <v>98</v>
      </c>
      <c r="C29" s="76">
        <f t="shared" ca="1" si="4"/>
        <v>16</v>
      </c>
      <c r="D29" s="76" t="str">
        <f ca="1">H5</f>
        <v>10</v>
      </c>
      <c r="E29" s="67" t="str">
        <f>'EEPROM-Contents'!E102</f>
        <v>Day</v>
      </c>
      <c r="F29" s="68"/>
      <c r="G29" s="69"/>
      <c r="N29" s="79" t="s">
        <v>362</v>
      </c>
      <c r="O29" s="85" t="str">
        <f ca="1">RIGHT(INDEX($D$9:$D$47,MATCH('EEPROM-Contents'!Q23,$B$9:$B$47,0)),2)</f>
        <v>05</v>
      </c>
      <c r="P29" s="85" t="str">
        <f ca="1">RIGHT(INDEX($D$9:$D$47,MATCH('EEPROM-Contents'!R23,$B$9:$B$47,0)),2)</f>
        <v>10</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3"/>
        <v>000000000000000000000510177300000000000000000000000000</v>
      </c>
    </row>
    <row r="30" spans="2:32" x14ac:dyDescent="0.25">
      <c r="B30" s="86">
        <f>'EEPROM-Contents'!B103</f>
        <v>99</v>
      </c>
      <c r="C30" s="76">
        <f t="shared" si="4"/>
        <v>23</v>
      </c>
      <c r="D30" s="76" t="str">
        <f>LEFT(RIGHT($B$5,4),2)</f>
        <v>17</v>
      </c>
      <c r="E30" s="67" t="str">
        <f>'EEPROM-Contents'!E103</f>
        <v>Device Type</v>
      </c>
      <c r="F30" s="68"/>
      <c r="G30" s="69"/>
      <c r="N30" s="79" t="s">
        <v>363</v>
      </c>
      <c r="O30" s="85" t="str">
        <f>RIGHT(INDEX($D$9:$D$47,MATCH('EEPROM-Contents'!Q24,$B$9:$B$47,0)),2)</f>
        <v>BF</v>
      </c>
      <c r="P30" s="85" t="str">
        <f>RIGHT(INDEX($D$9:$D$47,MATCH('EEPROM-Contents'!R24,$B$9:$B$47,0)),2)</f>
        <v>64</v>
      </c>
      <c r="Q30" s="85" t="str">
        <f>RIGHT(INDEX($D$9:$D$47,MATCH('EEPROM-Contents'!S24,$B$9:$B$47,0)),2)</f>
        <v>64</v>
      </c>
      <c r="R30" s="85" t="str">
        <f ca="1">RIGHT(INDEX($D$9:$D$47,MATCH('EEPROM-Contents'!T24,$B$9:$B$47,0)),2)</f>
        <v>CA</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str">
        <f t="shared" ca="1" si="3"/>
        <v>00000000000000000000BF6464CA0A090605101773000000000000</v>
      </c>
    </row>
    <row r="31" spans="2:32"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str">
        <f>RIGHT(INDEX($D$9:$D$47,MATCH('EEPROM-Contents'!X25,$B$9:$B$47,0)),2)</f>
        <v>BF</v>
      </c>
      <c r="W31" s="85" t="str">
        <f>RIGHT(INDEX($D$9:$D$47,MATCH('EEPROM-Contents'!Y25,$B$9:$B$47,0)),2)</f>
        <v>64</v>
      </c>
      <c r="X31" s="85" t="str">
        <f>RIGHT(INDEX($D$9:$D$47,MATCH('EEPROM-Contents'!Z25,$B$9:$B$47,0)),2)</f>
        <v>64</v>
      </c>
      <c r="Y31" s="85" t="str">
        <f ca="1">RIGHT(INDEX($D$9:$D$47,MATCH('EEPROM-Contents'!AA25,$B$9:$B$47,0)),2)</f>
        <v>CA</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10</v>
      </c>
      <c r="AF31" s="82" t="str">
        <f t="shared" ca="1" si="3"/>
        <v>0000000000000000000000000000000000BF6464CA0B0906051000</v>
      </c>
    </row>
    <row r="32" spans="2:32"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str">
        <f>RIGHT(INDEX($D$9:$D$47,MATCH('EEPROM-Contents'!AE26,$B$9:$B$47,0)),2)</f>
        <v>BF</v>
      </c>
      <c r="AD32" s="85" t="str">
        <f>RIGHT(INDEX($D$9:$D$47,MATCH('EEPROM-Contents'!AF26,$B$9:$B$47,0)),2)</f>
        <v>64</v>
      </c>
      <c r="AF32" s="82" t="str">
        <f t="shared" si="3"/>
        <v>000000000000000000001773000000000000000000000000BF6400</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64</v>
      </c>
      <c r="P33" s="85" t="str">
        <f ca="1">RIGHT(INDEX($D$9:$D$47,MATCH('EEPROM-Contents'!R27,$B$9:$B$47,0)),2)</f>
        <v>CA</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str">
        <f t="shared" ca="1" si="3"/>
        <v>0000000000000000000064CA0C0906051017730000000000000000</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str">
        <f>RIGHT(INDEX($D$9:$D$47,MATCH('EEPROM-Contents'!V28,$B$9:$B$47,0)),2)</f>
        <v>BF</v>
      </c>
      <c r="U34" s="85" t="str">
        <f>RIGHT(INDEX($D$9:$D$47,MATCH('EEPROM-Contents'!W28,$B$9:$B$47,0)),2)</f>
        <v>64</v>
      </c>
      <c r="V34" s="85" t="str">
        <f>RIGHT(INDEX($D$9:$D$47,MATCH('EEPROM-Contents'!X28,$B$9:$B$47,0)),2)</f>
        <v>64</v>
      </c>
      <c r="W34" s="85" t="str">
        <f ca="1">RIGHT(INDEX($D$9:$D$47,MATCH('EEPROM-Contents'!Y28,$B$9:$B$47,0)),2)</f>
        <v>CA</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17</v>
      </c>
      <c r="AD34" s="85" t="str">
        <f>RIGHT(INDEX($D$9:$D$47,MATCH('EEPROM-Contents'!AF28,$B$9:$B$47,0)),2)</f>
        <v>73</v>
      </c>
      <c r="AF34" s="82" t="str">
        <f t="shared" ca="1" si="3"/>
        <v>000000000000000000000000000000BF6464CA0D09060510177300</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str">
        <f>RIGHT(INDEX($D$9:$D$47,MATCH('EEPROM-Contents'!AC29,$B$9:$B$47,0)),2)</f>
        <v>BF</v>
      </c>
      <c r="AB35" s="85" t="str">
        <f>RIGHT(INDEX($D$9:$D$47,MATCH('EEPROM-Contents'!AD29,$B$9:$B$47,0)),2)</f>
        <v>64</v>
      </c>
      <c r="AC35" s="85" t="str">
        <f>RIGHT(INDEX($D$9:$D$47,MATCH('EEPROM-Contents'!AE29,$B$9:$B$47,0)),2)</f>
        <v>64</v>
      </c>
      <c r="AD35" s="85" t="str">
        <f ca="1">RIGHT(INDEX($D$9:$D$47,MATCH('EEPROM-Contents'!AF29,$B$9:$B$47,0)),2)</f>
        <v>CA</v>
      </c>
      <c r="AF35" s="82" t="str">
        <f t="shared" ca="1" si="3"/>
        <v>00000000000000000000000000000000000000000000BF6464CA00</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3"/>
        <v>000000000000000000000E09060510177300000000000000000000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str">
        <f>RIGHT(INDEX($D$9:$D$47,MATCH('EEPROM-Contents'!T31,$B$9:$B$47,0)),2)</f>
        <v>BF</v>
      </c>
      <c r="S37" s="85" t="str">
        <f>RIGHT(INDEX($D$9:$D$47,MATCH('EEPROM-Contents'!U31,$B$9:$B$47,0)),2)</f>
        <v>64</v>
      </c>
      <c r="T37" s="85" t="str">
        <f>RIGHT(INDEX($D$9:$D$47,MATCH('EEPROM-Contents'!V31,$B$9:$B$47,0)),2)</f>
        <v>64</v>
      </c>
      <c r="U37" s="85" t="str">
        <f ca="1">RIGHT(INDEX($D$9:$D$47,MATCH('EEPROM-Contents'!W31,$B$9:$B$47,0)),2)</f>
        <v>CA</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str">
        <f t="shared" ca="1" si="3"/>
        <v>00000000000000000000000000BF6464CA0F090605101773000000</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str">
        <f>RIGHT(INDEX($D$9:$D$47,MATCH('EEPROM-Contents'!AA32,$B$9:$B$47,0)),2)</f>
        <v>BF</v>
      </c>
      <c r="Z38" s="85" t="str">
        <f>RIGHT(INDEX($D$9:$D$47,MATCH('EEPROM-Contents'!AB32,$B$9:$B$47,0)),2)</f>
        <v>64</v>
      </c>
      <c r="AA38" s="85" t="str">
        <f>RIGHT(INDEX($D$9:$D$47,MATCH('EEPROM-Contents'!AC32,$B$9:$B$47,0)),2)</f>
        <v>64</v>
      </c>
      <c r="AB38" s="85" t="str">
        <f ca="1">RIGHT(INDEX($D$9:$D$47,MATCH('EEPROM-Contents'!AD32,$B$9:$B$47,0)),2)</f>
        <v>CA</v>
      </c>
      <c r="AC38" s="80" t="str">
        <f>RIGHT(INDEX('EEPROM-Contents'!$D$4:'EEPROM-Contents'!$D$141,MATCH('EEPROM-Contents'!AE32,'EEPROM-Contents'!$B$4:'EEPROM-Contents'!$B$141,0)),2)</f>
        <v>10</v>
      </c>
      <c r="AD38" s="85" t="str">
        <f>RIGHT(INDEX($D$9:$D$47,MATCH('EEPROM-Contents'!AF32,$B$9:$B$47,0)),2)</f>
        <v>09</v>
      </c>
      <c r="AF38" s="82" t="str">
        <f t="shared" ca="1" si="3"/>
        <v>0000000000000000000000000000000000000000BF6464CA100900</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3"/>
        <v>000000000000000000000605101773000000000000000000000000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str">
        <f>RIGHT(INDEX($D$9:$D$47,MATCH('EEPROM-Contents'!R34,$B$9:$B$47,0)),2)</f>
        <v>BF</v>
      </c>
      <c r="Q40" s="85" t="str">
        <f>RIGHT(INDEX($D$9:$D$47,MATCH('EEPROM-Contents'!S34,$B$9:$B$47,0)),2)</f>
        <v>64</v>
      </c>
      <c r="R40" s="85" t="str">
        <f>RIGHT(INDEX($D$9:$D$47,MATCH('EEPROM-Contents'!T34,$B$9:$B$47,0)),2)</f>
        <v>64</v>
      </c>
      <c r="S40" s="85" t="str">
        <f ca="1">RIGHT(INDEX($D$9:$D$47,MATCH('EEPROM-Contents'!U34,$B$9:$B$47,0)),2)</f>
        <v>CA</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str">
        <f t="shared" ca="1" si="3"/>
        <v>0000000000000000000000BF6464CA110906051017730000000000</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str">
        <f>RIGHT(INDEX($D$9:$D$47,MATCH('EEPROM-Contents'!Y35,$B$9:$B$47,0)),2)</f>
        <v>BF</v>
      </c>
      <c r="X41" s="85" t="str">
        <f>RIGHT(INDEX($D$9:$D$47,MATCH('EEPROM-Contents'!Z35,$B$9:$B$47,0)),2)</f>
        <v>64</v>
      </c>
      <c r="Y41" s="85" t="str">
        <f>RIGHT(INDEX($D$9:$D$47,MATCH('EEPROM-Contents'!AA35,$B$9:$B$47,0)),2)</f>
        <v>64</v>
      </c>
      <c r="Z41" s="85" t="str">
        <f ca="1">RIGHT(INDEX($D$9:$D$47,MATCH('EEPROM-Contents'!AB35,$B$9:$B$47,0)),2)</f>
        <v>CA</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str">
        <f t="shared" ca="1" si="3"/>
        <v>000000000000000000000000000000000000BF6464CA1200000000</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f t="shared" si="4"/>
        <v>191</v>
      </c>
      <c r="D44" s="76" t="str">
        <f>F4</f>
        <v>BF</v>
      </c>
      <c r="E44" s="67" t="str">
        <f>'EEPROM-Contents'!E117</f>
        <v>GAINC</v>
      </c>
      <c r="F44" s="68"/>
      <c r="G44" s="69"/>
    </row>
    <row r="45" spans="2:32" x14ac:dyDescent="0.25">
      <c r="B45" s="86">
        <f>'EEPROM-Contents'!B118</f>
        <v>114</v>
      </c>
      <c r="C45" s="76">
        <f t="shared" si="4"/>
        <v>100</v>
      </c>
      <c r="D45" s="76" t="str">
        <f>J5</f>
        <v>64</v>
      </c>
      <c r="E45" s="67" t="str">
        <f>'EEPROM-Contents'!E118</f>
        <v>Cal Factor for CondyleA</v>
      </c>
      <c r="F45" s="68"/>
      <c r="G45" s="69"/>
    </row>
    <row r="46" spans="2:32" x14ac:dyDescent="0.25">
      <c r="B46" s="86">
        <f>'EEPROM-Contents'!B119</f>
        <v>115</v>
      </c>
      <c r="C46" s="76">
        <f t="shared" si="4"/>
        <v>100</v>
      </c>
      <c r="D46" s="76" t="str">
        <f>K5</f>
        <v>64</v>
      </c>
      <c r="E46" s="67" t="str">
        <f>'EEPROM-Contents'!E119</f>
        <v>Cal Factor for CondyleB</v>
      </c>
      <c r="F46" s="68"/>
      <c r="G46" s="69"/>
    </row>
    <row r="47" spans="2:32" x14ac:dyDescent="0.25">
      <c r="B47" s="86">
        <f>'EEPROM-Contents'!B120</f>
        <v>116</v>
      </c>
      <c r="C47" s="76">
        <f ca="1">255-HEX2DEC(RIGHT(DEC2HEX(SUM(C22:C46)),2))</f>
        <v>202</v>
      </c>
      <c r="D47" s="76" t="str">
        <f ca="1">DEC2HEX($C$47,2)</f>
        <v>CA</v>
      </c>
      <c r="E47" s="67" t="str">
        <f>'EEPROM-Contents'!E120</f>
        <v>Checksum</v>
      </c>
      <c r="F47" s="68"/>
      <c r="G47" s="69"/>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52" t="s">
        <v>325</v>
      </c>
      <c r="C2" s="352"/>
      <c r="D2" s="352"/>
      <c r="E2" s="352"/>
      <c r="F2" s="352"/>
      <c r="G2" s="352"/>
      <c r="H2" s="352"/>
      <c r="I2" s="352"/>
      <c r="J2" s="352"/>
      <c r="K2" s="352"/>
      <c r="L2" s="352"/>
    </row>
    <row r="3" spans="2:32" x14ac:dyDescent="0.25">
      <c r="B3" s="62" t="s">
        <v>197</v>
      </c>
      <c r="C3" s="62" t="s">
        <v>297</v>
      </c>
      <c r="D3" s="62" t="s">
        <v>298</v>
      </c>
      <c r="E3" s="62" t="s">
        <v>299</v>
      </c>
      <c r="F3" s="62" t="s">
        <v>73</v>
      </c>
      <c r="G3" s="62" t="s">
        <v>300</v>
      </c>
      <c r="H3" s="62" t="s">
        <v>301</v>
      </c>
      <c r="I3" s="62" t="s">
        <v>302</v>
      </c>
      <c r="J3" s="62" t="s">
        <v>199</v>
      </c>
      <c r="K3" s="62" t="s">
        <v>200</v>
      </c>
      <c r="L3" s="26" t="s">
        <v>182</v>
      </c>
    </row>
    <row r="4" spans="2:32" x14ac:dyDescent="0.25">
      <c r="B4" s="26">
        <f>'1010-Initial'!B4</f>
        <v>6003</v>
      </c>
      <c r="C4" s="26">
        <f>'1010-Initial'!C4</f>
        <v>5</v>
      </c>
      <c r="D4" s="26">
        <f>'1010-Initial'!D4</f>
        <v>0</v>
      </c>
      <c r="E4" s="26">
        <f>'1010-Initial'!E4</f>
        <v>0</v>
      </c>
      <c r="F4" s="26" t="str">
        <f>'1010-Initial'!F4</f>
        <v>BF</v>
      </c>
      <c r="G4" s="26">
        <f>INDEX('FTS-Initialization'!$W$20:$W$32,MATCH(FLOOR($B$4,1000),'FTS-Initialization'!$V$20:$V$32,0))</f>
        <v>84</v>
      </c>
      <c r="H4" s="26" t="str">
        <f>INDEX('FTS-Initialization'!$X$20:$X$32,MATCH(FLOOR($B$4,1000),'FTS-Initialization'!$V$20:$V$32,0))</f>
        <v>TKA</v>
      </c>
      <c r="I4" s="61">
        <f ca="1">TODAY()</f>
        <v>42506</v>
      </c>
      <c r="J4" s="26">
        <f>'FTS-Initialization'!$AA$29</f>
        <v>100</v>
      </c>
      <c r="K4" s="26">
        <f>'FTS-Initialization'!$AA$29</f>
        <v>100</v>
      </c>
      <c r="L4" s="26">
        <v>9</v>
      </c>
    </row>
    <row r="5" spans="2:32"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10</v>
      </c>
      <c r="I5" s="72" t="str">
        <f>DEC2HEX('FTS-Initialization'!$AA$31,2)</f>
        <v>00</v>
      </c>
      <c r="J5" s="72" t="str">
        <f t="shared" ref="J5:K5" si="0">DEC2HEX(J4)</f>
        <v>64</v>
      </c>
      <c r="K5" s="72" t="str">
        <f t="shared" si="0"/>
        <v>64</v>
      </c>
      <c r="L5" s="72" t="str">
        <f>DEC2HEX(L4,2)</f>
        <v>09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row>
    <row r="8" spans="2:32" ht="15.75" thickBot="1" x14ac:dyDescent="0.3">
      <c r="B8" t="s">
        <v>417</v>
      </c>
      <c r="I8" t="s">
        <v>420</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'EEPROM-Contents'!E33</f>
        <v>SEN(0) X</v>
      </c>
      <c r="F9" s="71"/>
      <c r="G9" s="74"/>
      <c r="I9" s="95" t="s">
        <v>193</v>
      </c>
      <c r="J9" s="95" t="s">
        <v>421</v>
      </c>
      <c r="K9" s="95" t="s">
        <v>434</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2" x14ac:dyDescent="0.25">
      <c r="B10" s="86">
        <f>'EEPROM-Contents'!B34</f>
        <v>30</v>
      </c>
      <c r="C10" s="75">
        <f t="shared" ca="1" si="2"/>
        <v>2</v>
      </c>
      <c r="D10" s="78" t="str">
        <f ca="1">DEC2HEX(OFFSET('FTS-Initialization'!AC38,0,MATCH($H$4,'FTS-Initialization'!$AD$36:$AE$36,0)),2)</f>
        <v>02</v>
      </c>
      <c r="E10" s="70" t="str">
        <f>'EEPROM-Contents'!E34</f>
        <v>SEN(1) Y</v>
      </c>
      <c r="F10" s="71"/>
      <c r="G10" s="74"/>
      <c r="I10" s="86" t="s">
        <v>346</v>
      </c>
      <c r="J10" s="86">
        <v>3</v>
      </c>
      <c r="K10" s="96">
        <f>J10/$J$24</f>
        <v>0.25</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2" x14ac:dyDescent="0.25">
      <c r="B11" s="86">
        <f>'EEPROM-Contents'!B35</f>
        <v>31</v>
      </c>
      <c r="C11" s="75">
        <f t="shared" ca="1" si="2"/>
        <v>2</v>
      </c>
      <c r="D11" s="78" t="str">
        <f ca="1">DEC2HEX(OFFSET('FTS-Initialization'!AC39,0,MATCH($H$4,'FTS-Initialization'!$AD$36:$AE$36,0)),2)</f>
        <v>02</v>
      </c>
      <c r="E11" s="70" t="str">
        <f>'EEPROM-Contents'!E35</f>
        <v>SEN(2) Z</v>
      </c>
      <c r="F11" s="71"/>
      <c r="G11" s="74"/>
      <c r="I11" s="86" t="s">
        <v>422</v>
      </c>
      <c r="J11" s="86">
        <v>4</v>
      </c>
      <c r="K11" s="96">
        <f t="shared" ref="K11:K24" si="3">J11/$J$24</f>
        <v>0.33333333333333331</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4">CONCATENATE("00000000000000000000",O11,P11,Q11,R11,S11,T11,U11,V11,W11,X11,Y11,Z11,AA11,AB11,AC11,AD11,"00")</f>
        <v>#NUM!</v>
      </c>
    </row>
    <row r="12" spans="2:32" x14ac:dyDescent="0.25">
      <c r="B12" s="86">
        <f>'EEPROM-Contents'!B36</f>
        <v>32</v>
      </c>
      <c r="C12" s="75">
        <f t="shared" ca="1" si="2"/>
        <v>4</v>
      </c>
      <c r="D12" s="78" t="str">
        <f ca="1">DEC2HEX(OFFSET('FTS-Initialization'!AC40,0,MATCH($H$4,'FTS-Initialization'!$AD$36:$AE$36,0)),2)</f>
        <v>04</v>
      </c>
      <c r="E12" s="70" t="str">
        <f>'EEPROM-Contents'!E36</f>
        <v>SEN(3) SP6B</v>
      </c>
      <c r="F12" s="71"/>
      <c r="G12" s="74"/>
      <c r="I12" s="86" t="s">
        <v>423</v>
      </c>
      <c r="J12" s="86">
        <v>5</v>
      </c>
      <c r="K12" s="96">
        <f t="shared" si="3"/>
        <v>0.41666666666666669</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4"/>
        <v>000000000000000000000404040404040403210710022004408400</v>
      </c>
    </row>
    <row r="13" spans="2:32" x14ac:dyDescent="0.25">
      <c r="B13" s="86">
        <f>'EEPROM-Contents'!B37</f>
        <v>33</v>
      </c>
      <c r="C13" s="75">
        <f t="shared" ca="1" si="2"/>
        <v>4</v>
      </c>
      <c r="D13" s="78" t="str">
        <f ca="1">DEC2HEX(OFFSET('FTS-Initialization'!AC41,0,MATCH($H$4,'FTS-Initialization'!$AD$36:$AE$36,0)),2)</f>
        <v>04</v>
      </c>
      <c r="E13" s="70" t="str">
        <f>'EEPROM-Contents'!E37</f>
        <v>SEN(4) SP5B</v>
      </c>
      <c r="F13" s="71"/>
      <c r="G13" s="74"/>
      <c r="I13" s="86" t="s">
        <v>424</v>
      </c>
      <c r="J13" s="86">
        <v>6</v>
      </c>
      <c r="K13" s="96">
        <f t="shared" si="3"/>
        <v>0.5</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4"/>
        <v>00000000000000000000A8062E2F1BD3911B0844000A0F000F6C00</v>
      </c>
    </row>
    <row r="14" spans="2:32" x14ac:dyDescent="0.25">
      <c r="B14" s="86">
        <f>'EEPROM-Contents'!B38</f>
        <v>34</v>
      </c>
      <c r="C14" s="75">
        <f t="shared" ca="1" si="2"/>
        <v>4</v>
      </c>
      <c r="D14" s="78" t="str">
        <f ca="1">DEC2HEX(OFFSET('FTS-Initialization'!AC42,0,MATCH($H$4,'FTS-Initialization'!$AD$36:$AE$36,0)),2)</f>
        <v>04</v>
      </c>
      <c r="E14" s="70" t="str">
        <f>'EEPROM-Contents'!E38</f>
        <v>SEN(5) SP4B</v>
      </c>
      <c r="F14" s="71"/>
      <c r="G14" s="74"/>
      <c r="I14" s="86" t="s">
        <v>425</v>
      </c>
      <c r="J14" s="86">
        <v>7</v>
      </c>
      <c r="K14" s="96">
        <f t="shared" si="3"/>
        <v>0.58333333333333337</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4"/>
        <v>00000000000000000000CC5BF817239A47003018166C0340910000</v>
      </c>
    </row>
    <row r="15" spans="2:32" x14ac:dyDescent="0.25">
      <c r="B15" s="86">
        <f>'EEPROM-Contents'!B39</f>
        <v>35</v>
      </c>
      <c r="C15" s="75">
        <f t="shared" ca="1" si="2"/>
        <v>4</v>
      </c>
      <c r="D15" s="78" t="str">
        <f ca="1">DEC2HEX(OFFSET('FTS-Initialization'!AC43,0,MATCH($H$4,'FTS-Initialization'!$AD$36:$AE$36,0)),2)</f>
        <v>04</v>
      </c>
      <c r="E15" s="70" t="str">
        <f>'EEPROM-Contents'!E39</f>
        <v>SEN(6) SP3B</v>
      </c>
      <c r="F15" s="71"/>
      <c r="G15" s="74"/>
      <c r="I15" s="86" t="s">
        <v>426</v>
      </c>
      <c r="J15" s="86">
        <v>8</v>
      </c>
      <c r="K15" s="96">
        <f t="shared" si="3"/>
        <v>0.66666666666666663</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4"/>
        <v>00000000000000000000C0785610EA2A001F410000000000000900</v>
      </c>
    </row>
    <row r="16" spans="2:32" x14ac:dyDescent="0.25">
      <c r="B16" s="86">
        <f>'EEPROM-Contents'!B40</f>
        <v>36</v>
      </c>
      <c r="C16" s="75">
        <f t="shared" ca="1" si="2"/>
        <v>4</v>
      </c>
      <c r="D16" s="78" t="str">
        <f ca="1">DEC2HEX(OFFSET('FTS-Initialization'!AC44,0,MATCH($H$4,'FTS-Initialization'!$AD$36:$AE$36,0)),2)</f>
        <v>04</v>
      </c>
      <c r="E16" s="70" t="str">
        <f>'EEPROM-Contents'!E40</f>
        <v>SEN(7) SP2B</v>
      </c>
      <c r="F16" s="71"/>
      <c r="G16" s="74"/>
      <c r="I16" s="86" t="s">
        <v>427</v>
      </c>
      <c r="J16" s="86">
        <v>9</v>
      </c>
      <c r="K16" s="96">
        <f t="shared" si="3"/>
        <v>0.75</v>
      </c>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4"/>
        <v>000000000000000000000605101773000000000000000000000000</v>
      </c>
    </row>
    <row r="17" spans="2:32" x14ac:dyDescent="0.25">
      <c r="B17" s="86">
        <f>'EEPROM-Contents'!B41</f>
        <v>37</v>
      </c>
      <c r="C17" s="75">
        <f t="shared" ca="1" si="2"/>
        <v>4</v>
      </c>
      <c r="D17" s="78" t="str">
        <f ca="1">DEC2HEX(OFFSET('FTS-Initialization'!AC45,0,MATCH($H$4,'FTS-Initialization'!$AD$36:$AE$36,0)),2)</f>
        <v>04</v>
      </c>
      <c r="E17" s="70" t="str">
        <f>'EEPROM-Contents'!E41</f>
        <v>SEN(8) SP1B</v>
      </c>
      <c r="F17" s="71"/>
      <c r="G17" s="74"/>
      <c r="I17" s="86" t="s">
        <v>428</v>
      </c>
      <c r="J17" s="86">
        <v>10</v>
      </c>
      <c r="K17" s="96">
        <f t="shared" si="3"/>
        <v>0.83333333333333337</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64</v>
      </c>
      <c r="R17" s="85" t="str">
        <f>RIGHT(INDEX($D$9:$D$47,MATCH('EEPROM-Contents'!T11,$B$9:$B$47,0)),2)</f>
        <v>64</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4"/>
        <v>#NUM!</v>
      </c>
    </row>
    <row r="18" spans="2:32" x14ac:dyDescent="0.25">
      <c r="B18" s="86">
        <f>'EEPROM-Contents'!B42</f>
        <v>38</v>
      </c>
      <c r="C18" s="75">
        <f t="shared" ca="1" si="2"/>
        <v>4</v>
      </c>
      <c r="D18" s="78" t="str">
        <f ca="1">DEC2HEX(OFFSET('FTS-Initialization'!AC46,0,MATCH($H$4,'FTS-Initialization'!$AD$36:$AE$36,0)),2)</f>
        <v>04</v>
      </c>
      <c r="E18" s="70" t="str">
        <f>'EEPROM-Contents'!E42</f>
        <v>SEN(9) CP1B</v>
      </c>
      <c r="F18" s="71"/>
      <c r="G18" s="74"/>
      <c r="I18" s="86" t="s">
        <v>429</v>
      </c>
      <c r="J18" s="86">
        <v>11</v>
      </c>
      <c r="K18" s="96">
        <f t="shared" si="3"/>
        <v>0.91666666666666663</v>
      </c>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64</v>
      </c>
      <c r="Y18" s="85" t="str">
        <f>RIGHT(INDEX($D$9:$D$47,MATCH('EEPROM-Contents'!AA12,$B$9:$B$47,0)),2)</f>
        <v>64</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4"/>
        <v>#NUM!</v>
      </c>
    </row>
    <row r="19" spans="2:32" x14ac:dyDescent="0.25">
      <c r="B19" s="86">
        <f>'EEPROM-Contents'!B20</f>
        <v>16</v>
      </c>
      <c r="C19" s="75" t="e">
        <f t="shared" si="2"/>
        <v>#NUM!</v>
      </c>
      <c r="D19" s="78" t="e">
        <f>E89</f>
        <v>#NUM!</v>
      </c>
      <c r="E19" s="70" t="str">
        <f>'EEPROM-Contents'!E20</f>
        <v>GAINC</v>
      </c>
      <c r="F19" s="71"/>
      <c r="G19" s="74"/>
      <c r="I19" s="86" t="s">
        <v>198</v>
      </c>
      <c r="J19" s="86">
        <v>12</v>
      </c>
      <c r="K19" s="96">
        <f t="shared" si="3"/>
        <v>1</v>
      </c>
      <c r="N19" s="79" t="s">
        <v>352</v>
      </c>
      <c r="O19" s="85" t="str">
        <f ca="1">RIGHT(INDEX($D$9:$D$47,MATCH('EEPROM-Contents'!Q13,$B$9:$B$47,0)),2)</f>
        <v>10</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4"/>
        <v>#NUM!</v>
      </c>
    </row>
    <row r="20" spans="2:32" x14ac:dyDescent="0.25">
      <c r="B20" s="86">
        <f>'EEPROM-Contents'!B51</f>
        <v>47</v>
      </c>
      <c r="C20" s="75">
        <f t="shared" si="2"/>
        <v>132</v>
      </c>
      <c r="D20" s="78">
        <f>$G$4</f>
        <v>84</v>
      </c>
      <c r="E20" s="70" t="str">
        <f>'EEPROM-Contents'!E51</f>
        <v>PATBL</v>
      </c>
      <c r="F20" s="71"/>
      <c r="G20" s="74"/>
      <c r="I20" s="86" t="s">
        <v>430</v>
      </c>
      <c r="J20" s="86">
        <v>13</v>
      </c>
      <c r="K20" s="96">
        <f t="shared" si="3"/>
        <v>1.0833333333333333</v>
      </c>
      <c r="N20" s="79" t="s">
        <v>353</v>
      </c>
      <c r="O20" s="85" t="str">
        <f>RIGHT(INDEX($D$9:$D$47,MATCH('EEPROM-Contents'!Q14,$B$9:$B$47,0)),2)</f>
        <v>64</v>
      </c>
      <c r="P20" s="85" t="str">
        <f>RIGHT(INDEX($D$9:$D$47,MATCH('EEPROM-Contents'!R14,$B$9:$B$47,0)),2)</f>
        <v>64</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4"/>
        <v>#NUM!</v>
      </c>
    </row>
    <row r="21" spans="2:32" x14ac:dyDescent="0.25">
      <c r="B21" s="86">
        <f>'EEPROM-Contents'!B63</f>
        <v>59</v>
      </c>
      <c r="C21" s="75">
        <f t="shared" si="2"/>
        <v>10</v>
      </c>
      <c r="D21" s="78" t="str">
        <f>DEC2HEX(2*$C$4,2)</f>
        <v>0A</v>
      </c>
      <c r="E21" s="70" t="str">
        <f>'EEPROM-Contents'!E63</f>
        <v>CHANNR</v>
      </c>
      <c r="F21" s="71"/>
      <c r="G21" s="74"/>
      <c r="I21" s="86" t="s">
        <v>431</v>
      </c>
      <c r="J21" s="86">
        <v>14</v>
      </c>
      <c r="K21" s="96">
        <f t="shared" si="3"/>
        <v>1.1666666666666667</v>
      </c>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64</v>
      </c>
      <c r="W21" s="85" t="str">
        <f>RIGHT(INDEX($D$9:$D$47,MATCH('EEPROM-Contents'!Y15,$B$9:$B$47,0)),2)</f>
        <v>64</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17</v>
      </c>
      <c r="AF21" s="82" t="e">
        <f t="shared" ca="1" si="4"/>
        <v>#NUM!</v>
      </c>
    </row>
    <row r="22" spans="2:32" x14ac:dyDescent="0.25">
      <c r="B22" s="86">
        <f>'EEPROM-Contents'!B95</f>
        <v>91</v>
      </c>
      <c r="C22" s="78">
        <f>HEX2DEC(D22)</f>
        <v>0</v>
      </c>
      <c r="D22" s="78" t="str">
        <f>LEFT(RIGHT($E$5,8),2)</f>
        <v>00</v>
      </c>
      <c r="E22" s="70" t="str">
        <f>'EEPROM-Contents'!E95</f>
        <v>Info byte 1</v>
      </c>
      <c r="F22" s="71"/>
      <c r="G22" s="74"/>
      <c r="I22" s="86" t="s">
        <v>432</v>
      </c>
      <c r="J22" s="86">
        <v>15</v>
      </c>
      <c r="K22" s="96">
        <f t="shared" si="3"/>
        <v>1.25</v>
      </c>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64</v>
      </c>
      <c r="AD22" s="85" t="str">
        <f>RIGHT(INDEX($D$9:$D$47,MATCH('EEPROM-Contents'!AF16,$B$9:$B$47,0)),2)</f>
        <v>64</v>
      </c>
      <c r="AF22" s="82" t="e">
        <f t="shared" si="4"/>
        <v>#NUM!</v>
      </c>
    </row>
    <row r="23" spans="2:32" x14ac:dyDescent="0.25">
      <c r="B23" s="86">
        <f>'EEPROM-Contents'!B96</f>
        <v>92</v>
      </c>
      <c r="C23" s="78">
        <f t="shared" ref="C23:C46" si="5">HEX2DEC(D23)</f>
        <v>0</v>
      </c>
      <c r="D23" s="78" t="str">
        <f>LEFT(RIGHT($E$5,6),2)</f>
        <v>00</v>
      </c>
      <c r="E23" s="70" t="str">
        <f>'EEPROM-Contents'!E96</f>
        <v>Info byte 2</v>
      </c>
      <c r="F23" s="71"/>
      <c r="G23" s="74"/>
      <c r="I23" s="86" t="s">
        <v>433</v>
      </c>
      <c r="J23" s="86">
        <v>16</v>
      </c>
      <c r="K23" s="96">
        <f t="shared" si="3"/>
        <v>1.3333333333333333</v>
      </c>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4"/>
        <v>#NUM!</v>
      </c>
    </row>
    <row r="24" spans="2:32" x14ac:dyDescent="0.25">
      <c r="B24" s="86">
        <f>'EEPROM-Contents'!B97</f>
        <v>93</v>
      </c>
      <c r="C24" s="78">
        <f t="shared" si="5"/>
        <v>0</v>
      </c>
      <c r="D24" s="78" t="str">
        <f>LEFT(RIGHT($E$5,4),2)</f>
        <v>00</v>
      </c>
      <c r="E24" s="70" t="str">
        <f>'EEPROM-Contents'!E97</f>
        <v>Info byte 3</v>
      </c>
      <c r="F24" s="71"/>
      <c r="G24" s="74"/>
      <c r="I24" s="84" t="str">
        <f>F4</f>
        <v>BF</v>
      </c>
      <c r="J24" s="84">
        <f>INDEX($J$10:$J$23,MATCH($I$24,$I$10:$I$23,0))</f>
        <v>12</v>
      </c>
      <c r="K24" s="97">
        <f t="shared" si="3"/>
        <v>1</v>
      </c>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64</v>
      </c>
      <c r="U24" s="85" t="str">
        <f>RIGHT(INDEX($D$9:$D$47,MATCH('EEPROM-Contents'!W18,$B$9:$B$47,0)),2)</f>
        <v>64</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17</v>
      </c>
      <c r="AC24" s="85" t="str">
        <f>RIGHT(INDEX($D$9:$D$47,MATCH('EEPROM-Contents'!AE18,$B$9:$B$47,0)),2)</f>
        <v>73</v>
      </c>
      <c r="AD24" s="85" t="str">
        <f>RIGHT(INDEX($D$9:$D$47,MATCH('EEPROM-Contents'!AF18,$B$9:$B$47,0)),2)</f>
        <v>00</v>
      </c>
      <c r="AF24" s="82" t="e">
        <f t="shared" ca="1" si="4"/>
        <v>#NUM!</v>
      </c>
    </row>
    <row r="25" spans="2:32" x14ac:dyDescent="0.25">
      <c r="B25" s="86">
        <f>'EEPROM-Contents'!B98</f>
        <v>94</v>
      </c>
      <c r="C25" s="78">
        <f t="shared" si="5"/>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64</v>
      </c>
      <c r="AB25" s="85" t="str">
        <f>RIGHT(INDEX($D$9:$D$47,MATCH('EEPROM-Contents'!AD19,$B$9:$B$47,0)),2)</f>
        <v>64</v>
      </c>
      <c r="AC25" s="85" t="e">
        <f ca="1">RIGHT(INDEX($D$9:$D$47,MATCH('EEPROM-Contents'!AE19,$B$9:$B$47,0)),2)</f>
        <v>#NUM!</v>
      </c>
      <c r="AD25" s="80" t="str">
        <f>RIGHT(INDEX('EEPROM-Contents'!$D$4:'EEPROM-Contents'!$D$141,MATCH('EEPROM-Contents'!AF19,'EEPROM-Contents'!$B$4:'EEPROM-Contents'!$B$141,0)),2)</f>
        <v>07</v>
      </c>
      <c r="AF25" s="82" t="e">
        <f t="shared" ca="1" si="4"/>
        <v>#NUM!</v>
      </c>
    </row>
    <row r="26" spans="2:32" x14ac:dyDescent="0.25">
      <c r="B26" s="86">
        <f>'EEPROM-Contents'!B99</f>
        <v>95</v>
      </c>
      <c r="C26" s="76">
        <f t="shared" si="5"/>
        <v>9</v>
      </c>
      <c r="D26" s="76" t="str">
        <f>L5</f>
        <v>09</v>
      </c>
      <c r="E26" s="67" t="str">
        <f>'EEPROM-Contents'!E99</f>
        <v>ASIC Identifier</v>
      </c>
      <c r="F26" s="68"/>
      <c r="G26" s="69"/>
      <c r="I26" s="95" t="s">
        <v>419</v>
      </c>
      <c r="J26" s="95">
        <v>51000</v>
      </c>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4"/>
        <v>000000000000000000000906051017730000000000000000000000</v>
      </c>
    </row>
    <row r="27" spans="2:32" x14ac:dyDescent="0.25">
      <c r="B27" s="86">
        <f>'EEPROM-Contents'!B100</f>
        <v>96</v>
      </c>
      <c r="C27" s="76">
        <f t="shared" ca="1" si="5"/>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64</v>
      </c>
      <c r="S27" s="85" t="str">
        <f>RIGHT(INDEX($D$9:$D$47,MATCH('EEPROM-Contents'!U21,$B$9:$B$47,0)),2)</f>
        <v>64</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4"/>
        <v>#NUM!</v>
      </c>
    </row>
    <row r="28" spans="2:32" x14ac:dyDescent="0.25">
      <c r="B28" s="86">
        <f>'EEPROM-Contents'!B101</f>
        <v>97</v>
      </c>
      <c r="C28" s="76">
        <f t="shared" ca="1" si="5"/>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64</v>
      </c>
      <c r="Z28" s="85" t="str">
        <f>RIGHT(INDEX($D$9:$D$47,MATCH('EEPROM-Contents'!AB22,$B$9:$B$47,0)),2)</f>
        <v>64</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4"/>
        <v>#NUM!</v>
      </c>
    </row>
    <row r="29" spans="2:32" x14ac:dyDescent="0.25">
      <c r="B29" s="86">
        <f>'EEPROM-Contents'!B102</f>
        <v>98</v>
      </c>
      <c r="C29" s="76">
        <f t="shared" ca="1" si="5"/>
        <v>16</v>
      </c>
      <c r="D29" s="76" t="str">
        <f ca="1">H5</f>
        <v>10</v>
      </c>
      <c r="E29" s="67" t="str">
        <f>'EEPROM-Contents'!E102</f>
        <v>Day</v>
      </c>
      <c r="F29" s="68"/>
      <c r="G29" s="69"/>
      <c r="N29" s="79" t="s">
        <v>362</v>
      </c>
      <c r="O29" s="85" t="str">
        <f ca="1">RIGHT(INDEX($D$9:$D$47,MATCH('EEPROM-Contents'!Q23,$B$9:$B$47,0)),2)</f>
        <v>05</v>
      </c>
      <c r="P29" s="85" t="str">
        <f ca="1">RIGHT(INDEX($D$9:$D$47,MATCH('EEPROM-Contents'!R23,$B$9:$B$47,0)),2)</f>
        <v>10</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4"/>
        <v>000000000000000000000510177300000000000000000000000000</v>
      </c>
    </row>
    <row r="30" spans="2:32" x14ac:dyDescent="0.25">
      <c r="B30" s="86">
        <f>'EEPROM-Contents'!B103</f>
        <v>99</v>
      </c>
      <c r="C30" s="76">
        <f t="shared" si="5"/>
        <v>23</v>
      </c>
      <c r="D30" s="76" t="str">
        <f>LEFT(RIGHT($B$5,4),2)</f>
        <v>17</v>
      </c>
      <c r="E30" s="67" t="str">
        <f>'EEPROM-Contents'!E103</f>
        <v>Device Type</v>
      </c>
      <c r="F30" s="68"/>
      <c r="G30" s="69"/>
      <c r="N30" s="79" t="s">
        <v>363</v>
      </c>
      <c r="O30" s="85" t="e">
        <f>RIGHT(INDEX($D$9:$D$47,MATCH('EEPROM-Contents'!Q24,$B$9:$B$47,0)),2)</f>
        <v>#NUM!</v>
      </c>
      <c r="P30" s="85" t="str">
        <f>RIGHT(INDEX($D$9:$D$47,MATCH('EEPROM-Contents'!R24,$B$9:$B$47,0)),2)</f>
        <v>64</v>
      </c>
      <c r="Q30" s="85" t="str">
        <f>RIGHT(INDEX($D$9:$D$47,MATCH('EEPROM-Contents'!S24,$B$9:$B$47,0)),2)</f>
        <v>64</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4"/>
        <v>#NUM!</v>
      </c>
    </row>
    <row r="31" spans="2:32" x14ac:dyDescent="0.25">
      <c r="B31" s="86">
        <f>'EEPROM-Contents'!B104</f>
        <v>100</v>
      </c>
      <c r="C31" s="76">
        <f t="shared" si="5"/>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64</v>
      </c>
      <c r="X31" s="85" t="str">
        <f>RIGHT(INDEX($D$9:$D$47,MATCH('EEPROM-Contents'!Z25,$B$9:$B$47,0)),2)</f>
        <v>64</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10</v>
      </c>
      <c r="AF31" s="82" t="e">
        <f t="shared" ca="1" si="4"/>
        <v>#NUM!</v>
      </c>
    </row>
    <row r="32" spans="2:32" x14ac:dyDescent="0.25">
      <c r="B32" s="86">
        <f>'EEPROM-Contents'!B105</f>
        <v>101</v>
      </c>
      <c r="C32" s="76">
        <f t="shared" si="5"/>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64</v>
      </c>
      <c r="AF32" s="82" t="e">
        <f t="shared" si="4"/>
        <v>#NUM!</v>
      </c>
    </row>
    <row r="33" spans="2:32" x14ac:dyDescent="0.25">
      <c r="B33" s="86">
        <f>'EEPROM-Contents'!B106</f>
        <v>102</v>
      </c>
      <c r="C33" s="76">
        <f t="shared" si="5"/>
        <v>0</v>
      </c>
      <c r="D33" s="76" t="str">
        <f>LEFT(RIGHT($D$5,6),2)</f>
        <v>00</v>
      </c>
      <c r="E33" s="67" t="str">
        <f>'EEPROM-Contents'!E106</f>
        <v>Manufacturer / Lot ID</v>
      </c>
      <c r="F33" s="68"/>
      <c r="G33" s="69"/>
      <c r="N33" s="79" t="s">
        <v>366</v>
      </c>
      <c r="O33" s="85" t="str">
        <f>RIGHT(INDEX($D$9:$D$47,MATCH('EEPROM-Contents'!Q27,$B$9:$B$47,0)),2)</f>
        <v>64</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4"/>
        <v>#NUM!</v>
      </c>
    </row>
    <row r="34" spans="2:32" x14ac:dyDescent="0.25">
      <c r="B34" s="86">
        <f>'EEPROM-Contents'!B107</f>
        <v>103</v>
      </c>
      <c r="C34" s="76">
        <f t="shared" si="5"/>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64</v>
      </c>
      <c r="V34" s="85" t="str">
        <f>RIGHT(INDEX($D$9:$D$47,MATCH('EEPROM-Contents'!X28,$B$9:$B$47,0)),2)</f>
        <v>64</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17</v>
      </c>
      <c r="AD34" s="85" t="str">
        <f>RIGHT(INDEX($D$9:$D$47,MATCH('EEPROM-Contents'!AF28,$B$9:$B$47,0)),2)</f>
        <v>73</v>
      </c>
      <c r="AF34" s="82" t="e">
        <f t="shared" ca="1" si="4"/>
        <v>#NUM!</v>
      </c>
    </row>
    <row r="35" spans="2:32" x14ac:dyDescent="0.25">
      <c r="B35" s="86">
        <f>'EEPROM-Contents'!B108</f>
        <v>104</v>
      </c>
      <c r="C35" s="76">
        <f t="shared" si="5"/>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64</v>
      </c>
      <c r="AC35" s="85" t="str">
        <f>RIGHT(INDEX($D$9:$D$47,MATCH('EEPROM-Contents'!AE29,$B$9:$B$47,0)),2)</f>
        <v>64</v>
      </c>
      <c r="AD35" s="85" t="e">
        <f ca="1">RIGHT(INDEX($D$9:$D$47,MATCH('EEPROM-Contents'!AF29,$B$9:$B$47,0)),2)</f>
        <v>#NUM!</v>
      </c>
      <c r="AF35" s="82" t="e">
        <f t="shared" ca="1" si="4"/>
        <v>#NUM!</v>
      </c>
    </row>
    <row r="36" spans="2:32" x14ac:dyDescent="0.25">
      <c r="B36" s="86">
        <f>'EEPROM-Contents'!B109</f>
        <v>105</v>
      </c>
      <c r="C36" s="76">
        <f t="shared" si="5"/>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4"/>
        <v>000000000000000000000E09060510177300000000000000000000</v>
      </c>
    </row>
    <row r="37" spans="2:32" x14ac:dyDescent="0.25">
      <c r="B37" s="86">
        <f>'EEPROM-Contents'!B110</f>
        <v>106</v>
      </c>
      <c r="C37" s="76">
        <f t="shared" si="5"/>
        <v>0</v>
      </c>
      <c r="D37" s="77" t="str">
        <f t="shared" ref="D37:D43" si="6">$I$5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64</v>
      </c>
      <c r="T37" s="85" t="str">
        <f>RIGHT(INDEX($D$9:$D$47,MATCH('EEPROM-Contents'!V31,$B$9:$B$47,0)),2)</f>
        <v>64</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4"/>
        <v>#NUM!</v>
      </c>
    </row>
    <row r="38" spans="2:32" x14ac:dyDescent="0.25">
      <c r="B38" s="86">
        <f>'EEPROM-Contents'!B111</f>
        <v>107</v>
      </c>
      <c r="C38" s="76">
        <f t="shared" si="5"/>
        <v>0</v>
      </c>
      <c r="D38" s="77" t="str">
        <f t="shared" si="6"/>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64</v>
      </c>
      <c r="AA38" s="85" t="str">
        <f>RIGHT(INDEX($D$9:$D$47,MATCH('EEPROM-Contents'!AC32,$B$9:$B$47,0)),2)</f>
        <v>64</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4"/>
        <v>#NUM!</v>
      </c>
    </row>
    <row r="39" spans="2:32" x14ac:dyDescent="0.25">
      <c r="B39" s="86">
        <f>'EEPROM-Contents'!B112</f>
        <v>108</v>
      </c>
      <c r="C39" s="76">
        <f t="shared" si="5"/>
        <v>0</v>
      </c>
      <c r="D39" s="77" t="str">
        <f t="shared" si="6"/>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4"/>
        <v>000000000000000000000605101773000000000000000000000000</v>
      </c>
    </row>
    <row r="40" spans="2:32" x14ac:dyDescent="0.25">
      <c r="B40" s="86">
        <f>'EEPROM-Contents'!B113</f>
        <v>109</v>
      </c>
      <c r="C40" s="76">
        <f t="shared" si="5"/>
        <v>0</v>
      </c>
      <c r="D40" s="77" t="str">
        <f t="shared" si="6"/>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64</v>
      </c>
      <c r="R40" s="85" t="str">
        <f>RIGHT(INDEX($D$9:$D$47,MATCH('EEPROM-Contents'!T34,$B$9:$B$47,0)),2)</f>
        <v>64</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4"/>
        <v>#NUM!</v>
      </c>
    </row>
    <row r="41" spans="2:32" ht="15.75" thickBot="1" x14ac:dyDescent="0.3">
      <c r="B41" s="86">
        <f>'EEPROM-Contents'!B114</f>
        <v>110</v>
      </c>
      <c r="C41" s="76">
        <f t="shared" si="5"/>
        <v>0</v>
      </c>
      <c r="D41" s="77" t="str">
        <f t="shared" si="6"/>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64</v>
      </c>
      <c r="Y41" s="85" t="str">
        <f>RIGHT(INDEX($D$9:$D$47,MATCH('EEPROM-Contents'!AA35,$B$9:$B$47,0)),2)</f>
        <v>64</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4"/>
        <v>#NUM!</v>
      </c>
    </row>
    <row r="42" spans="2:32" x14ac:dyDescent="0.25">
      <c r="B42" s="86">
        <f>'EEPROM-Contents'!B115</f>
        <v>111</v>
      </c>
      <c r="C42" s="76">
        <f t="shared" si="5"/>
        <v>0</v>
      </c>
      <c r="D42" s="77" t="str">
        <f t="shared" si="6"/>
        <v>00</v>
      </c>
      <c r="E42" s="67" t="str">
        <f>'EEPROM-Contents'!E115</f>
        <v>Voltage Cal</v>
      </c>
      <c r="F42" s="68"/>
      <c r="G42" s="69"/>
    </row>
    <row r="43" spans="2:32" x14ac:dyDescent="0.25">
      <c r="B43" s="86">
        <f>'EEPROM-Contents'!B116</f>
        <v>112</v>
      </c>
      <c r="C43" s="76">
        <f t="shared" si="5"/>
        <v>0</v>
      </c>
      <c r="D43" s="77" t="str">
        <f t="shared" si="6"/>
        <v>00</v>
      </c>
      <c r="E43" s="67" t="str">
        <f>'EEPROM-Contents'!E116</f>
        <v>Voltage Cal</v>
      </c>
      <c r="F43" s="68"/>
      <c r="G43" s="69"/>
    </row>
    <row r="44" spans="2:32" x14ac:dyDescent="0.25">
      <c r="B44" s="86">
        <f>'EEPROM-Contents'!B117</f>
        <v>113</v>
      </c>
      <c r="C44" s="76" t="e">
        <f t="shared" si="5"/>
        <v>#NUM!</v>
      </c>
      <c r="D44" s="76" t="e">
        <f>D19</f>
        <v>#NUM!</v>
      </c>
      <c r="E44" s="67" t="str">
        <f>'EEPROM-Contents'!E117</f>
        <v>GAINC</v>
      </c>
      <c r="F44" s="68"/>
      <c r="G44" s="69"/>
    </row>
    <row r="45" spans="2:32" x14ac:dyDescent="0.25">
      <c r="B45" s="86">
        <f>'EEPROM-Contents'!B118</f>
        <v>114</v>
      </c>
      <c r="C45" s="76">
        <f t="shared" si="5"/>
        <v>100</v>
      </c>
      <c r="D45" s="76" t="str">
        <f>J5</f>
        <v>64</v>
      </c>
      <c r="E45" s="67" t="str">
        <f>'EEPROM-Contents'!E118</f>
        <v>Cal Factor for CondyleA</v>
      </c>
      <c r="F45" s="68"/>
      <c r="G45" s="69"/>
    </row>
    <row r="46" spans="2:32" x14ac:dyDescent="0.25">
      <c r="B46" s="86">
        <f>'EEPROM-Contents'!B119</f>
        <v>115</v>
      </c>
      <c r="C46" s="76">
        <f t="shared" si="5"/>
        <v>100</v>
      </c>
      <c r="D46" s="76" t="str">
        <f>K5</f>
        <v>64</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404</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37">
        <v>0</v>
      </c>
      <c r="C51" s="24"/>
      <c r="D51" s="24"/>
      <c r="E51" s="24"/>
      <c r="F51" s="24"/>
      <c r="G51" s="24"/>
      <c r="H51" s="24"/>
      <c r="I51" s="24"/>
      <c r="J51" s="24"/>
    </row>
    <row r="53" spans="2:12" x14ac:dyDescent="0.25">
      <c r="B53" s="354" t="s">
        <v>405</v>
      </c>
      <c r="C53" s="355"/>
      <c r="D53" s="355"/>
      <c r="E53" s="355"/>
      <c r="F53" s="355"/>
      <c r="G53" s="89" t="s">
        <v>410</v>
      </c>
      <c r="H53" s="89">
        <f>'FTS-Initialization'!$O$27</f>
        <v>18000</v>
      </c>
      <c r="I53" s="89" t="s">
        <v>411</v>
      </c>
      <c r="J53" s="89">
        <f>'FTS-Initialization'!$O$26</f>
        <v>24000</v>
      </c>
      <c r="L53" s="91" t="s">
        <v>414</v>
      </c>
    </row>
    <row r="54" spans="2:12" x14ac:dyDescent="0.25">
      <c r="B54" s="36" t="s">
        <v>231</v>
      </c>
      <c r="C54" s="36">
        <f>J51</f>
        <v>0</v>
      </c>
      <c r="I54" s="36" t="s">
        <v>407</v>
      </c>
      <c r="J54" s="36" t="b">
        <f>IF(AND(C54&gt;=H53,C54&lt;=J53),TRUE,FALSE)</f>
        <v>0</v>
      </c>
      <c r="L54" s="91">
        <f>IF(J54,0,IF(C54&lt;H53,'FTS-Initialization'!N73,IF(C54&gt;J53,'FTS-Initialization'!N72,0)))</f>
        <v>36</v>
      </c>
    </row>
    <row r="56" spans="2:12" x14ac:dyDescent="0.25">
      <c r="B56" s="354" t="s">
        <v>406</v>
      </c>
      <c r="C56" s="355"/>
      <c r="D56" s="355"/>
      <c r="E56" s="355"/>
      <c r="F56" s="355"/>
      <c r="G56" s="355"/>
      <c r="H56" s="355"/>
      <c r="I56" s="89" t="s">
        <v>206</v>
      </c>
      <c r="J56" s="89">
        <f>'FTS-Initialization'!$O$28</f>
        <v>65000</v>
      </c>
      <c r="L56" s="91" t="s">
        <v>414</v>
      </c>
    </row>
    <row r="57" spans="2:12" x14ac:dyDescent="0.25">
      <c r="B57" s="36" t="s">
        <v>412</v>
      </c>
      <c r="C57" s="36">
        <f>MAX($C$51:$I$51)</f>
        <v>0</v>
      </c>
      <c r="I57" s="36" t="s">
        <v>407</v>
      </c>
      <c r="J57" s="36" t="b">
        <f>IF($C$57&lt;=$J$56,TRUE,FALSE)</f>
        <v>1</v>
      </c>
      <c r="L57" s="91">
        <f>IF(J57,0,'FTS-Initialization'!$N$75)</f>
        <v>0</v>
      </c>
    </row>
    <row r="60" spans="2:12" x14ac:dyDescent="0.25">
      <c r="B60" s="354" t="s">
        <v>408</v>
      </c>
      <c r="C60" s="355"/>
      <c r="D60" s="355"/>
      <c r="E60" s="355"/>
      <c r="F60" s="355"/>
      <c r="G60" s="355"/>
      <c r="H60" s="355"/>
      <c r="I60" s="89" t="s">
        <v>206</v>
      </c>
      <c r="J60" s="90">
        <f>'FTS-Initialization'!O30/100</f>
        <v>0.3</v>
      </c>
    </row>
    <row r="61" spans="2:12" x14ac:dyDescent="0.25">
      <c r="B61" s="36" t="s">
        <v>409</v>
      </c>
      <c r="C61" s="36" t="str">
        <f>C50</f>
        <v>S3</v>
      </c>
      <c r="D61" s="36" t="str">
        <f t="shared" ref="D61:I61" si="7">D50</f>
        <v>S4</v>
      </c>
      <c r="E61" s="36" t="str">
        <f t="shared" si="7"/>
        <v>S5</v>
      </c>
      <c r="F61" s="36" t="str">
        <f t="shared" si="7"/>
        <v>S6</v>
      </c>
      <c r="G61" s="36" t="str">
        <f t="shared" si="7"/>
        <v>S7</v>
      </c>
      <c r="H61" s="36" t="str">
        <f t="shared" si="7"/>
        <v>S8</v>
      </c>
      <c r="I61" s="36" t="str">
        <f t="shared" si="7"/>
        <v>S9</v>
      </c>
      <c r="J61" s="36" t="s">
        <v>407</v>
      </c>
      <c r="L61" s="91" t="s">
        <v>414</v>
      </c>
    </row>
    <row r="62" spans="2:12" x14ac:dyDescent="0.25">
      <c r="B62" s="87" t="e">
        <f>MEDIAN(C51:I51)</f>
        <v>#NUM!</v>
      </c>
      <c r="C62" s="88" t="e">
        <f>ABS(C51-$B$62)/$B$62</f>
        <v>#NUM!</v>
      </c>
      <c r="D62" s="88" t="e">
        <f t="shared" ref="D62:I62" si="8">ABS(D51-$B$62)/$B$62</f>
        <v>#NUM!</v>
      </c>
      <c r="E62" s="88" t="e">
        <f t="shared" si="8"/>
        <v>#NUM!</v>
      </c>
      <c r="F62" s="88" t="e">
        <f t="shared" si="8"/>
        <v>#NUM!</v>
      </c>
      <c r="G62" s="88" t="e">
        <f t="shared" si="8"/>
        <v>#NUM!</v>
      </c>
      <c r="H62" s="88" t="e">
        <f t="shared" si="8"/>
        <v>#NUM!</v>
      </c>
      <c r="I62" s="88" t="e">
        <f t="shared" si="8"/>
        <v>#NUM!</v>
      </c>
      <c r="J62" s="36" t="e">
        <f>IF(MAX(C62:I62)&lt;=$J$60,TRUE,FALSE)</f>
        <v>#NUM!</v>
      </c>
      <c r="L62" s="91" t="e">
        <f>IF(J62,0,'FTS-Initialization'!$N$74)</f>
        <v>#NUM!</v>
      </c>
    </row>
    <row r="64" spans="2:12" x14ac:dyDescent="0.25">
      <c r="B64" s="354" t="s">
        <v>418</v>
      </c>
      <c r="C64" s="355"/>
      <c r="D64" s="355"/>
      <c r="E64" s="355"/>
      <c r="F64" s="355"/>
      <c r="G64" s="355"/>
      <c r="H64" s="355"/>
      <c r="I64" s="355"/>
      <c r="J64" s="356"/>
    </row>
    <row r="65" spans="2:12" x14ac:dyDescent="0.25">
      <c r="B65" s="36" t="s">
        <v>409</v>
      </c>
      <c r="C65" s="89" t="s">
        <v>419</v>
      </c>
      <c r="D65" s="36" t="s">
        <v>435</v>
      </c>
      <c r="I65" s="36" t="s">
        <v>73</v>
      </c>
      <c r="J65" s="36" t="s">
        <v>435</v>
      </c>
    </row>
    <row r="66" spans="2:12" x14ac:dyDescent="0.25">
      <c r="B66" s="36" t="e">
        <f>B62</f>
        <v>#NUM!</v>
      </c>
      <c r="C66" s="94">
        <f>$J$26</f>
        <v>51000</v>
      </c>
      <c r="D66" s="36" t="e">
        <f>B66/C66</f>
        <v>#NUM!</v>
      </c>
      <c r="I66" s="98" t="e">
        <f>INDEX($I$10:$I$23,MATCH($D$66,$K$10:$K$23,1))</f>
        <v>#NUM!</v>
      </c>
      <c r="J66" s="99" t="e">
        <f>INDEX($K$10:$K$23,MATCH(I66,$I$10:$I$23,0))</f>
        <v>#NUM!</v>
      </c>
    </row>
    <row r="68" spans="2:12" x14ac:dyDescent="0.25">
      <c r="B68" s="354" t="s">
        <v>436</v>
      </c>
      <c r="C68" s="355"/>
      <c r="D68" s="355"/>
      <c r="E68" s="355"/>
      <c r="F68" s="355"/>
      <c r="G68" s="355"/>
      <c r="H68" s="355"/>
      <c r="I68" s="355"/>
      <c r="J68" s="356"/>
    </row>
    <row r="69" spans="2:12" x14ac:dyDescent="0.25">
      <c r="B69" s="89" t="s">
        <v>411</v>
      </c>
      <c r="C69" s="36" t="str">
        <f>C61</f>
        <v>S3</v>
      </c>
      <c r="D69" s="36" t="str">
        <f t="shared" ref="D69:I69" si="9">D61</f>
        <v>S4</v>
      </c>
      <c r="E69" s="36" t="str">
        <f t="shared" si="9"/>
        <v>S5</v>
      </c>
      <c r="F69" s="36" t="str">
        <f t="shared" si="9"/>
        <v>S6</v>
      </c>
      <c r="G69" s="36" t="str">
        <f t="shared" si="9"/>
        <v>S7</v>
      </c>
      <c r="H69" s="36" t="str">
        <f t="shared" si="9"/>
        <v>S8</v>
      </c>
      <c r="I69" s="36" t="str">
        <f t="shared" si="9"/>
        <v>S9</v>
      </c>
      <c r="J69" s="36" t="s">
        <v>407</v>
      </c>
      <c r="L69" s="91" t="s">
        <v>414</v>
      </c>
    </row>
    <row r="70" spans="2:12" x14ac:dyDescent="0.25">
      <c r="B70" s="94">
        <f>'FTS-Initialization'!$O$28</f>
        <v>65000</v>
      </c>
      <c r="C70" s="100" t="e">
        <f>C51/$J$66</f>
        <v>#NUM!</v>
      </c>
      <c r="D70" s="100" t="e">
        <f t="shared" ref="D70:I70" si="10">D51/$J$66</f>
        <v>#NUM!</v>
      </c>
      <c r="E70" s="100" t="e">
        <f t="shared" si="10"/>
        <v>#NUM!</v>
      </c>
      <c r="F70" s="100" t="e">
        <f t="shared" si="10"/>
        <v>#NUM!</v>
      </c>
      <c r="G70" s="100" t="e">
        <f t="shared" si="10"/>
        <v>#NUM!</v>
      </c>
      <c r="H70" s="100" t="e">
        <f t="shared" si="10"/>
        <v>#NUM!</v>
      </c>
      <c r="I70" s="100" t="e">
        <f t="shared" si="10"/>
        <v>#NUM!</v>
      </c>
      <c r="J70" s="36" t="e">
        <f>IF(MAX($C$70:$I$70)&lt;=$B$70,TRUE,FALSE)</f>
        <v>#NUM!</v>
      </c>
      <c r="L70" s="91" t="e">
        <f>IF(J70,0,'FTS-Initialization'!$N$75)</f>
        <v>#NUM!</v>
      </c>
    </row>
    <row r="88" spans="2:5" x14ac:dyDescent="0.25">
      <c r="B88" s="353" t="s">
        <v>415</v>
      </c>
      <c r="C88" s="353"/>
      <c r="D88" s="353"/>
      <c r="E88" s="353"/>
    </row>
    <row r="89" spans="2:5" x14ac:dyDescent="0.25">
      <c r="B89" s="92" t="s">
        <v>416</v>
      </c>
      <c r="C89" s="93" t="e">
        <f>MAX(L54,L57,L62,L70)</f>
        <v>#NUM!</v>
      </c>
      <c r="D89" s="92" t="s">
        <v>73</v>
      </c>
      <c r="E89" s="93"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52" t="s">
        <v>296</v>
      </c>
      <c r="C2" s="352"/>
      <c r="D2" s="352"/>
      <c r="E2" s="352"/>
      <c r="F2" s="352"/>
      <c r="G2" s="352"/>
      <c r="H2" s="352"/>
      <c r="I2" s="352"/>
      <c r="J2" s="352"/>
      <c r="K2" s="352"/>
      <c r="L2" s="352"/>
    </row>
    <row r="3" spans="2:38" x14ac:dyDescent="0.25">
      <c r="B3" s="62" t="s">
        <v>197</v>
      </c>
      <c r="C3" s="62" t="s">
        <v>297</v>
      </c>
      <c r="D3" s="62" t="s">
        <v>298</v>
      </c>
      <c r="E3" s="62" t="s">
        <v>299</v>
      </c>
      <c r="F3" s="62" t="s">
        <v>73</v>
      </c>
      <c r="G3" s="62" t="s">
        <v>300</v>
      </c>
      <c r="H3" s="62" t="s">
        <v>301</v>
      </c>
      <c r="I3" s="62" t="s">
        <v>302</v>
      </c>
      <c r="J3" s="62" t="s">
        <v>199</v>
      </c>
      <c r="K3" s="62" t="s">
        <v>200</v>
      </c>
      <c r="L3" s="26" t="s">
        <v>182</v>
      </c>
    </row>
    <row r="4" spans="2:38" x14ac:dyDescent="0.25">
      <c r="B4" s="26">
        <f>'1010-Initial'!B4</f>
        <v>6003</v>
      </c>
      <c r="C4" s="26">
        <f>'1010-Initial'!C4</f>
        <v>5</v>
      </c>
      <c r="D4" s="26">
        <f>'1010-Initial'!D4</f>
        <v>0</v>
      </c>
      <c r="E4" s="26">
        <f>'1010-Initial'!E4</f>
        <v>0</v>
      </c>
      <c r="F4" s="26" t="e">
        <f>'1010-GAINC'!E89</f>
        <v>#NUM!</v>
      </c>
      <c r="G4" s="26">
        <f>INDEX('FTS-Initialization'!$W$20:$W$32,MATCH(FLOOR($B$4,1000),'FTS-Initialization'!$V$20:$V$32,0))</f>
        <v>84</v>
      </c>
      <c r="H4" s="26" t="str">
        <f>INDEX('FTS-Initialization'!$X$20:$X$32,MATCH(FLOOR($B$4,1000),'FTS-Initialization'!$V$20:$V$32,0))</f>
        <v>TKA</v>
      </c>
      <c r="I4" s="61">
        <f ca="1">TODAY()</f>
        <v>42506</v>
      </c>
      <c r="J4" s="26"/>
      <c r="K4" s="26"/>
      <c r="L4" s="26">
        <v>9</v>
      </c>
    </row>
    <row r="5" spans="2:38" x14ac:dyDescent="0.25">
      <c r="B5" s="72" t="str">
        <f>DEC2HEX(B4,4)</f>
        <v>1773</v>
      </c>
      <c r="C5" s="72" t="str">
        <f>DEC2HEX(C4*2,2)</f>
        <v>0A</v>
      </c>
      <c r="D5" s="72" t="str">
        <f>DEC2HEX(D4,8)</f>
        <v>00000000</v>
      </c>
      <c r="E5" s="72" t="str">
        <f>DEC2HEX(E4,8)</f>
        <v>00000000</v>
      </c>
      <c r="F5" s="73" t="str">
        <f ca="1">DEC2HEX(YEAR($I$4)-2010,2)</f>
        <v>06</v>
      </c>
      <c r="G5" s="72" t="str">
        <f ca="1">DEC2HEX(MONTH($I$4),2)</f>
        <v>05</v>
      </c>
      <c r="H5" s="72" t="str">
        <f ca="1">DEC2HEX(DAY($I$4),2)</f>
        <v>10</v>
      </c>
      <c r="I5" s="72" t="str">
        <f>DEC2HEX('FTS-Initialization'!$AA$31,2)</f>
        <v>00</v>
      </c>
      <c r="J5" s="72"/>
      <c r="K5" s="72"/>
      <c r="L5" s="72" t="str">
        <f>DEC2HEX(L4,2)</f>
        <v>09</v>
      </c>
    </row>
    <row r="6" spans="2:38" x14ac:dyDescent="0.25">
      <c r="B6" s="62" t="str">
        <f>B3</f>
        <v>DevType</v>
      </c>
      <c r="C6" s="62" t="str">
        <f t="shared" ref="C6:E6" si="0">C3</f>
        <v>Channel</v>
      </c>
      <c r="D6" s="62" t="str">
        <f t="shared" si="0"/>
        <v>Lot #</v>
      </c>
      <c r="E6" s="62" t="str">
        <f t="shared" si="0"/>
        <v>Serial #</v>
      </c>
      <c r="F6" s="62" t="s">
        <v>185</v>
      </c>
      <c r="G6" s="62" t="s">
        <v>183</v>
      </c>
      <c r="H6" s="62" t="s">
        <v>184</v>
      </c>
      <c r="I6" s="62" t="s">
        <v>324</v>
      </c>
      <c r="J6" s="62" t="s">
        <v>199</v>
      </c>
      <c r="K6" s="62" t="s">
        <v>200</v>
      </c>
      <c r="L6" s="26" t="s">
        <v>323</v>
      </c>
    </row>
    <row r="8" spans="2:38" ht="15.75" thickBot="1" x14ac:dyDescent="0.3">
      <c r="B8" t="s">
        <v>417</v>
      </c>
      <c r="N8" t="s">
        <v>402</v>
      </c>
      <c r="AF8" t="s">
        <v>403</v>
      </c>
    </row>
    <row r="9" spans="2:38" x14ac:dyDescent="0.25">
      <c r="B9" s="86">
        <f>'EEPROM-Contents'!B33</f>
        <v>29</v>
      </c>
      <c r="C9" s="75">
        <f t="shared" ref="C9:C21" ca="1" si="1">HEX2DEC(D9)</f>
        <v>2</v>
      </c>
      <c r="D9" s="78" t="str">
        <f ca="1">DEC2HEX(OFFSET('FTS-Initialization'!AC37,0,MATCH(H4,'FTS-Initialization'!$AD$36:$AE$36,0)),2)</f>
        <v>02</v>
      </c>
      <c r="E9" s="70" t="str">
        <f>'EEPROM-Contents'!E33</f>
        <v>SEN(0) X</v>
      </c>
      <c r="F9" s="71"/>
      <c r="G9" s="74"/>
      <c r="K9" s="102" t="s">
        <v>199</v>
      </c>
      <c r="L9" s="102" t="s">
        <v>200</v>
      </c>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
        <v>375</v>
      </c>
    </row>
    <row r="10" spans="2:38" x14ac:dyDescent="0.25">
      <c r="B10" s="86">
        <f>'EEPROM-Contents'!B34</f>
        <v>30</v>
      </c>
      <c r="C10" s="75">
        <f t="shared" ca="1" si="1"/>
        <v>2</v>
      </c>
      <c r="D10" s="78" t="str">
        <f ca="1">DEC2HEX(OFFSET('FTS-Initialization'!AC38,0,MATCH($H$4,'FTS-Initialization'!$AD$36:$AE$36,0)),2)</f>
        <v>02</v>
      </c>
      <c r="E10" s="70" t="str">
        <f>'EEPROM-Contents'!E34</f>
        <v>SEN(1) Y</v>
      </c>
      <c r="F10" s="71"/>
      <c r="G10" s="74"/>
      <c r="K10" s="102">
        <f>E137</f>
        <v>0</v>
      </c>
      <c r="L10" s="102">
        <f>G137</f>
        <v>0</v>
      </c>
      <c r="N10" s="79" t="s">
        <v>327</v>
      </c>
      <c r="O10" s="80" t="str">
        <f>RIGHT(INDEX('EEPROM-Contents'!$D$4:'EEPROM-Contents'!$D$141,MATCH('EEPROM-Contents'!Q4,'EEPROM-Contents'!$B$4:'EEPROM-Contents'!$B$141,0)),2)</f>
        <v>1B</v>
      </c>
      <c r="P10" s="80" t="str">
        <f>RIGHT(INDEX('EEPROM-Contents'!$D$4:'EEPROM-Contents'!$D$141,MATCH('EEPROM-Contents'!R4,'EEPROM-Contents'!$B$4:'EEPROM-Contents'!$B$141,0)),2)</f>
        <v>00</v>
      </c>
      <c r="Q10" s="80" t="str">
        <f>RIGHT(INDEX('EEPROM-Contents'!$D$4:'EEPROM-Contents'!$D$141,MATCH('EEPROM-Contents'!S4,'EEPROM-Contents'!$B$4:'EEPROM-Contents'!$B$141,0)),2)</f>
        <v>00</v>
      </c>
      <c r="R10" s="80" t="str">
        <f>RIGHT(INDEX('EEPROM-Contents'!$D$4:'EEPROM-Contents'!$D$141,MATCH('EEPROM-Contents'!T4,'EEPROM-Contents'!$B$4:'EEPROM-Contents'!$B$141,0)),2)</f>
        <v>00</v>
      </c>
      <c r="S10" s="80" t="str">
        <f>RIGHT(INDEX('EEPROM-Contents'!$D$4:'EEPROM-Contents'!$D$141,MATCH('EEPROM-Contents'!U4,'EEPROM-Contents'!$B$4:'EEPROM-Contents'!$B$141,0)),2)</f>
        <v>00</v>
      </c>
      <c r="T10" s="80" t="str">
        <f>RIGHT(INDEX('EEPROM-Contents'!$D$4:'EEPROM-Contents'!$D$141,MATCH('EEPROM-Contents'!V4,'EEPROM-Contents'!$B$4:'EEPROM-Contents'!$B$141,0)),2)</f>
        <v>00</v>
      </c>
      <c r="U10" s="80" t="str">
        <f>RIGHT(INDEX('EEPROM-Contents'!$D$4:'EEPROM-Contents'!$D$141,MATCH('EEPROM-Contents'!W4,'EEPROM-Contents'!$B$4:'EEPROM-Contents'!$B$141,0)),2)</f>
        <v>00</v>
      </c>
      <c r="V10" s="80" t="str">
        <f>RIGHT(INDEX('EEPROM-Contents'!$D$4:'EEPROM-Contents'!$D$141,MATCH('EEPROM-Contents'!X4,'EEPROM-Contents'!$B$4:'EEPROM-Contents'!$B$141,0)),2)</f>
        <v>00</v>
      </c>
      <c r="W10" s="80" t="str">
        <f>RIGHT(INDEX('EEPROM-Contents'!$D$4:'EEPROM-Contents'!$D$141,MATCH('EEPROM-Contents'!Y4,'EEPROM-Contents'!$B$4:'EEPROM-Contents'!$B$141,0)),2)</f>
        <v>84</v>
      </c>
      <c r="X10" s="80" t="str">
        <f>RIGHT(INDEX('EEPROM-Contents'!$D$4:'EEPROM-Contents'!$D$141,MATCH('EEPROM-Contents'!Z4,'EEPROM-Contents'!$B$4:'EEPROM-Contents'!$B$141,0)),2)</f>
        <v>60</v>
      </c>
      <c r="Y10" s="80" t="str">
        <f>RIGHT(INDEX('EEPROM-Contents'!$D$4:'EEPROM-Contents'!$D$141,MATCH('EEPROM-Contents'!AA4,'EEPROM-Contents'!$B$4:'EEPROM-Contents'!$B$141,0)),2)</f>
        <v>0D</v>
      </c>
      <c r="Z10" s="80" t="str">
        <f>RIGHT(INDEX('EEPROM-Contents'!$D$4:'EEPROM-Contents'!$D$141,MATCH('EEPROM-Contents'!AB4,'EEPROM-Contents'!$B$4:'EEPROM-Contents'!$B$141,0)),2)</f>
        <v>EA</v>
      </c>
      <c r="AA10" s="80" t="str">
        <f>RIGHT(INDEX('EEPROM-Contents'!$D$4:'EEPROM-Contents'!$D$141,MATCH('EEPROM-Contents'!AC4,'EEPROM-Contents'!$B$4:'EEPROM-Contents'!$B$141,0)),2)</f>
        <v>01</v>
      </c>
      <c r="AB10" s="80" t="str">
        <f>RIGHT(INDEX('EEPROM-Contents'!$D$4:'EEPROM-Contents'!$D$141,MATCH('EEPROM-Contents'!AD4,'EEPROM-Contents'!$B$4:'EEPROM-Contents'!$B$141,0)),2)</f>
        <v>00</v>
      </c>
      <c r="AC10" s="80" t="str">
        <f>RIGHT(INDEX('EEPROM-Contents'!$D$4:'EEPROM-Contents'!$D$141,MATCH('EEPROM-Contents'!AE4,'EEPROM-Contents'!$B$4:'EEPROM-Contents'!$B$141,0)),2)</f>
        <v>03</v>
      </c>
      <c r="AD10" s="80" t="str">
        <f>RIGHT(INDEX('EEPROM-Contents'!$D$4:'EEPROM-Contents'!$D$141,MATCH('EEPROM-Contents'!AF4,'EEPROM-Contents'!$B$4:'EEPROM-Contents'!$B$141,0)),2)</f>
        <v>00</v>
      </c>
      <c r="AF10" s="82" t="str">
        <f>CONCATENATE("00000000000000000000",O10,P10,Q10,R10,S10,T10,U10,V10,W10,X10,Y10,Z10,AA10,AB10,AC10,AD10,"00")</f>
        <v>000000000000000000001B0000000000000084600DEA0100030000</v>
      </c>
    </row>
    <row r="11" spans="2:38" x14ac:dyDescent="0.25">
      <c r="B11" s="86">
        <f>'EEPROM-Contents'!B35</f>
        <v>31</v>
      </c>
      <c r="C11" s="75">
        <f t="shared" ca="1" si="1"/>
        <v>2</v>
      </c>
      <c r="D11" s="78" t="str">
        <f ca="1">DEC2HEX(OFFSET('FTS-Initialization'!AC39,0,MATCH($H$4,'FTS-Initialization'!$AD$36:$AE$36,0)),2)</f>
        <v>02</v>
      </c>
      <c r="E11" s="70" t="str">
        <f>'EEPROM-Contents'!E35</f>
        <v>SEN(2) Z</v>
      </c>
      <c r="F11" s="71"/>
      <c r="G11" s="74"/>
      <c r="I11" s="102" t="s">
        <v>455</v>
      </c>
      <c r="J11" s="102" t="s">
        <v>447</v>
      </c>
      <c r="K11" s="102" t="s">
        <v>448</v>
      </c>
      <c r="L11" s="102" t="s">
        <v>449</v>
      </c>
      <c r="N11" s="79" t="s">
        <v>343</v>
      </c>
      <c r="O11" s="85" t="e">
        <f>RIGHT(INDEX($D$9:$D$47,MATCH('EEPROM-Contents'!Q5,$B$9:$B$47,0)),2)</f>
        <v>#NUM!</v>
      </c>
      <c r="P11" s="80" t="str">
        <f>RIGHT(INDEX('EEPROM-Contents'!$D$4:'EEPROM-Contents'!$D$141,MATCH('EEPROM-Contents'!R5,'EEPROM-Contents'!$B$4:'EEPROM-Contents'!$B$141,0)),2)</f>
        <v>00</v>
      </c>
      <c r="Q11" s="80" t="str">
        <f>RIGHT(INDEX('EEPROM-Contents'!$D$4:'EEPROM-Contents'!$D$141,MATCH('EEPROM-Contents'!S5,'EEPROM-Contents'!$B$4:'EEPROM-Contents'!$B$141,0)),2)</f>
        <v>00</v>
      </c>
      <c r="R11" s="80" t="str">
        <f>RIGHT(INDEX('EEPROM-Contents'!$D$4:'EEPROM-Contents'!$D$141,MATCH('EEPROM-Contents'!T5,'EEPROM-Contents'!$B$4:'EEPROM-Contents'!$B$141,0)),2)</f>
        <v>00</v>
      </c>
      <c r="S11" s="80" t="str">
        <f>RIGHT(INDEX('EEPROM-Contents'!$D$4:'EEPROM-Contents'!$D$141,MATCH('EEPROM-Contents'!U5,'EEPROM-Contents'!$B$4:'EEPROM-Contents'!$B$141,0)),2)</f>
        <v>00</v>
      </c>
      <c r="T11" s="80" t="str">
        <f>RIGHT(INDEX('EEPROM-Contents'!$D$4:'EEPROM-Contents'!$D$141,MATCH('EEPROM-Contents'!V5,'EEPROM-Contents'!$B$4:'EEPROM-Contents'!$B$141,0)),2)</f>
        <v>00</v>
      </c>
      <c r="U11" s="80" t="str">
        <f>RIGHT(INDEX('EEPROM-Contents'!$D$4:'EEPROM-Contents'!$D$141,MATCH('EEPROM-Contents'!W5,'EEPROM-Contents'!$B$4:'EEPROM-Contents'!$B$141,0)),2)</f>
        <v>06</v>
      </c>
      <c r="V11" s="80" t="str">
        <f>RIGHT(INDEX('EEPROM-Contents'!$D$4:'EEPROM-Contents'!$D$141,MATCH('EEPROM-Contents'!X5,'EEPROM-Contents'!$B$4:'EEPROM-Contents'!$B$141,0)),2)</f>
        <v>01</v>
      </c>
      <c r="W11" s="80" t="str">
        <f>RIGHT(INDEX('EEPROM-Contents'!$D$4:'EEPROM-Contents'!$D$141,MATCH('EEPROM-Contents'!Y5,'EEPROM-Contents'!$B$4:'EEPROM-Contents'!$B$141,0)),2)</f>
        <v>01</v>
      </c>
      <c r="X11" s="80" t="str">
        <f>RIGHT(INDEX('EEPROM-Contents'!$D$4:'EEPROM-Contents'!$D$141,MATCH('EEPROM-Contents'!Z5,'EEPROM-Contents'!$B$4:'EEPROM-Contents'!$B$141,0)),2)</f>
        <v>02</v>
      </c>
      <c r="Y11" s="80" t="str">
        <f>RIGHT(INDEX('EEPROM-Contents'!$D$4:'EEPROM-Contents'!$D$141,MATCH('EEPROM-Contents'!AA5,'EEPROM-Contents'!$B$4:'EEPROM-Contents'!$B$141,0)),2)</f>
        <v>1F</v>
      </c>
      <c r="Z11" s="80" t="str">
        <f>RIGHT(INDEX('EEPROM-Contents'!$D$4:'EEPROM-Contents'!$D$141,MATCH('EEPROM-Contents'!AB5,'EEPROM-Contents'!$B$4:'EEPROM-Contents'!$B$141,0)),2)</f>
        <v>0C</v>
      </c>
      <c r="AA11" s="80" t="str">
        <f>RIGHT(INDEX('EEPROM-Contents'!$D$4:'EEPROM-Contents'!$D$141,MATCH('EEPROM-Contents'!AC5,'EEPROM-Contents'!$B$4:'EEPROM-Contents'!$B$141,0)),2)</f>
        <v>08</v>
      </c>
      <c r="AB11" s="85" t="str">
        <f ca="1">RIGHT(INDEX($D$9:$D$47,MATCH('EEPROM-Contents'!AD5,$B$9:$B$47,0)),2)</f>
        <v>02</v>
      </c>
      <c r="AC11" s="85" t="str">
        <f ca="1">RIGHT(INDEX($D$9:$D$47,MATCH('EEPROM-Contents'!AE5,$B$9:$B$47,0)),2)</f>
        <v>02</v>
      </c>
      <c r="AD11" s="85" t="str">
        <f ca="1">RIGHT(INDEX($D$9:$D$47,MATCH('EEPROM-Contents'!AF5,$B$9:$B$47,0)),2)</f>
        <v>02</v>
      </c>
      <c r="AF11" s="82" t="e">
        <f t="shared" ref="AF11:AF41" ca="1" si="2">CONCATENATE("00000000000000000000",O11,P11,Q11,R11,S11,T11,U11,V11,W11,X11,Y11,Z11,AA11,AB11,AC11,AD11,"00")</f>
        <v>#NUM!</v>
      </c>
    </row>
    <row r="12" spans="2:38" x14ac:dyDescent="0.25">
      <c r="B12" s="86">
        <f>'EEPROM-Contents'!B36</f>
        <v>32</v>
      </c>
      <c r="C12" s="75">
        <f t="shared" ca="1" si="1"/>
        <v>4</v>
      </c>
      <c r="D12" s="78" t="str">
        <f ca="1">DEC2HEX(OFFSET('FTS-Initialization'!AC40,0,MATCH($H$4,'FTS-Initialization'!$AD$36:$AE$36,0)),2)</f>
        <v>04</v>
      </c>
      <c r="E12" s="70" t="str">
        <f>'EEPROM-Contents'!E36</f>
        <v>SEN(3) SP6B</v>
      </c>
      <c r="F12" s="71"/>
      <c r="G12" s="74"/>
      <c r="I12" s="102">
        <v>0</v>
      </c>
      <c r="J12" s="102">
        <v>0</v>
      </c>
      <c r="K12" s="104">
        <f>$J12*K$10/100</f>
        <v>0</v>
      </c>
      <c r="L12" s="104">
        <f>$J12*L$10/100</f>
        <v>0</v>
      </c>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RIGHT(INDEX('EEPROM-Contents'!$D$4:'EEPROM-Contents'!$D$141,MATCH('EEPROM-Contents'!X6,'EEPROM-Contents'!$B$4:'EEPROM-Contents'!$B$141,0)),2)</f>
        <v>03</v>
      </c>
      <c r="W12" s="80" t="str">
        <f>RIGHT(INDEX('EEPROM-Contents'!$D$4:'EEPROM-Contents'!$D$141,MATCH('EEPROM-Contents'!Y6,'EEPROM-Contents'!$B$4:'EEPROM-Contents'!$B$141,0)),2)</f>
        <v>21</v>
      </c>
      <c r="X12" s="80" t="str">
        <f>RIGHT(INDEX('EEPROM-Contents'!$D$4:'EEPROM-Contents'!$D$141,MATCH('EEPROM-Contents'!Z6,'EEPROM-Contents'!$B$4:'EEPROM-Contents'!$B$141,0)),2)</f>
        <v>07</v>
      </c>
      <c r="Y12" s="80" t="str">
        <f>RIGHT(INDEX('EEPROM-Contents'!$D$4:'EEPROM-Contents'!$D$141,MATCH('EEPROM-Contents'!AA6,'EEPROM-Contents'!$B$4:'EEPROM-Contents'!$B$141,0)),2)</f>
        <v>10</v>
      </c>
      <c r="Z12" s="80" t="str">
        <f>RIGHT(INDEX('EEPROM-Contents'!$D$4:'EEPROM-Contents'!$D$141,MATCH('EEPROM-Contents'!AB6,'EEPROM-Contents'!$B$4:'EEPROM-Contents'!$B$141,0)),2)</f>
        <v>02</v>
      </c>
      <c r="AA12" s="80" t="str">
        <f>RIGHT(INDEX('EEPROM-Contents'!$D$4:'EEPROM-Contents'!$D$141,MATCH('EEPROM-Contents'!AC6,'EEPROM-Contents'!$B$4:'EEPROM-Contents'!$B$141,0)),2)</f>
        <v>20</v>
      </c>
      <c r="AB12" s="80" t="str">
        <f>RIGHT(INDEX('EEPROM-Contents'!$D$4:'EEPROM-Contents'!$D$141,MATCH('EEPROM-Contents'!AD6,'EEPROM-Contents'!$B$4:'EEPROM-Contents'!$B$141,0)),2)</f>
        <v>04</v>
      </c>
      <c r="AC12" s="80" t="str">
        <f>RIGHT(INDEX('EEPROM-Contents'!$D$4:'EEPROM-Contents'!$D$141,MATCH('EEPROM-Contents'!AE6,'EEPROM-Contents'!$B$4:'EEPROM-Contents'!$B$141,0)),2)</f>
        <v>40</v>
      </c>
      <c r="AD12" s="85" t="str">
        <f>RIGHT(INDEX($D$9:$D$47,MATCH('EEPROM-Contents'!AF6,$B$9:$B$47,0)),2)</f>
        <v>84</v>
      </c>
      <c r="AF12" s="82" t="str">
        <f t="shared" ca="1" si="2"/>
        <v>000000000000000000000404040404040403210710022004408400</v>
      </c>
    </row>
    <row r="13" spans="2:38" x14ac:dyDescent="0.25">
      <c r="B13" s="86">
        <f>'EEPROM-Contents'!B37</f>
        <v>33</v>
      </c>
      <c r="C13" s="75">
        <f t="shared" ca="1" si="1"/>
        <v>4</v>
      </c>
      <c r="D13" s="78" t="str">
        <f ca="1">DEC2HEX(OFFSET('FTS-Initialization'!AC41,0,MATCH($H$4,'FTS-Initialization'!$AD$36:$AE$36,0)),2)</f>
        <v>04</v>
      </c>
      <c r="E13" s="70" t="str">
        <f>'EEPROM-Contents'!E37</f>
        <v>SEN(4) SP5B</v>
      </c>
      <c r="F13" s="71"/>
      <c r="G13" s="74"/>
      <c r="I13" s="102">
        <v>5</v>
      </c>
      <c r="J13" s="102">
        <v>9</v>
      </c>
      <c r="K13" s="104">
        <f t="shared" ref="K13:L17" si="3">$J13*K$10/100</f>
        <v>0</v>
      </c>
      <c r="L13" s="104">
        <f t="shared" si="3"/>
        <v>0</v>
      </c>
      <c r="N13" s="79" t="s">
        <v>345</v>
      </c>
      <c r="O13" s="80" t="str">
        <f>RIGHT(INDEX('EEPROM-Contents'!$D$4:'EEPROM-Contents'!$D$141,MATCH('EEPROM-Contents'!Q7,'EEPROM-Contents'!$B$4:'EEPROM-Contents'!$B$141,0)),2)</f>
        <v>A8</v>
      </c>
      <c r="P13" s="80" t="str">
        <f>RIGHT(INDEX('EEPROM-Contents'!$D$4:'EEPROM-Contents'!$D$141,MATCH('EEPROM-Contents'!R7,'EEPROM-Contents'!$B$4:'EEPROM-Contents'!$B$141,0)),2)</f>
        <v>06</v>
      </c>
      <c r="Q13" s="80" t="str">
        <f>RIGHT(INDEX('EEPROM-Contents'!$D$4:'EEPROM-Contents'!$D$141,MATCH('EEPROM-Contents'!S7,'EEPROM-Contents'!$B$4:'EEPROM-Contents'!$B$141,0)),2)</f>
        <v>2E</v>
      </c>
      <c r="R13" s="80" t="str">
        <f>RIGHT(INDEX('EEPROM-Contents'!$D$4:'EEPROM-Contents'!$D$141,MATCH('EEPROM-Contents'!T7,'EEPROM-Contents'!$B$4:'EEPROM-Contents'!$B$141,0)),2)</f>
        <v>2F</v>
      </c>
      <c r="S13" s="80" t="str">
        <f>RIGHT(INDEX('EEPROM-Contents'!$D$4:'EEPROM-Contents'!$D$141,MATCH('EEPROM-Contents'!U7,'EEPROM-Contents'!$B$4:'EEPROM-Contents'!$B$141,0)),2)</f>
        <v>1B</v>
      </c>
      <c r="T13" s="80" t="str">
        <f>RIGHT(INDEX('EEPROM-Contents'!$D$4:'EEPROM-Contents'!$D$141,MATCH('EEPROM-Contents'!V7,'EEPROM-Contents'!$B$4:'EEPROM-Contents'!$B$141,0)),2)</f>
        <v>D3</v>
      </c>
      <c r="U13" s="80" t="str">
        <f>RIGHT(INDEX('EEPROM-Contents'!$D$4:'EEPROM-Contents'!$D$141,MATCH('EEPROM-Contents'!W7,'EEPROM-Contents'!$B$4:'EEPROM-Contents'!$B$141,0)),2)</f>
        <v>91</v>
      </c>
      <c r="V13" s="80" t="str">
        <f>RIGHT(INDEX('EEPROM-Contents'!$D$4:'EEPROM-Contents'!$D$141,MATCH('EEPROM-Contents'!X7,'EEPROM-Contents'!$B$4:'EEPROM-Contents'!$B$141,0)),2)</f>
        <v>1B</v>
      </c>
      <c r="W13" s="80" t="str">
        <f>RIGHT(INDEX('EEPROM-Contents'!$D$4:'EEPROM-Contents'!$D$141,MATCH('EEPROM-Contents'!Y7,'EEPROM-Contents'!$B$4:'EEPROM-Contents'!$B$141,0)),2)</f>
        <v>08</v>
      </c>
      <c r="X13" s="80" t="str">
        <f>RIGHT(INDEX('EEPROM-Contents'!$D$4:'EEPROM-Contents'!$D$141,MATCH('EEPROM-Contents'!Z7,'EEPROM-Contents'!$B$4:'EEPROM-Contents'!$B$141,0)),2)</f>
        <v>44</v>
      </c>
      <c r="Y13" s="80" t="str">
        <f>RIGHT(INDEX('EEPROM-Contents'!$D$4:'EEPROM-Contents'!$D$141,MATCH('EEPROM-Contents'!AA7,'EEPROM-Contents'!$B$4:'EEPROM-Contents'!$B$141,0)),2)</f>
        <v>00</v>
      </c>
      <c r="Z13" s="85" t="str">
        <f>RIGHT(INDEX($D$9:$D$47,MATCH('EEPROM-Contents'!AB7,$B$9:$B$47,0)),2)</f>
        <v>0A</v>
      </c>
      <c r="AA13" s="80" t="str">
        <f>RIGHT(INDEX('EEPROM-Contents'!$D$4:'EEPROM-Contents'!$D$141,MATCH('EEPROM-Contents'!AC7,'EEPROM-Contents'!$B$4:'EEPROM-Contents'!$B$141,0)),2)</f>
        <v>0F</v>
      </c>
      <c r="AB13" s="80" t="str">
        <f>RIGHT(INDEX('EEPROM-Contents'!$D$4:'EEPROM-Contents'!$D$141,MATCH('EEPROM-Contents'!AD7,'EEPROM-Contents'!$B$4:'EEPROM-Contents'!$B$141,0)),2)</f>
        <v>00</v>
      </c>
      <c r="AC13" s="80" t="str">
        <f>RIGHT(INDEX('EEPROM-Contents'!$D$4:'EEPROM-Contents'!$D$141,MATCH('EEPROM-Contents'!AE7,'EEPROM-Contents'!$B$4:'EEPROM-Contents'!$B$141,0)),2)</f>
        <v>0F</v>
      </c>
      <c r="AD13" s="80" t="str">
        <f>RIGHT(INDEX('EEPROM-Contents'!$D$4:'EEPROM-Contents'!$D$141,MATCH('EEPROM-Contents'!AF7,'EEPROM-Contents'!$B$4:'EEPROM-Contents'!$B$141,0)),2)</f>
        <v>6C</v>
      </c>
      <c r="AF13" s="82" t="str">
        <f t="shared" si="2"/>
        <v>00000000000000000000A8062E2F1BD3911B0844000A0F000F6C00</v>
      </c>
      <c r="AL13" s="107"/>
    </row>
    <row r="14" spans="2:38" x14ac:dyDescent="0.25">
      <c r="B14" s="86">
        <f>'EEPROM-Contents'!B38</f>
        <v>34</v>
      </c>
      <c r="C14" s="75">
        <f t="shared" ca="1" si="1"/>
        <v>4</v>
      </c>
      <c r="D14" s="78" t="str">
        <f ca="1">DEC2HEX(OFFSET('FTS-Initialization'!AC42,0,MATCH($H$4,'FTS-Initialization'!$AD$36:$AE$36,0)),2)</f>
        <v>04</v>
      </c>
      <c r="E14" s="70" t="str">
        <f>'EEPROM-Contents'!E38</f>
        <v>SEN(5) SP4B</v>
      </c>
      <c r="F14" s="71"/>
      <c r="G14" s="74"/>
      <c r="I14" s="102">
        <v>10</v>
      </c>
      <c r="J14" s="102">
        <v>19</v>
      </c>
      <c r="K14" s="104">
        <f t="shared" si="3"/>
        <v>0</v>
      </c>
      <c r="L14" s="104">
        <f t="shared" si="3"/>
        <v>0</v>
      </c>
      <c r="N14" s="79" t="s">
        <v>347</v>
      </c>
      <c r="O14" s="80" t="str">
        <f>RIGHT(INDEX('EEPROM-Contents'!$D$4:'EEPROM-Contents'!$D$141,MATCH('EEPROM-Contents'!Q8,'EEPROM-Contents'!$B$4:'EEPROM-Contents'!$B$141,0)),2)</f>
        <v>CC</v>
      </c>
      <c r="P14" s="80" t="str">
        <f>RIGHT(INDEX('EEPROM-Contents'!$D$4:'EEPROM-Contents'!$D$141,MATCH('EEPROM-Contents'!R8,'EEPROM-Contents'!$B$4:'EEPROM-Contents'!$B$141,0)),2)</f>
        <v>5B</v>
      </c>
      <c r="Q14" s="80" t="str">
        <f>RIGHT(INDEX('EEPROM-Contents'!$D$4:'EEPROM-Contents'!$D$141,MATCH('EEPROM-Contents'!S8,'EEPROM-Contents'!$B$4:'EEPROM-Contents'!$B$141,0)),2)</f>
        <v>F8</v>
      </c>
      <c r="R14" s="80" t="str">
        <f>RIGHT(INDEX('EEPROM-Contents'!$D$4:'EEPROM-Contents'!$D$141,MATCH('EEPROM-Contents'!T8,'EEPROM-Contents'!$B$4:'EEPROM-Contents'!$B$141,0)),2)</f>
        <v>17</v>
      </c>
      <c r="S14" s="80" t="str">
        <f>RIGHT(INDEX('EEPROM-Contents'!$D$4:'EEPROM-Contents'!$D$141,MATCH('EEPROM-Contents'!U8,'EEPROM-Contents'!$B$4:'EEPROM-Contents'!$B$141,0)),2)</f>
        <v>23</v>
      </c>
      <c r="T14" s="80" t="str">
        <f>RIGHT(INDEX('EEPROM-Contents'!$D$4:'EEPROM-Contents'!$D$141,MATCH('EEPROM-Contents'!V8,'EEPROM-Contents'!$B$4:'EEPROM-Contents'!$B$141,0)),2)</f>
        <v>9A</v>
      </c>
      <c r="U14" s="80" t="str">
        <f>RIGHT(INDEX('EEPROM-Contents'!$D$4:'EEPROM-Contents'!$D$141,MATCH('EEPROM-Contents'!W8,'EEPROM-Contents'!$B$4:'EEPROM-Contents'!$B$141,0)),2)</f>
        <v>47</v>
      </c>
      <c r="V14" s="80" t="str">
        <f>RIGHT(INDEX('EEPROM-Contents'!$D$4:'EEPROM-Contents'!$D$141,MATCH('EEPROM-Contents'!X8,'EEPROM-Contents'!$B$4:'EEPROM-Contents'!$B$141,0)),2)</f>
        <v>00</v>
      </c>
      <c r="W14" s="80" t="str">
        <f>RIGHT(INDEX('EEPROM-Contents'!$D$4:'EEPROM-Contents'!$D$141,MATCH('EEPROM-Contents'!Y8,'EEPROM-Contents'!$B$4:'EEPROM-Contents'!$B$141,0)),2)</f>
        <v>30</v>
      </c>
      <c r="X14" s="80" t="str">
        <f>RIGHT(INDEX('EEPROM-Contents'!$D$4:'EEPROM-Contents'!$D$141,MATCH('EEPROM-Contents'!Z8,'EEPROM-Contents'!$B$4:'EEPROM-Contents'!$B$141,0)),2)</f>
        <v>18</v>
      </c>
      <c r="Y14" s="80" t="str">
        <f>RIGHT(INDEX('EEPROM-Contents'!$D$4:'EEPROM-Contents'!$D$141,MATCH('EEPROM-Contents'!AA8,'EEPROM-Contents'!$B$4:'EEPROM-Contents'!$B$141,0)),2)</f>
        <v>16</v>
      </c>
      <c r="Z14" s="80" t="str">
        <f>RIGHT(INDEX('EEPROM-Contents'!$D$4:'EEPROM-Contents'!$D$141,MATCH('EEPROM-Contents'!AB8,'EEPROM-Contents'!$B$4:'EEPROM-Contents'!$B$141,0)),2)</f>
        <v>6C</v>
      </c>
      <c r="AA14" s="80" t="str">
        <f>RIGHT(INDEX('EEPROM-Contents'!$D$4:'EEPROM-Contents'!$D$141,MATCH('EEPROM-Contents'!AC8,'EEPROM-Contents'!$B$4:'EEPROM-Contents'!$B$141,0)),2)</f>
        <v>03</v>
      </c>
      <c r="AB14" s="80" t="str">
        <f>RIGHT(INDEX('EEPROM-Contents'!$D$4:'EEPROM-Contents'!$D$141,MATCH('EEPROM-Contents'!AD8,'EEPROM-Contents'!$B$4:'EEPROM-Contents'!$B$141,0)),2)</f>
        <v>40</v>
      </c>
      <c r="AC14" s="80" t="str">
        <f>RIGHT(INDEX('EEPROM-Contents'!$D$4:'EEPROM-Contents'!$D$141,MATCH('EEPROM-Contents'!AE8,'EEPROM-Contents'!$B$4:'EEPROM-Contents'!$B$141,0)),2)</f>
        <v>91</v>
      </c>
      <c r="AD14" s="80" t="str">
        <f>RIGHT(INDEX('EEPROM-Contents'!$D$4:'EEPROM-Contents'!$D$141,MATCH('EEPROM-Contents'!AF8,'EEPROM-Contents'!$B$4:'EEPROM-Contents'!$B$141,0)),2)</f>
        <v>00</v>
      </c>
      <c r="AF14" s="82" t="str">
        <f t="shared" si="2"/>
        <v>00000000000000000000CC5BF817239A47003018166C0340910000</v>
      </c>
      <c r="AL14" s="107"/>
    </row>
    <row r="15" spans="2:38" x14ac:dyDescent="0.25">
      <c r="B15" s="86">
        <f>'EEPROM-Contents'!B39</f>
        <v>35</v>
      </c>
      <c r="C15" s="75">
        <f t="shared" ca="1" si="1"/>
        <v>4</v>
      </c>
      <c r="D15" s="78" t="str">
        <f ca="1">DEC2HEX(OFFSET('FTS-Initialization'!AC43,0,MATCH($H$4,'FTS-Initialization'!$AD$36:$AE$36,0)),2)</f>
        <v>04</v>
      </c>
      <c r="E15" s="70" t="str">
        <f>'EEPROM-Contents'!E39</f>
        <v>SEN(6) SP3B</v>
      </c>
      <c r="F15" s="71"/>
      <c r="G15" s="74"/>
      <c r="I15" s="102">
        <v>20</v>
      </c>
      <c r="J15" s="102">
        <v>39</v>
      </c>
      <c r="K15" s="104">
        <f t="shared" si="3"/>
        <v>0</v>
      </c>
      <c r="L15" s="104">
        <f t="shared" si="3"/>
        <v>0</v>
      </c>
      <c r="N15" s="79" t="s">
        <v>348</v>
      </c>
      <c r="O15" s="80" t="str">
        <f>RIGHT(INDEX('EEPROM-Contents'!$D$4:'EEPROM-Contents'!$D$141,MATCH('EEPROM-Contents'!Q9,'EEPROM-Contents'!$B$4:'EEPROM-Contents'!$B$141,0)),2)</f>
        <v>C0</v>
      </c>
      <c r="P15" s="80" t="str">
        <f>RIGHT(INDEX('EEPROM-Contents'!$D$4:'EEPROM-Contents'!$D$141,MATCH('EEPROM-Contents'!R9,'EEPROM-Contents'!$B$4:'EEPROM-Contents'!$B$141,0)),2)</f>
        <v>78</v>
      </c>
      <c r="Q15" s="80" t="str">
        <f>RIGHT(INDEX('EEPROM-Contents'!$D$4:'EEPROM-Contents'!$D$141,MATCH('EEPROM-Contents'!S9,'EEPROM-Contents'!$B$4:'EEPROM-Contents'!$B$141,0)),2)</f>
        <v>56</v>
      </c>
      <c r="R15" s="80" t="str">
        <f>RIGHT(INDEX('EEPROM-Contents'!$D$4:'EEPROM-Contents'!$D$141,MATCH('EEPROM-Contents'!T9,'EEPROM-Contents'!$B$4:'EEPROM-Contents'!$B$141,0)),2)</f>
        <v>10</v>
      </c>
      <c r="S15" s="80" t="str">
        <f>RIGHT(INDEX('EEPROM-Contents'!$D$4:'EEPROM-Contents'!$D$141,MATCH('EEPROM-Contents'!U9,'EEPROM-Contents'!$B$4:'EEPROM-Contents'!$B$141,0)),2)</f>
        <v>EA</v>
      </c>
      <c r="T15" s="80" t="str">
        <f>RIGHT(INDEX('EEPROM-Contents'!$D$4:'EEPROM-Contents'!$D$141,MATCH('EEPROM-Contents'!V9,'EEPROM-Contents'!$B$4:'EEPROM-Contents'!$B$141,0)),2)</f>
        <v>2A</v>
      </c>
      <c r="U15" s="80" t="str">
        <f>RIGHT(INDEX('EEPROM-Contents'!$D$4:'EEPROM-Contents'!$D$141,MATCH('EEPROM-Contents'!W9,'EEPROM-Contents'!$B$4:'EEPROM-Contents'!$B$141,0)),2)</f>
        <v>00</v>
      </c>
      <c r="V15" s="80" t="str">
        <f>RIGHT(INDEX('EEPROM-Contents'!$D$4:'EEPROM-Contents'!$D$141,MATCH('EEPROM-Contents'!X9,'EEPROM-Contents'!$B$4:'EEPROM-Contents'!$B$141,0)),2)</f>
        <v>1F</v>
      </c>
      <c r="W15" s="80" t="str">
        <f>RIGHT(INDEX('EEPROM-Contents'!$D$4:'EEPROM-Contents'!$D$141,MATCH('EEPROM-Contents'!Y9,'EEPROM-Contents'!$B$4:'EEPROM-Contents'!$B$141,0)),2)</f>
        <v>41</v>
      </c>
      <c r="X15" s="80" t="str">
        <f>RIGHT(INDEX('EEPROM-Contents'!$D$4:'EEPROM-Contents'!$D$141,MATCH('EEPROM-Contents'!Z9,'EEPROM-Contents'!$B$4:'EEPROM-Contents'!$B$141,0)),2)</f>
        <v>00</v>
      </c>
      <c r="Y15" s="80" t="str">
        <f>RIGHT(INDEX('EEPROM-Contents'!$D$4:'EEPROM-Contents'!$D$141,MATCH('EEPROM-Contents'!AA9,'EEPROM-Contents'!$B$4:'EEPROM-Contents'!$B$141,0)),2)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00</v>
      </c>
      <c r="AD15" s="85" t="str">
        <f>RIGHT(INDEX($D$9:$D$47,MATCH('EEPROM-Contents'!AF9,$B$9:$B$47,0)),2)</f>
        <v>09</v>
      </c>
      <c r="AF15" s="82" t="str">
        <f t="shared" si="2"/>
        <v>00000000000000000000C0785610EA2A001F410000000000000900</v>
      </c>
      <c r="AL15" s="107"/>
    </row>
    <row r="16" spans="2:38" x14ac:dyDescent="0.25">
      <c r="B16" s="86">
        <f>'EEPROM-Contents'!B40</f>
        <v>36</v>
      </c>
      <c r="C16" s="75">
        <f t="shared" ca="1" si="1"/>
        <v>4</v>
      </c>
      <c r="D16" s="78" t="str">
        <f ca="1">DEC2HEX(OFFSET('FTS-Initialization'!AC44,0,MATCH($H$4,'FTS-Initialization'!$AD$36:$AE$36,0)),2)</f>
        <v>04</v>
      </c>
      <c r="E16" s="70" t="str">
        <f>'EEPROM-Contents'!E40</f>
        <v>SEN(7) SP2B</v>
      </c>
      <c r="F16" s="71"/>
      <c r="G16" s="74"/>
      <c r="I16" s="102">
        <v>30</v>
      </c>
      <c r="J16" s="102">
        <v>56</v>
      </c>
      <c r="K16" s="104">
        <f t="shared" si="3"/>
        <v>0</v>
      </c>
      <c r="L16" s="104">
        <f t="shared" si="3"/>
        <v>0</v>
      </c>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17</v>
      </c>
      <c r="S16" s="85" t="str">
        <f>RIGHT(INDEX($D$9:$D$47,MATCH('EEPROM-Contents'!U10,$B$9:$B$47,0)),2)</f>
        <v>73</v>
      </c>
      <c r="T16" s="85" t="str">
        <f>RIGHT(INDEX($D$9:$D$47,MATCH('EEPROM-Contents'!V10,$B$9:$B$47,0)),2)</f>
        <v>00</v>
      </c>
      <c r="U16" s="85" t="str">
        <f>RIGHT(INDEX($D$9:$D$47,MATCH('EEPROM-Contents'!W10,$B$9:$B$47,0)),2)</f>
        <v>00</v>
      </c>
      <c r="V16" s="85" t="str">
        <f>RIGHT(INDEX($D$9:$D$47,MATCH('EEPROM-Contents'!X10,$B$9:$B$47,0)),2)</f>
        <v>00</v>
      </c>
      <c r="W16" s="85" t="str">
        <f>RIGHT(INDEX($D$9:$D$47,MATCH('EEPROM-Contents'!Y10,$B$9:$B$47,0)),2)</f>
        <v>00</v>
      </c>
      <c r="X16" s="80" t="str">
        <f>RIGHT(INDEX('EEPROM-Contents'!$D$4:'EEPROM-Contents'!$D$141,MATCH('EEPROM-Contents'!Z10,'EEPROM-Contents'!$B$4:'EEPROM-Contents'!$B$141,0)),2)</f>
        <v>00</v>
      </c>
      <c r="Y16" s="80" t="str">
        <f>RIGHT(INDEX('EEPROM-Contents'!$D$4:'EEPROM-Contents'!$D$141,MATCH('EEPROM-Contents'!AA10,'EEPROM-Contents'!$B$4:'EEPROM-Contents'!$B$141,0)),2)</f>
        <v>00</v>
      </c>
      <c r="Z16" s="80" t="str">
        <f>RIGHT(INDEX('EEPROM-Contents'!$D$4:'EEPROM-Contents'!$D$141,MATCH('EEPROM-Contents'!AB10,'EEPROM-Contents'!$B$4:'EEPROM-Contents'!$B$141,0)),2)</f>
        <v>00</v>
      </c>
      <c r="AA16" s="80" t="str">
        <f>RIGHT(INDEX('EEPROM-Contents'!$D$4:'EEPROM-Contents'!$D$141,MATCH('EEPROM-Contents'!AC10,'EEPROM-Contents'!$B$4:'EEPROM-Contents'!$B$141,0)),2)</f>
        <v>00</v>
      </c>
      <c r="AB16" s="80" t="str">
        <f>RIGHT(INDEX('EEPROM-Contents'!$D$4:'EEPROM-Contents'!$D$141,MATCH('EEPROM-Contents'!AD10,'EEPROM-Contents'!$B$4:'EEPROM-Contents'!$B$141,0)),2)</f>
        <v>00</v>
      </c>
      <c r="AC16" s="80" t="str">
        <f>RIGHT(INDEX('EEPROM-Contents'!$D$4:'EEPROM-Contents'!$D$141,MATCH('EEPROM-Contents'!AE10,'EEPROM-Contents'!$B$4:'EEPROM-Contents'!$B$141,0)),2)</f>
        <v>00</v>
      </c>
      <c r="AD16" s="80" t="str">
        <f>RIGHT(INDEX('EEPROM-Contents'!$D$4:'EEPROM-Contents'!$D$141,MATCH('EEPROM-Contents'!AF10,'EEPROM-Contents'!$B$4:'EEPROM-Contents'!$B$141,0)),2)</f>
        <v>00</v>
      </c>
      <c r="AF16" s="82" t="str">
        <f t="shared" ca="1" si="2"/>
        <v>000000000000000000000605101773000000000000000000000000</v>
      </c>
      <c r="AL16" s="107"/>
    </row>
    <row r="17" spans="2:38" x14ac:dyDescent="0.25">
      <c r="B17" s="86">
        <f>'EEPROM-Contents'!B41</f>
        <v>37</v>
      </c>
      <c r="C17" s="75">
        <f t="shared" ca="1" si="1"/>
        <v>4</v>
      </c>
      <c r="D17" s="78" t="str">
        <f ca="1">DEC2HEX(OFFSET('FTS-Initialization'!AC45,0,MATCH($H$4,'FTS-Initialization'!$AD$36:$AE$36,0)),2)</f>
        <v>04</v>
      </c>
      <c r="E17" s="70" t="str">
        <f>'EEPROM-Contents'!E41</f>
        <v>SEN(8) SP1B</v>
      </c>
      <c r="F17" s="71"/>
      <c r="G17" s="74"/>
      <c r="I17" s="102">
        <v>40</v>
      </c>
      <c r="J17" s="102">
        <v>73</v>
      </c>
      <c r="K17" s="104">
        <f t="shared" si="3"/>
        <v>0</v>
      </c>
      <c r="L17" s="104">
        <f t="shared" si="3"/>
        <v>0</v>
      </c>
      <c r="N17" s="79" t="s">
        <v>350</v>
      </c>
      <c r="O17" s="80" t="str">
        <f>RIGHT(INDEX('EEPROM-Contents'!$D$4:'EEPROM-Contents'!$D$141,MATCH('EEPROM-Contents'!Q11,'EEPROM-Contents'!$B$4:'EEPROM-Contents'!$B$141,0)),2)</f>
        <v>00</v>
      </c>
      <c r="P17" s="85" t="e">
        <f>RIGHT(INDEX($D$9:$D$47,MATCH('EEPROM-Contents'!R11,$B$9:$B$47,0)),2)</f>
        <v>#NUM!</v>
      </c>
      <c r="Q17" s="85" t="str">
        <f>RIGHT(INDEX($D$9:$D$47,MATCH('EEPROM-Contents'!S11,$B$9:$B$47,0)),2)</f>
        <v>00</v>
      </c>
      <c r="R17" s="85" t="str">
        <f>RIGHT(INDEX($D$9:$D$47,MATCH('EEPROM-Contents'!T11,$B$9:$B$47,0)),2)</f>
        <v>00</v>
      </c>
      <c r="S17" s="85" t="e">
        <f ca="1">RIGHT(INDEX($D$9:$D$47,MATCH('EEPROM-Contents'!U11,$B$9:$B$47,0)),2)</f>
        <v>#NUM!</v>
      </c>
      <c r="T17" s="80" t="str">
        <f>RIGHT(INDEX('EEPROM-Contents'!$D$4:'EEPROM-Contents'!$D$141,MATCH('EEPROM-Contents'!V11,'EEPROM-Contents'!$B$4:'EEPROM-Contents'!$B$141,0)),2)</f>
        <v>01</v>
      </c>
      <c r="U17" s="85" t="str">
        <f>RIGHT(INDEX($D$9:$D$47,MATCH('EEPROM-Contents'!W11,$B$9:$B$47,0)),2)</f>
        <v>09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17</v>
      </c>
      <c r="Z17" s="85" t="str">
        <f>RIGHT(INDEX($D$9:$D$47,MATCH('EEPROM-Contents'!AB11,$B$9:$B$47,0)),2)</f>
        <v>73</v>
      </c>
      <c r="AA17" s="85" t="str">
        <f>RIGHT(INDEX($D$9:$D$47,MATCH('EEPROM-Contents'!AC11,$B$9:$B$47,0)),2)</f>
        <v>00</v>
      </c>
      <c r="AB17" s="85" t="str">
        <f>RIGHT(INDEX($D$9:$D$47,MATCH('EEPROM-Contents'!AD11,$B$9:$B$47,0)),2)</f>
        <v>00</v>
      </c>
      <c r="AC17" s="85" t="str">
        <f>RIGHT(INDEX($D$9:$D$47,MATCH('EEPROM-Contents'!AE11,$B$9:$B$47,0)),2)</f>
        <v>00</v>
      </c>
      <c r="AD17" s="85" t="str">
        <f>RIGHT(INDEX($D$9:$D$47,MATCH('EEPROM-Contents'!AF11,$B$9:$B$47,0)),2)</f>
        <v>00</v>
      </c>
      <c r="AF17" s="82" t="e">
        <f t="shared" ca="1" si="2"/>
        <v>#NUM!</v>
      </c>
      <c r="AL17" s="107"/>
    </row>
    <row r="18" spans="2:38" x14ac:dyDescent="0.25">
      <c r="B18" s="86">
        <f>'EEPROM-Contents'!B42</f>
        <v>38</v>
      </c>
      <c r="C18" s="75">
        <f t="shared" ca="1" si="1"/>
        <v>4</v>
      </c>
      <c r="D18" s="78" t="str">
        <f ca="1">DEC2HEX(OFFSET('FTS-Initialization'!AC46,0,MATCH($H$4,'FTS-Initialization'!$AD$36:$AE$36,0)),2)</f>
        <v>04</v>
      </c>
      <c r="E18" s="70" t="str">
        <f>'EEPROM-Contents'!E42</f>
        <v>SEN(9) CP1B</v>
      </c>
      <c r="F18" s="71"/>
      <c r="G18" s="74"/>
      <c r="N18" s="79" t="s">
        <v>351</v>
      </c>
      <c r="O18" s="80" t="str">
        <f>RIGHT(INDEX('EEPROM-Contents'!$D$4:'EEPROM-Contents'!$D$141,MATCH('EEPROM-Contents'!Q12,'EEPROM-Contents'!$B$4:'EEPROM-Contents'!$B$141,0)),2)</f>
        <v>00</v>
      </c>
      <c r="P18" s="80" t="str">
        <f>RIGHT(INDEX('EEPROM-Contents'!$D$4:'EEPROM-Contents'!$D$141,MATCH('EEPROM-Contents'!R12,'EEPROM-Contents'!$B$4:'EEPROM-Contents'!$B$141,0)),2)</f>
        <v>00</v>
      </c>
      <c r="Q18" s="80" t="str">
        <f>RIGHT(INDEX('EEPROM-Contents'!$D$4:'EEPROM-Contents'!$D$141,MATCH('EEPROM-Contents'!S12,'EEPROM-Contents'!$B$4:'EEPROM-Contents'!$B$141,0)),2)</f>
        <v>00</v>
      </c>
      <c r="R18" s="80" t="str">
        <f>RIGHT(INDEX('EEPROM-Contents'!$D$4:'EEPROM-Contents'!$D$141,MATCH('EEPROM-Contents'!T12,'EEPROM-Contents'!$B$4:'EEPROM-Contents'!$B$141,0)),2)</f>
        <v>00</v>
      </c>
      <c r="S18" s="80" t="str">
        <f>RIGHT(INDEX('EEPROM-Contents'!$D$4:'EEPROM-Contents'!$D$141,MATCH('EEPROM-Contents'!U12,'EEPROM-Contents'!$B$4:'EEPROM-Contents'!$B$141,0)),2)</f>
        <v>00</v>
      </c>
      <c r="T18" s="80" t="str">
        <f>RIGHT(INDEX('EEPROM-Contents'!$D$4:'EEPROM-Contents'!$D$141,MATCH('EEPROM-Contents'!V12,'EEPROM-Contents'!$B$4:'EEPROM-Contents'!$B$141,0)),2)</f>
        <v>00</v>
      </c>
      <c r="U18" s="80" t="str">
        <f>RIGHT(INDEX('EEPROM-Contents'!$D$4:'EEPROM-Contents'!$D$141,MATCH('EEPROM-Contents'!W12,'EEPROM-Contents'!$B$4:'EEPROM-Contents'!$B$141,0)),2)</f>
        <v>00</v>
      </c>
      <c r="V18" s="80" t="str">
        <f>RIGHT(INDEX('EEPROM-Contents'!$D$4:'EEPROM-Contents'!$D$141,MATCH('EEPROM-Contents'!X12,'EEPROM-Contents'!$B$4:'EEPROM-Contents'!$B$141,0)),2)</f>
        <v>00</v>
      </c>
      <c r="W18" s="85" t="e">
        <f>RIGHT(INDEX($D$9:$D$47,MATCH('EEPROM-Contents'!Y12,$B$9:$B$47,0)),2)</f>
        <v>#NUM!</v>
      </c>
      <c r="X18" s="85" t="str">
        <f>RIGHT(INDEX($D$9:$D$47,MATCH('EEPROM-Contents'!Z12,$B$9:$B$47,0)),2)</f>
        <v>00</v>
      </c>
      <c r="Y18" s="85" t="str">
        <f>RIGHT(INDEX($D$9:$D$47,MATCH('EEPROM-Contents'!AA12,$B$9:$B$47,0)),2)</f>
        <v>00</v>
      </c>
      <c r="Z18" s="85" t="e">
        <f ca="1">RIGHT(INDEX($D$9:$D$47,MATCH('EEPROM-Contents'!AB12,$B$9:$B$47,0)),2)</f>
        <v>#NUM!</v>
      </c>
      <c r="AA18" s="80" t="str">
        <f>RIGHT(INDEX('EEPROM-Contents'!$D$4:'EEPROM-Contents'!$D$141,MATCH('EEPROM-Contents'!AC12,'EEPROM-Contents'!$B$4:'EEPROM-Contents'!$B$141,0)),2)</f>
        <v>02</v>
      </c>
      <c r="AB18" s="85" t="str">
        <f>RIGHT(INDEX($D$9:$D$47,MATCH('EEPROM-Contents'!AD12,$B$9:$B$47,0)),2)</f>
        <v>09</v>
      </c>
      <c r="AC18" s="85" t="str">
        <f ca="1">RIGHT(INDEX($D$9:$D$47,MATCH('EEPROM-Contents'!AE12,$B$9:$B$47,0)),2)</f>
        <v>06</v>
      </c>
      <c r="AD18" s="85" t="str">
        <f ca="1">RIGHT(INDEX($D$9:$D$47,MATCH('EEPROM-Contents'!AF12,$B$9:$B$47,0)),2)</f>
        <v>05</v>
      </c>
      <c r="AF18" s="82" t="e">
        <f t="shared" ca="1" si="2"/>
        <v>#NUM!</v>
      </c>
      <c r="AL18" s="107"/>
    </row>
    <row r="19" spans="2:38" x14ac:dyDescent="0.25">
      <c r="B19" s="86">
        <f>'EEPROM-Contents'!B20</f>
        <v>16</v>
      </c>
      <c r="C19" s="75" t="e">
        <f t="shared" si="1"/>
        <v>#NUM!</v>
      </c>
      <c r="D19" s="78" t="e">
        <f>$F$4</f>
        <v>#NUM!</v>
      </c>
      <c r="E19" s="70" t="str">
        <f>'EEPROM-Contents'!E20</f>
        <v>GAINC</v>
      </c>
      <c r="F19" s="71"/>
      <c r="G19" s="74"/>
      <c r="N19" s="79" t="s">
        <v>352</v>
      </c>
      <c r="O19" s="85" t="str">
        <f ca="1">RIGHT(INDEX($D$9:$D$47,MATCH('EEPROM-Contents'!Q13,$B$9:$B$47,0)),2)</f>
        <v>10</v>
      </c>
      <c r="P19" s="85" t="str">
        <f>RIGHT(INDEX($D$9:$D$47,MATCH('EEPROM-Contents'!R13,$B$9:$B$47,0)),2)</f>
        <v>17</v>
      </c>
      <c r="Q19" s="85" t="str">
        <f>RIGHT(INDEX($D$9:$D$47,MATCH('EEPROM-Contents'!S13,$B$9:$B$47,0)),2)</f>
        <v>73</v>
      </c>
      <c r="R19" s="85" t="str">
        <f>RIGHT(INDEX($D$9:$D$47,MATCH('EEPROM-Contents'!T13,$B$9:$B$47,0)),2)</f>
        <v>00</v>
      </c>
      <c r="S19" s="85" t="str">
        <f>RIGHT(INDEX($D$9:$D$47,MATCH('EEPROM-Contents'!U13,$B$9:$B$47,0)),2)</f>
        <v>00</v>
      </c>
      <c r="T19" s="85" t="str">
        <f>RIGHT(INDEX($D$9:$D$47,MATCH('EEPROM-Contents'!V13,$B$9:$B$47,0)),2)</f>
        <v>00</v>
      </c>
      <c r="U19" s="85" t="str">
        <f>RIGHT(INDEX($D$9:$D$47,MATCH('EEPROM-Contents'!W13,$B$9:$B$47,0)),2)</f>
        <v>00</v>
      </c>
      <c r="V19" s="80" t="str">
        <f>RIGHT(INDEX('EEPROM-Contents'!$D$4:'EEPROM-Contents'!$D$141,MATCH('EEPROM-Contents'!X13,'EEPROM-Contents'!$B$4:'EEPROM-Contents'!$B$141,0)),2)</f>
        <v>00</v>
      </c>
      <c r="W19" s="80" t="str">
        <f>RIGHT(INDEX('EEPROM-Contents'!$D$4:'EEPROM-Contents'!$D$141,MATCH('EEPROM-Contents'!Y13,'EEPROM-Contents'!$B$4:'EEPROM-Contents'!$B$141,0)),2)</f>
        <v>00</v>
      </c>
      <c r="X19" s="80" t="str">
        <f>RIGHT(INDEX('EEPROM-Contents'!$D$4:'EEPROM-Contents'!$D$141,MATCH('EEPROM-Contents'!Z13,'EEPROM-Contents'!$B$4:'EEPROM-Contents'!$B$141,0)),2)</f>
        <v>00</v>
      </c>
      <c r="Y19" s="80" t="str">
        <f>RIGHT(INDEX('EEPROM-Contents'!$D$4:'EEPROM-Contents'!$D$141,MATCH('EEPROM-Contents'!AA13,'EEPROM-Contents'!$B$4:'EEPROM-Contents'!$B$141,0)),2)</f>
        <v>00</v>
      </c>
      <c r="Z19" s="80" t="str">
        <f>RIGHT(INDEX('EEPROM-Contents'!$D$4:'EEPROM-Contents'!$D$141,MATCH('EEPROM-Contents'!AB13,'EEPROM-Contents'!$B$4:'EEPROM-Contents'!$B$141,0)),2)</f>
        <v>00</v>
      </c>
      <c r="AA19" s="80" t="str">
        <f>RIGHT(INDEX('EEPROM-Contents'!$D$4:'EEPROM-Contents'!$D$141,MATCH('EEPROM-Contents'!AC13,'EEPROM-Contents'!$B$4:'EEPROM-Contents'!$B$141,0)),2)</f>
        <v>00</v>
      </c>
      <c r="AB19" s="80" t="str">
        <f>RIGHT(INDEX('EEPROM-Contents'!$D$4:'EEPROM-Contents'!$D$141,MATCH('EEPROM-Contents'!AD13,'EEPROM-Contents'!$B$4:'EEPROM-Contents'!$B$141,0)),2)</f>
        <v>00</v>
      </c>
      <c r="AC19" s="80" t="str">
        <f>RIGHT(INDEX('EEPROM-Contents'!$D$4:'EEPROM-Contents'!$D$141,MATCH('EEPROM-Contents'!AE13,'EEPROM-Contents'!$B$4:'EEPROM-Contents'!$B$141,0)),2)</f>
        <v>00</v>
      </c>
      <c r="AD19" s="85" t="e">
        <f>RIGHT(INDEX($D$9:$D$47,MATCH('EEPROM-Contents'!AF13,$B$9:$B$47,0)),2)</f>
        <v>#NUM!</v>
      </c>
      <c r="AF19" s="82" t="e">
        <f t="shared" ca="1" si="2"/>
        <v>#NUM!</v>
      </c>
      <c r="AL19" s="107"/>
    </row>
    <row r="20" spans="2:38" x14ac:dyDescent="0.25">
      <c r="B20" s="86">
        <f>'EEPROM-Contents'!B51</f>
        <v>47</v>
      </c>
      <c r="C20" s="75">
        <f t="shared" si="1"/>
        <v>132</v>
      </c>
      <c r="D20" s="78">
        <f>$G$4</f>
        <v>84</v>
      </c>
      <c r="E20" s="70" t="str">
        <f>'EEPROM-Contents'!E51</f>
        <v>PATBL</v>
      </c>
      <c r="F20" s="71"/>
      <c r="G20" s="74"/>
      <c r="N20" s="79" t="s">
        <v>353</v>
      </c>
      <c r="O20" s="85" t="str">
        <f>RIGHT(INDEX($D$9:$D$47,MATCH('EEPROM-Contents'!Q14,$B$9:$B$47,0)),2)</f>
        <v>00</v>
      </c>
      <c r="P20" s="85" t="str">
        <f>RIGHT(INDEX($D$9:$D$47,MATCH('EEPROM-Contents'!R14,$B$9:$B$47,0)),2)</f>
        <v>00</v>
      </c>
      <c r="Q20" s="85" t="e">
        <f ca="1">RIGHT(INDEX($D$9:$D$47,MATCH('EEPROM-Contents'!S14,$B$9:$B$47,0)),2)</f>
        <v>#NUM!</v>
      </c>
      <c r="R20" s="80" t="str">
        <f>RIGHT(INDEX('EEPROM-Contents'!$D$4:'EEPROM-Contents'!$D$141,MATCH('EEPROM-Contents'!T14,'EEPROM-Contents'!$B$4:'EEPROM-Contents'!$B$141,0)),2)</f>
        <v>03</v>
      </c>
      <c r="S20" s="85" t="str">
        <f>RIGHT(INDEX($D$9:$D$47,MATCH('EEPROM-Contents'!U14,$B$9:$B$47,0)),2)</f>
        <v>09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17</v>
      </c>
      <c r="X20" s="85" t="str">
        <f>RIGHT(INDEX($D$9:$D$47,MATCH('EEPROM-Contents'!Z14,$B$9:$B$47,0)),2)</f>
        <v>73</v>
      </c>
      <c r="Y20" s="85" t="str">
        <f>RIGHT(INDEX($D$9:$D$47,MATCH('EEPROM-Contents'!AA14,$B$9:$B$47,0)),2)</f>
        <v>00</v>
      </c>
      <c r="Z20" s="85" t="str">
        <f>RIGHT(INDEX($D$9:$D$47,MATCH('EEPROM-Contents'!AB14,$B$9:$B$47,0)),2)</f>
        <v>00</v>
      </c>
      <c r="AA20" s="85" t="str">
        <f>RIGHT(INDEX($D$9:$D$47,MATCH('EEPROM-Contents'!AC14,$B$9:$B$47,0)),2)</f>
        <v>00</v>
      </c>
      <c r="AB20" s="85" t="str">
        <f>RIGHT(INDEX($D$9:$D$47,MATCH('EEPROM-Contents'!AD14,$B$9:$B$47,0)),2)</f>
        <v>00</v>
      </c>
      <c r="AC20" s="80" t="str">
        <f>RIGHT(INDEX('EEPROM-Contents'!$D$4:'EEPROM-Contents'!$D$141,MATCH('EEPROM-Contents'!AE14,'EEPROM-Contents'!$B$4:'EEPROM-Contents'!$B$141,0)),2)</f>
        <v>00</v>
      </c>
      <c r="AD20" s="80" t="str">
        <f>RIGHT(INDEX('EEPROM-Contents'!$D$4:'EEPROM-Contents'!$D$141,MATCH('EEPROM-Contents'!AF14,'EEPROM-Contents'!$B$4:'EEPROM-Contents'!$B$141,0)),2)</f>
        <v>00</v>
      </c>
      <c r="AF20" s="82" t="e">
        <f t="shared" ca="1" si="2"/>
        <v>#NUM!</v>
      </c>
    </row>
    <row r="21" spans="2:38" x14ac:dyDescent="0.25">
      <c r="B21" s="86">
        <f>'EEPROM-Contents'!B63</f>
        <v>59</v>
      </c>
      <c r="C21" s="75">
        <f t="shared" si="1"/>
        <v>10</v>
      </c>
      <c r="D21" s="78" t="str">
        <f>DEC2HEX(2*$C$4,2)</f>
        <v>0A</v>
      </c>
      <c r="E21" s="70" t="str">
        <f>'EEPROM-Contents'!E63</f>
        <v>CHANNR</v>
      </c>
      <c r="F21" s="71"/>
      <c r="G21" s="74"/>
      <c r="N21" s="79" t="s">
        <v>354</v>
      </c>
      <c r="O21" s="80" t="str">
        <f>RIGHT(INDEX('EEPROM-Contents'!$D$4:'EEPROM-Contents'!$D$141,MATCH('EEPROM-Contents'!Q15,'EEPROM-Contents'!$B$4:'EEPROM-Contents'!$B$141,0)),2)</f>
        <v>00</v>
      </c>
      <c r="P21" s="80" t="str">
        <f>RIGHT(INDEX('EEPROM-Contents'!$D$4:'EEPROM-Contents'!$D$141,MATCH('EEPROM-Contents'!R15,'EEPROM-Contents'!$B$4:'EEPROM-Contents'!$B$141,0)),2)</f>
        <v>00</v>
      </c>
      <c r="Q21" s="80" t="str">
        <f>RIGHT(INDEX('EEPROM-Contents'!$D$4:'EEPROM-Contents'!$D$141,MATCH('EEPROM-Contents'!S15,'EEPROM-Contents'!$B$4:'EEPROM-Contents'!$B$141,0)),2)</f>
        <v>00</v>
      </c>
      <c r="R21" s="80" t="str">
        <f>RIGHT(INDEX('EEPROM-Contents'!$D$4:'EEPROM-Contents'!$D$141,MATCH('EEPROM-Contents'!T15,'EEPROM-Contents'!$B$4:'EEPROM-Contents'!$B$141,0)),2)</f>
        <v>00</v>
      </c>
      <c r="S21" s="80" t="str">
        <f>RIGHT(INDEX('EEPROM-Contents'!$D$4:'EEPROM-Contents'!$D$141,MATCH('EEPROM-Contents'!U15,'EEPROM-Contents'!$B$4:'EEPROM-Contents'!$B$141,0)),2)</f>
        <v>00</v>
      </c>
      <c r="T21" s="80" t="str">
        <f>RIGHT(INDEX('EEPROM-Contents'!$D$4:'EEPROM-Contents'!$D$141,MATCH('EEPROM-Contents'!V15,'EEPROM-Contents'!$B$4:'EEPROM-Contents'!$B$141,0)),2)</f>
        <v>00</v>
      </c>
      <c r="U21" s="85" t="e">
        <f>RIGHT(INDEX($D$9:$D$47,MATCH('EEPROM-Contents'!W15,$B$9:$B$47,0)),2)</f>
        <v>#NUM!</v>
      </c>
      <c r="V21" s="85" t="str">
        <f>RIGHT(INDEX($D$9:$D$47,MATCH('EEPROM-Contents'!X15,$B$9:$B$47,0)),2)</f>
        <v>00</v>
      </c>
      <c r="W21" s="85" t="str">
        <f>RIGHT(INDEX($D$9:$D$47,MATCH('EEPROM-Contents'!Y15,$B$9:$B$47,0)),2)</f>
        <v>00</v>
      </c>
      <c r="X21" s="85" t="e">
        <f ca="1">RIGHT(INDEX($D$9:$D$47,MATCH('EEPROM-Contents'!Z15,$B$9:$B$47,0)),2)</f>
        <v>#NUM!</v>
      </c>
      <c r="Y21" s="80" t="str">
        <f>RIGHT(INDEX('EEPROM-Contents'!$D$4:'EEPROM-Contents'!$D$141,MATCH('EEPROM-Contents'!AA15,'EEPROM-Contents'!$B$4:'EEPROM-Contents'!$B$141,0)),2)</f>
        <v>04</v>
      </c>
      <c r="Z21" s="85" t="str">
        <f>RIGHT(INDEX($D$9:$D$47,MATCH('EEPROM-Contents'!AB15,$B$9:$B$47,0)),2)</f>
        <v>09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17</v>
      </c>
      <c r="AF21" s="82" t="e">
        <f t="shared" ca="1" si="2"/>
        <v>#NUM!</v>
      </c>
    </row>
    <row r="22" spans="2:38" x14ac:dyDescent="0.25">
      <c r="B22" s="86">
        <f>'EEPROM-Contents'!B95</f>
        <v>91</v>
      </c>
      <c r="C22" s="78">
        <f>HEX2DEC(D22)</f>
        <v>0</v>
      </c>
      <c r="D22" s="78" t="str">
        <f>LEFT(RIGHT($E$5,8),2)</f>
        <v>00</v>
      </c>
      <c r="E22" s="70" t="str">
        <f>'EEPROM-Contents'!E95</f>
        <v>Info byte 1</v>
      </c>
      <c r="F22" s="71"/>
      <c r="G22" s="74"/>
      <c r="N22" s="79" t="s">
        <v>355</v>
      </c>
      <c r="O22" s="85" t="str">
        <f>RIGHT(INDEX($D$9:$D$47,MATCH('EEPROM-Contents'!Q16,$B$9:$B$47,0)),2)</f>
        <v>73</v>
      </c>
      <c r="P22" s="85" t="str">
        <f>RIGHT(INDEX($D$9:$D$47,MATCH('EEPROM-Contents'!R16,$B$9:$B$47,0)),2)</f>
        <v>00</v>
      </c>
      <c r="Q22" s="85" t="str">
        <f>RIGHT(INDEX($D$9:$D$47,MATCH('EEPROM-Contents'!S16,$B$9:$B$47,0)),2)</f>
        <v>00</v>
      </c>
      <c r="R22" s="85" t="str">
        <f>RIGHT(INDEX($D$9:$D$47,MATCH('EEPROM-Contents'!T16,$B$9:$B$47,0)),2)</f>
        <v>00</v>
      </c>
      <c r="S22" s="85" t="str">
        <f>RIGHT(INDEX($D$9:$D$47,MATCH('EEPROM-Contents'!U16,$B$9:$B$47,0)),2)</f>
        <v>00</v>
      </c>
      <c r="T22" s="80" t="str">
        <f>RIGHT(INDEX('EEPROM-Contents'!$D$4:'EEPROM-Contents'!$D$141,MATCH('EEPROM-Contents'!V16,'EEPROM-Contents'!$B$4:'EEPROM-Contents'!$B$141,0)),2)</f>
        <v>00</v>
      </c>
      <c r="U22" s="80" t="str">
        <f>RIGHT(INDEX('EEPROM-Contents'!$D$4:'EEPROM-Contents'!$D$141,MATCH('EEPROM-Contents'!W16,'EEPROM-Contents'!$B$4:'EEPROM-Contents'!$B$141,0)),2)</f>
        <v>00</v>
      </c>
      <c r="V22" s="80" t="str">
        <f>RIGHT(INDEX('EEPROM-Contents'!$D$4:'EEPROM-Contents'!$D$141,MATCH('EEPROM-Contents'!X16,'EEPROM-Contents'!$B$4:'EEPROM-Contents'!$B$141,0)),2)</f>
        <v>00</v>
      </c>
      <c r="W22" s="80" t="str">
        <f>RIGHT(INDEX('EEPROM-Contents'!$D$4:'EEPROM-Contents'!$D$141,MATCH('EEPROM-Contents'!Y16,'EEPROM-Contents'!$B$4:'EEPROM-Contents'!$B$141,0)),2)</f>
        <v>00</v>
      </c>
      <c r="X22" s="80" t="str">
        <f>RIGHT(INDEX('EEPROM-Contents'!$D$4:'EEPROM-Contents'!$D$141,MATCH('EEPROM-Contents'!Z16,'EEPROM-Contents'!$B$4:'EEPROM-Contents'!$B$141,0)),2)</f>
        <v>00</v>
      </c>
      <c r="Y22" s="80" t="str">
        <f>RIGHT(INDEX('EEPROM-Contents'!$D$4:'EEPROM-Contents'!$D$141,MATCH('EEPROM-Contents'!AA16,'EEPROM-Contents'!$B$4:'EEPROM-Contents'!$B$141,0)),2)</f>
        <v>00</v>
      </c>
      <c r="Z22" s="80" t="str">
        <f>RIGHT(INDEX('EEPROM-Contents'!$D$4:'EEPROM-Contents'!$D$141,MATCH('EEPROM-Contents'!AB16,'EEPROM-Contents'!$B$4:'EEPROM-Contents'!$B$141,0)),2)</f>
        <v>00</v>
      </c>
      <c r="AA22" s="80" t="str">
        <f>RIGHT(INDEX('EEPROM-Contents'!$D$4:'EEPROM-Contents'!$D$141,MATCH('EEPROM-Contents'!AC16,'EEPROM-Contents'!$B$4:'EEPROM-Contents'!$B$141,0)),2)</f>
        <v>00</v>
      </c>
      <c r="AB22" s="85" t="e">
        <f>RIGHT(INDEX($D$9:$D$47,MATCH('EEPROM-Contents'!AD16,$B$9:$B$47,0)),2)</f>
        <v>#NUM!</v>
      </c>
      <c r="AC22" s="85" t="str">
        <f>RIGHT(INDEX($D$9:$D$47,MATCH('EEPROM-Contents'!AE16,$B$9:$B$47,0)),2)</f>
        <v>00</v>
      </c>
      <c r="AD22" s="85" t="str">
        <f>RIGHT(INDEX($D$9:$D$47,MATCH('EEPROM-Contents'!AF16,$B$9:$B$47,0)),2)</f>
        <v>00</v>
      </c>
      <c r="AF22" s="82" t="e">
        <f t="shared" si="2"/>
        <v>#NUM!</v>
      </c>
    </row>
    <row r="23" spans="2:38" x14ac:dyDescent="0.25">
      <c r="B23" s="86">
        <f>'EEPROM-Contents'!B96</f>
        <v>92</v>
      </c>
      <c r="C23" s="78">
        <f t="shared" ref="C23:C44" si="4">HEX2DEC(D23)</f>
        <v>0</v>
      </c>
      <c r="D23" s="78" t="str">
        <f>LEFT(RIGHT($E$5,6),2)</f>
        <v>00</v>
      </c>
      <c r="E23" s="70" t="str">
        <f>'EEPROM-Contents'!E96</f>
        <v>Info byte 2</v>
      </c>
      <c r="F23" s="71"/>
      <c r="G23" s="74"/>
      <c r="N23" s="79" t="s">
        <v>356</v>
      </c>
      <c r="O23" s="85" t="e">
        <f ca="1">RIGHT(INDEX($D$9:$D$47,MATCH('EEPROM-Contents'!Q17,$B$9:$B$47,0)),2)</f>
        <v>#NUM!</v>
      </c>
      <c r="P23" s="80" t="str">
        <f>RIGHT(INDEX('EEPROM-Contents'!$D$4:'EEPROM-Contents'!$D$141,MATCH('EEPROM-Contents'!R17,'EEPROM-Contents'!$B$4:'EEPROM-Contents'!$B$141,0)),2)</f>
        <v>05</v>
      </c>
      <c r="Q23" s="85" t="str">
        <f>RIGHT(INDEX($D$9:$D$47,MATCH('EEPROM-Contents'!S17,$B$9:$B$47,0)),2)</f>
        <v>09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17</v>
      </c>
      <c r="V23" s="85" t="str">
        <f>RIGHT(INDEX($D$9:$D$47,MATCH('EEPROM-Contents'!X17,$B$9:$B$47,0)),2)</f>
        <v>73</v>
      </c>
      <c r="W23" s="85" t="str">
        <f>RIGHT(INDEX($D$9:$D$47,MATCH('EEPROM-Contents'!Y17,$B$9:$B$47,0)),2)</f>
        <v>00</v>
      </c>
      <c r="X23" s="85" t="str">
        <f>RIGHT(INDEX($D$9:$D$47,MATCH('EEPROM-Contents'!Z17,$B$9:$B$47,0)),2)</f>
        <v>00</v>
      </c>
      <c r="Y23" s="85" t="str">
        <f>RIGHT(INDEX($D$9:$D$47,MATCH('EEPROM-Contents'!AA17,$B$9:$B$47,0)),2)</f>
        <v>00</v>
      </c>
      <c r="Z23" s="85" t="str">
        <f>RIGHT(INDEX($D$9:$D$47,MATCH('EEPROM-Contents'!AB17,$B$9:$B$47,0)),2)</f>
        <v>00</v>
      </c>
      <c r="AA23" s="80" t="str">
        <f>RIGHT(INDEX('EEPROM-Contents'!$D$4:'EEPROM-Contents'!$D$141,MATCH('EEPROM-Contents'!AC17,'EEPROM-Contents'!$B$4:'EEPROM-Contents'!$B$141,0)),2)</f>
        <v>00</v>
      </c>
      <c r="AB23" s="80" t="str">
        <f>RIGHT(INDEX('EEPROM-Contents'!$D$4:'EEPROM-Contents'!$D$141,MATCH('EEPROM-Contents'!AD17,'EEPROM-Contents'!$B$4:'EEPROM-Contents'!$B$141,0)),2)</f>
        <v>00</v>
      </c>
      <c r="AC23" s="80" t="str">
        <f>RIGHT(INDEX('EEPROM-Contents'!$D$4:'EEPROM-Contents'!$D$141,MATCH('EEPROM-Contents'!AE17,'EEPROM-Contents'!$B$4:'EEPROM-Contents'!$B$141,0)),2)</f>
        <v>00</v>
      </c>
      <c r="AD23" s="80" t="str">
        <f>RIGHT(INDEX('EEPROM-Contents'!$D$4:'EEPROM-Contents'!$D$141,MATCH('EEPROM-Contents'!AF17,'EEPROM-Contents'!$B$4:'EEPROM-Contents'!$B$141,0)),2)</f>
        <v>00</v>
      </c>
      <c r="AF23" s="82" t="e">
        <f t="shared" ca="1" si="2"/>
        <v>#NUM!</v>
      </c>
    </row>
    <row r="24" spans="2:38" x14ac:dyDescent="0.25">
      <c r="B24" s="86">
        <f>'EEPROM-Contents'!B97</f>
        <v>93</v>
      </c>
      <c r="C24" s="78">
        <f t="shared" si="4"/>
        <v>0</v>
      </c>
      <c r="D24" s="78" t="str">
        <f>LEFT(RIGHT($E$5,4),2)</f>
        <v>00</v>
      </c>
      <c r="E24" s="70" t="str">
        <f>'EEPROM-Contents'!E97</f>
        <v>Info byte 3</v>
      </c>
      <c r="F24" s="71"/>
      <c r="G24" s="74"/>
      <c r="N24" s="79" t="s">
        <v>357</v>
      </c>
      <c r="O24" s="80" t="str">
        <f>RIGHT(INDEX('EEPROM-Contents'!$D$4:'EEPROM-Contents'!$D$141,MATCH('EEPROM-Contents'!Q18,'EEPROM-Contents'!$B$4:'EEPROM-Contents'!$B$141,0)),2)</f>
        <v>00</v>
      </c>
      <c r="P24" s="80" t="str">
        <f>RIGHT(INDEX('EEPROM-Contents'!$D$4:'EEPROM-Contents'!$D$141,MATCH('EEPROM-Contents'!R18,'EEPROM-Contents'!$B$4:'EEPROM-Contents'!$B$141,0)),2)</f>
        <v>00</v>
      </c>
      <c r="Q24" s="80" t="str">
        <f>RIGHT(INDEX('EEPROM-Contents'!$D$4:'EEPROM-Contents'!$D$141,MATCH('EEPROM-Contents'!S18,'EEPROM-Contents'!$B$4:'EEPROM-Contents'!$B$141,0)),2)</f>
        <v>00</v>
      </c>
      <c r="R24" s="80" t="str">
        <f>RIGHT(INDEX('EEPROM-Contents'!$D$4:'EEPROM-Contents'!$D$141,MATCH('EEPROM-Contents'!T18,'EEPROM-Contents'!$B$4:'EEPROM-Contents'!$B$141,0)),2)</f>
        <v>00</v>
      </c>
      <c r="S24" s="85" t="e">
        <f>RIGHT(INDEX($D$9:$D$47,MATCH('EEPROM-Contents'!U18,$B$9:$B$47,0)),2)</f>
        <v>#NUM!</v>
      </c>
      <c r="T24" s="85" t="str">
        <f>RIGHT(INDEX($D$9:$D$47,MATCH('EEPROM-Contents'!V18,$B$9:$B$47,0)),2)</f>
        <v>00</v>
      </c>
      <c r="U24" s="85" t="str">
        <f>RIGHT(INDEX($D$9:$D$47,MATCH('EEPROM-Contents'!W18,$B$9:$B$47,0)),2)</f>
        <v>00</v>
      </c>
      <c r="V24" s="85" t="e">
        <f ca="1">RIGHT(INDEX($D$9:$D$47,MATCH('EEPROM-Contents'!X18,$B$9:$B$47,0)),2)</f>
        <v>#NUM!</v>
      </c>
      <c r="W24" s="80" t="str">
        <f>RIGHT(INDEX('EEPROM-Contents'!$D$4:'EEPROM-Contents'!$D$141,MATCH('EEPROM-Contents'!Y18,'EEPROM-Contents'!$B$4:'EEPROM-Contents'!$B$141,0)),2)</f>
        <v>06</v>
      </c>
      <c r="X24" s="85" t="str">
        <f>RIGHT(INDEX($D$9:$D$47,MATCH('EEPROM-Contents'!Z18,$B$9:$B$47,0)),2)</f>
        <v>09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17</v>
      </c>
      <c r="AC24" s="85" t="str">
        <f>RIGHT(INDEX($D$9:$D$47,MATCH('EEPROM-Contents'!AE18,$B$9:$B$47,0)),2)</f>
        <v>73</v>
      </c>
      <c r="AD24" s="85" t="str">
        <f>RIGHT(INDEX($D$9:$D$47,MATCH('EEPROM-Contents'!AF18,$B$9:$B$47,0)),2)</f>
        <v>00</v>
      </c>
      <c r="AF24" s="82" t="e">
        <f t="shared" ca="1" si="2"/>
        <v>#NUM!</v>
      </c>
    </row>
    <row r="25" spans="2:38" x14ac:dyDescent="0.25">
      <c r="B25" s="86">
        <f>'EEPROM-Contents'!B98</f>
        <v>94</v>
      </c>
      <c r="C25" s="78">
        <f t="shared" si="4"/>
        <v>0</v>
      </c>
      <c r="D25" s="78" t="str">
        <f>LEFT(RIGHT($E$5,2),2)</f>
        <v>00</v>
      </c>
      <c r="E25" s="70" t="str">
        <f>'EEPROM-Contents'!E98</f>
        <v>Info byte 4</v>
      </c>
      <c r="F25" s="71"/>
      <c r="G25" s="74"/>
      <c r="N25" s="79" t="s">
        <v>358</v>
      </c>
      <c r="O25" s="85" t="str">
        <f>RIGHT(INDEX($D$9:$D$47,MATCH('EEPROM-Contents'!Q19,$B$9:$B$47,0)),2)</f>
        <v>00</v>
      </c>
      <c r="P25" s="85" t="str">
        <f>RIGHT(INDEX($D$9:$D$47,MATCH('EEPROM-Contents'!R19,$B$9:$B$47,0)),2)</f>
        <v>00</v>
      </c>
      <c r="Q25" s="85" t="str">
        <f>RIGHT(INDEX($D$9:$D$47,MATCH('EEPROM-Contents'!S19,$B$9:$B$47,0)),2)</f>
        <v>00</v>
      </c>
      <c r="R25" s="80" t="str">
        <f>RIGHT(INDEX('EEPROM-Contents'!$D$4:'EEPROM-Contents'!$D$141,MATCH('EEPROM-Contents'!T19,'EEPROM-Contents'!$B$4:'EEPROM-Contents'!$B$141,0)),2)</f>
        <v>00</v>
      </c>
      <c r="S25" s="80" t="str">
        <f>RIGHT(INDEX('EEPROM-Contents'!$D$4:'EEPROM-Contents'!$D$141,MATCH('EEPROM-Contents'!U19,'EEPROM-Contents'!$B$4:'EEPROM-Contents'!$B$141,0)),2)</f>
        <v>00</v>
      </c>
      <c r="T25" s="80" t="str">
        <f>RIGHT(INDEX('EEPROM-Contents'!$D$4:'EEPROM-Contents'!$D$141,MATCH('EEPROM-Contents'!V19,'EEPROM-Contents'!$B$4:'EEPROM-Contents'!$B$141,0)),2)</f>
        <v>00</v>
      </c>
      <c r="U25" s="80" t="str">
        <f>RIGHT(INDEX('EEPROM-Contents'!$D$4:'EEPROM-Contents'!$D$141,MATCH('EEPROM-Contents'!W19,'EEPROM-Contents'!$B$4:'EEPROM-Contents'!$B$141,0)),2)</f>
        <v>00</v>
      </c>
      <c r="V25" s="80" t="str">
        <f>RIGHT(INDEX('EEPROM-Contents'!$D$4:'EEPROM-Contents'!$D$141,MATCH('EEPROM-Contents'!X19,'EEPROM-Contents'!$B$4:'EEPROM-Contents'!$B$141,0)),2)</f>
        <v>00</v>
      </c>
      <c r="W25" s="80" t="str">
        <f>RIGHT(INDEX('EEPROM-Contents'!$D$4:'EEPROM-Contents'!$D$141,MATCH('EEPROM-Contents'!Y19,'EEPROM-Contents'!$B$4:'EEPROM-Contents'!$B$141,0)),2)</f>
        <v>00</v>
      </c>
      <c r="X25" s="80" t="str">
        <f>RIGHT(INDEX('EEPROM-Contents'!$D$4:'EEPROM-Contents'!$D$141,MATCH('EEPROM-Contents'!Z19,'EEPROM-Contents'!$B$4:'EEPROM-Contents'!$B$141,0)),2)</f>
        <v>00</v>
      </c>
      <c r="Y25" s="80" t="str">
        <f>RIGHT(INDEX('EEPROM-Contents'!$D$4:'EEPROM-Contents'!$D$141,MATCH('EEPROM-Contents'!AA19,'EEPROM-Contents'!$B$4:'EEPROM-Contents'!$B$141,0)),2)</f>
        <v>00</v>
      </c>
      <c r="Z25" s="85" t="e">
        <f>RIGHT(INDEX($D$9:$D$47,MATCH('EEPROM-Contents'!AB19,$B$9:$B$47,0)),2)</f>
        <v>#NUM!</v>
      </c>
      <c r="AA25" s="85" t="str">
        <f>RIGHT(INDEX($D$9:$D$47,MATCH('EEPROM-Contents'!AC19,$B$9:$B$47,0)),2)</f>
        <v>00</v>
      </c>
      <c r="AB25" s="85" t="str">
        <f>RIGHT(INDEX($D$9:$D$47,MATCH('EEPROM-Contents'!AD19,$B$9:$B$47,0)),2)</f>
        <v>00</v>
      </c>
      <c r="AC25" s="85" t="e">
        <f ca="1">RIGHT(INDEX($D$9:$D$47,MATCH('EEPROM-Contents'!AE19,$B$9:$B$47,0)),2)</f>
        <v>#NUM!</v>
      </c>
      <c r="AD25" s="80" t="str">
        <f>RIGHT(INDEX('EEPROM-Contents'!$D$4:'EEPROM-Contents'!$D$141,MATCH('EEPROM-Contents'!AF19,'EEPROM-Contents'!$B$4:'EEPROM-Contents'!$B$141,0)),2)</f>
        <v>07</v>
      </c>
      <c r="AF25" s="82" t="e">
        <f t="shared" ca="1" si="2"/>
        <v>#NUM!</v>
      </c>
    </row>
    <row r="26" spans="2:38" x14ac:dyDescent="0.25">
      <c r="B26" s="86">
        <f>'EEPROM-Contents'!B99</f>
        <v>95</v>
      </c>
      <c r="C26" s="76">
        <f t="shared" si="4"/>
        <v>9</v>
      </c>
      <c r="D26" s="76" t="str">
        <f>L5</f>
        <v>09</v>
      </c>
      <c r="E26" s="67" t="str">
        <f>'EEPROM-Contents'!E99</f>
        <v>ASIC Identifier</v>
      </c>
      <c r="F26" s="68"/>
      <c r="G26" s="69"/>
      <c r="N26" s="79" t="s">
        <v>359</v>
      </c>
      <c r="O26" s="85" t="str">
        <f>RIGHT(INDEX($D$9:$D$47,MATCH('EEPROM-Contents'!Q20,$B$9:$B$47,0)),2)</f>
        <v>09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17</v>
      </c>
      <c r="T26" s="85" t="str">
        <f>RIGHT(INDEX($D$9:$D$47,MATCH('EEPROM-Contents'!V20,$B$9:$B$47,0)),2)</f>
        <v>73</v>
      </c>
      <c r="U26" s="85" t="str">
        <f>RIGHT(INDEX($D$9:$D$47,MATCH('EEPROM-Contents'!W20,$B$9:$B$47,0)),2)</f>
        <v>00</v>
      </c>
      <c r="V26" s="85" t="str">
        <f>RIGHT(INDEX($D$9:$D$47,MATCH('EEPROM-Contents'!X20,$B$9:$B$47,0)),2)</f>
        <v>00</v>
      </c>
      <c r="W26" s="85" t="str">
        <f>RIGHT(INDEX($D$9:$D$47,MATCH('EEPROM-Contents'!Y20,$B$9:$B$47,0)),2)</f>
        <v>00</v>
      </c>
      <c r="X26" s="85" t="str">
        <f>RIGHT(INDEX($D$9:$D$47,MATCH('EEPROM-Contents'!Z20,$B$9:$B$47,0)),2)</f>
        <v>00</v>
      </c>
      <c r="Y26" s="80" t="str">
        <f>RIGHT(INDEX('EEPROM-Contents'!$D$4:'EEPROM-Contents'!$D$141,MATCH('EEPROM-Contents'!AA20,'EEPROM-Contents'!$B$4:'EEPROM-Contents'!$B$141,0)),2)</f>
        <v>00</v>
      </c>
      <c r="Z26" s="80" t="str">
        <f>RIGHT(INDEX('EEPROM-Contents'!$D$4:'EEPROM-Contents'!$D$141,MATCH('EEPROM-Contents'!AB20,'EEPROM-Contents'!$B$4:'EEPROM-Contents'!$B$141,0)),2)</f>
        <v>00</v>
      </c>
      <c r="AA26" s="80" t="str">
        <f>RIGHT(INDEX('EEPROM-Contents'!$D$4:'EEPROM-Contents'!$D$141,MATCH('EEPROM-Contents'!AC20,'EEPROM-Contents'!$B$4:'EEPROM-Contents'!$B$141,0)),2)</f>
        <v>00</v>
      </c>
      <c r="AB26" s="80" t="str">
        <f>RIGHT(INDEX('EEPROM-Contents'!$D$4:'EEPROM-Contents'!$D$141,MATCH('EEPROM-Contents'!AD20,'EEPROM-Contents'!$B$4:'EEPROM-Contents'!$B$141,0)),2)</f>
        <v>00</v>
      </c>
      <c r="AC26" s="80" t="str">
        <f>RIGHT(INDEX('EEPROM-Contents'!$D$4:'EEPROM-Contents'!$D$141,MATCH('EEPROM-Contents'!AE20,'EEPROM-Contents'!$B$4:'EEPROM-Contents'!$B$141,0)),2)</f>
        <v>00</v>
      </c>
      <c r="AD26" s="80" t="str">
        <f>RIGHT(INDEX('EEPROM-Contents'!$D$4:'EEPROM-Contents'!$D$141,MATCH('EEPROM-Contents'!AF20,'EEPROM-Contents'!$B$4:'EEPROM-Contents'!$B$141,0)),2)</f>
        <v>00</v>
      </c>
      <c r="AF26" s="82" t="str">
        <f t="shared" ca="1" si="2"/>
        <v>000000000000000000000906051017730000000000000000000000</v>
      </c>
    </row>
    <row r="27" spans="2:38" x14ac:dyDescent="0.25">
      <c r="B27" s="86">
        <f>'EEPROM-Contents'!B100</f>
        <v>96</v>
      </c>
      <c r="C27" s="76">
        <f t="shared" ca="1" si="4"/>
        <v>6</v>
      </c>
      <c r="D27" s="76" t="str">
        <f ca="1">F5</f>
        <v>06</v>
      </c>
      <c r="E27" s="67" t="str">
        <f>'EEPROM-Contents'!E100</f>
        <v>Year</v>
      </c>
      <c r="F27" s="68"/>
      <c r="G27" s="69"/>
      <c r="N27" s="79" t="s">
        <v>360</v>
      </c>
      <c r="O27" s="80" t="str">
        <f>RIGHT(INDEX('EEPROM-Contents'!$D$4:'EEPROM-Contents'!$D$141,MATCH('EEPROM-Contents'!Q21,'EEPROM-Contents'!$B$4:'EEPROM-Contents'!$B$141,0)),2)</f>
        <v>00</v>
      </c>
      <c r="P27" s="80" t="str">
        <f>RIGHT(INDEX('EEPROM-Contents'!$D$4:'EEPROM-Contents'!$D$141,MATCH('EEPROM-Contents'!R21,'EEPROM-Contents'!$B$4:'EEPROM-Contents'!$B$141,0)),2)</f>
        <v>00</v>
      </c>
      <c r="Q27" s="85" t="e">
        <f>RIGHT(INDEX($D$9:$D$47,MATCH('EEPROM-Contents'!S21,$B$9:$B$47,0)),2)</f>
        <v>#NUM!</v>
      </c>
      <c r="R27" s="85" t="str">
        <f>RIGHT(INDEX($D$9:$D$47,MATCH('EEPROM-Contents'!T21,$B$9:$B$47,0)),2)</f>
        <v>00</v>
      </c>
      <c r="S27" s="85" t="str">
        <f>RIGHT(INDEX($D$9:$D$47,MATCH('EEPROM-Contents'!U21,$B$9:$B$47,0)),2)</f>
        <v>00</v>
      </c>
      <c r="T27" s="85" t="e">
        <f ca="1">RIGHT(INDEX($D$9:$D$47,MATCH('EEPROM-Contents'!V21,$B$9:$B$47,0)),2)</f>
        <v>#NUM!</v>
      </c>
      <c r="U27" s="80" t="str">
        <f>RIGHT(INDEX('EEPROM-Contents'!$D$4:'EEPROM-Contents'!$D$141,MATCH('EEPROM-Contents'!W21,'EEPROM-Contents'!$B$4:'EEPROM-Contents'!$B$141,0)),2)</f>
        <v>08</v>
      </c>
      <c r="V27" s="85" t="str">
        <f>RIGHT(INDEX($D$9:$D$47,MATCH('EEPROM-Contents'!X21,$B$9:$B$47,0)),2)</f>
        <v>09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17</v>
      </c>
      <c r="AA27" s="85" t="str">
        <f>RIGHT(INDEX($D$9:$D$47,MATCH('EEPROM-Contents'!AC21,$B$9:$B$47,0)),2)</f>
        <v>73</v>
      </c>
      <c r="AB27" s="85" t="str">
        <f>RIGHT(INDEX($D$9:$D$47,MATCH('EEPROM-Contents'!AD21,$B$9:$B$47,0)),2)</f>
        <v>00</v>
      </c>
      <c r="AC27" s="85" t="str">
        <f>RIGHT(INDEX($D$9:$D$47,MATCH('EEPROM-Contents'!AE21,$B$9:$B$47,0)),2)</f>
        <v>00</v>
      </c>
      <c r="AD27" s="85" t="str">
        <f>RIGHT(INDEX($D$9:$D$47,MATCH('EEPROM-Contents'!AF21,$B$9:$B$47,0)),2)</f>
        <v>00</v>
      </c>
      <c r="AF27" s="82" t="e">
        <f t="shared" ca="1" si="2"/>
        <v>#NUM!</v>
      </c>
    </row>
    <row r="28" spans="2:38" x14ac:dyDescent="0.25">
      <c r="B28" s="86">
        <f>'EEPROM-Contents'!B101</f>
        <v>97</v>
      </c>
      <c r="C28" s="76">
        <f t="shared" ca="1" si="4"/>
        <v>5</v>
      </c>
      <c r="D28" s="76" t="str">
        <f ca="1">G5</f>
        <v>05</v>
      </c>
      <c r="E28" s="67" t="str">
        <f>'EEPROM-Contents'!E101</f>
        <v>Month</v>
      </c>
      <c r="F28" s="68"/>
      <c r="G28" s="69"/>
      <c r="N28" s="79" t="s">
        <v>361</v>
      </c>
      <c r="O28" s="85" t="str">
        <f>RIGHT(INDEX($D$9:$D$47,MATCH('EEPROM-Contents'!Q22,$B$9:$B$47,0)),2)</f>
        <v>00</v>
      </c>
      <c r="P28" s="80" t="str">
        <f>RIGHT(INDEX('EEPROM-Contents'!$D$4:'EEPROM-Contents'!$D$141,MATCH('EEPROM-Contents'!R22,'EEPROM-Contents'!$B$4:'EEPROM-Contents'!$B$141,0)),2)</f>
        <v>00</v>
      </c>
      <c r="Q28" s="80" t="str">
        <f>RIGHT(INDEX('EEPROM-Contents'!$D$4:'EEPROM-Contents'!$D$141,MATCH('EEPROM-Contents'!S22,'EEPROM-Contents'!$B$4:'EEPROM-Contents'!$B$141,0)),2)</f>
        <v>00</v>
      </c>
      <c r="R28" s="80" t="str">
        <f>RIGHT(INDEX('EEPROM-Contents'!$D$4:'EEPROM-Contents'!$D$141,MATCH('EEPROM-Contents'!T22,'EEPROM-Contents'!$B$4:'EEPROM-Contents'!$B$141,0)),2)</f>
        <v>00</v>
      </c>
      <c r="S28" s="80" t="str">
        <f>RIGHT(INDEX('EEPROM-Contents'!$D$4:'EEPROM-Contents'!$D$141,MATCH('EEPROM-Contents'!U22,'EEPROM-Contents'!$B$4:'EEPROM-Contents'!$B$141,0)),2)</f>
        <v>00</v>
      </c>
      <c r="T28" s="80" t="str">
        <f>RIGHT(INDEX('EEPROM-Contents'!$D$4:'EEPROM-Contents'!$D$141,MATCH('EEPROM-Contents'!V22,'EEPROM-Contents'!$B$4:'EEPROM-Contents'!$B$141,0)),2)</f>
        <v>00</v>
      </c>
      <c r="U28" s="80" t="str">
        <f>RIGHT(INDEX('EEPROM-Contents'!$D$4:'EEPROM-Contents'!$D$141,MATCH('EEPROM-Contents'!W22,'EEPROM-Contents'!$B$4:'EEPROM-Contents'!$B$141,0)),2)</f>
        <v>00</v>
      </c>
      <c r="V28" s="80" t="str">
        <f>RIGHT(INDEX('EEPROM-Contents'!$D$4:'EEPROM-Contents'!$D$141,MATCH('EEPROM-Contents'!X22,'EEPROM-Contents'!$B$4:'EEPROM-Contents'!$B$141,0)),2)</f>
        <v>00</v>
      </c>
      <c r="W28" s="80" t="str">
        <f>RIGHT(INDEX('EEPROM-Contents'!$D$4:'EEPROM-Contents'!$D$141,MATCH('EEPROM-Contents'!Y22,'EEPROM-Contents'!$B$4:'EEPROM-Contents'!$B$141,0)),2)</f>
        <v>00</v>
      </c>
      <c r="X28" s="85" t="e">
        <f>RIGHT(INDEX($D$9:$D$47,MATCH('EEPROM-Contents'!Z22,$B$9:$B$47,0)),2)</f>
        <v>#NUM!</v>
      </c>
      <c r="Y28" s="85" t="str">
        <f>RIGHT(INDEX($D$9:$D$47,MATCH('EEPROM-Contents'!AA22,$B$9:$B$47,0)),2)</f>
        <v>00</v>
      </c>
      <c r="Z28" s="85" t="str">
        <f>RIGHT(INDEX($D$9:$D$47,MATCH('EEPROM-Contents'!AB22,$B$9:$B$47,0)),2)</f>
        <v>00</v>
      </c>
      <c r="AA28" s="85" t="e">
        <f ca="1">RIGHT(INDEX($D$9:$D$47,MATCH('EEPROM-Contents'!AC22,$B$9:$B$47,0)),2)</f>
        <v>#NUM!</v>
      </c>
      <c r="AB28" s="80" t="str">
        <f>RIGHT(INDEX('EEPROM-Contents'!$D$4:'EEPROM-Contents'!$D$141,MATCH('EEPROM-Contents'!AD22,'EEPROM-Contents'!$B$4:'EEPROM-Contents'!$B$141,0)),2)</f>
        <v>09</v>
      </c>
      <c r="AC28" s="85" t="str">
        <f>RIGHT(INDEX($D$9:$D$47,MATCH('EEPROM-Contents'!AE22,$B$9:$B$47,0)),2)</f>
        <v>09</v>
      </c>
      <c r="AD28" s="85" t="str">
        <f ca="1">RIGHT(INDEX($D$9:$D$47,MATCH('EEPROM-Contents'!AF22,$B$9:$B$47,0)),2)</f>
        <v>06</v>
      </c>
      <c r="AF28" s="82" t="e">
        <f t="shared" ca="1" si="2"/>
        <v>#NUM!</v>
      </c>
    </row>
    <row r="29" spans="2:38" x14ac:dyDescent="0.25">
      <c r="B29" s="86">
        <f>'EEPROM-Contents'!B102</f>
        <v>98</v>
      </c>
      <c r="C29" s="76">
        <f t="shared" ca="1" si="4"/>
        <v>16</v>
      </c>
      <c r="D29" s="76" t="str">
        <f ca="1">H5</f>
        <v>10</v>
      </c>
      <c r="E29" s="67" t="str">
        <f>'EEPROM-Contents'!E102</f>
        <v>Day</v>
      </c>
      <c r="F29" s="68"/>
      <c r="G29" s="69"/>
      <c r="N29" s="79" t="s">
        <v>362</v>
      </c>
      <c r="O29" s="85" t="str">
        <f ca="1">RIGHT(INDEX($D$9:$D$47,MATCH('EEPROM-Contents'!Q23,$B$9:$B$47,0)),2)</f>
        <v>05</v>
      </c>
      <c r="P29" s="85" t="str">
        <f ca="1">RIGHT(INDEX($D$9:$D$47,MATCH('EEPROM-Contents'!R23,$B$9:$B$47,0)),2)</f>
        <v>10</v>
      </c>
      <c r="Q29" s="85" t="str">
        <f>RIGHT(INDEX($D$9:$D$47,MATCH('EEPROM-Contents'!S23,$B$9:$B$47,0)),2)</f>
        <v>17</v>
      </c>
      <c r="R29" s="85" t="str">
        <f>RIGHT(INDEX($D$9:$D$47,MATCH('EEPROM-Contents'!T23,$B$9:$B$47,0)),2)</f>
        <v>73</v>
      </c>
      <c r="S29" s="85" t="str">
        <f>RIGHT(INDEX($D$9:$D$47,MATCH('EEPROM-Contents'!U23,$B$9:$B$47,0)),2)</f>
        <v>00</v>
      </c>
      <c r="T29" s="85" t="str">
        <f>RIGHT(INDEX($D$9:$D$47,MATCH('EEPROM-Contents'!V23,$B$9:$B$47,0)),2)</f>
        <v>00</v>
      </c>
      <c r="U29" s="85" t="str">
        <f>RIGHT(INDEX($D$9:$D$47,MATCH('EEPROM-Contents'!W23,$B$9:$B$47,0)),2)</f>
        <v>00</v>
      </c>
      <c r="V29" s="85" t="str">
        <f>RIGHT(INDEX($D$9:$D$47,MATCH('EEPROM-Contents'!X23,$B$9:$B$47,0)),2)</f>
        <v>00</v>
      </c>
      <c r="W29" s="80" t="str">
        <f>RIGHT(INDEX('EEPROM-Contents'!$D$4:'EEPROM-Contents'!$D$141,MATCH('EEPROM-Contents'!Y23,'EEPROM-Contents'!$B$4:'EEPROM-Contents'!$B$141,0)),2)</f>
        <v>00</v>
      </c>
      <c r="X29" s="80" t="str">
        <f>RIGHT(INDEX('EEPROM-Contents'!$D$4:'EEPROM-Contents'!$D$141,MATCH('EEPROM-Contents'!Z23,'EEPROM-Contents'!$B$4:'EEPROM-Contents'!$B$141,0)),2)</f>
        <v>00</v>
      </c>
      <c r="Y29" s="80" t="str">
        <f>RIGHT(INDEX('EEPROM-Contents'!$D$4:'EEPROM-Contents'!$D$141,MATCH('EEPROM-Contents'!AA23,'EEPROM-Contents'!$B$4:'EEPROM-Contents'!$B$141,0)),2)</f>
        <v>00</v>
      </c>
      <c r="Z29" s="80" t="str">
        <f>RIGHT(INDEX('EEPROM-Contents'!$D$4:'EEPROM-Contents'!$D$141,MATCH('EEPROM-Contents'!AB23,'EEPROM-Contents'!$B$4:'EEPROM-Contents'!$B$141,0)),2)</f>
        <v>00</v>
      </c>
      <c r="AA29" s="80" t="str">
        <f>RIGHT(INDEX('EEPROM-Contents'!$D$4:'EEPROM-Contents'!$D$141,MATCH('EEPROM-Contents'!AC23,'EEPROM-Contents'!$B$4:'EEPROM-Contents'!$B$141,0)),2)</f>
        <v>00</v>
      </c>
      <c r="AB29" s="80" t="str">
        <f>RIGHT(INDEX('EEPROM-Contents'!$D$4:'EEPROM-Contents'!$D$141,MATCH('EEPROM-Contents'!AD23,'EEPROM-Contents'!$B$4:'EEPROM-Contents'!$B$141,0)),2)</f>
        <v>00</v>
      </c>
      <c r="AC29" s="80" t="str">
        <f>RIGHT(INDEX('EEPROM-Contents'!$D$4:'EEPROM-Contents'!$D$141,MATCH('EEPROM-Contents'!AE23,'EEPROM-Contents'!$B$4:'EEPROM-Contents'!$B$141,0)),2)</f>
        <v>00</v>
      </c>
      <c r="AD29" s="80" t="str">
        <f>RIGHT(INDEX('EEPROM-Contents'!$D$4:'EEPROM-Contents'!$D$141,MATCH('EEPROM-Contents'!AF23,'EEPROM-Contents'!$B$4:'EEPROM-Contents'!$B$141,0)),2)</f>
        <v>00</v>
      </c>
      <c r="AF29" s="82" t="str">
        <f t="shared" ca="1" si="2"/>
        <v>000000000000000000000510177300000000000000000000000000</v>
      </c>
    </row>
    <row r="30" spans="2:38" x14ac:dyDescent="0.25">
      <c r="B30" s="86">
        <f>'EEPROM-Contents'!B103</f>
        <v>99</v>
      </c>
      <c r="C30" s="76">
        <f t="shared" si="4"/>
        <v>23</v>
      </c>
      <c r="D30" s="76" t="str">
        <f>LEFT(RIGHT($B$5,4),2)</f>
        <v>17</v>
      </c>
      <c r="E30" s="67" t="str">
        <f>'EEPROM-Contents'!E103</f>
        <v>Device Type</v>
      </c>
      <c r="F30" s="68"/>
      <c r="G30" s="69"/>
      <c r="N30" s="79" t="s">
        <v>363</v>
      </c>
      <c r="O30" s="85" t="e">
        <f>RIGHT(INDEX($D$9:$D$47,MATCH('EEPROM-Contents'!Q24,$B$9:$B$47,0)),2)</f>
        <v>#NUM!</v>
      </c>
      <c r="P30" s="85" t="str">
        <f>RIGHT(INDEX($D$9:$D$47,MATCH('EEPROM-Contents'!R24,$B$9:$B$47,0)),2)</f>
        <v>00</v>
      </c>
      <c r="Q30" s="85" t="str">
        <f>RIGHT(INDEX($D$9:$D$47,MATCH('EEPROM-Contents'!S24,$B$9:$B$47,0)),2)</f>
        <v>00</v>
      </c>
      <c r="R30" s="85" t="e">
        <f ca="1">RIGHT(INDEX($D$9:$D$47,MATCH('EEPROM-Contents'!T24,$B$9:$B$47,0)),2)</f>
        <v>#NUM!</v>
      </c>
      <c r="S30" s="80" t="str">
        <f>RIGHT(INDEX('EEPROM-Contents'!$D$4:'EEPROM-Contents'!$D$141,MATCH('EEPROM-Contents'!U24,'EEPROM-Contents'!$B$4:'EEPROM-Contents'!$B$141,0)),2)</f>
        <v>0A</v>
      </c>
      <c r="T30" s="85" t="str">
        <f>RIGHT(INDEX($D$9:$D$47,MATCH('EEPROM-Contents'!V24,$B$9:$B$47,0)),2)</f>
        <v>09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17</v>
      </c>
      <c r="Y30" s="85" t="str">
        <f>RIGHT(INDEX($D$9:$D$47,MATCH('EEPROM-Contents'!AA24,$B$9:$B$47,0)),2)</f>
        <v>73</v>
      </c>
      <c r="Z30" s="85" t="str">
        <f>RIGHT(INDEX($D$9:$D$47,MATCH('EEPROM-Contents'!AB24,$B$9:$B$47,0)),2)</f>
        <v>00</v>
      </c>
      <c r="AA30" s="85" t="str">
        <f>RIGHT(INDEX($D$9:$D$47,MATCH('EEPROM-Contents'!AC24,$B$9:$B$47,0)),2)</f>
        <v>00</v>
      </c>
      <c r="AB30" s="85" t="str">
        <f>RIGHT(INDEX($D$9:$D$47,MATCH('EEPROM-Contents'!AD24,$B$9:$B$47,0)),2)</f>
        <v>00</v>
      </c>
      <c r="AC30" s="85" t="str">
        <f>RIGHT(INDEX($D$9:$D$47,MATCH('EEPROM-Contents'!AE24,$B$9:$B$47,0)),2)</f>
        <v>00</v>
      </c>
      <c r="AD30" s="80" t="str">
        <f>RIGHT(INDEX('EEPROM-Contents'!$D$4:'EEPROM-Contents'!$D$141,MATCH('EEPROM-Contents'!AF24,'EEPROM-Contents'!$B$4:'EEPROM-Contents'!$B$141,0)),2)</f>
        <v>00</v>
      </c>
      <c r="AF30" s="82" t="e">
        <f t="shared" ca="1" si="2"/>
        <v>#NUM!</v>
      </c>
    </row>
    <row r="31" spans="2:38" x14ac:dyDescent="0.25">
      <c r="B31" s="86">
        <f>'EEPROM-Contents'!B104</f>
        <v>100</v>
      </c>
      <c r="C31" s="76">
        <f t="shared" si="4"/>
        <v>115</v>
      </c>
      <c r="D31" s="76" t="str">
        <f>LEFT(RIGHT($B$5,2),2)</f>
        <v>73</v>
      </c>
      <c r="E31" s="67" t="str">
        <f>'EEPROM-Contents'!E104</f>
        <v>Device Type</v>
      </c>
      <c r="F31" s="68"/>
      <c r="G31" s="69"/>
      <c r="N31" s="79" t="s">
        <v>364</v>
      </c>
      <c r="O31" s="80" t="str">
        <f>RIGHT(INDEX('EEPROM-Contents'!$D$4:'EEPROM-Contents'!$D$141,MATCH('EEPROM-Contents'!Q25,'EEPROM-Contents'!$B$4:'EEPROM-Contents'!$B$141,0)),2)</f>
        <v>00</v>
      </c>
      <c r="P31" s="80" t="str">
        <f>RIGHT(INDEX('EEPROM-Contents'!$D$4:'EEPROM-Contents'!$D$141,MATCH('EEPROM-Contents'!R25,'EEPROM-Contents'!$B$4:'EEPROM-Contents'!$B$141,0)),2)</f>
        <v>00</v>
      </c>
      <c r="Q31" s="80" t="str">
        <f>RIGHT(INDEX('EEPROM-Contents'!$D$4:'EEPROM-Contents'!$D$141,MATCH('EEPROM-Contents'!S25,'EEPROM-Contents'!$B$4:'EEPROM-Contents'!$B$141,0)),2)</f>
        <v>00</v>
      </c>
      <c r="R31" s="80" t="str">
        <f>RIGHT(INDEX('EEPROM-Contents'!$D$4:'EEPROM-Contents'!$D$141,MATCH('EEPROM-Contents'!T25,'EEPROM-Contents'!$B$4:'EEPROM-Contents'!$B$141,0)),2)</f>
        <v>00</v>
      </c>
      <c r="S31" s="80" t="str">
        <f>RIGHT(INDEX('EEPROM-Contents'!$D$4:'EEPROM-Contents'!$D$141,MATCH('EEPROM-Contents'!U25,'EEPROM-Contents'!$B$4:'EEPROM-Contents'!$B$141,0)),2)</f>
        <v>00</v>
      </c>
      <c r="T31" s="80" t="str">
        <f>RIGHT(INDEX('EEPROM-Contents'!$D$4:'EEPROM-Contents'!$D$141,MATCH('EEPROM-Contents'!V25,'EEPROM-Contents'!$B$4:'EEPROM-Contents'!$B$141,0)),2)</f>
        <v>00</v>
      </c>
      <c r="U31" s="80" t="str">
        <f>RIGHT(INDEX('EEPROM-Contents'!$D$4:'EEPROM-Contents'!$D$141,MATCH('EEPROM-Contents'!W25,'EEPROM-Contents'!$B$4:'EEPROM-Contents'!$B$141,0)),2)</f>
        <v>00</v>
      </c>
      <c r="V31" s="85" t="e">
        <f>RIGHT(INDEX($D$9:$D$47,MATCH('EEPROM-Contents'!X25,$B$9:$B$47,0)),2)</f>
        <v>#NUM!</v>
      </c>
      <c r="W31" s="85" t="str">
        <f>RIGHT(INDEX($D$9:$D$47,MATCH('EEPROM-Contents'!Y25,$B$9:$B$47,0)),2)</f>
        <v>00</v>
      </c>
      <c r="X31" s="85" t="str">
        <f>RIGHT(INDEX($D$9:$D$47,MATCH('EEPROM-Contents'!Z25,$B$9:$B$47,0)),2)</f>
        <v>00</v>
      </c>
      <c r="Y31" s="85" t="e">
        <f ca="1">RIGHT(INDEX($D$9:$D$47,MATCH('EEPROM-Contents'!AA25,$B$9:$B$47,0)),2)</f>
        <v>#NUM!</v>
      </c>
      <c r="Z31" s="80" t="str">
        <f>RIGHT(INDEX('EEPROM-Contents'!$D$4:'EEPROM-Contents'!$D$141,MATCH('EEPROM-Contents'!AB25,'EEPROM-Contents'!$B$4:'EEPROM-Contents'!$B$141,0)),2)</f>
        <v>0B</v>
      </c>
      <c r="AA31" s="85" t="str">
        <f>RIGHT(INDEX($D$9:$D$47,MATCH('EEPROM-Contents'!AC25,$B$9:$B$47,0)),2)</f>
        <v>09</v>
      </c>
      <c r="AB31" s="85" t="str">
        <f ca="1">RIGHT(INDEX($D$9:$D$47,MATCH('EEPROM-Contents'!AD25,$B$9:$B$47,0)),2)</f>
        <v>06</v>
      </c>
      <c r="AC31" s="85" t="str">
        <f ca="1">RIGHT(INDEX($D$9:$D$47,MATCH('EEPROM-Contents'!AE25,$B$9:$B$47,0)),2)</f>
        <v>05</v>
      </c>
      <c r="AD31" s="85" t="str">
        <f ca="1">RIGHT(INDEX($D$9:$D$47,MATCH('EEPROM-Contents'!AF25,$B$9:$B$47,0)),2)</f>
        <v>10</v>
      </c>
      <c r="AF31" s="82" t="e">
        <f t="shared" ca="1" si="2"/>
        <v>#NUM!</v>
      </c>
    </row>
    <row r="32" spans="2:38" x14ac:dyDescent="0.25">
      <c r="B32" s="86">
        <f>'EEPROM-Contents'!B105</f>
        <v>101</v>
      </c>
      <c r="C32" s="76">
        <f t="shared" si="4"/>
        <v>0</v>
      </c>
      <c r="D32" s="76" t="str">
        <f>LEFT(RIGHT($D$5,8),2)</f>
        <v>00</v>
      </c>
      <c r="E32" s="67" t="str">
        <f>'EEPROM-Contents'!E105</f>
        <v>Manufacturer / Lot ID</v>
      </c>
      <c r="F32" s="68"/>
      <c r="G32" s="69"/>
      <c r="N32" s="79" t="s">
        <v>365</v>
      </c>
      <c r="O32" s="85" t="str">
        <f>RIGHT(INDEX($D$9:$D$47,MATCH('EEPROM-Contents'!Q26,$B$9:$B$47,0)),2)</f>
        <v>17</v>
      </c>
      <c r="P32" s="85" t="str">
        <f>RIGHT(INDEX($D$9:$D$47,MATCH('EEPROM-Contents'!R26,$B$9:$B$47,0)),2)</f>
        <v>73</v>
      </c>
      <c r="Q32" s="85" t="str">
        <f>RIGHT(INDEX($D$9:$D$47,MATCH('EEPROM-Contents'!S26,$B$9:$B$47,0)),2)</f>
        <v>00</v>
      </c>
      <c r="R32" s="85" t="str">
        <f>RIGHT(INDEX($D$9:$D$47,MATCH('EEPROM-Contents'!T26,$B$9:$B$47,0)),2)</f>
        <v>00</v>
      </c>
      <c r="S32" s="85" t="str">
        <f>RIGHT(INDEX($D$9:$D$47,MATCH('EEPROM-Contents'!U26,$B$9:$B$47,0)),2)</f>
        <v>00</v>
      </c>
      <c r="T32" s="85" t="str">
        <f>RIGHT(INDEX($D$9:$D$47,MATCH('EEPROM-Contents'!V26,$B$9:$B$47,0)),2)</f>
        <v>00</v>
      </c>
      <c r="U32" s="80" t="str">
        <f>RIGHT(INDEX('EEPROM-Contents'!$D$4:'EEPROM-Contents'!$D$141,MATCH('EEPROM-Contents'!W26,'EEPROM-Contents'!$B$4:'EEPROM-Contents'!$B$141,0)),2)</f>
        <v>00</v>
      </c>
      <c r="V32" s="80" t="str">
        <f>RIGHT(INDEX('EEPROM-Contents'!$D$4:'EEPROM-Contents'!$D$141,MATCH('EEPROM-Contents'!X26,'EEPROM-Contents'!$B$4:'EEPROM-Contents'!$B$141,0)),2)</f>
        <v>00</v>
      </c>
      <c r="W32" s="80" t="str">
        <f>RIGHT(INDEX('EEPROM-Contents'!$D$4:'EEPROM-Contents'!$D$141,MATCH('EEPROM-Contents'!Y26,'EEPROM-Contents'!$B$4:'EEPROM-Contents'!$B$141,0)),2)</f>
        <v>00</v>
      </c>
      <c r="X32" s="80" t="str">
        <f>RIGHT(INDEX('EEPROM-Contents'!$D$4:'EEPROM-Contents'!$D$141,MATCH('EEPROM-Contents'!Z26,'EEPROM-Contents'!$B$4:'EEPROM-Contents'!$B$141,0)),2)</f>
        <v>00</v>
      </c>
      <c r="Y32" s="80" t="str">
        <f>RIGHT(INDEX('EEPROM-Contents'!$D$4:'EEPROM-Contents'!$D$141,MATCH('EEPROM-Contents'!AA26,'EEPROM-Contents'!$B$4:'EEPROM-Contents'!$B$141,0)),2)</f>
        <v>00</v>
      </c>
      <c r="Z32" s="80" t="str">
        <f>RIGHT(INDEX('EEPROM-Contents'!$D$4:'EEPROM-Contents'!$D$141,MATCH('EEPROM-Contents'!AB26,'EEPROM-Contents'!$B$4:'EEPROM-Contents'!$B$141,0)),2)</f>
        <v>00</v>
      </c>
      <c r="AA32" s="80" t="str">
        <f>RIGHT(INDEX('EEPROM-Contents'!$D$4:'EEPROM-Contents'!$D$141,MATCH('EEPROM-Contents'!AC26,'EEPROM-Contents'!$B$4:'EEPROM-Contents'!$B$141,0)),2)</f>
        <v>00</v>
      </c>
      <c r="AB32" s="80" t="str">
        <f>RIGHT(INDEX('EEPROM-Contents'!$D$4:'EEPROM-Contents'!$D$141,MATCH('EEPROM-Contents'!AD26,'EEPROM-Contents'!$B$4:'EEPROM-Contents'!$B$141,0)),2)</f>
        <v>00</v>
      </c>
      <c r="AC32" s="85" t="e">
        <f>RIGHT(INDEX($D$9:$D$47,MATCH('EEPROM-Contents'!AE26,$B$9:$B$47,0)),2)</f>
        <v>#NUM!</v>
      </c>
      <c r="AD32" s="85" t="str">
        <f>RIGHT(INDEX($D$9:$D$47,MATCH('EEPROM-Contents'!AF26,$B$9:$B$47,0)),2)</f>
        <v>00</v>
      </c>
      <c r="AF32" s="82" t="e">
        <f t="shared" si="2"/>
        <v>#NUM!</v>
      </c>
    </row>
    <row r="33" spans="2:32" x14ac:dyDescent="0.25">
      <c r="B33" s="86">
        <f>'EEPROM-Contents'!B106</f>
        <v>102</v>
      </c>
      <c r="C33" s="76">
        <f t="shared" si="4"/>
        <v>0</v>
      </c>
      <c r="D33" s="76" t="str">
        <f>LEFT(RIGHT($D$5,6),2)</f>
        <v>00</v>
      </c>
      <c r="E33" s="67" t="str">
        <f>'EEPROM-Contents'!E106</f>
        <v>Manufacturer / Lot ID</v>
      </c>
      <c r="F33" s="68"/>
      <c r="G33" s="69"/>
      <c r="N33" s="79" t="s">
        <v>366</v>
      </c>
      <c r="O33" s="85" t="str">
        <f>RIGHT(INDEX($D$9:$D$47,MATCH('EEPROM-Contents'!Q27,$B$9:$B$47,0)),2)</f>
        <v>00</v>
      </c>
      <c r="P33" s="85" t="e">
        <f ca="1">RIGHT(INDEX($D$9:$D$47,MATCH('EEPROM-Contents'!R27,$B$9:$B$47,0)),2)</f>
        <v>#NUM!</v>
      </c>
      <c r="Q33" s="80" t="str">
        <f>RIGHT(INDEX('EEPROM-Contents'!$D$4:'EEPROM-Contents'!$D$141,MATCH('EEPROM-Contents'!S27,'EEPROM-Contents'!$B$4:'EEPROM-Contents'!$B$141,0)),2)</f>
        <v>0C</v>
      </c>
      <c r="R33" s="85" t="str">
        <f>RIGHT(INDEX($D$9:$D$47,MATCH('EEPROM-Contents'!T27,$B$9:$B$47,0)),2)</f>
        <v>09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17</v>
      </c>
      <c r="W33" s="85" t="str">
        <f>RIGHT(INDEX($D$9:$D$47,MATCH('EEPROM-Contents'!Y27,$B$9:$B$47,0)),2)</f>
        <v>73</v>
      </c>
      <c r="X33" s="85" t="str">
        <f>RIGHT(INDEX($D$9:$D$47,MATCH('EEPROM-Contents'!Z27,$B$9:$B$47,0)),2)</f>
        <v>00</v>
      </c>
      <c r="Y33" s="85" t="str">
        <f>RIGHT(INDEX($D$9:$D$47,MATCH('EEPROM-Contents'!AA27,$B$9:$B$47,0)),2)</f>
        <v>00</v>
      </c>
      <c r="Z33" s="85" t="str">
        <f>RIGHT(INDEX($D$9:$D$47,MATCH('EEPROM-Contents'!AB27,$B$9:$B$47,0)),2)</f>
        <v>00</v>
      </c>
      <c r="AA33" s="85" t="str">
        <f>RIGHT(INDEX($D$9:$D$47,MATCH('EEPROM-Contents'!AC27,$B$9:$B$47,0)),2)</f>
        <v>00</v>
      </c>
      <c r="AB33" s="80" t="str">
        <f>RIGHT(INDEX('EEPROM-Contents'!$D$4:'EEPROM-Contents'!$D$141,MATCH('EEPROM-Contents'!AD27,'EEPROM-Contents'!$B$4:'EEPROM-Contents'!$B$141,0)),2)</f>
        <v>00</v>
      </c>
      <c r="AC33" s="80" t="str">
        <f>RIGHT(INDEX('EEPROM-Contents'!$D$4:'EEPROM-Contents'!$D$141,MATCH('EEPROM-Contents'!AE27,'EEPROM-Contents'!$B$4:'EEPROM-Contents'!$B$141,0)),2)</f>
        <v>00</v>
      </c>
      <c r="AD33" s="80" t="str">
        <f>RIGHT(INDEX('EEPROM-Contents'!$D$4:'EEPROM-Contents'!$D$141,MATCH('EEPROM-Contents'!AF27,'EEPROM-Contents'!$B$4:'EEPROM-Contents'!$B$141,0)),2)</f>
        <v>00</v>
      </c>
      <c r="AF33" s="82" t="e">
        <f t="shared" ca="1" si="2"/>
        <v>#NUM!</v>
      </c>
    </row>
    <row r="34" spans="2:32" x14ac:dyDescent="0.25">
      <c r="B34" s="86">
        <f>'EEPROM-Contents'!B107</f>
        <v>103</v>
      </c>
      <c r="C34" s="76">
        <f t="shared" si="4"/>
        <v>0</v>
      </c>
      <c r="D34" s="76" t="str">
        <f>LEFT(RIGHT($D$5,4),2)</f>
        <v>00</v>
      </c>
      <c r="E34" s="67" t="str">
        <f>'EEPROM-Contents'!E107</f>
        <v>Manufacturer / Lot ID</v>
      </c>
      <c r="F34" s="68"/>
      <c r="G34" s="69"/>
      <c r="N34" s="79" t="s">
        <v>367</v>
      </c>
      <c r="O34" s="80" t="str">
        <f>RIGHT(INDEX('EEPROM-Contents'!$D$4:'EEPROM-Contents'!$D$141,MATCH('EEPROM-Contents'!Q28,'EEPROM-Contents'!$B$4:'EEPROM-Contents'!$B$141,0)),2)</f>
        <v>00</v>
      </c>
      <c r="P34" s="80" t="str">
        <f>RIGHT(INDEX('EEPROM-Contents'!$D$4:'EEPROM-Contents'!$D$141,MATCH('EEPROM-Contents'!R28,'EEPROM-Contents'!$B$4:'EEPROM-Contents'!$B$141,0)),2)</f>
        <v>00</v>
      </c>
      <c r="Q34" s="80" t="str">
        <f>RIGHT(INDEX('EEPROM-Contents'!$D$4:'EEPROM-Contents'!$D$141,MATCH('EEPROM-Contents'!S28,'EEPROM-Contents'!$B$4:'EEPROM-Contents'!$B$141,0)),2)</f>
        <v>00</v>
      </c>
      <c r="R34" s="80" t="str">
        <f>RIGHT(INDEX('EEPROM-Contents'!$D$4:'EEPROM-Contents'!$D$141,MATCH('EEPROM-Contents'!T28,'EEPROM-Contents'!$B$4:'EEPROM-Contents'!$B$141,0)),2)</f>
        <v>00</v>
      </c>
      <c r="S34" s="80" t="str">
        <f>RIGHT(INDEX('EEPROM-Contents'!$D$4:'EEPROM-Contents'!$D$141,MATCH('EEPROM-Contents'!U28,'EEPROM-Contents'!$B$4:'EEPROM-Contents'!$B$141,0)),2)</f>
        <v>00</v>
      </c>
      <c r="T34" s="85" t="e">
        <f>RIGHT(INDEX($D$9:$D$47,MATCH('EEPROM-Contents'!V28,$B$9:$B$47,0)),2)</f>
        <v>#NUM!</v>
      </c>
      <c r="U34" s="85" t="str">
        <f>RIGHT(INDEX($D$9:$D$47,MATCH('EEPROM-Contents'!W28,$B$9:$B$47,0)),2)</f>
        <v>00</v>
      </c>
      <c r="V34" s="85" t="str">
        <f>RIGHT(INDEX($D$9:$D$47,MATCH('EEPROM-Contents'!X28,$B$9:$B$47,0)),2)</f>
        <v>00</v>
      </c>
      <c r="W34" s="85" t="e">
        <f ca="1">RIGHT(INDEX($D$9:$D$47,MATCH('EEPROM-Contents'!Y28,$B$9:$B$47,0)),2)</f>
        <v>#NUM!</v>
      </c>
      <c r="X34" s="80" t="str">
        <f>RIGHT(INDEX('EEPROM-Contents'!$D$4:'EEPROM-Contents'!$D$141,MATCH('EEPROM-Contents'!Z28,'EEPROM-Contents'!$B$4:'EEPROM-Contents'!$B$141,0)),2)</f>
        <v>0D</v>
      </c>
      <c r="Y34" s="85" t="str">
        <f>RIGHT(INDEX($D$9:$D$47,MATCH('EEPROM-Contents'!AA28,$B$9:$B$47,0)),2)</f>
        <v>09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17</v>
      </c>
      <c r="AD34" s="85" t="str">
        <f>RIGHT(INDEX($D$9:$D$47,MATCH('EEPROM-Contents'!AF28,$B$9:$B$47,0)),2)</f>
        <v>73</v>
      </c>
      <c r="AF34" s="82" t="e">
        <f t="shared" ca="1" si="2"/>
        <v>#NUM!</v>
      </c>
    </row>
    <row r="35" spans="2:32" x14ac:dyDescent="0.25">
      <c r="B35" s="86">
        <f>'EEPROM-Contents'!B108</f>
        <v>104</v>
      </c>
      <c r="C35" s="76">
        <f t="shared" si="4"/>
        <v>0</v>
      </c>
      <c r="D35" s="76" t="str">
        <f>LEFT(RIGHT($D$5,2),2)</f>
        <v>00</v>
      </c>
      <c r="E35" s="67" t="str">
        <f>'EEPROM-Contents'!E108</f>
        <v>Manufacturer / Lot ID</v>
      </c>
      <c r="F35" s="68"/>
      <c r="G35" s="69"/>
      <c r="N35" s="79" t="s">
        <v>368</v>
      </c>
      <c r="O35" s="85" t="str">
        <f>RIGHT(INDEX($D$9:$D$47,MATCH('EEPROM-Contents'!Q29,$B$9:$B$47,0)),2)</f>
        <v>00</v>
      </c>
      <c r="P35" s="85" t="str">
        <f>RIGHT(INDEX($D$9:$D$47,MATCH('EEPROM-Contents'!R29,$B$9:$B$47,0)),2)</f>
        <v>00</v>
      </c>
      <c r="Q35" s="85" t="str">
        <f>RIGHT(INDEX($D$9:$D$47,MATCH('EEPROM-Contents'!S29,$B$9:$B$47,0)),2)</f>
        <v>00</v>
      </c>
      <c r="R35" s="85" t="str">
        <f>RIGHT(INDEX($D$9:$D$47,MATCH('EEPROM-Contents'!T29,$B$9:$B$47,0)),2)</f>
        <v>00</v>
      </c>
      <c r="S35" s="80" t="str">
        <f>RIGHT(INDEX('EEPROM-Contents'!$D$4:'EEPROM-Contents'!$D$141,MATCH('EEPROM-Contents'!U29,'EEPROM-Contents'!$B$4:'EEPROM-Contents'!$B$141,0)),2)</f>
        <v>00</v>
      </c>
      <c r="T35" s="80" t="str">
        <f>RIGHT(INDEX('EEPROM-Contents'!$D$4:'EEPROM-Contents'!$D$141,MATCH('EEPROM-Contents'!V29,'EEPROM-Contents'!$B$4:'EEPROM-Contents'!$B$141,0)),2)</f>
        <v>00</v>
      </c>
      <c r="U35" s="80" t="str">
        <f>RIGHT(INDEX('EEPROM-Contents'!$D$4:'EEPROM-Contents'!$D$141,MATCH('EEPROM-Contents'!W29,'EEPROM-Contents'!$B$4:'EEPROM-Contents'!$B$141,0)),2)</f>
        <v>00</v>
      </c>
      <c r="V35" s="80" t="str">
        <f>RIGHT(INDEX('EEPROM-Contents'!$D$4:'EEPROM-Contents'!$D$141,MATCH('EEPROM-Contents'!X29,'EEPROM-Contents'!$B$4:'EEPROM-Contents'!$B$141,0)),2)</f>
        <v>00</v>
      </c>
      <c r="W35" s="80" t="str">
        <f>RIGHT(INDEX('EEPROM-Contents'!$D$4:'EEPROM-Contents'!$D$141,MATCH('EEPROM-Contents'!Y29,'EEPROM-Contents'!$B$4:'EEPROM-Contents'!$B$141,0)),2)</f>
        <v>00</v>
      </c>
      <c r="X35" s="80" t="str">
        <f>RIGHT(INDEX('EEPROM-Contents'!$D$4:'EEPROM-Contents'!$D$141,MATCH('EEPROM-Contents'!Z29,'EEPROM-Contents'!$B$4:'EEPROM-Contents'!$B$141,0)),2)</f>
        <v>00</v>
      </c>
      <c r="Y35" s="80" t="str">
        <f>RIGHT(INDEX('EEPROM-Contents'!$D$4:'EEPROM-Contents'!$D$141,MATCH('EEPROM-Contents'!AA29,'EEPROM-Contents'!$B$4:'EEPROM-Contents'!$B$141,0)),2)</f>
        <v>00</v>
      </c>
      <c r="Z35" s="80" t="str">
        <f>RIGHT(INDEX('EEPROM-Contents'!$D$4:'EEPROM-Contents'!$D$141,MATCH('EEPROM-Contents'!AB29,'EEPROM-Contents'!$B$4:'EEPROM-Contents'!$B$141,0)),2)</f>
        <v>00</v>
      </c>
      <c r="AA35" s="85" t="e">
        <f>RIGHT(INDEX($D$9:$D$47,MATCH('EEPROM-Contents'!AC29,$B$9:$B$47,0)),2)</f>
        <v>#NUM!</v>
      </c>
      <c r="AB35" s="85" t="str">
        <f>RIGHT(INDEX($D$9:$D$47,MATCH('EEPROM-Contents'!AD29,$B$9:$B$47,0)),2)</f>
        <v>00</v>
      </c>
      <c r="AC35" s="85" t="str">
        <f>RIGHT(INDEX($D$9:$D$47,MATCH('EEPROM-Contents'!AE29,$B$9:$B$47,0)),2)</f>
        <v>00</v>
      </c>
      <c r="AD35" s="85" t="e">
        <f ca="1">RIGHT(INDEX($D$9:$D$47,MATCH('EEPROM-Contents'!AF29,$B$9:$B$47,0)),2)</f>
        <v>#NUM!</v>
      </c>
      <c r="AF35" s="82" t="e">
        <f t="shared" ca="1" si="2"/>
        <v>#NUM!</v>
      </c>
    </row>
    <row r="36" spans="2:32" x14ac:dyDescent="0.25">
      <c r="B36" s="86">
        <f>'EEPROM-Contents'!B109</f>
        <v>105</v>
      </c>
      <c r="C36" s="76">
        <f t="shared" si="4"/>
        <v>0</v>
      </c>
      <c r="D36" s="77" t="str">
        <f>$I$5</f>
        <v>00</v>
      </c>
      <c r="E36" s="67" t="str">
        <f>'EEPROM-Contents'!E109</f>
        <v>Voltage Cal</v>
      </c>
      <c r="F36" s="68"/>
      <c r="G36" s="69"/>
      <c r="N36" s="79" t="s">
        <v>369</v>
      </c>
      <c r="O36" s="80" t="str">
        <f>RIGHT(INDEX('EEPROM-Contents'!$D$4:'EEPROM-Contents'!$D$141,MATCH('EEPROM-Contents'!Q30,'EEPROM-Contents'!$B$4:'EEPROM-Contents'!$B$141,0)),2)</f>
        <v>0E</v>
      </c>
      <c r="P36" s="85" t="str">
        <f>RIGHT(INDEX($D$9:$D$47,MATCH('EEPROM-Contents'!R30,$B$9:$B$47,0)),2)</f>
        <v>09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17</v>
      </c>
      <c r="U36" s="85" t="str">
        <f>RIGHT(INDEX($D$9:$D$47,MATCH('EEPROM-Contents'!W30,$B$9:$B$47,0)),2)</f>
        <v>73</v>
      </c>
      <c r="V36" s="85" t="str">
        <f>RIGHT(INDEX($D$9:$D$47,MATCH('EEPROM-Contents'!X30,$B$9:$B$47,0)),2)</f>
        <v>00</v>
      </c>
      <c r="W36" s="85" t="str">
        <f>RIGHT(INDEX($D$9:$D$47,MATCH('EEPROM-Contents'!Y30,$B$9:$B$47,0)),2)</f>
        <v>00</v>
      </c>
      <c r="X36" s="85" t="str">
        <f>RIGHT(INDEX($D$9:$D$47,MATCH('EEPROM-Contents'!Z30,$B$9:$B$47,0)),2)</f>
        <v>00</v>
      </c>
      <c r="Y36" s="85" t="str">
        <f>RIGHT(INDEX($D$9:$D$47,MATCH('EEPROM-Contents'!AA30,$B$9:$B$47,0)),2)</f>
        <v>00</v>
      </c>
      <c r="Z36" s="80" t="str">
        <f>RIGHT(INDEX('EEPROM-Contents'!$D$4:'EEPROM-Contents'!$D$141,MATCH('EEPROM-Contents'!AB30,'EEPROM-Contents'!$B$4:'EEPROM-Contents'!$B$141,0)),2)</f>
        <v>00</v>
      </c>
      <c r="AA36" s="80" t="str">
        <f>RIGHT(INDEX('EEPROM-Contents'!$D$4:'EEPROM-Contents'!$D$141,MATCH('EEPROM-Contents'!AC30,'EEPROM-Contents'!$B$4:'EEPROM-Contents'!$B$141,0)),2)</f>
        <v>00</v>
      </c>
      <c r="AB36" s="80" t="str">
        <f>RIGHT(INDEX('EEPROM-Contents'!$D$4:'EEPROM-Contents'!$D$141,MATCH('EEPROM-Contents'!AD30,'EEPROM-Contents'!$B$4:'EEPROM-Contents'!$B$141,0)),2)</f>
        <v>00</v>
      </c>
      <c r="AC36" s="80" t="str">
        <f>RIGHT(INDEX('EEPROM-Contents'!$D$4:'EEPROM-Contents'!$D$141,MATCH('EEPROM-Contents'!AE30,'EEPROM-Contents'!$B$4:'EEPROM-Contents'!$B$141,0)),2)</f>
        <v>00</v>
      </c>
      <c r="AD36" s="80" t="str">
        <f>RIGHT(INDEX('EEPROM-Contents'!$D$4:'EEPROM-Contents'!$D$141,MATCH('EEPROM-Contents'!AF30,'EEPROM-Contents'!$B$4:'EEPROM-Contents'!$B$141,0)),2)</f>
        <v>00</v>
      </c>
      <c r="AF36" s="82" t="str">
        <f t="shared" ca="1" si="2"/>
        <v>000000000000000000000E09060510177300000000000000000000</v>
      </c>
    </row>
    <row r="37" spans="2:32" x14ac:dyDescent="0.25">
      <c r="B37" s="86">
        <f>'EEPROM-Contents'!B110</f>
        <v>106</v>
      </c>
      <c r="C37" s="76">
        <f t="shared" si="4"/>
        <v>0</v>
      </c>
      <c r="D37" s="77" t="str">
        <f t="shared" ref="D37:D43" si="5">$I$5</f>
        <v>00</v>
      </c>
      <c r="E37" s="67" t="str">
        <f>'EEPROM-Contents'!E110</f>
        <v>Voltage Cal</v>
      </c>
      <c r="F37" s="68"/>
      <c r="G37" s="69"/>
      <c r="N37" s="79" t="s">
        <v>370</v>
      </c>
      <c r="O37" s="80" t="str">
        <f>RIGHT(INDEX('EEPROM-Contents'!$D$4:'EEPROM-Contents'!$D$141,MATCH('EEPROM-Contents'!Q31,'EEPROM-Contents'!$B$4:'EEPROM-Contents'!$B$141,0)),2)</f>
        <v>00</v>
      </c>
      <c r="P37" s="80" t="str">
        <f>RIGHT(INDEX('EEPROM-Contents'!$D$4:'EEPROM-Contents'!$D$141,MATCH('EEPROM-Contents'!R31,'EEPROM-Contents'!$B$4:'EEPROM-Contents'!$B$141,0)),2)</f>
        <v>00</v>
      </c>
      <c r="Q37" s="80" t="str">
        <f>RIGHT(INDEX('EEPROM-Contents'!$D$4:'EEPROM-Contents'!$D$141,MATCH('EEPROM-Contents'!S31,'EEPROM-Contents'!$B$4:'EEPROM-Contents'!$B$141,0)),2)</f>
        <v>00</v>
      </c>
      <c r="R37" s="85" t="e">
        <f>RIGHT(INDEX($D$9:$D$47,MATCH('EEPROM-Contents'!T31,$B$9:$B$47,0)),2)</f>
        <v>#NUM!</v>
      </c>
      <c r="S37" s="85" t="str">
        <f>RIGHT(INDEX($D$9:$D$47,MATCH('EEPROM-Contents'!U31,$B$9:$B$47,0)),2)</f>
        <v>00</v>
      </c>
      <c r="T37" s="85" t="str">
        <f>RIGHT(INDEX($D$9:$D$47,MATCH('EEPROM-Contents'!V31,$B$9:$B$47,0)),2)</f>
        <v>00</v>
      </c>
      <c r="U37" s="85" t="e">
        <f ca="1">RIGHT(INDEX($D$9:$D$47,MATCH('EEPROM-Contents'!W31,$B$9:$B$47,0)),2)</f>
        <v>#NUM!</v>
      </c>
      <c r="V37" s="80" t="str">
        <f>RIGHT(INDEX('EEPROM-Contents'!$D$4:'EEPROM-Contents'!$D$141,MATCH('EEPROM-Contents'!X31,'EEPROM-Contents'!$B$4:'EEPROM-Contents'!$B$141,0)),2)</f>
        <v>0F</v>
      </c>
      <c r="W37" s="85" t="str">
        <f>RIGHT(INDEX($D$9:$D$47,MATCH('EEPROM-Contents'!Y31,$B$9:$B$47,0)),2)</f>
        <v>09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17</v>
      </c>
      <c r="AB37" s="85" t="str">
        <f>RIGHT(INDEX($D$9:$D$47,MATCH('EEPROM-Contents'!AD31,$B$9:$B$47,0)),2)</f>
        <v>73</v>
      </c>
      <c r="AC37" s="85" t="str">
        <f>RIGHT(INDEX($D$9:$D$47,MATCH('EEPROM-Contents'!AE31,$B$9:$B$47,0)),2)</f>
        <v>00</v>
      </c>
      <c r="AD37" s="85" t="str">
        <f>RIGHT(INDEX($D$9:$D$47,MATCH('EEPROM-Contents'!AF31,$B$9:$B$47,0)),2)</f>
        <v>00</v>
      </c>
      <c r="AF37" s="82" t="e">
        <f t="shared" ca="1" si="2"/>
        <v>#NUM!</v>
      </c>
    </row>
    <row r="38" spans="2:32" x14ac:dyDescent="0.25">
      <c r="B38" s="86">
        <f>'EEPROM-Contents'!B111</f>
        <v>107</v>
      </c>
      <c r="C38" s="76">
        <f t="shared" si="4"/>
        <v>0</v>
      </c>
      <c r="D38" s="77" t="str">
        <f t="shared" si="5"/>
        <v>00</v>
      </c>
      <c r="E38" s="67" t="str">
        <f>'EEPROM-Contents'!E111</f>
        <v>Voltage Cal</v>
      </c>
      <c r="F38" s="68"/>
      <c r="G38" s="69"/>
      <c r="N38" s="79" t="s">
        <v>371</v>
      </c>
      <c r="O38" s="85" t="str">
        <f>RIGHT(INDEX($D$9:$D$47,MATCH('EEPROM-Contents'!Q32,$B$9:$B$47,0)),2)</f>
        <v>00</v>
      </c>
      <c r="P38" s="85" t="str">
        <f>RIGHT(INDEX($D$9:$D$47,MATCH('EEPROM-Contents'!R32,$B$9:$B$47,0)),2)</f>
        <v>00</v>
      </c>
      <c r="Q38" s="80" t="str">
        <f>RIGHT(INDEX('EEPROM-Contents'!$D$4:'EEPROM-Contents'!$D$141,MATCH('EEPROM-Contents'!S32,'EEPROM-Contents'!$B$4:'EEPROM-Contents'!$B$141,0)),2)</f>
        <v>00</v>
      </c>
      <c r="R38" s="80" t="str">
        <f>RIGHT(INDEX('EEPROM-Contents'!$D$4:'EEPROM-Contents'!$D$141,MATCH('EEPROM-Contents'!T32,'EEPROM-Contents'!$B$4:'EEPROM-Contents'!$B$141,0)),2)</f>
        <v>00</v>
      </c>
      <c r="S38" s="80" t="str">
        <f>RIGHT(INDEX('EEPROM-Contents'!$D$4:'EEPROM-Contents'!$D$141,MATCH('EEPROM-Contents'!U32,'EEPROM-Contents'!$B$4:'EEPROM-Contents'!$B$141,0)),2)</f>
        <v>00</v>
      </c>
      <c r="T38" s="80" t="str">
        <f>RIGHT(INDEX('EEPROM-Contents'!$D$4:'EEPROM-Contents'!$D$141,MATCH('EEPROM-Contents'!V32,'EEPROM-Contents'!$B$4:'EEPROM-Contents'!$B$141,0)),2)</f>
        <v>00</v>
      </c>
      <c r="U38" s="80" t="str">
        <f>RIGHT(INDEX('EEPROM-Contents'!$D$4:'EEPROM-Contents'!$D$141,MATCH('EEPROM-Contents'!W32,'EEPROM-Contents'!$B$4:'EEPROM-Contents'!$B$141,0)),2)</f>
        <v>00</v>
      </c>
      <c r="V38" s="80" t="str">
        <f>RIGHT(INDEX('EEPROM-Contents'!$D$4:'EEPROM-Contents'!$D$141,MATCH('EEPROM-Contents'!X32,'EEPROM-Contents'!$B$4:'EEPROM-Contents'!$B$141,0)),2)</f>
        <v>00</v>
      </c>
      <c r="W38" s="80" t="str">
        <f>RIGHT(INDEX('EEPROM-Contents'!$D$4:'EEPROM-Contents'!$D$141,MATCH('EEPROM-Contents'!Y32,'EEPROM-Contents'!$B$4:'EEPROM-Contents'!$B$141,0)),2)</f>
        <v>00</v>
      </c>
      <c r="X38" s="80" t="str">
        <f>RIGHT(INDEX('EEPROM-Contents'!$D$4:'EEPROM-Contents'!$D$141,MATCH('EEPROM-Contents'!Z32,'EEPROM-Contents'!$B$4:'EEPROM-Contents'!$B$141,0)),2)</f>
        <v>00</v>
      </c>
      <c r="Y38" s="85" t="e">
        <f>RIGHT(INDEX($D$9:$D$47,MATCH('EEPROM-Contents'!AA32,$B$9:$B$47,0)),2)</f>
        <v>#NUM!</v>
      </c>
      <c r="Z38" s="85" t="str">
        <f>RIGHT(INDEX($D$9:$D$47,MATCH('EEPROM-Contents'!AB32,$B$9:$B$47,0)),2)</f>
        <v>00</v>
      </c>
      <c r="AA38" s="85" t="str">
        <f>RIGHT(INDEX($D$9:$D$47,MATCH('EEPROM-Contents'!AC32,$B$9:$B$47,0)),2)</f>
        <v>00</v>
      </c>
      <c r="AB38" s="85" t="e">
        <f ca="1">RIGHT(INDEX($D$9:$D$47,MATCH('EEPROM-Contents'!AD32,$B$9:$B$47,0)),2)</f>
        <v>#NUM!</v>
      </c>
      <c r="AC38" s="80" t="str">
        <f>RIGHT(INDEX('EEPROM-Contents'!$D$4:'EEPROM-Contents'!$D$141,MATCH('EEPROM-Contents'!AE32,'EEPROM-Contents'!$B$4:'EEPROM-Contents'!$B$141,0)),2)</f>
        <v>10</v>
      </c>
      <c r="AD38" s="85" t="str">
        <f>RIGHT(INDEX($D$9:$D$47,MATCH('EEPROM-Contents'!AF32,$B$9:$B$47,0)),2)</f>
        <v>09</v>
      </c>
      <c r="AF38" s="82" t="e">
        <f t="shared" ca="1" si="2"/>
        <v>#NUM!</v>
      </c>
    </row>
    <row r="39" spans="2:32" x14ac:dyDescent="0.25">
      <c r="B39" s="86">
        <f>'EEPROM-Contents'!B112</f>
        <v>108</v>
      </c>
      <c r="C39" s="76">
        <f t="shared" si="4"/>
        <v>0</v>
      </c>
      <c r="D39" s="77" t="str">
        <f t="shared" si="5"/>
        <v>00</v>
      </c>
      <c r="E39" s="67" t="str">
        <f>'EEPROM-Contents'!E112</f>
        <v>Voltage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17</v>
      </c>
      <c r="S39" s="85" t="str">
        <f>RIGHT(INDEX($D$9:$D$47,MATCH('EEPROM-Contents'!U33,$B$9:$B$47,0)),2)</f>
        <v>73</v>
      </c>
      <c r="T39" s="85" t="str">
        <f>RIGHT(INDEX($D$9:$D$47,MATCH('EEPROM-Contents'!V33,$B$9:$B$47,0)),2)</f>
        <v>00</v>
      </c>
      <c r="U39" s="85" t="str">
        <f>RIGHT(INDEX($D$9:$D$47,MATCH('EEPROM-Contents'!W33,$B$9:$B$47,0)),2)</f>
        <v>00</v>
      </c>
      <c r="V39" s="85" t="str">
        <f>RIGHT(INDEX($D$9:$D$47,MATCH('EEPROM-Contents'!X33,$B$9:$B$47,0)),2)</f>
        <v>00</v>
      </c>
      <c r="W39" s="85" t="str">
        <f>RIGHT(INDEX($D$9:$D$47,MATCH('EEPROM-Contents'!Y33,$B$9:$B$47,0)),2)</f>
        <v>00</v>
      </c>
      <c r="X39" s="80" t="str">
        <f>RIGHT(INDEX('EEPROM-Contents'!$D$4:'EEPROM-Contents'!$D$141,MATCH('EEPROM-Contents'!Z33,'EEPROM-Contents'!$B$4:'EEPROM-Contents'!$B$141,0)),2)</f>
        <v>00</v>
      </c>
      <c r="Y39" s="80" t="str">
        <f>RIGHT(INDEX('EEPROM-Contents'!$D$4:'EEPROM-Contents'!$D$141,MATCH('EEPROM-Contents'!AA33,'EEPROM-Contents'!$B$4:'EEPROM-Contents'!$B$141,0)),2)</f>
        <v>00</v>
      </c>
      <c r="Z39" s="80" t="str">
        <f>RIGHT(INDEX('EEPROM-Contents'!$D$4:'EEPROM-Contents'!$D$141,MATCH('EEPROM-Contents'!AB33,'EEPROM-Contents'!$B$4:'EEPROM-Contents'!$B$141,0)),2)</f>
        <v>00</v>
      </c>
      <c r="AA39" s="80" t="str">
        <f>RIGHT(INDEX('EEPROM-Contents'!$D$4:'EEPROM-Contents'!$D$141,MATCH('EEPROM-Contents'!AC33,'EEPROM-Contents'!$B$4:'EEPROM-Contents'!$B$141,0)),2)</f>
        <v>00</v>
      </c>
      <c r="AB39" s="80" t="str">
        <f>RIGHT(INDEX('EEPROM-Contents'!$D$4:'EEPROM-Contents'!$D$141,MATCH('EEPROM-Contents'!AD33,'EEPROM-Contents'!$B$4:'EEPROM-Contents'!$B$141,0)),2)</f>
        <v>00</v>
      </c>
      <c r="AC39" s="80" t="str">
        <f>RIGHT(INDEX('EEPROM-Contents'!$D$4:'EEPROM-Contents'!$D$141,MATCH('EEPROM-Contents'!AE33,'EEPROM-Contents'!$B$4:'EEPROM-Contents'!$B$141,0)),2)</f>
        <v>00</v>
      </c>
      <c r="AD39" s="80" t="str">
        <f>RIGHT(INDEX('EEPROM-Contents'!$D$4:'EEPROM-Contents'!$D$141,MATCH('EEPROM-Contents'!AF33,'EEPROM-Contents'!$B$4:'EEPROM-Contents'!$B$141,0)),2)</f>
        <v>00</v>
      </c>
      <c r="AF39" s="82" t="str">
        <f t="shared" ca="1" si="2"/>
        <v>000000000000000000000605101773000000000000000000000000</v>
      </c>
    </row>
    <row r="40" spans="2:32" x14ac:dyDescent="0.25">
      <c r="B40" s="86">
        <f>'EEPROM-Contents'!B113</f>
        <v>109</v>
      </c>
      <c r="C40" s="76">
        <f t="shared" si="4"/>
        <v>0</v>
      </c>
      <c r="D40" s="77" t="str">
        <f t="shared" si="5"/>
        <v>00</v>
      </c>
      <c r="E40" s="67" t="str">
        <f>'EEPROM-Contents'!E113</f>
        <v>Voltage Cal</v>
      </c>
      <c r="F40" s="68"/>
      <c r="G40" s="69"/>
      <c r="N40" s="79" t="s">
        <v>373</v>
      </c>
      <c r="O40" s="80" t="str">
        <f>RIGHT(INDEX('EEPROM-Contents'!$D$4:'EEPROM-Contents'!$D$141,MATCH('EEPROM-Contents'!Q34,'EEPROM-Contents'!$B$4:'EEPROM-Contents'!$B$141,0)),2)</f>
        <v>00</v>
      </c>
      <c r="P40" s="85" t="e">
        <f>RIGHT(INDEX($D$9:$D$47,MATCH('EEPROM-Contents'!R34,$B$9:$B$47,0)),2)</f>
        <v>#NUM!</v>
      </c>
      <c r="Q40" s="85" t="str">
        <f>RIGHT(INDEX($D$9:$D$47,MATCH('EEPROM-Contents'!S34,$B$9:$B$47,0)),2)</f>
        <v>00</v>
      </c>
      <c r="R40" s="85" t="str">
        <f>RIGHT(INDEX($D$9:$D$47,MATCH('EEPROM-Contents'!T34,$B$9:$B$47,0)),2)</f>
        <v>00</v>
      </c>
      <c r="S40" s="85" t="e">
        <f ca="1">RIGHT(INDEX($D$9:$D$47,MATCH('EEPROM-Contents'!U34,$B$9:$B$47,0)),2)</f>
        <v>#NUM!</v>
      </c>
      <c r="T40" s="80" t="str">
        <f>RIGHT(INDEX('EEPROM-Contents'!$D$4:'EEPROM-Contents'!$D$141,MATCH('EEPROM-Contents'!V34,'EEPROM-Contents'!$B$4:'EEPROM-Contents'!$B$141,0)),2)</f>
        <v>11</v>
      </c>
      <c r="U40" s="85" t="str">
        <f>RIGHT(INDEX($D$9:$D$47,MATCH('EEPROM-Contents'!W34,$B$9:$B$47,0)),2)</f>
        <v>09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17</v>
      </c>
      <c r="Z40" s="85" t="str">
        <f>RIGHT(INDEX($D$9:$D$47,MATCH('EEPROM-Contents'!AB34,$B$9:$B$47,0)),2)</f>
        <v>73</v>
      </c>
      <c r="AA40" s="85" t="str">
        <f>RIGHT(INDEX($D$9:$D$47,MATCH('EEPROM-Contents'!AC34,$B$9:$B$47,0)),2)</f>
        <v>00</v>
      </c>
      <c r="AB40" s="85" t="str">
        <f>RIGHT(INDEX($D$9:$D$47,MATCH('EEPROM-Contents'!AD34,$B$9:$B$47,0)),2)</f>
        <v>00</v>
      </c>
      <c r="AC40" s="85" t="str">
        <f>RIGHT(INDEX($D$9:$D$47,MATCH('EEPROM-Contents'!AE34,$B$9:$B$47,0)),2)</f>
        <v>00</v>
      </c>
      <c r="AD40" s="85" t="str">
        <f>RIGHT(INDEX($D$9:$D$47,MATCH('EEPROM-Contents'!AF34,$B$9:$B$47,0)),2)</f>
        <v>00</v>
      </c>
      <c r="AF40" s="82" t="e">
        <f t="shared" ca="1" si="2"/>
        <v>#NUM!</v>
      </c>
    </row>
    <row r="41" spans="2:32" ht="15.75" thickBot="1" x14ac:dyDescent="0.3">
      <c r="B41" s="86">
        <f>'EEPROM-Contents'!B114</f>
        <v>110</v>
      </c>
      <c r="C41" s="76">
        <f t="shared" si="4"/>
        <v>0</v>
      </c>
      <c r="D41" s="77" t="str">
        <f t="shared" si="5"/>
        <v>00</v>
      </c>
      <c r="E41" s="67" t="str">
        <f>'EEPROM-Contents'!E114</f>
        <v>Voltage Cal</v>
      </c>
      <c r="F41" s="68"/>
      <c r="G41" s="69"/>
      <c r="N41" s="79" t="s">
        <v>374</v>
      </c>
      <c r="O41" s="80" t="str">
        <f>RIGHT(INDEX('EEPROM-Contents'!$D$4:'EEPROM-Contents'!$D$141,MATCH('EEPROM-Contents'!Q35,'EEPROM-Contents'!$B$4:'EEPROM-Contents'!$B$141,0)),2)</f>
        <v>00</v>
      </c>
      <c r="P41" s="80" t="str">
        <f>RIGHT(INDEX('EEPROM-Contents'!$D$4:'EEPROM-Contents'!$D$141,MATCH('EEPROM-Contents'!R35,'EEPROM-Contents'!$B$4:'EEPROM-Contents'!$B$141,0)),2)</f>
        <v>00</v>
      </c>
      <c r="Q41" s="80" t="str">
        <f>RIGHT(INDEX('EEPROM-Contents'!$D$4:'EEPROM-Contents'!$D$141,MATCH('EEPROM-Contents'!S35,'EEPROM-Contents'!$B$4:'EEPROM-Contents'!$B$141,0)),2)</f>
        <v>00</v>
      </c>
      <c r="R41" s="80" t="str">
        <f>RIGHT(INDEX('EEPROM-Contents'!$D$4:'EEPROM-Contents'!$D$141,MATCH('EEPROM-Contents'!T35,'EEPROM-Contents'!$B$4:'EEPROM-Contents'!$B$141,0)),2)</f>
        <v>00</v>
      </c>
      <c r="S41" s="80" t="str">
        <f>RIGHT(INDEX('EEPROM-Contents'!$D$4:'EEPROM-Contents'!$D$141,MATCH('EEPROM-Contents'!U35,'EEPROM-Contents'!$B$4:'EEPROM-Contents'!$B$141,0)),2)</f>
        <v>00</v>
      </c>
      <c r="T41" s="80" t="str">
        <f>RIGHT(INDEX('EEPROM-Contents'!$D$4:'EEPROM-Contents'!$D$141,MATCH('EEPROM-Contents'!V35,'EEPROM-Contents'!$B$4:'EEPROM-Contents'!$B$141,0)),2)</f>
        <v>00</v>
      </c>
      <c r="U41" s="80" t="str">
        <f>RIGHT(INDEX('EEPROM-Contents'!$D$4:'EEPROM-Contents'!$D$141,MATCH('EEPROM-Contents'!W35,'EEPROM-Contents'!$B$4:'EEPROM-Contents'!$B$141,0)),2)</f>
        <v>00</v>
      </c>
      <c r="V41" s="80" t="str">
        <f>RIGHT(INDEX('EEPROM-Contents'!$D$4:'EEPROM-Contents'!$D$141,MATCH('EEPROM-Contents'!X35,'EEPROM-Contents'!$B$4:'EEPROM-Contents'!$B$141,0)),2)</f>
        <v>00</v>
      </c>
      <c r="W41" s="85" t="e">
        <f>RIGHT(INDEX($D$9:$D$47,MATCH('EEPROM-Contents'!Y35,$B$9:$B$47,0)),2)</f>
        <v>#NUM!</v>
      </c>
      <c r="X41" s="85" t="str">
        <f>RIGHT(INDEX($D$9:$D$47,MATCH('EEPROM-Contents'!Z35,$B$9:$B$47,0)),2)</f>
        <v>00</v>
      </c>
      <c r="Y41" s="85" t="str">
        <f>RIGHT(INDEX($D$9:$D$47,MATCH('EEPROM-Contents'!AA35,$B$9:$B$47,0)),2)</f>
        <v>00</v>
      </c>
      <c r="Z41" s="85" t="e">
        <f ca="1">RIGHT(INDEX($D$9:$D$47,MATCH('EEPROM-Contents'!AB35,$B$9:$B$47,0)),2)</f>
        <v>#NUM!</v>
      </c>
      <c r="AA41" s="80" t="str">
        <f>RIGHT(INDEX('EEPROM-Contents'!$D$4:'EEPROM-Contents'!$D$141,MATCH('EEPROM-Contents'!AC35,'EEPROM-Contents'!$B$4:'EEPROM-Contents'!$B$141,0)),2)</f>
        <v>12</v>
      </c>
      <c r="AB41" s="80" t="str">
        <f>RIGHT(INDEX('EEPROM-Contents'!$D$4:'EEPROM-Contents'!$D$141,MATCH('EEPROM-Contents'!AD35,'EEPROM-Contents'!$B$4:'EEPROM-Contents'!$B$141,0)),2)</f>
        <v>00</v>
      </c>
      <c r="AC41" s="80" t="str">
        <f>RIGHT(INDEX('EEPROM-Contents'!$D$4:'EEPROM-Contents'!$D$141,MATCH('EEPROM-Contents'!AE35,'EEPROM-Contents'!$B$4:'EEPROM-Contents'!$B$141,0)),2)</f>
        <v>00</v>
      </c>
      <c r="AD41" s="80" t="str">
        <f>RIGHT(INDEX('EEPROM-Contents'!$D$4:'EEPROM-Contents'!$D$141,MATCH('EEPROM-Contents'!AF35,'EEPROM-Contents'!$B$4:'EEPROM-Contents'!$B$141,0)),2)</f>
        <v>00</v>
      </c>
      <c r="AF41" s="83" t="e">
        <f t="shared" ca="1" si="2"/>
        <v>#NUM!</v>
      </c>
    </row>
    <row r="42" spans="2:32" x14ac:dyDescent="0.25">
      <c r="B42" s="86">
        <f>'EEPROM-Contents'!B115</f>
        <v>111</v>
      </c>
      <c r="C42" s="76">
        <f t="shared" si="4"/>
        <v>0</v>
      </c>
      <c r="D42" s="77" t="str">
        <f t="shared" si="5"/>
        <v>00</v>
      </c>
      <c r="E42" s="67" t="str">
        <f>'EEPROM-Contents'!E115</f>
        <v>Voltage Cal</v>
      </c>
      <c r="F42" s="68"/>
      <c r="G42" s="69"/>
    </row>
    <row r="43" spans="2:32" x14ac:dyDescent="0.25">
      <c r="B43" s="86">
        <f>'EEPROM-Contents'!B116</f>
        <v>112</v>
      </c>
      <c r="C43" s="76">
        <f t="shared" si="4"/>
        <v>0</v>
      </c>
      <c r="D43" s="77" t="str">
        <f t="shared" si="5"/>
        <v>00</v>
      </c>
      <c r="E43" s="67" t="str">
        <f>'EEPROM-Contents'!E116</f>
        <v>Voltage Cal</v>
      </c>
      <c r="F43" s="68"/>
      <c r="G43" s="69"/>
    </row>
    <row r="44" spans="2:32" x14ac:dyDescent="0.25">
      <c r="B44" s="86">
        <f>'EEPROM-Contents'!B117</f>
        <v>113</v>
      </c>
      <c r="C44" s="76" t="e">
        <f t="shared" si="4"/>
        <v>#NUM!</v>
      </c>
      <c r="D44" s="76" t="e">
        <f>F4</f>
        <v>#NUM!</v>
      </c>
      <c r="E44" s="67" t="str">
        <f>'EEPROM-Contents'!E117</f>
        <v>GAINC</v>
      </c>
      <c r="F44" s="68"/>
      <c r="G44" s="69"/>
    </row>
    <row r="45" spans="2:32" x14ac:dyDescent="0.25">
      <c r="B45" s="86">
        <f>'EEPROM-Contents'!B118</f>
        <v>114</v>
      </c>
      <c r="C45" s="76">
        <f>K10</f>
        <v>0</v>
      </c>
      <c r="D45" s="76" t="str">
        <f>DEC2HEX(C45,2)</f>
        <v>00</v>
      </c>
      <c r="E45" s="67" t="str">
        <f>'EEPROM-Contents'!E118</f>
        <v>Cal Factor for CondyleA</v>
      </c>
      <c r="F45" s="68"/>
      <c r="G45" s="69"/>
    </row>
    <row r="46" spans="2:32" x14ac:dyDescent="0.25">
      <c r="B46" s="86">
        <f>'EEPROM-Contents'!B119</f>
        <v>115</v>
      </c>
      <c r="C46" s="76">
        <f>L10</f>
        <v>0</v>
      </c>
      <c r="D46" s="76" t="str">
        <f>DEC2HEX(C46,2)</f>
        <v>00</v>
      </c>
      <c r="E46" s="67" t="str">
        <f>'EEPROM-Contents'!E119</f>
        <v>Cal Factor for CondyleB</v>
      </c>
      <c r="F46" s="68"/>
      <c r="G46" s="69"/>
    </row>
    <row r="47" spans="2:32" x14ac:dyDescent="0.25">
      <c r="B47" s="86">
        <f>'EEPROM-Contents'!B120</f>
        <v>116</v>
      </c>
      <c r="C47" s="76" t="e">
        <f ca="1">255-HEX2DEC(RIGHT(DEC2HEX(SUM(C22:C46)),2))</f>
        <v>#NUM!</v>
      </c>
      <c r="D47" s="76" t="e">
        <f ca="1">DEC2HEX($C$47,2)</f>
        <v>#NUM!</v>
      </c>
      <c r="E47" s="67" t="str">
        <f>'EEPROM-Contents'!E120</f>
        <v>Checksum</v>
      </c>
      <c r="F47" s="68"/>
      <c r="G47" s="69"/>
    </row>
    <row r="49" spans="2:12" x14ac:dyDescent="0.25">
      <c r="B49" s="357" t="s">
        <v>222</v>
      </c>
      <c r="C49" s="358"/>
      <c r="D49" s="358"/>
      <c r="E49" s="358"/>
      <c r="F49" s="358"/>
      <c r="G49" s="358"/>
      <c r="H49" s="358"/>
      <c r="I49" s="358"/>
      <c r="J49" s="359"/>
    </row>
    <row r="50" spans="2:12" x14ac:dyDescent="0.25">
      <c r="B50" s="36" t="s">
        <v>223</v>
      </c>
      <c r="C50" s="36" t="s">
        <v>224</v>
      </c>
      <c r="D50" s="36" t="s">
        <v>225</v>
      </c>
      <c r="E50" s="36" t="s">
        <v>226</v>
      </c>
      <c r="F50" s="36" t="s">
        <v>227</v>
      </c>
      <c r="G50" s="36" t="s">
        <v>228</v>
      </c>
      <c r="H50" s="36" t="s">
        <v>229</v>
      </c>
      <c r="I50" s="36" t="s">
        <v>230</v>
      </c>
      <c r="J50" s="36" t="s">
        <v>231</v>
      </c>
    </row>
    <row r="51" spans="2:12" x14ac:dyDescent="0.25">
      <c r="B51" s="24">
        <v>70</v>
      </c>
      <c r="C51" s="24"/>
      <c r="D51" s="24"/>
      <c r="E51" s="24"/>
      <c r="F51" s="24"/>
      <c r="G51" s="24"/>
      <c r="H51" s="24"/>
      <c r="I51" s="24"/>
      <c r="J51" s="24"/>
    </row>
    <row r="52" spans="2:12" x14ac:dyDescent="0.25">
      <c r="B52" s="24">
        <v>140</v>
      </c>
      <c r="C52" s="24"/>
      <c r="D52" s="24"/>
      <c r="E52" s="24"/>
      <c r="F52" s="24"/>
      <c r="G52" s="24"/>
      <c r="H52" s="24"/>
      <c r="I52" s="24"/>
      <c r="J52" s="24"/>
    </row>
    <row r="53" spans="2:12" x14ac:dyDescent="0.25">
      <c r="B53" s="24">
        <v>0</v>
      </c>
      <c r="C53" s="24"/>
      <c r="D53" s="24"/>
      <c r="E53" s="24"/>
      <c r="F53" s="24"/>
      <c r="G53" s="24"/>
      <c r="H53" s="24"/>
      <c r="I53" s="24"/>
      <c r="J53" s="24"/>
    </row>
    <row r="54" spans="2:12" x14ac:dyDescent="0.25">
      <c r="B54" s="24">
        <v>70</v>
      </c>
      <c r="C54" s="24"/>
      <c r="D54" s="24"/>
      <c r="E54" s="24"/>
      <c r="F54" s="24"/>
      <c r="G54" s="24"/>
      <c r="H54" s="24"/>
      <c r="I54" s="24"/>
      <c r="J54" s="24"/>
    </row>
    <row r="55" spans="2:12" x14ac:dyDescent="0.25">
      <c r="B55" s="24">
        <v>140</v>
      </c>
      <c r="C55" s="24"/>
      <c r="D55" s="24"/>
      <c r="E55" s="24"/>
      <c r="F55" s="24"/>
      <c r="G55" s="24"/>
      <c r="H55" s="24"/>
      <c r="I55" s="24"/>
      <c r="J55" s="24"/>
    </row>
    <row r="56" spans="2:12" x14ac:dyDescent="0.25">
      <c r="B56" s="24">
        <v>0</v>
      </c>
      <c r="C56" s="24"/>
      <c r="D56" s="24"/>
      <c r="E56" s="24"/>
      <c r="F56" s="24"/>
      <c r="G56" s="24"/>
      <c r="H56" s="24"/>
      <c r="I56" s="24"/>
      <c r="J56" s="24"/>
    </row>
    <row r="57" spans="2:12" x14ac:dyDescent="0.25">
      <c r="B57" s="24">
        <v>10</v>
      </c>
      <c r="C57" s="24"/>
      <c r="D57" s="24"/>
      <c r="E57" s="24"/>
      <c r="F57" s="24"/>
      <c r="G57" s="24"/>
      <c r="H57" s="24"/>
      <c r="I57" s="24"/>
      <c r="J57" s="24"/>
    </row>
    <row r="58" spans="2:12" x14ac:dyDescent="0.25">
      <c r="B58" s="24">
        <v>20</v>
      </c>
      <c r="C58" s="24"/>
      <c r="D58" s="24"/>
      <c r="E58" s="24"/>
      <c r="F58" s="24"/>
      <c r="G58" s="24"/>
      <c r="H58" s="24"/>
      <c r="I58" s="24"/>
      <c r="J58" s="24"/>
    </row>
    <row r="59" spans="2:12" x14ac:dyDescent="0.25">
      <c r="B59" s="24">
        <v>40</v>
      </c>
      <c r="C59" s="24"/>
      <c r="D59" s="24"/>
      <c r="E59" s="24"/>
      <c r="F59" s="24"/>
      <c r="G59" s="24"/>
      <c r="H59" s="24"/>
      <c r="I59" s="24"/>
      <c r="J59" s="24"/>
    </row>
    <row r="60" spans="2:12" x14ac:dyDescent="0.25">
      <c r="B60" s="24">
        <v>60</v>
      </c>
      <c r="C60" s="24"/>
      <c r="D60" s="24"/>
      <c r="E60" s="24"/>
      <c r="F60" s="24"/>
      <c r="G60" s="24"/>
      <c r="H60" s="24"/>
      <c r="I60" s="24"/>
      <c r="J60" s="24"/>
    </row>
    <row r="61" spans="2:12" x14ac:dyDescent="0.25">
      <c r="B61" s="24">
        <v>80</v>
      </c>
      <c r="C61" s="24"/>
      <c r="D61" s="24"/>
      <c r="E61" s="24"/>
      <c r="F61" s="24"/>
      <c r="G61" s="24"/>
      <c r="H61" s="24"/>
      <c r="I61" s="24"/>
      <c r="J61" s="24"/>
    </row>
    <row r="63" spans="2:12" x14ac:dyDescent="0.25">
      <c r="B63" s="354" t="s">
        <v>405</v>
      </c>
      <c r="C63" s="355"/>
      <c r="D63" s="355"/>
      <c r="E63" s="355"/>
      <c r="F63" s="355"/>
      <c r="G63" s="89" t="s">
        <v>410</v>
      </c>
      <c r="H63" s="89">
        <f>'FTS-Initialization'!$O$27</f>
        <v>18000</v>
      </c>
      <c r="I63" s="89" t="s">
        <v>411</v>
      </c>
      <c r="J63" s="89">
        <f>'FTS-Initialization'!$O$26</f>
        <v>24000</v>
      </c>
      <c r="L63" s="91" t="s">
        <v>414</v>
      </c>
    </row>
    <row r="64" spans="2:12" x14ac:dyDescent="0.25">
      <c r="B64" s="36" t="s">
        <v>440</v>
      </c>
      <c r="C64" s="36">
        <f>MAX(J51:J61)</f>
        <v>0</v>
      </c>
      <c r="D64" s="36" t="s">
        <v>441</v>
      </c>
      <c r="E64" s="36">
        <f>MIN(J51:J61)</f>
        <v>0</v>
      </c>
      <c r="I64" s="36" t="s">
        <v>407</v>
      </c>
      <c r="J64" s="36" t="b">
        <f>IF(AND(E64&gt;=H63,C64&lt;=J63),TRUE,FALSE)</f>
        <v>0</v>
      </c>
      <c r="L64" s="91">
        <f>IF(J64,0,IF(C64&gt;J63,'FTS-Initialization'!N89,IF(E64&lt;H63,'FTS-Initialization'!N90,0)))</f>
        <v>53</v>
      </c>
    </row>
    <row r="66" spans="2:14" x14ac:dyDescent="0.25">
      <c r="B66" s="354" t="s">
        <v>444</v>
      </c>
      <c r="C66" s="355"/>
      <c r="D66" s="355"/>
      <c r="E66" s="355"/>
      <c r="F66" s="355"/>
      <c r="G66" s="89" t="s">
        <v>410</v>
      </c>
      <c r="H66" s="89">
        <f>'FTS-Initialization'!O29</f>
        <v>40000</v>
      </c>
      <c r="I66" s="89" t="s">
        <v>411</v>
      </c>
      <c r="J66" s="89">
        <f>'FTS-Initialization'!$O$28</f>
        <v>65000</v>
      </c>
      <c r="L66" s="91" t="s">
        <v>414</v>
      </c>
    </row>
    <row r="67" spans="2:14" x14ac:dyDescent="0.25">
      <c r="B67" s="36" t="s">
        <v>445</v>
      </c>
      <c r="C67" s="36">
        <f>MAX($C$51:$I$61)</f>
        <v>0</v>
      </c>
      <c r="D67" s="36" t="s">
        <v>446</v>
      </c>
      <c r="E67" s="36">
        <f>MIN(C51:I61)</f>
        <v>0</v>
      </c>
      <c r="I67" s="36" t="s">
        <v>407</v>
      </c>
      <c r="J67" s="36" t="b">
        <f>IF(AND(E67&gt;=H66,C67&lt;=J66),TRUE,FALSE)</f>
        <v>0</v>
      </c>
      <c r="L67" s="91">
        <f>IF(J67,0,IF(E67&lt;H66,'FTS-Initialization'!N100,IF(C67&gt;J66,'FTS-Initialization'!N99,0)))</f>
        <v>63</v>
      </c>
    </row>
    <row r="70" spans="2:14" x14ac:dyDescent="0.25">
      <c r="M70" s="106">
        <f>SLOPE(M74:M79,$L$74:$L$79)</f>
        <v>0</v>
      </c>
      <c r="N70" s="106">
        <f>SLOPE(N74:N79,$L$74:$L$79)</f>
        <v>0</v>
      </c>
    </row>
    <row r="71" spans="2:14" x14ac:dyDescent="0.25">
      <c r="M71" s="102" t="str">
        <f t="shared" ref="M71:M79" si="6">K9</f>
        <v>ScaleA</v>
      </c>
      <c r="N71" s="102" t="str">
        <f t="shared" ref="N71:N79" si="7">L9</f>
        <v>ScaleB</v>
      </c>
    </row>
    <row r="72" spans="2:14" x14ac:dyDescent="0.25">
      <c r="B72" s="357" t="s">
        <v>437</v>
      </c>
      <c r="C72" s="358"/>
      <c r="D72" s="358"/>
      <c r="E72" s="358"/>
      <c r="F72" s="358"/>
      <c r="G72" s="358"/>
      <c r="H72" s="358"/>
      <c r="I72" s="358"/>
      <c r="J72" s="359"/>
      <c r="M72" s="102">
        <f t="shared" si="6"/>
        <v>0</v>
      </c>
      <c r="N72" s="102">
        <f t="shared" si="7"/>
        <v>0</v>
      </c>
    </row>
    <row r="73" spans="2:14" x14ac:dyDescent="0.25">
      <c r="B73" s="36" t="s">
        <v>223</v>
      </c>
      <c r="C73" s="36" t="s">
        <v>224</v>
      </c>
      <c r="D73" s="36" t="s">
        <v>225</v>
      </c>
      <c r="E73" s="36" t="s">
        <v>226</v>
      </c>
      <c r="F73" s="36" t="s">
        <v>227</v>
      </c>
      <c r="G73" s="36" t="s">
        <v>228</v>
      </c>
      <c r="H73" s="36" t="s">
        <v>229</v>
      </c>
      <c r="I73" s="36" t="s">
        <v>438</v>
      </c>
      <c r="J73" s="36" t="s">
        <v>439</v>
      </c>
      <c r="L73" s="102" t="str">
        <f t="shared" ref="L73:L79" si="8">I11</f>
        <v>F/Cond [lb]</v>
      </c>
      <c r="M73" s="102" t="str">
        <f t="shared" si="6"/>
        <v>CalA</v>
      </c>
      <c r="N73" s="102" t="str">
        <f t="shared" si="7"/>
        <v>CalB</v>
      </c>
    </row>
    <row r="74" spans="2:14" x14ac:dyDescent="0.25">
      <c r="B74" s="36">
        <f>B56</f>
        <v>0</v>
      </c>
      <c r="C74" s="108">
        <f>(C56-C$56)-($I56-$I$56)</f>
        <v>0</v>
      </c>
      <c r="D74" s="108">
        <f t="shared" ref="D74:H74" si="9">(D56-D$56)-($I56-$I$56)</f>
        <v>0</v>
      </c>
      <c r="E74" s="108">
        <f t="shared" si="9"/>
        <v>0</v>
      </c>
      <c r="F74" s="108">
        <f t="shared" si="9"/>
        <v>0</v>
      </c>
      <c r="G74" s="108">
        <f t="shared" si="9"/>
        <v>0</v>
      </c>
      <c r="H74" s="108">
        <f t="shared" si="9"/>
        <v>0</v>
      </c>
      <c r="I74" s="108">
        <f>SUM(C74:E74)</f>
        <v>0</v>
      </c>
      <c r="J74" s="108">
        <f>SUM(F74:H74)</f>
        <v>0</v>
      </c>
      <c r="L74" s="102">
        <f t="shared" si="8"/>
        <v>0</v>
      </c>
      <c r="M74" s="104">
        <f t="shared" si="6"/>
        <v>0</v>
      </c>
      <c r="N74" s="104">
        <f t="shared" si="7"/>
        <v>0</v>
      </c>
    </row>
    <row r="75" spans="2:14" x14ac:dyDescent="0.25">
      <c r="B75" s="36">
        <f t="shared" ref="B75:B79" si="10">B57</f>
        <v>10</v>
      </c>
      <c r="C75" s="108">
        <f t="shared" ref="C75:H75" si="11">(C57-C$56)-($I57-$I$56)</f>
        <v>0</v>
      </c>
      <c r="D75" s="108">
        <f t="shared" si="11"/>
        <v>0</v>
      </c>
      <c r="E75" s="108">
        <f t="shared" si="11"/>
        <v>0</v>
      </c>
      <c r="F75" s="108">
        <f t="shared" si="11"/>
        <v>0</v>
      </c>
      <c r="G75" s="108">
        <f t="shared" si="11"/>
        <v>0</v>
      </c>
      <c r="H75" s="108">
        <f t="shared" si="11"/>
        <v>0</v>
      </c>
      <c r="I75" s="108">
        <f t="shared" ref="I75:I79" si="12">SUM(C75:E75)</f>
        <v>0</v>
      </c>
      <c r="J75" s="108">
        <f t="shared" ref="J75:J79" si="13">SUM(F75:H75)</f>
        <v>0</v>
      </c>
      <c r="L75" s="102">
        <f t="shared" si="8"/>
        <v>5</v>
      </c>
      <c r="M75" s="104">
        <f t="shared" si="6"/>
        <v>0</v>
      </c>
      <c r="N75" s="104">
        <f t="shared" si="7"/>
        <v>0</v>
      </c>
    </row>
    <row r="76" spans="2:14" x14ac:dyDescent="0.25">
      <c r="B76" s="36">
        <f t="shared" si="10"/>
        <v>20</v>
      </c>
      <c r="C76" s="108">
        <f t="shared" ref="C76:H76" si="14">(C58-C$56)-($I58-$I$56)</f>
        <v>0</v>
      </c>
      <c r="D76" s="108">
        <f t="shared" si="14"/>
        <v>0</v>
      </c>
      <c r="E76" s="108">
        <f t="shared" si="14"/>
        <v>0</v>
      </c>
      <c r="F76" s="108">
        <f t="shared" si="14"/>
        <v>0</v>
      </c>
      <c r="G76" s="108">
        <f t="shared" si="14"/>
        <v>0</v>
      </c>
      <c r="H76" s="108">
        <f t="shared" si="14"/>
        <v>0</v>
      </c>
      <c r="I76" s="108">
        <f t="shared" si="12"/>
        <v>0</v>
      </c>
      <c r="J76" s="108">
        <f t="shared" si="13"/>
        <v>0</v>
      </c>
      <c r="L76" s="102">
        <f t="shared" si="8"/>
        <v>10</v>
      </c>
      <c r="M76" s="104">
        <f t="shared" si="6"/>
        <v>0</v>
      </c>
      <c r="N76" s="104">
        <f t="shared" si="7"/>
        <v>0</v>
      </c>
    </row>
    <row r="77" spans="2:14" x14ac:dyDescent="0.25">
      <c r="B77" s="36">
        <f t="shared" si="10"/>
        <v>40</v>
      </c>
      <c r="C77" s="108">
        <f t="shared" ref="C77:H77" si="15">(C59-C$56)-($I59-$I$56)</f>
        <v>0</v>
      </c>
      <c r="D77" s="108">
        <f t="shared" si="15"/>
        <v>0</v>
      </c>
      <c r="E77" s="108">
        <f t="shared" si="15"/>
        <v>0</v>
      </c>
      <c r="F77" s="108">
        <f t="shared" si="15"/>
        <v>0</v>
      </c>
      <c r="G77" s="108">
        <f t="shared" si="15"/>
        <v>0</v>
      </c>
      <c r="H77" s="108">
        <f t="shared" si="15"/>
        <v>0</v>
      </c>
      <c r="I77" s="108">
        <f t="shared" si="12"/>
        <v>0</v>
      </c>
      <c r="J77" s="108">
        <f t="shared" si="13"/>
        <v>0</v>
      </c>
      <c r="L77" s="102">
        <f t="shared" si="8"/>
        <v>20</v>
      </c>
      <c r="M77" s="104">
        <f t="shared" si="6"/>
        <v>0</v>
      </c>
      <c r="N77" s="104">
        <f t="shared" si="7"/>
        <v>0</v>
      </c>
    </row>
    <row r="78" spans="2:14" x14ac:dyDescent="0.25">
      <c r="B78" s="36">
        <f t="shared" si="10"/>
        <v>60</v>
      </c>
      <c r="C78" s="108">
        <f t="shared" ref="C78:H78" si="16">(C60-C$56)-($I60-$I$56)</f>
        <v>0</v>
      </c>
      <c r="D78" s="108">
        <f t="shared" si="16"/>
        <v>0</v>
      </c>
      <c r="E78" s="108">
        <f t="shared" si="16"/>
        <v>0</v>
      </c>
      <c r="F78" s="108">
        <f t="shared" si="16"/>
        <v>0</v>
      </c>
      <c r="G78" s="108">
        <f t="shared" si="16"/>
        <v>0</v>
      </c>
      <c r="H78" s="108">
        <f t="shared" si="16"/>
        <v>0</v>
      </c>
      <c r="I78" s="108">
        <f t="shared" si="12"/>
        <v>0</v>
      </c>
      <c r="J78" s="108">
        <f t="shared" si="13"/>
        <v>0</v>
      </c>
      <c r="L78" s="102">
        <f t="shared" si="8"/>
        <v>30</v>
      </c>
      <c r="M78" s="104">
        <f t="shared" si="6"/>
        <v>0</v>
      </c>
      <c r="N78" s="104">
        <f t="shared" si="7"/>
        <v>0</v>
      </c>
    </row>
    <row r="79" spans="2:14" x14ac:dyDescent="0.25">
      <c r="B79" s="36">
        <f t="shared" si="10"/>
        <v>80</v>
      </c>
      <c r="C79" s="108">
        <f t="shared" ref="C79:H79" si="17">(C61-C$56)-($I61-$I$56)</f>
        <v>0</v>
      </c>
      <c r="D79" s="108">
        <f t="shared" si="17"/>
        <v>0</v>
      </c>
      <c r="E79" s="108">
        <f t="shared" si="17"/>
        <v>0</v>
      </c>
      <c r="F79" s="108">
        <f t="shared" si="17"/>
        <v>0</v>
      </c>
      <c r="G79" s="108">
        <f t="shared" si="17"/>
        <v>0</v>
      </c>
      <c r="H79" s="108">
        <f t="shared" si="17"/>
        <v>0</v>
      </c>
      <c r="I79" s="108">
        <f t="shared" si="12"/>
        <v>0</v>
      </c>
      <c r="J79" s="108">
        <f t="shared" si="13"/>
        <v>0</v>
      </c>
      <c r="L79" s="102">
        <f t="shared" si="8"/>
        <v>40</v>
      </c>
      <c r="M79" s="104">
        <f t="shared" si="6"/>
        <v>0</v>
      </c>
      <c r="N79" s="104">
        <f t="shared" si="7"/>
        <v>0</v>
      </c>
    </row>
    <row r="80" spans="2:14" x14ac:dyDescent="0.25">
      <c r="L80" s="102">
        <v>80</v>
      </c>
      <c r="M80" s="104">
        <f>2*M79</f>
        <v>0</v>
      </c>
      <c r="N80" s="104">
        <f>2*N79</f>
        <v>0</v>
      </c>
    </row>
    <row r="81" spans="2:14" x14ac:dyDescent="0.25">
      <c r="B81" s="360" t="s">
        <v>450</v>
      </c>
      <c r="C81" s="360"/>
      <c r="D81" s="360"/>
      <c r="E81" s="360"/>
      <c r="F81" s="360"/>
      <c r="G81" s="360"/>
      <c r="H81" s="360"/>
      <c r="I81" s="103" t="s">
        <v>452</v>
      </c>
      <c r="J81" s="103">
        <f>'FTS-Initialization'!$O$21</f>
        <v>40</v>
      </c>
    </row>
    <row r="82" spans="2:14" x14ac:dyDescent="0.25">
      <c r="B82" s="103" t="s">
        <v>451</v>
      </c>
      <c r="C82" s="103" t="s">
        <v>438</v>
      </c>
      <c r="D82" s="103" t="s">
        <v>439</v>
      </c>
      <c r="E82" s="103" t="s">
        <v>199</v>
      </c>
      <c r="F82" s="103" t="s">
        <v>200</v>
      </c>
      <c r="J82" s="103" t="s">
        <v>407</v>
      </c>
      <c r="L82" s="91" t="s">
        <v>414</v>
      </c>
    </row>
    <row r="83" spans="2:14" x14ac:dyDescent="0.25">
      <c r="B83" s="103">
        <f>3*$J$17-3*$J$14</f>
        <v>162</v>
      </c>
      <c r="C83" s="109">
        <f>I79-I76</f>
        <v>0</v>
      </c>
      <c r="D83" s="109">
        <f>J79-J76</f>
        <v>0</v>
      </c>
      <c r="E83" s="103">
        <f>ROUND(C83/$B$83*100,0)</f>
        <v>0</v>
      </c>
      <c r="F83" s="103">
        <f>ROUND(D83/$B$83*100,0)</f>
        <v>0</v>
      </c>
      <c r="J83" s="103" t="b">
        <f>IF(AND(E83&gt;=J81,F83&gt;=J81),TRUE,FALSE)</f>
        <v>0</v>
      </c>
      <c r="L83" s="91">
        <f>IF(J83,0,'FTS-Initialization'!$N$94)</f>
        <v>57</v>
      </c>
    </row>
    <row r="85" spans="2:14" x14ac:dyDescent="0.25">
      <c r="B85" s="357" t="s">
        <v>454</v>
      </c>
      <c r="C85" s="358"/>
      <c r="D85" s="358"/>
      <c r="E85" s="358"/>
      <c r="F85" s="358"/>
      <c r="G85" s="358"/>
      <c r="H85" s="358"/>
      <c r="I85" s="358"/>
      <c r="J85" s="359"/>
    </row>
    <row r="86" spans="2:14" x14ac:dyDescent="0.25">
      <c r="B86" s="63" t="s">
        <v>455</v>
      </c>
      <c r="C86" s="63" t="s">
        <v>224</v>
      </c>
      <c r="D86" s="63" t="s">
        <v>225</v>
      </c>
      <c r="E86" s="63" t="s">
        <v>226</v>
      </c>
      <c r="F86" s="63" t="s">
        <v>227</v>
      </c>
      <c r="G86" s="63" t="s">
        <v>228</v>
      </c>
      <c r="H86" s="63" t="s">
        <v>229</v>
      </c>
      <c r="I86" s="63" t="s">
        <v>438</v>
      </c>
      <c r="J86" s="63" t="s">
        <v>439</v>
      </c>
      <c r="L86" s="102" t="str">
        <f>B86</f>
        <v>F/Cond [lb]</v>
      </c>
      <c r="M86" s="102" t="str">
        <f>I86</f>
        <v>Left</v>
      </c>
      <c r="N86" s="102" t="str">
        <f>J86</f>
        <v>Right</v>
      </c>
    </row>
    <row r="87" spans="2:14" x14ac:dyDescent="0.25">
      <c r="B87" s="63">
        <f>B56/2</f>
        <v>0</v>
      </c>
      <c r="C87" s="108">
        <f ca="1">IFERROR(FORECAST(C74,OFFSET($L$74:$L$80,MATCH(C74,$M$74:$M$80,1)-1,0,2),OFFSET($M$74,MATCH(C74,$M$74:$M$80,1)-1,0,2))/3,0)</f>
        <v>0</v>
      </c>
      <c r="D87" s="108">
        <f t="shared" ref="D87:H87" ca="1" si="18">IFERROR(FORECAST(D74,OFFSET($L$74:$L$80,MATCH(D74,$M$74:$M$80,1)-1,0,2),OFFSET($M$74,MATCH(D74,$M$74:$M$80,1)-1,0,2))/3,0)</f>
        <v>0</v>
      </c>
      <c r="E87" s="108">
        <f t="shared" ca="1" si="18"/>
        <v>0</v>
      </c>
      <c r="F87" s="108">
        <f t="shared" ca="1" si="18"/>
        <v>0</v>
      </c>
      <c r="G87" s="108">
        <f t="shared" ca="1" si="18"/>
        <v>0</v>
      </c>
      <c r="H87" s="108">
        <f t="shared" ca="1" si="18"/>
        <v>0</v>
      </c>
      <c r="I87" s="63">
        <f ca="1">SUM(C87:E87)</f>
        <v>0</v>
      </c>
      <c r="J87" s="63">
        <f ca="1">SUM(F87:H87)</f>
        <v>0</v>
      </c>
      <c r="L87" s="102">
        <f>B87</f>
        <v>0</v>
      </c>
      <c r="M87" s="104">
        <f ca="1">I87</f>
        <v>0</v>
      </c>
      <c r="N87" s="104">
        <f ca="1">J87</f>
        <v>0</v>
      </c>
    </row>
    <row r="88" spans="2:14" x14ac:dyDescent="0.25">
      <c r="B88" s="63">
        <f t="shared" ref="B88:B92" si="19">B57/2</f>
        <v>5</v>
      </c>
      <c r="C88" s="108">
        <f t="shared" ref="C88:H88" ca="1" si="20">IFERROR(FORECAST(C75,OFFSET($L$74:$L$80,MATCH(C75,$M$74:$M$80,1)-1,0,2),OFFSET($M$74,MATCH(C75,$M$74:$M$80,1)-1,0,2))/3,0)</f>
        <v>0</v>
      </c>
      <c r="D88" s="108">
        <f t="shared" ca="1" si="20"/>
        <v>0</v>
      </c>
      <c r="E88" s="108">
        <f t="shared" ca="1" si="20"/>
        <v>0</v>
      </c>
      <c r="F88" s="108">
        <f t="shared" ca="1" si="20"/>
        <v>0</v>
      </c>
      <c r="G88" s="108">
        <f t="shared" ca="1" si="20"/>
        <v>0</v>
      </c>
      <c r="H88" s="108">
        <f t="shared" ca="1" si="20"/>
        <v>0</v>
      </c>
      <c r="I88" s="108">
        <f t="shared" ref="I88:I92" ca="1" si="21">SUM(C88:E88)</f>
        <v>0</v>
      </c>
      <c r="J88" s="108">
        <f t="shared" ref="J88:J92" ca="1" si="22">SUM(F88:H88)</f>
        <v>0</v>
      </c>
      <c r="L88" s="102">
        <f t="shared" ref="L88:L92" si="23">B88</f>
        <v>5</v>
      </c>
      <c r="M88" s="104">
        <f t="shared" ref="M88:M92" ca="1" si="24">I88</f>
        <v>0</v>
      </c>
      <c r="N88" s="104">
        <f t="shared" ref="N88:N92" ca="1" si="25">J88</f>
        <v>0</v>
      </c>
    </row>
    <row r="89" spans="2:14" x14ac:dyDescent="0.25">
      <c r="B89" s="63">
        <f t="shared" si="19"/>
        <v>10</v>
      </c>
      <c r="C89" s="108">
        <f t="shared" ref="C89:H89" ca="1" si="26">IFERROR(FORECAST(C76,OFFSET($L$74:$L$80,MATCH(C76,$M$74:$M$80,1)-1,0,2),OFFSET($M$74,MATCH(C76,$M$74:$M$80,1)-1,0,2))/3,0)</f>
        <v>0</v>
      </c>
      <c r="D89" s="108">
        <f t="shared" ca="1" si="26"/>
        <v>0</v>
      </c>
      <c r="E89" s="108">
        <f t="shared" ca="1" si="26"/>
        <v>0</v>
      </c>
      <c r="F89" s="108">
        <f t="shared" ca="1" si="26"/>
        <v>0</v>
      </c>
      <c r="G89" s="108">
        <f t="shared" ca="1" si="26"/>
        <v>0</v>
      </c>
      <c r="H89" s="108">
        <f t="shared" ca="1" si="26"/>
        <v>0</v>
      </c>
      <c r="I89" s="108">
        <f t="shared" ca="1" si="21"/>
        <v>0</v>
      </c>
      <c r="J89" s="108">
        <f t="shared" ca="1" si="22"/>
        <v>0</v>
      </c>
      <c r="L89" s="102">
        <f t="shared" si="23"/>
        <v>10</v>
      </c>
      <c r="M89" s="104">
        <f t="shared" ca="1" si="24"/>
        <v>0</v>
      </c>
      <c r="N89" s="104">
        <f t="shared" ca="1" si="25"/>
        <v>0</v>
      </c>
    </row>
    <row r="90" spans="2:14" x14ac:dyDescent="0.25">
      <c r="B90" s="63">
        <f t="shared" si="19"/>
        <v>20</v>
      </c>
      <c r="C90" s="108">
        <f t="shared" ref="C90:H90" ca="1" si="27">IFERROR(FORECAST(C77,OFFSET($L$74:$L$80,MATCH(C77,$M$74:$M$80,1)-1,0,2),OFFSET($M$74,MATCH(C77,$M$74:$M$80,1)-1,0,2))/3,0)</f>
        <v>0</v>
      </c>
      <c r="D90" s="108">
        <f t="shared" ca="1" si="27"/>
        <v>0</v>
      </c>
      <c r="E90" s="108">
        <f t="shared" ca="1" si="27"/>
        <v>0</v>
      </c>
      <c r="F90" s="108">
        <f t="shared" ca="1" si="27"/>
        <v>0</v>
      </c>
      <c r="G90" s="108">
        <f t="shared" ca="1" si="27"/>
        <v>0</v>
      </c>
      <c r="H90" s="108">
        <f t="shared" ca="1" si="27"/>
        <v>0</v>
      </c>
      <c r="I90" s="108">
        <f t="shared" ca="1" si="21"/>
        <v>0</v>
      </c>
      <c r="J90" s="108">
        <f t="shared" ca="1" si="22"/>
        <v>0</v>
      </c>
      <c r="L90" s="102">
        <f t="shared" si="23"/>
        <v>20</v>
      </c>
      <c r="M90" s="104">
        <f t="shared" ca="1" si="24"/>
        <v>0</v>
      </c>
      <c r="N90" s="104">
        <f t="shared" ca="1" si="25"/>
        <v>0</v>
      </c>
    </row>
    <row r="91" spans="2:14" x14ac:dyDescent="0.25">
      <c r="B91" s="63">
        <f t="shared" si="19"/>
        <v>30</v>
      </c>
      <c r="C91" s="108">
        <f t="shared" ref="C91:H91" ca="1" si="28">IFERROR(FORECAST(C78,OFFSET($L$74:$L$80,MATCH(C78,$M$74:$M$80,1)-1,0,2),OFFSET($M$74,MATCH(C78,$M$74:$M$80,1)-1,0,2))/3,0)</f>
        <v>0</v>
      </c>
      <c r="D91" s="108">
        <f t="shared" ca="1" si="28"/>
        <v>0</v>
      </c>
      <c r="E91" s="108">
        <f t="shared" ca="1" si="28"/>
        <v>0</v>
      </c>
      <c r="F91" s="108">
        <f t="shared" ca="1" si="28"/>
        <v>0</v>
      </c>
      <c r="G91" s="108">
        <f t="shared" ca="1" si="28"/>
        <v>0</v>
      </c>
      <c r="H91" s="108">
        <f t="shared" ca="1" si="28"/>
        <v>0</v>
      </c>
      <c r="I91" s="108">
        <f t="shared" ca="1" si="21"/>
        <v>0</v>
      </c>
      <c r="J91" s="108">
        <f t="shared" ca="1" si="22"/>
        <v>0</v>
      </c>
      <c r="L91" s="102">
        <f t="shared" si="23"/>
        <v>30</v>
      </c>
      <c r="M91" s="104">
        <f t="shared" ca="1" si="24"/>
        <v>0</v>
      </c>
      <c r="N91" s="104">
        <f t="shared" ca="1" si="25"/>
        <v>0</v>
      </c>
    </row>
    <row r="92" spans="2:14" x14ac:dyDescent="0.25">
      <c r="B92" s="63">
        <f t="shared" si="19"/>
        <v>40</v>
      </c>
      <c r="C92" s="108">
        <f t="shared" ref="C92:H92" ca="1" si="29">IFERROR(FORECAST(C79,OFFSET($L$74:$L$80,MATCH(C79,$M$74:$M$80,1)-1,0,2),OFFSET($M$74,MATCH(C79,$M$74:$M$80,1)-1,0,2))/3,0)</f>
        <v>0</v>
      </c>
      <c r="D92" s="108">
        <f t="shared" ca="1" si="29"/>
        <v>0</v>
      </c>
      <c r="E92" s="108">
        <f t="shared" ca="1" si="29"/>
        <v>0</v>
      </c>
      <c r="F92" s="108">
        <f t="shared" ca="1" si="29"/>
        <v>0</v>
      </c>
      <c r="G92" s="108">
        <f t="shared" ca="1" si="29"/>
        <v>0</v>
      </c>
      <c r="H92" s="108">
        <f t="shared" ca="1" si="29"/>
        <v>0</v>
      </c>
      <c r="I92" s="108">
        <f t="shared" ca="1" si="21"/>
        <v>0</v>
      </c>
      <c r="J92" s="108">
        <f t="shared" ca="1" si="22"/>
        <v>0</v>
      </c>
      <c r="L92" s="102">
        <f t="shared" si="23"/>
        <v>40</v>
      </c>
      <c r="M92" s="104">
        <f t="shared" ca="1" si="24"/>
        <v>0</v>
      </c>
      <c r="N92" s="104">
        <f t="shared" ca="1" si="25"/>
        <v>0</v>
      </c>
    </row>
    <row r="94" spans="2:14" x14ac:dyDescent="0.25">
      <c r="B94" s="364" t="s">
        <v>456</v>
      </c>
      <c r="C94" s="364"/>
      <c r="D94" s="364"/>
      <c r="E94" s="364"/>
      <c r="F94" s="364"/>
      <c r="G94" s="364"/>
      <c r="H94" s="364"/>
      <c r="I94" s="110" t="s">
        <v>206</v>
      </c>
      <c r="J94" s="110">
        <f>'FTS-Initialization'!$O$20</f>
        <v>3.5</v>
      </c>
      <c r="L94" s="91" t="s">
        <v>414</v>
      </c>
    </row>
    <row r="95" spans="2:14" x14ac:dyDescent="0.25">
      <c r="B95" s="63" t="s">
        <v>455</v>
      </c>
      <c r="C95" s="63" t="s">
        <v>457</v>
      </c>
      <c r="D95" s="63" t="s">
        <v>458</v>
      </c>
      <c r="I95" s="63" t="s">
        <v>407</v>
      </c>
      <c r="J95" s="63" t="b">
        <f ca="1">IF(MAX(C96:D101)&lt;=J94,TRUE, FALSE)</f>
        <v>0</v>
      </c>
      <c r="L95" s="91">
        <f ca="1">IF(J95,0,'FTS-Initialization'!$N$91)</f>
        <v>54</v>
      </c>
    </row>
    <row r="96" spans="2:14" x14ac:dyDescent="0.25">
      <c r="B96" s="63">
        <f>B56/2</f>
        <v>0</v>
      </c>
      <c r="C96" s="108">
        <f ca="1">ABS(I87-$B96)</f>
        <v>0</v>
      </c>
      <c r="D96" s="108">
        <f ca="1">ABS(J87-$B96)</f>
        <v>0</v>
      </c>
    </row>
    <row r="97" spans="2:13" x14ac:dyDescent="0.25">
      <c r="B97" s="63">
        <f t="shared" ref="B97:B101" si="30">B57/2</f>
        <v>5</v>
      </c>
      <c r="C97" s="108">
        <f t="shared" ref="C97:D97" ca="1" si="31">ABS(I88-$B97)</f>
        <v>5</v>
      </c>
      <c r="D97" s="108">
        <f t="shared" ca="1" si="31"/>
        <v>5</v>
      </c>
    </row>
    <row r="98" spans="2:13" x14ac:dyDescent="0.25">
      <c r="B98" s="63">
        <f t="shared" si="30"/>
        <v>10</v>
      </c>
      <c r="C98" s="108">
        <f t="shared" ref="C98:D98" ca="1" si="32">ABS(I89-$B98)</f>
        <v>10</v>
      </c>
      <c r="D98" s="108">
        <f t="shared" ca="1" si="32"/>
        <v>10</v>
      </c>
    </row>
    <row r="99" spans="2:13" x14ac:dyDescent="0.25">
      <c r="B99" s="63">
        <f t="shared" si="30"/>
        <v>20</v>
      </c>
      <c r="C99" s="108">
        <f t="shared" ref="C99:D99" ca="1" si="33">ABS(I90-$B99)</f>
        <v>20</v>
      </c>
      <c r="D99" s="108">
        <f t="shared" ca="1" si="33"/>
        <v>20</v>
      </c>
    </row>
    <row r="100" spans="2:13" x14ac:dyDescent="0.25">
      <c r="B100" s="63">
        <f t="shared" si="30"/>
        <v>30</v>
      </c>
      <c r="C100" s="108">
        <f t="shared" ref="C100:D100" ca="1" si="34">ABS(I91-$B100)</f>
        <v>30</v>
      </c>
      <c r="D100" s="108">
        <f t="shared" ca="1" si="34"/>
        <v>30</v>
      </c>
    </row>
    <row r="101" spans="2:13" x14ac:dyDescent="0.25">
      <c r="B101" s="63">
        <f t="shared" si="30"/>
        <v>40</v>
      </c>
      <c r="C101" s="108">
        <f t="shared" ref="C101:D101" ca="1" si="35">ABS(I92-$B101)</f>
        <v>40</v>
      </c>
      <c r="D101" s="108">
        <f t="shared" ca="1" si="35"/>
        <v>40</v>
      </c>
    </row>
    <row r="102" spans="2:13" x14ac:dyDescent="0.25">
      <c r="M102" s="106"/>
    </row>
    <row r="103" spans="2:13" x14ac:dyDescent="0.25">
      <c r="M103" s="102"/>
    </row>
    <row r="104" spans="2:13" x14ac:dyDescent="0.25">
      <c r="B104" s="357"/>
      <c r="C104" s="358"/>
      <c r="D104" s="358"/>
      <c r="E104" s="358"/>
      <c r="F104" s="358"/>
      <c r="G104" s="358"/>
      <c r="H104" s="358"/>
      <c r="I104" s="358"/>
      <c r="J104" s="359"/>
      <c r="M104" s="102"/>
    </row>
    <row r="105" spans="2:13" x14ac:dyDescent="0.25">
      <c r="B105" s="63"/>
      <c r="C105" s="63"/>
      <c r="D105" s="63"/>
      <c r="E105" s="63"/>
      <c r="F105" s="63"/>
      <c r="L105" s="102"/>
      <c r="M105" s="102"/>
    </row>
    <row r="106" spans="2:13" x14ac:dyDescent="0.25">
      <c r="B106" s="63"/>
      <c r="C106" s="63"/>
      <c r="D106" s="63"/>
      <c r="E106" s="63"/>
      <c r="F106" s="63"/>
      <c r="L106" s="102"/>
      <c r="M106" s="102"/>
    </row>
    <row r="107" spans="2:13" x14ac:dyDescent="0.25">
      <c r="B107" s="63"/>
      <c r="C107" s="63"/>
      <c r="D107" s="63"/>
      <c r="E107" s="63"/>
      <c r="F107" s="63"/>
      <c r="L107" s="102"/>
      <c r="M107" s="102"/>
    </row>
    <row r="108" spans="2:13" x14ac:dyDescent="0.25">
      <c r="B108" s="63"/>
      <c r="C108" s="63"/>
      <c r="D108" s="63"/>
      <c r="E108" s="63"/>
      <c r="F108" s="63"/>
      <c r="L108" s="102"/>
      <c r="M108" s="102"/>
    </row>
    <row r="109" spans="2:13" x14ac:dyDescent="0.25">
      <c r="B109" s="63"/>
      <c r="C109" s="63"/>
      <c r="D109" s="63"/>
      <c r="E109" s="63"/>
      <c r="F109" s="63"/>
      <c r="L109" s="102"/>
      <c r="M109" s="102"/>
    </row>
    <row r="110" spans="2:13" x14ac:dyDescent="0.25">
      <c r="B110" s="63"/>
      <c r="C110" s="63"/>
      <c r="D110" s="63"/>
      <c r="E110" s="63"/>
      <c r="F110" s="63"/>
      <c r="L110" s="102"/>
      <c r="M110" s="102"/>
    </row>
    <row r="111" spans="2:13" x14ac:dyDescent="0.25">
      <c r="B111" s="63"/>
      <c r="C111" s="63"/>
      <c r="D111" s="63"/>
      <c r="E111" s="63"/>
      <c r="F111" s="63"/>
      <c r="L111" s="102"/>
      <c r="M111" s="102"/>
    </row>
    <row r="112" spans="2:13" x14ac:dyDescent="0.25">
      <c r="L112" s="102"/>
      <c r="M112" s="102"/>
    </row>
    <row r="113" spans="2:14" x14ac:dyDescent="0.25">
      <c r="B113" s="360"/>
      <c r="C113" s="360"/>
      <c r="D113" s="360"/>
      <c r="E113" s="360"/>
      <c r="F113" s="360"/>
      <c r="G113" s="360"/>
      <c r="H113" s="360"/>
      <c r="I113" s="103"/>
      <c r="J113" s="103"/>
    </row>
    <row r="114" spans="2:14" x14ac:dyDescent="0.25">
      <c r="B114" s="103"/>
      <c r="C114" s="103"/>
      <c r="E114" s="103"/>
      <c r="F114" s="103"/>
      <c r="J114" s="103"/>
      <c r="L114" s="91"/>
    </row>
    <row r="115" spans="2:14" x14ac:dyDescent="0.25">
      <c r="B115" s="103"/>
      <c r="C115" s="103"/>
      <c r="E115" s="103"/>
      <c r="F115" s="103"/>
      <c r="J115" s="103"/>
      <c r="L115" s="91"/>
    </row>
    <row r="117" spans="2:14" x14ac:dyDescent="0.25">
      <c r="B117" s="357"/>
      <c r="C117" s="358"/>
      <c r="D117" s="358"/>
      <c r="E117" s="358"/>
      <c r="F117" s="358"/>
      <c r="G117" s="358"/>
      <c r="H117" s="358"/>
      <c r="I117" s="358"/>
      <c r="J117" s="359"/>
    </row>
    <row r="118" spans="2:14" x14ac:dyDescent="0.25">
      <c r="B118" s="63"/>
      <c r="C118" s="63"/>
      <c r="D118" s="63"/>
      <c r="E118" s="63"/>
      <c r="I118" s="63"/>
      <c r="L118" s="102"/>
      <c r="M118" s="102"/>
      <c r="N118" s="102"/>
    </row>
    <row r="119" spans="2:14" x14ac:dyDescent="0.25">
      <c r="B119" s="63"/>
      <c r="C119" s="63"/>
      <c r="D119" s="63"/>
      <c r="E119" s="63"/>
      <c r="I119" s="63"/>
      <c r="L119" s="102"/>
      <c r="M119" s="104"/>
      <c r="N119" s="104"/>
    </row>
    <row r="120" spans="2:14" x14ac:dyDescent="0.25">
      <c r="B120" s="63"/>
      <c r="C120" s="63"/>
      <c r="D120" s="63"/>
      <c r="E120" s="63"/>
      <c r="I120" s="108"/>
      <c r="L120" s="102"/>
      <c r="M120" s="104"/>
      <c r="N120" s="104"/>
    </row>
    <row r="121" spans="2:14" x14ac:dyDescent="0.25">
      <c r="B121" s="63"/>
      <c r="C121" s="63"/>
      <c r="D121" s="63"/>
      <c r="E121" s="63"/>
      <c r="I121" s="108"/>
      <c r="L121" s="102"/>
      <c r="M121" s="104"/>
      <c r="N121" s="104"/>
    </row>
    <row r="122" spans="2:14" x14ac:dyDescent="0.25">
      <c r="B122" s="63"/>
      <c r="C122" s="63"/>
      <c r="D122" s="63"/>
      <c r="E122" s="63"/>
      <c r="I122" s="108"/>
      <c r="L122" s="102"/>
      <c r="M122" s="104"/>
      <c r="N122" s="104"/>
    </row>
    <row r="123" spans="2:14" x14ac:dyDescent="0.25">
      <c r="B123" s="63"/>
      <c r="C123" s="63"/>
      <c r="D123" s="63"/>
      <c r="E123" s="63"/>
      <c r="I123" s="108"/>
      <c r="L123" s="102"/>
      <c r="M123" s="104"/>
      <c r="N123" s="104"/>
    </row>
    <row r="124" spans="2:14" x14ac:dyDescent="0.25">
      <c r="B124" s="63"/>
      <c r="C124" s="63"/>
      <c r="D124" s="63"/>
      <c r="E124" s="63"/>
      <c r="I124" s="108"/>
      <c r="L124" s="102"/>
      <c r="M124" s="104"/>
      <c r="N124" s="104"/>
    </row>
    <row r="126" spans="2:14" x14ac:dyDescent="0.25">
      <c r="B126" s="364"/>
      <c r="C126" s="364"/>
      <c r="D126" s="364"/>
      <c r="E126" s="364"/>
      <c r="F126" s="364"/>
      <c r="G126" s="364"/>
      <c r="H126" s="364"/>
      <c r="I126" s="110"/>
      <c r="J126" s="110"/>
      <c r="L126" s="91"/>
    </row>
    <row r="127" spans="2:14" x14ac:dyDescent="0.25">
      <c r="B127" s="63"/>
      <c r="C127" s="63"/>
      <c r="D127" s="63"/>
      <c r="I127" s="63"/>
      <c r="J127" s="63"/>
      <c r="L127" s="91"/>
    </row>
    <row r="128" spans="2:14" x14ac:dyDescent="0.25">
      <c r="B128" s="63"/>
      <c r="C128" s="108"/>
      <c r="D128" s="108"/>
    </row>
    <row r="129" spans="2:12" x14ac:dyDescent="0.25">
      <c r="B129" s="63"/>
      <c r="C129" s="108"/>
      <c r="D129" s="108"/>
    </row>
    <row r="130" spans="2:12" x14ac:dyDescent="0.25">
      <c r="B130" s="63"/>
      <c r="C130" s="108"/>
      <c r="D130" s="108"/>
    </row>
    <row r="131" spans="2:12" x14ac:dyDescent="0.25">
      <c r="B131" s="63"/>
      <c r="C131" s="108"/>
      <c r="D131" s="108"/>
    </row>
    <row r="132" spans="2:12" x14ac:dyDescent="0.25">
      <c r="B132" s="63"/>
      <c r="C132" s="108"/>
      <c r="D132" s="108"/>
    </row>
    <row r="133" spans="2:12" x14ac:dyDescent="0.25">
      <c r="B133" s="63"/>
      <c r="C133" s="108"/>
      <c r="D133" s="108"/>
    </row>
    <row r="136" spans="2:12" x14ac:dyDescent="0.25">
      <c r="B136" s="361" t="s">
        <v>415</v>
      </c>
      <c r="C136" s="362"/>
      <c r="D136" s="362"/>
      <c r="E136" s="362"/>
      <c r="F136" s="362"/>
      <c r="G136" s="363"/>
    </row>
    <row r="137" spans="2:12" x14ac:dyDescent="0.25">
      <c r="B137" s="105" t="s">
        <v>416</v>
      </c>
      <c r="C137" s="47">
        <f>IF(L64,L64,IF(L67,L67,IF(L83,L83,IF(L95,L95,0))))</f>
        <v>53</v>
      </c>
      <c r="D137" s="105" t="s">
        <v>199</v>
      </c>
      <c r="E137" s="47">
        <f>E83</f>
        <v>0</v>
      </c>
      <c r="F137" s="105" t="s">
        <v>200</v>
      </c>
      <c r="G137" s="47">
        <f>F83</f>
        <v>0</v>
      </c>
    </row>
    <row r="139" spans="2:12" x14ac:dyDescent="0.25">
      <c r="B139" s="353" t="s">
        <v>454</v>
      </c>
      <c r="C139" s="353"/>
      <c r="D139" s="353"/>
      <c r="E139" s="353"/>
      <c r="F139" s="353"/>
      <c r="G139" s="353"/>
      <c r="H139" s="353"/>
      <c r="I139" s="353"/>
      <c r="J139" s="353"/>
      <c r="K139" s="353"/>
      <c r="L139" s="353"/>
    </row>
    <row r="140" spans="2:12" x14ac:dyDescent="0.25">
      <c r="B140" s="115" t="s">
        <v>455</v>
      </c>
      <c r="C140" s="115" t="s">
        <v>464</v>
      </c>
      <c r="D140" s="115" t="s">
        <v>465</v>
      </c>
      <c r="E140" s="115" t="s">
        <v>466</v>
      </c>
      <c r="F140" s="115" t="s">
        <v>467</v>
      </c>
      <c r="G140" s="115" t="s">
        <v>468</v>
      </c>
      <c r="H140" s="115" t="s">
        <v>469</v>
      </c>
      <c r="I140" s="135" t="s">
        <v>471</v>
      </c>
      <c r="J140" s="135" t="s">
        <v>516</v>
      </c>
      <c r="K140" s="135" t="s">
        <v>472</v>
      </c>
      <c r="L140" s="135" t="s">
        <v>473</v>
      </c>
    </row>
    <row r="141" spans="2:12" x14ac:dyDescent="0.25">
      <c r="B141" s="127">
        <f>B87</f>
        <v>0</v>
      </c>
      <c r="C141" s="127">
        <f t="shared" ref="C141:H141" ca="1" si="36">C87</f>
        <v>0</v>
      </c>
      <c r="D141" s="127">
        <f t="shared" ca="1" si="36"/>
        <v>0</v>
      </c>
      <c r="E141" s="127">
        <f t="shared" ca="1" si="36"/>
        <v>0</v>
      </c>
      <c r="F141" s="127">
        <f t="shared" ca="1" si="36"/>
        <v>0</v>
      </c>
      <c r="G141" s="127">
        <f t="shared" ca="1" si="36"/>
        <v>0</v>
      </c>
      <c r="H141" s="127">
        <f t="shared" ca="1" si="36"/>
        <v>0</v>
      </c>
      <c r="I141" s="118">
        <f ca="1">SUM(C141:E141)</f>
        <v>0</v>
      </c>
      <c r="J141" s="118">
        <f ca="1">SUM(F141:H141)</f>
        <v>0</v>
      </c>
      <c r="K141" s="118">
        <f ca="1">I141-$B141</f>
        <v>0</v>
      </c>
      <c r="L141" s="118">
        <f ca="1">J141-$B141</f>
        <v>0</v>
      </c>
    </row>
    <row r="142" spans="2:12" x14ac:dyDescent="0.25">
      <c r="B142" s="127">
        <f t="shared" ref="B142:H142" si="37">B88</f>
        <v>5</v>
      </c>
      <c r="C142" s="127">
        <f t="shared" ca="1" si="37"/>
        <v>0</v>
      </c>
      <c r="D142" s="127">
        <f t="shared" ca="1" si="37"/>
        <v>0</v>
      </c>
      <c r="E142" s="127">
        <f t="shared" ca="1" si="37"/>
        <v>0</v>
      </c>
      <c r="F142" s="127">
        <f t="shared" ca="1" si="37"/>
        <v>0</v>
      </c>
      <c r="G142" s="127">
        <f t="shared" ca="1" si="37"/>
        <v>0</v>
      </c>
      <c r="H142" s="127">
        <f t="shared" ca="1" si="37"/>
        <v>0</v>
      </c>
      <c r="I142" s="118">
        <f t="shared" ref="I142:I146" ca="1" si="38">SUM(C142:E142)</f>
        <v>0</v>
      </c>
      <c r="J142" s="118">
        <f t="shared" ref="J142:J146" ca="1" si="39">SUM(F142:H142)</f>
        <v>0</v>
      </c>
      <c r="K142" s="118">
        <f t="shared" ref="K142:L146" ca="1" si="40">I142-$B142</f>
        <v>-5</v>
      </c>
      <c r="L142" s="118">
        <f t="shared" ca="1" si="40"/>
        <v>-5</v>
      </c>
    </row>
    <row r="143" spans="2:12" x14ac:dyDescent="0.25">
      <c r="B143" s="127">
        <f t="shared" ref="B143:H143" si="41">B89</f>
        <v>10</v>
      </c>
      <c r="C143" s="127">
        <f t="shared" ca="1" si="41"/>
        <v>0</v>
      </c>
      <c r="D143" s="127">
        <f t="shared" ca="1" si="41"/>
        <v>0</v>
      </c>
      <c r="E143" s="127">
        <f t="shared" ca="1" si="41"/>
        <v>0</v>
      </c>
      <c r="F143" s="127">
        <f t="shared" ca="1" si="41"/>
        <v>0</v>
      </c>
      <c r="G143" s="127">
        <f t="shared" ca="1" si="41"/>
        <v>0</v>
      </c>
      <c r="H143" s="127">
        <f t="shared" ca="1" si="41"/>
        <v>0</v>
      </c>
      <c r="I143" s="118">
        <f t="shared" ca="1" si="38"/>
        <v>0</v>
      </c>
      <c r="J143" s="118">
        <f t="shared" ca="1" si="39"/>
        <v>0</v>
      </c>
      <c r="K143" s="118">
        <f t="shared" ca="1" si="40"/>
        <v>-10</v>
      </c>
      <c r="L143" s="118">
        <f t="shared" ca="1" si="40"/>
        <v>-10</v>
      </c>
    </row>
    <row r="144" spans="2:12" x14ac:dyDescent="0.25">
      <c r="B144" s="127">
        <f t="shared" ref="B144:H144" si="42">B90</f>
        <v>20</v>
      </c>
      <c r="C144" s="127">
        <f t="shared" ca="1" si="42"/>
        <v>0</v>
      </c>
      <c r="D144" s="127">
        <f t="shared" ca="1" si="42"/>
        <v>0</v>
      </c>
      <c r="E144" s="127">
        <f t="shared" ca="1" si="42"/>
        <v>0</v>
      </c>
      <c r="F144" s="127">
        <f t="shared" ca="1" si="42"/>
        <v>0</v>
      </c>
      <c r="G144" s="127">
        <f t="shared" ca="1" si="42"/>
        <v>0</v>
      </c>
      <c r="H144" s="127">
        <f t="shared" ca="1" si="42"/>
        <v>0</v>
      </c>
      <c r="I144" s="118">
        <f t="shared" ca="1" si="38"/>
        <v>0</v>
      </c>
      <c r="J144" s="118">
        <f t="shared" ca="1" si="39"/>
        <v>0</v>
      </c>
      <c r="K144" s="118">
        <f t="shared" ca="1" si="40"/>
        <v>-20</v>
      </c>
      <c r="L144" s="118">
        <f t="shared" ca="1" si="40"/>
        <v>-20</v>
      </c>
    </row>
    <row r="145" spans="2:12" x14ac:dyDescent="0.25">
      <c r="B145" s="127">
        <f t="shared" ref="B145:H145" si="43">B91</f>
        <v>30</v>
      </c>
      <c r="C145" s="127">
        <f t="shared" ca="1" si="43"/>
        <v>0</v>
      </c>
      <c r="D145" s="127">
        <f t="shared" ca="1" si="43"/>
        <v>0</v>
      </c>
      <c r="E145" s="127">
        <f t="shared" ca="1" si="43"/>
        <v>0</v>
      </c>
      <c r="F145" s="127">
        <f t="shared" ca="1" si="43"/>
        <v>0</v>
      </c>
      <c r="G145" s="127">
        <f t="shared" ca="1" si="43"/>
        <v>0</v>
      </c>
      <c r="H145" s="127">
        <f t="shared" ca="1" si="43"/>
        <v>0</v>
      </c>
      <c r="I145" s="118">
        <f t="shared" ca="1" si="38"/>
        <v>0</v>
      </c>
      <c r="J145" s="118">
        <f t="shared" ca="1" si="39"/>
        <v>0</v>
      </c>
      <c r="K145" s="118">
        <f t="shared" ca="1" si="40"/>
        <v>-30</v>
      </c>
      <c r="L145" s="118">
        <f t="shared" ca="1" si="40"/>
        <v>-30</v>
      </c>
    </row>
    <row r="146" spans="2:12" x14ac:dyDescent="0.25">
      <c r="B146" s="127">
        <f t="shared" ref="B146:H146" si="44">B92</f>
        <v>40</v>
      </c>
      <c r="C146" s="127">
        <f t="shared" ca="1" si="44"/>
        <v>0</v>
      </c>
      <c r="D146" s="127">
        <f t="shared" ca="1" si="44"/>
        <v>0</v>
      </c>
      <c r="E146" s="127">
        <f t="shared" ca="1" si="44"/>
        <v>0</v>
      </c>
      <c r="F146" s="127">
        <f t="shared" ca="1" si="44"/>
        <v>0</v>
      </c>
      <c r="G146" s="127">
        <f t="shared" ca="1" si="44"/>
        <v>0</v>
      </c>
      <c r="H146" s="127">
        <f t="shared" ca="1" si="44"/>
        <v>0</v>
      </c>
      <c r="I146" s="118">
        <f t="shared" ca="1" si="38"/>
        <v>0</v>
      </c>
      <c r="J146" s="118">
        <f t="shared" ca="1" si="39"/>
        <v>0</v>
      </c>
      <c r="K146" s="118">
        <f t="shared" ca="1" si="40"/>
        <v>-40</v>
      </c>
      <c r="L146" s="118">
        <f t="shared" ca="1" si="40"/>
        <v>-40</v>
      </c>
    </row>
  </sheetData>
  <mergeCells count="14">
    <mergeCell ref="B139:L139"/>
    <mergeCell ref="B81:H81"/>
    <mergeCell ref="B104:J104"/>
    <mergeCell ref="B113:H113"/>
    <mergeCell ref="B136:G136"/>
    <mergeCell ref="B85:J85"/>
    <mergeCell ref="B94:H94"/>
    <mergeCell ref="B117:J117"/>
    <mergeCell ref="B126:H126"/>
    <mergeCell ref="B63:F63"/>
    <mergeCell ref="B66:F66"/>
    <mergeCell ref="B2:L2"/>
    <mergeCell ref="B49:J49"/>
    <mergeCell ref="B72:J72"/>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186" t="s">
        <v>197</v>
      </c>
      <c r="C3" s="186" t="s">
        <v>297</v>
      </c>
      <c r="D3" s="186" t="s">
        <v>298</v>
      </c>
      <c r="E3" s="186" t="s">
        <v>299</v>
      </c>
      <c r="F3" s="186" t="s">
        <v>586</v>
      </c>
      <c r="G3" s="186" t="s">
        <v>300</v>
      </c>
      <c r="H3" s="186" t="s">
        <v>301</v>
      </c>
      <c r="I3" s="186" t="s">
        <v>302</v>
      </c>
      <c r="J3" s="186" t="s">
        <v>199</v>
      </c>
      <c r="K3" s="186" t="s">
        <v>200</v>
      </c>
      <c r="L3" s="180" t="s">
        <v>182</v>
      </c>
    </row>
    <row r="4" spans="2:32" x14ac:dyDescent="0.25">
      <c r="B4" s="196">
        <v>1013</v>
      </c>
      <c r="C4" s="374">
        <v>5</v>
      </c>
      <c r="D4" s="196">
        <v>9999</v>
      </c>
      <c r="E4" s="375">
        <v>100</v>
      </c>
      <c r="F4" s="197" t="s">
        <v>433</v>
      </c>
      <c r="G4" s="180">
        <f>INDEX('FTS-Initialization'!$W$20:$W$32,MATCH(FLOOR($B$4,1000),'FTS-Initialization'!$V$20:$V$32,0))</f>
        <v>84</v>
      </c>
      <c r="H4" s="180" t="str">
        <f>INDEX('FTS-Initialization'!$X$20:$X$32,MATCH(FLOOR($B$4,1000),'FTS-Initialization'!$V$20:$V$32,0))</f>
        <v>TKA</v>
      </c>
      <c r="I4" s="182">
        <f ca="1">TODAY()</f>
        <v>42506</v>
      </c>
      <c r="J4" s="180">
        <f>'FTS-Initialization'!$AA$29</f>
        <v>100</v>
      </c>
      <c r="K4" s="180">
        <f>'FTS-Initialization'!$AA$29</f>
        <v>100</v>
      </c>
      <c r="L4" s="180"/>
      <c r="N4" t="s">
        <v>463</v>
      </c>
    </row>
    <row r="5" spans="2:32" x14ac:dyDescent="0.25">
      <c r="B5" s="183" t="str">
        <f>DEC2HEX(B4,4)</f>
        <v>03F5</v>
      </c>
      <c r="C5" s="183" t="str">
        <f>DEC2HEX(C4*2,2)</f>
        <v>0A</v>
      </c>
      <c r="D5" s="183" t="str">
        <f>DEC2HEX(D4,8)</f>
        <v>0000270F</v>
      </c>
      <c r="E5" s="183" t="str">
        <f>DEC2HEX(E4,8)</f>
        <v>00000064</v>
      </c>
      <c r="F5" s="184" t="str">
        <f ca="1">DEC2HEX(YEAR($I$4)-2010,2)</f>
        <v>06</v>
      </c>
      <c r="G5" s="183" t="str">
        <f ca="1">DEC2HEX(MONTH($I$4),2)</f>
        <v>05</v>
      </c>
      <c r="H5" s="183" t="str">
        <f ca="1">DEC2HEX(DAY($I$4),2)</f>
        <v>10</v>
      </c>
      <c r="I5" s="183" t="str">
        <f>DEC2HEX('FTS-Initialization'!$AA$31,2)</f>
        <v>00</v>
      </c>
      <c r="J5" s="183" t="str">
        <f t="shared" ref="J5:K5" si="0">DEC2HEX(J4)</f>
        <v>64</v>
      </c>
      <c r="K5" s="183" t="str">
        <f t="shared" si="0"/>
        <v>64</v>
      </c>
      <c r="L5" s="185">
        <v>89</v>
      </c>
      <c r="N5" s="373">
        <v>0</v>
      </c>
      <c r="O5" s="80">
        <v>12</v>
      </c>
      <c r="P5" s="80" t="str">
        <f>MID(DEC2HEX($N$5,8),1,2)</f>
        <v>00</v>
      </c>
      <c r="Q5" s="80" t="str">
        <f>MID(DEC2HEX($N$5,8),3,2)</f>
        <v>00</v>
      </c>
      <c r="R5" s="80" t="str">
        <f>MID(DEC2HEX($N$5,8),5,2)</f>
        <v>00</v>
      </c>
      <c r="S5" s="80" t="str">
        <f>MID(DEC2HEX($N$5,8),7,2)</f>
        <v>00</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00</v>
      </c>
      <c r="S6" s="80" t="str">
        <f>D25</f>
        <v>64</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1200000000A5AAAAAAAAAAAAAAAAAAAAAAAAAAAAAAAAAAAAAAAAAA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120000000000000000001B00000000000000000001382150FFEF00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12000000000000000000F05D01000000060101A510000002020200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12000000000000000000040404040404040021BF88022020A08400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1200000000000000000000062E2F07D3911B2844000A0F000F6C00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12000000000000000000CC5BF817239A47003018166C0360910200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64</v>
      </c>
      <c r="AD15" s="85" t="str">
        <f>RIGHT(INDEX($D$9:$D$47,MATCH('EEPROM-Contents'!AF9,$B$9:$B$47,0)),2)</f>
        <v>89</v>
      </c>
      <c r="AF15" s="82" t="str">
        <f t="shared" si="3"/>
        <v>120000000000000000000E785610EA2A001F410000000000648900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80</v>
      </c>
      <c r="Y16" s="85" t="str">
        <f>RIGHT(INDEX($D$9:$D$47,MATCH('EEPROM-Contents'!AA10,$B$9:$B$47,0)),2)</f>
        <v>00</v>
      </c>
      <c r="Z16" s="85" t="str">
        <f>RIGHT(INDEX($D$9:$D$47,MATCH('EEPROM-Contents'!AB10,$B$9:$B$47,0)),2)</f>
        <v>80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1200000000000000000006051003F50000270F8000800000000000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02</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1200000000000000000000FF646402018906051003F50000270F00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80</v>
      </c>
      <c r="P18" s="85" t="str">
        <f>RIGHT(INDEX($D$9:$D$47,MATCH('EEPROM-Contents'!R12,$B$9:$B$47,0)),2)</f>
        <v>00</v>
      </c>
      <c r="Q18" s="85" t="str">
        <f>RIGHT(INDEX($D$9:$D$47,MATCH('EEPROM-Contents'!S12,$B$9:$B$47,0)),2)</f>
        <v>80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02</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120000000000000000008000800000000000FF6464020289060500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10</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80</v>
      </c>
      <c r="W19" s="85" t="str">
        <f>RIGHT(INDEX($D$9:$D$47,MATCH('EEPROM-Contents'!Y13,$B$9:$B$47,0)),2)</f>
        <v>00</v>
      </c>
      <c r="X19" s="85" t="str">
        <f>RIGHT(INDEX($D$9:$D$47,MATCH('EEPROM-Contents'!Z13,$B$9:$B$47,0)),2)</f>
        <v>80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120000000000000000001003F50000270F8000800000000000FF00</v>
      </c>
    </row>
    <row r="20" spans="2:32" x14ac:dyDescent="0.25">
      <c r="B20" s="86">
        <f>'EEPROM-Contents'!B51</f>
        <v>47</v>
      </c>
      <c r="C20" s="75">
        <f t="shared" si="2"/>
        <v>132</v>
      </c>
      <c r="D20" s="78">
        <f>$G$4</f>
        <v>84</v>
      </c>
      <c r="E20" s="70" t="str">
        <f>'EEPROM-Contents'!E51</f>
        <v>PATBL</v>
      </c>
      <c r="F20" s="71"/>
      <c r="G20" s="74"/>
      <c r="I20" s="187"/>
      <c r="J20" s="191" t="s">
        <v>515</v>
      </c>
      <c r="K20" s="188"/>
      <c r="N20" s="79" t="s">
        <v>353</v>
      </c>
      <c r="O20" s="85" t="str">
        <f>RIGHT(INDEX($D$9:$D$47,MATCH('EEPROM-Contents'!Q14,$B$9:$B$47,0)),2)</f>
        <v>64</v>
      </c>
      <c r="P20" s="85" t="str">
        <f>RIGHT(INDEX($D$9:$D$47,MATCH('EEPROM-Contents'!R14,$B$9:$B$47,0)),2)</f>
        <v>64</v>
      </c>
      <c r="Q20" s="85" t="str">
        <f ca="1">RIGHT(INDEX($D$9:$D$47,MATCH('EEPROM-Contents'!S14,$B$9:$B$47,0)),2)</f>
        <v>02</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80</v>
      </c>
      <c r="AD20" s="85" t="str">
        <f>RIGHT(INDEX($D$9:$D$47,MATCH('EEPROM-Contents'!AF14,$B$9:$B$47,0)),2)</f>
        <v>00</v>
      </c>
      <c r="AF20" s="82" t="str">
        <f t="shared" ca="1" si="3"/>
        <v>12000000000000000000646402038906051003F50000270F800000</v>
      </c>
    </row>
    <row r="21" spans="2:32" x14ac:dyDescent="0.25">
      <c r="B21" s="86">
        <f>'EEPROM-Contents'!B63</f>
        <v>59</v>
      </c>
      <c r="C21" s="75">
        <f t="shared" si="2"/>
        <v>10</v>
      </c>
      <c r="D21" s="78" t="str">
        <f>DEC2HEX(2*$C$4,2)</f>
        <v>0A</v>
      </c>
      <c r="E21" s="70" t="str">
        <f>'EEPROM-Contents'!E63</f>
        <v>CHANNR</v>
      </c>
      <c r="F21" s="71"/>
      <c r="G21" s="74"/>
      <c r="I21" s="95"/>
      <c r="J21" s="95" t="s">
        <v>510</v>
      </c>
      <c r="K21" s="95" t="s">
        <v>511</v>
      </c>
      <c r="N21" s="79" t="s">
        <v>354</v>
      </c>
      <c r="O21" s="85" t="str">
        <f>RIGHT(INDEX($D$9:$D$47,MATCH('EEPROM-Contents'!Q15,$B$9:$B$47,0)),2)</f>
        <v>80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02</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03</v>
      </c>
      <c r="AF21" s="82" t="str">
        <f t="shared" ca="1" si="3"/>
        <v>12000000000000000000800000000000FF64640204890605100300</v>
      </c>
    </row>
    <row r="22" spans="2:32" x14ac:dyDescent="0.25">
      <c r="B22" s="86">
        <f>'EEPROM-Contents'!B95</f>
        <v>91</v>
      </c>
      <c r="C22" s="78">
        <f>HEX2DEC(D22)</f>
        <v>0</v>
      </c>
      <c r="D22" s="78" t="str">
        <f>LEFT(RIGHT($E$5,8),2)</f>
        <v>00</v>
      </c>
      <c r="E22" s="70" t="str">
        <f>'EEPROM-Contents'!L95</f>
        <v>Device ID</v>
      </c>
      <c r="F22" s="71"/>
      <c r="G22" s="74"/>
      <c r="I22" s="95" t="s">
        <v>514</v>
      </c>
      <c r="J22" s="190">
        <v>32768</v>
      </c>
      <c r="K22" s="190">
        <v>32768</v>
      </c>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80</v>
      </c>
      <c r="U22" s="85" t="str">
        <f>RIGHT(INDEX($D$9:$D$47,MATCH('EEPROM-Contents'!W16,$B$9:$B$47,0)),2)</f>
        <v>00</v>
      </c>
      <c r="V22" s="85" t="str">
        <f>RIGHT(INDEX($D$9:$D$47,MATCH('EEPROM-Contents'!X16,$B$9:$B$47,0)),2)</f>
        <v>80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12000000000000000000F50000270F8000800000000000FF646400</v>
      </c>
    </row>
    <row r="23" spans="2:32" x14ac:dyDescent="0.25">
      <c r="B23" s="86">
        <f>'EEPROM-Contents'!B96</f>
        <v>92</v>
      </c>
      <c r="C23" s="78">
        <f t="shared" ref="C23:C46" si="4">HEX2DEC(D23)</f>
        <v>0</v>
      </c>
      <c r="D23" s="78" t="str">
        <f>LEFT(RIGHT($E$5,6),2)</f>
        <v>00</v>
      </c>
      <c r="E23" s="70" t="str">
        <f>'EEPROM-Contents'!L96</f>
        <v>Device ID</v>
      </c>
      <c r="F23" s="71"/>
      <c r="G23" s="74"/>
      <c r="I23" s="95" t="s">
        <v>512</v>
      </c>
      <c r="J23" s="190" t="str">
        <f>LEFT(DEC2HEX(J22,4),2)</f>
        <v>80</v>
      </c>
      <c r="K23" s="190" t="str">
        <f t="shared" ref="K23" si="5">LEFT(DEC2HEX(K22,4),2)</f>
        <v>80</v>
      </c>
      <c r="N23" s="79" t="s">
        <v>356</v>
      </c>
      <c r="O23" s="85" t="str">
        <f ca="1">RIGHT(INDEX($D$9:$D$47,MATCH('EEPROM-Contents'!Q17,$B$9:$B$47,0)),2)</f>
        <v>02</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80</v>
      </c>
      <c r="AB23" s="85" t="str">
        <f>RIGHT(INDEX($D$9:$D$47,MATCH('EEPROM-Contents'!AD17,$B$9:$B$47,0)),2)</f>
        <v>00</v>
      </c>
      <c r="AC23" s="85" t="str">
        <f>RIGHT(INDEX($D$9:$D$47,MATCH('EEPROM-Contents'!AE17,$B$9:$B$47,0)),2)</f>
        <v>80</v>
      </c>
      <c r="AD23" s="85" t="str">
        <f>RIGHT(INDEX($D$9:$D$47,MATCH('EEPROM-Contents'!AF17,$B$9:$B$47,0)),2)</f>
        <v>00</v>
      </c>
      <c r="AF23" s="82" t="str">
        <f t="shared" ca="1" si="3"/>
        <v>1200000000000000000002058906051003F50000270F8000800000</v>
      </c>
    </row>
    <row r="24" spans="2:32" x14ac:dyDescent="0.25">
      <c r="B24" s="86">
        <f>'EEPROM-Contents'!B97</f>
        <v>93</v>
      </c>
      <c r="C24" s="78">
        <f t="shared" si="4"/>
        <v>0</v>
      </c>
      <c r="D24" s="78" t="str">
        <f>LEFT(RIGHT($E$5,4),2)</f>
        <v>00</v>
      </c>
      <c r="E24" s="70" t="str">
        <f>'EEPROM-Contents'!L97</f>
        <v>Device ID</v>
      </c>
      <c r="F24" s="71"/>
      <c r="G24" s="74"/>
      <c r="I24" s="95" t="s">
        <v>513</v>
      </c>
      <c r="J24" s="190" t="str">
        <f>RIGHT(DEC2HEX(J22,4),2)</f>
        <v>00</v>
      </c>
      <c r="K24" s="190" t="str">
        <f t="shared" ref="K24" si="6">RIGHT(DEC2HEX(K22,4),2)</f>
        <v>00</v>
      </c>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02</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03</v>
      </c>
      <c r="AC24" s="85" t="str">
        <f>RIGHT(INDEX($D$9:$D$47,MATCH('EEPROM-Contents'!AE18,$B$9:$B$47,0)),2)</f>
        <v>F5</v>
      </c>
      <c r="AD24" s="85" t="str">
        <f>RIGHT(INDEX($D$9:$D$47,MATCH('EEPROM-Contents'!AF18,$B$9:$B$47,0)),2)</f>
        <v>00</v>
      </c>
      <c r="AF24" s="82" t="str">
        <f t="shared" ca="1" si="3"/>
        <v>1200000000000000000000000000FF646402068906051003F50000</v>
      </c>
    </row>
    <row r="25" spans="2:32" x14ac:dyDescent="0.25">
      <c r="B25" s="86">
        <f>'EEPROM-Contents'!B98</f>
        <v>94</v>
      </c>
      <c r="C25" s="78">
        <f t="shared" si="4"/>
        <v>100</v>
      </c>
      <c r="D25" s="78" t="str">
        <f>LEFT(RIGHT($E$5,2),2)</f>
        <v>64</v>
      </c>
      <c r="E25" s="70" t="str">
        <f>'EEPROM-Contents'!L98</f>
        <v>Device ID</v>
      </c>
      <c r="F25" s="71"/>
      <c r="G25" s="74"/>
      <c r="I25" s="28"/>
      <c r="J25" s="28"/>
      <c r="K25" s="28"/>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80</v>
      </c>
      <c r="S25" s="85" t="str">
        <f>RIGHT(INDEX($D$9:$D$47,MATCH('EEPROM-Contents'!U19,$B$9:$B$47,0)),2)</f>
        <v>00</v>
      </c>
      <c r="T25" s="85" t="str">
        <f>RIGHT(INDEX($D$9:$D$47,MATCH('EEPROM-Contents'!V19,$B$9:$B$47,0)),2)</f>
        <v>80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02</v>
      </c>
      <c r="AD25" s="80" t="str">
        <f>RIGHT(INDEX('EEPROM-Contents'!$K$4:'EEPROM-Contents'!$K$141,MATCH('EEPROM-Contents'!AF19,'EEPROM-Contents'!$I$4:'EEPROM-Contents'!$I$141,0)),2)</f>
        <v>07</v>
      </c>
      <c r="AF25" s="82" t="str">
        <f t="shared" ca="1" si="3"/>
        <v>1200000000000000000000270F8000800000000000FF6464020700</v>
      </c>
    </row>
    <row r="26" spans="2:32" x14ac:dyDescent="0.25">
      <c r="B26" s="86">
        <f>'EEPROM-Contents'!B99</f>
        <v>95</v>
      </c>
      <c r="C26" s="76">
        <f t="shared" si="4"/>
        <v>137</v>
      </c>
      <c r="D26" s="236">
        <f>L5</f>
        <v>89</v>
      </c>
      <c r="E26" s="67" t="str">
        <f>'EEPROM-Contents'!L99</f>
        <v>8X=ASIC 1204, 0X= ASIC 1010</v>
      </c>
      <c r="F26" s="68"/>
      <c r="G26" s="69"/>
      <c r="I26" s="187"/>
      <c r="J26" s="191" t="s">
        <v>570</v>
      </c>
      <c r="K26" s="18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80</v>
      </c>
      <c r="Z26" s="85" t="str">
        <f>RIGHT(INDEX($D$9:$D$47,MATCH('EEPROM-Contents'!AB20,$B$9:$B$47,0)),2)</f>
        <v>00</v>
      </c>
      <c r="AA26" s="85" t="str">
        <f>RIGHT(INDEX($D$9:$D$47,MATCH('EEPROM-Contents'!AC20,$B$9:$B$47,0)),2)</f>
        <v>80</v>
      </c>
      <c r="AB26" s="85" t="str">
        <f>RIGHT(INDEX($D$9:$D$47,MATCH('EEPROM-Contents'!AD20,$B$9:$B$47,0)),2)</f>
        <v>00</v>
      </c>
      <c r="AC26" s="85" t="str">
        <f>RIGHT(INDEX($D$9:$D$47,MATCH('EEPROM-Contents'!AE20,$B$9:$B$47,0)),2)</f>
        <v>00</v>
      </c>
      <c r="AD26" s="85" t="str">
        <f>RIGHT(INDEX($D$9:$D$47,MATCH('EEPROM-Contents'!AF20,$B$9:$B$47,0)),2)</f>
        <v>00</v>
      </c>
      <c r="AF26" s="82" t="str">
        <f t="shared" ca="1" si="3"/>
        <v>120000000000000000008906051003F50000270F80008000000000</v>
      </c>
    </row>
    <row r="27" spans="2:32" x14ac:dyDescent="0.25">
      <c r="B27" s="86">
        <f>'EEPROM-Contents'!B100</f>
        <v>96</v>
      </c>
      <c r="C27" s="76">
        <f t="shared" ca="1" si="4"/>
        <v>6</v>
      </c>
      <c r="D27" s="236" t="str">
        <f ca="1">F5</f>
        <v>06</v>
      </c>
      <c r="E27" s="67" t="str">
        <f>'EEPROM-Contents'!L100</f>
        <v>Year</v>
      </c>
      <c r="F27" s="68"/>
      <c r="G27" s="69"/>
      <c r="I27" s="28"/>
      <c r="J27" s="95" t="s">
        <v>514</v>
      </c>
      <c r="K27" s="190">
        <f>$J$169</f>
        <v>0</v>
      </c>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02</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120000000000000000000000FF646402088906051003F500002700</v>
      </c>
    </row>
    <row r="28" spans="2:32" x14ac:dyDescent="0.25">
      <c r="B28" s="86">
        <f>'EEPROM-Contents'!B101</f>
        <v>97</v>
      </c>
      <c r="C28" s="76">
        <f t="shared" ca="1" si="4"/>
        <v>5</v>
      </c>
      <c r="D28" s="236" t="str">
        <f ca="1">G5</f>
        <v>05</v>
      </c>
      <c r="E28" s="67" t="str">
        <f>'EEPROM-Contents'!L101</f>
        <v>Month</v>
      </c>
      <c r="F28" s="68"/>
      <c r="G28" s="69"/>
      <c r="I28" s="28"/>
      <c r="J28" s="95" t="s">
        <v>512</v>
      </c>
      <c r="K28" s="190" t="str">
        <f>LEFT(DEC2HEX(K27,4),2)</f>
        <v>00</v>
      </c>
      <c r="N28" s="79" t="s">
        <v>361</v>
      </c>
      <c r="O28" s="85" t="str">
        <f>RIGHT(INDEX($D$9:$D$47,MATCH('EEPROM-Contents'!Q22,$B$9:$B$47,0)),2)</f>
        <v>0F</v>
      </c>
      <c r="P28" s="85" t="str">
        <f>RIGHT(INDEX($D$9:$D$47,MATCH('EEPROM-Contents'!R22,$B$9:$B$47,0)),2)</f>
        <v>80</v>
      </c>
      <c r="Q28" s="85" t="str">
        <f>RIGHT(INDEX($D$9:$D$47,MATCH('EEPROM-Contents'!S22,$B$9:$B$47,0)),2)</f>
        <v>00</v>
      </c>
      <c r="R28" s="85" t="str">
        <f>RIGHT(INDEX($D$9:$D$47,MATCH('EEPROM-Contents'!T22,$B$9:$B$47,0)),2)</f>
        <v>80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02</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120000000000000000000F8000800000000000FF64640209890600</v>
      </c>
    </row>
    <row r="29" spans="2:32" x14ac:dyDescent="0.25">
      <c r="B29" s="86">
        <f>'EEPROM-Contents'!B102</f>
        <v>98</v>
      </c>
      <c r="C29" s="76">
        <f t="shared" ca="1" si="4"/>
        <v>16</v>
      </c>
      <c r="D29" s="236" t="str">
        <f ca="1">H5</f>
        <v>10</v>
      </c>
      <c r="E29" s="67" t="str">
        <f>'EEPROM-Contents'!L102</f>
        <v>Day</v>
      </c>
      <c r="F29" s="68"/>
      <c r="G29" s="69"/>
      <c r="I29" s="28"/>
      <c r="J29" s="95" t="s">
        <v>513</v>
      </c>
      <c r="K29" s="190" t="str">
        <f>RIGHT(DEC2HEX(K27,4),2)</f>
        <v>00</v>
      </c>
      <c r="N29" s="79" t="s">
        <v>362</v>
      </c>
      <c r="O29" s="85" t="str">
        <f ca="1">RIGHT(INDEX($D$9:$D$47,MATCH('EEPROM-Contents'!Q23,$B$9:$B$47,0)),2)</f>
        <v>05</v>
      </c>
      <c r="P29" s="85" t="str">
        <f ca="1">RIGHT(INDEX($D$9:$D$47,MATCH('EEPROM-Contents'!R23,$B$9:$B$47,0)),2)</f>
        <v>10</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80</v>
      </c>
      <c r="X29" s="85" t="str">
        <f>RIGHT(INDEX($D$9:$D$47,MATCH('EEPROM-Contents'!Z23,$B$9:$B$47,0)),2)</f>
        <v>00</v>
      </c>
      <c r="Y29" s="85" t="str">
        <f>RIGHT(INDEX($D$9:$D$47,MATCH('EEPROM-Contents'!AA23,$B$9:$B$47,0)),2)</f>
        <v>80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12000000000000000000051003F50000270F800080000000000000</v>
      </c>
    </row>
    <row r="30" spans="2:32" x14ac:dyDescent="0.25">
      <c r="B30" s="86">
        <f>'EEPROM-Contents'!B103</f>
        <v>99</v>
      </c>
      <c r="C30" s="76">
        <f t="shared" si="4"/>
        <v>3</v>
      </c>
      <c r="D30" s="236" t="str">
        <f>LEFT(RIGHT($B$5,4),2)</f>
        <v>03</v>
      </c>
      <c r="E30" s="67" t="str">
        <f>'EEPROM-Contents'!L103</f>
        <v>Device Type</v>
      </c>
      <c r="F30" s="68"/>
      <c r="G30" s="69"/>
      <c r="I30" s="28"/>
      <c r="J30" s="28"/>
      <c r="K30" s="28"/>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02</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80</v>
      </c>
      <c r="AF30" s="82" t="str">
        <f t="shared" ca="1" si="3"/>
        <v>12000000000000000000FF6464020A8906051003F50000270F8000</v>
      </c>
    </row>
    <row r="31" spans="2:32" x14ac:dyDescent="0.25">
      <c r="B31" s="86">
        <f>'EEPROM-Contents'!B104</f>
        <v>100</v>
      </c>
      <c r="C31" s="76">
        <f t="shared" si="4"/>
        <v>245</v>
      </c>
      <c r="D31" s="236" t="str">
        <f>LEFT(RIGHT($B$5,2),2)</f>
        <v>F5</v>
      </c>
      <c r="E31" s="67" t="str">
        <f>'EEPROM-Contents'!L104</f>
        <v>Device Type</v>
      </c>
      <c r="F31" s="68"/>
      <c r="G31" s="69"/>
      <c r="I31" s="28"/>
      <c r="J31" s="191" t="s">
        <v>569</v>
      </c>
      <c r="K31" s="189"/>
      <c r="N31" s="79" t="s">
        <v>364</v>
      </c>
      <c r="O31" s="85" t="str">
        <f>RIGHT(INDEX($D$9:$D$47,MATCH('EEPROM-Contents'!Q25,$B$9:$B$47,0)),2)</f>
        <v>00</v>
      </c>
      <c r="P31" s="85" t="str">
        <f>RIGHT(INDEX($D$9:$D$47,MATCH('EEPROM-Contents'!R25,$B$9:$B$47,0)),2)</f>
        <v>80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02</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10</v>
      </c>
      <c r="AF31" s="82" t="str">
        <f t="shared" ca="1" si="3"/>
        <v>1200000000000000000000800000000000FF6464020B8906051000</v>
      </c>
    </row>
    <row r="32" spans="2:32" x14ac:dyDescent="0.25">
      <c r="B32" s="86">
        <f>'EEPROM-Contents'!B105</f>
        <v>101</v>
      </c>
      <c r="C32" s="76">
        <f t="shared" si="4"/>
        <v>0</v>
      </c>
      <c r="D32" s="236" t="str">
        <f>LEFT(RIGHT($D$5,8),2)</f>
        <v>00</v>
      </c>
      <c r="E32" s="67" t="str">
        <f>'EEPROM-Contents'!L105</f>
        <v>Manufacturer / Lot ID</v>
      </c>
      <c r="F32" s="68"/>
      <c r="G32" s="69"/>
      <c r="I32" s="28"/>
      <c r="J32" s="95" t="s">
        <v>514</v>
      </c>
      <c r="K32" s="190">
        <f>$K$169</f>
        <v>0</v>
      </c>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80</v>
      </c>
      <c r="V32" s="85" t="str">
        <f>RIGHT(INDEX($D$9:$D$47,MATCH('EEPROM-Contents'!X26,$B$9:$B$47,0)),2)</f>
        <v>00</v>
      </c>
      <c r="W32" s="85" t="str">
        <f>RIGHT(INDEX($D$9:$D$47,MATCH('EEPROM-Contents'!Y26,$B$9:$B$47,0)),2)</f>
        <v>80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1200000000000000000003F50000270F8000800000000000FF6400</v>
      </c>
    </row>
    <row r="33" spans="2:32" x14ac:dyDescent="0.25">
      <c r="B33" s="86">
        <f>'EEPROM-Contents'!B106</f>
        <v>102</v>
      </c>
      <c r="C33" s="76">
        <f t="shared" si="4"/>
        <v>0</v>
      </c>
      <c r="D33" s="236" t="str">
        <f>LEFT(RIGHT($D$5,6),2)</f>
        <v>00</v>
      </c>
      <c r="E33" s="67" t="str">
        <f>'EEPROM-Contents'!L106</f>
        <v>Manufacturer / Lot ID</v>
      </c>
      <c r="F33" s="68"/>
      <c r="G33" s="69"/>
      <c r="I33" s="28"/>
      <c r="J33" s="95" t="s">
        <v>512</v>
      </c>
      <c r="K33" s="190" t="str">
        <f>LEFT(DEC2HEX(K32,4),2)</f>
        <v>00</v>
      </c>
      <c r="N33" s="79" t="s">
        <v>366</v>
      </c>
      <c r="O33" s="85" t="str">
        <f>RIGHT(INDEX($D$9:$D$47,MATCH('EEPROM-Contents'!Q27,$B$9:$B$47,0)),2)</f>
        <v>64</v>
      </c>
      <c r="P33" s="85" t="str">
        <f ca="1">RIGHT(INDEX($D$9:$D$47,MATCH('EEPROM-Contents'!R27,$B$9:$B$47,0)),2)</f>
        <v>02</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80</v>
      </c>
      <c r="AC33" s="85" t="str">
        <f>RIGHT(INDEX($D$9:$D$47,MATCH('EEPROM-Contents'!AE27,$B$9:$B$47,0)),2)</f>
        <v>00</v>
      </c>
      <c r="AD33" s="85" t="str">
        <f>RIGHT(INDEX($D$9:$D$47,MATCH('EEPROM-Contents'!AF27,$B$9:$B$47,0)),2)</f>
        <v>80</v>
      </c>
      <c r="AF33" s="82" t="str">
        <f t="shared" ca="1" si="3"/>
        <v>1200000000000000000064020C8906051003F50000270F80008000</v>
      </c>
    </row>
    <row r="34" spans="2:32" x14ac:dyDescent="0.25">
      <c r="B34" s="86">
        <f>'EEPROM-Contents'!B107</f>
        <v>103</v>
      </c>
      <c r="C34" s="76">
        <f t="shared" si="4"/>
        <v>39</v>
      </c>
      <c r="D34" s="236" t="str">
        <f>LEFT(RIGHT($D$5,4),2)</f>
        <v>27</v>
      </c>
      <c r="E34" s="67" t="str">
        <f>'EEPROM-Contents'!L107</f>
        <v>Manufacturer / Lot ID</v>
      </c>
      <c r="F34" s="68"/>
      <c r="G34" s="69"/>
      <c r="I34" s="28"/>
      <c r="J34" s="95" t="s">
        <v>513</v>
      </c>
      <c r="K34" s="190" t="str">
        <f>RIGHT(DEC2HEX(K32,4),2)</f>
        <v>00</v>
      </c>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02</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03</v>
      </c>
      <c r="AD34" s="85" t="str">
        <f>RIGHT(INDEX($D$9:$D$47,MATCH('EEPROM-Contents'!AF28,$B$9:$B$47,0)),2)</f>
        <v>F5</v>
      </c>
      <c r="AF34" s="82" t="str">
        <f t="shared" ca="1" si="3"/>
        <v>120000000000000000000000000000FF6464020D8906051003F500</v>
      </c>
    </row>
    <row r="35" spans="2:32" x14ac:dyDescent="0.25">
      <c r="B35" s="86">
        <f>'EEPROM-Contents'!B108</f>
        <v>104</v>
      </c>
      <c r="C35" s="76">
        <f t="shared" si="4"/>
        <v>15</v>
      </c>
      <c r="D35" s="23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80</v>
      </c>
      <c r="T35" s="85" t="str">
        <f>RIGHT(INDEX($D$9:$D$47,MATCH('EEPROM-Contents'!V29,$B$9:$B$47,0)),2)</f>
        <v>00</v>
      </c>
      <c r="U35" s="85" t="str">
        <f>RIGHT(INDEX($D$9:$D$47,MATCH('EEPROM-Contents'!W29,$B$9:$B$47,0)),2)</f>
        <v>80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02</v>
      </c>
      <c r="AF35" s="82" t="str">
        <f t="shared" ca="1" si="3"/>
        <v>120000000000000000000000270F8000800000000000FF64640200</v>
      </c>
    </row>
    <row r="36" spans="2:32" x14ac:dyDescent="0.25">
      <c r="B36" s="86">
        <f>'EEPROM-Contents'!B109</f>
        <v>105</v>
      </c>
      <c r="C36" s="76">
        <f t="shared" si="4"/>
        <v>128</v>
      </c>
      <c r="D36" s="237" t="str">
        <f>J23</f>
        <v>80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80</v>
      </c>
      <c r="AA36" s="85" t="str">
        <f>RIGHT(INDEX($D$9:$D$47,MATCH('EEPROM-Contents'!AC30,$B$9:$B$47,0)),2)</f>
        <v>00</v>
      </c>
      <c r="AB36" s="85" t="str">
        <f>RIGHT(INDEX($D$9:$D$47,MATCH('EEPROM-Contents'!AD30,$B$9:$B$47,0)),2)</f>
        <v>80</v>
      </c>
      <c r="AC36" s="85" t="str">
        <f>RIGHT(INDEX($D$9:$D$47,MATCH('EEPROM-Contents'!AE30,$B$9:$B$47,0)),2)</f>
        <v>00</v>
      </c>
      <c r="AD36" s="85" t="str">
        <f>RIGHT(INDEX($D$9:$D$47,MATCH('EEPROM-Contents'!AF30,$B$9:$B$47,0)),2)</f>
        <v>00</v>
      </c>
      <c r="AF36" s="82" t="str">
        <f t="shared" ca="1" si="3"/>
        <v>120000000000000000000E8906051003F50000270F800080000000</v>
      </c>
    </row>
    <row r="37" spans="2:32" x14ac:dyDescent="0.25">
      <c r="B37" s="86">
        <f>'EEPROM-Contents'!B110</f>
        <v>106</v>
      </c>
      <c r="C37" s="76">
        <f t="shared" si="4"/>
        <v>0</v>
      </c>
      <c r="D37" s="237" t="str">
        <f>J24</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02</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12000000000000000000000000FF6464020F8906051003F5000000</v>
      </c>
    </row>
    <row r="38" spans="2:32" x14ac:dyDescent="0.25">
      <c r="B38" s="86">
        <f>'EEPROM-Contents'!B111</f>
        <v>107</v>
      </c>
      <c r="C38" s="76">
        <f t="shared" si="4"/>
        <v>128</v>
      </c>
      <c r="D38" s="237" t="str">
        <f>K23</f>
        <v>80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80</v>
      </c>
      <c r="R38" s="85" t="str">
        <f>RIGHT(INDEX($D$9:$D$47,MATCH('EEPROM-Contents'!T32,$B$9:$B$47,0)),2)</f>
        <v>00</v>
      </c>
      <c r="S38" s="85" t="str">
        <f>RIGHT(INDEX($D$9:$D$47,MATCH('EEPROM-Contents'!U32,$B$9:$B$47,0)),2)</f>
        <v>80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02</v>
      </c>
      <c r="AC38" s="80" t="str">
        <f>RIGHT(INDEX('EEPROM-Contents'!$K$4:'EEPROM-Contents'!$K$141,MATCH('EEPROM-Contents'!AE32,'EEPROM-Contents'!$I$4:'EEPROM-Contents'!$I$141,0)),2)</f>
        <v>10</v>
      </c>
      <c r="AD38" s="85" t="str">
        <f>RIGHT(INDEX($D$9:$D$47,MATCH('EEPROM-Contents'!AF32,$B$9:$B$47,0)),2)</f>
        <v>89</v>
      </c>
      <c r="AF38" s="82" t="str">
        <f t="shared" ca="1" si="3"/>
        <v>12000000000000000000270F8000800000000000FF646402108900</v>
      </c>
    </row>
    <row r="39" spans="2:32" x14ac:dyDescent="0.25">
      <c r="B39" s="86">
        <f>'EEPROM-Contents'!B112</f>
        <v>108</v>
      </c>
      <c r="C39" s="76">
        <f t="shared" si="4"/>
        <v>0</v>
      </c>
      <c r="D39" s="237" t="str">
        <f>K24</f>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80</v>
      </c>
      <c r="Y39" s="85" t="str">
        <f>RIGHT(INDEX($D$9:$D$47,MATCH('EEPROM-Contents'!AA33,$B$9:$B$47,0)),2)</f>
        <v>00</v>
      </c>
      <c r="Z39" s="85" t="str">
        <f>RIGHT(INDEX($D$9:$D$47,MATCH('EEPROM-Contents'!AB33,$B$9:$B$47,0)),2)</f>
        <v>80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1200000000000000000006051003F50000270F8000800000000000</v>
      </c>
    </row>
    <row r="40" spans="2:32" x14ac:dyDescent="0.25">
      <c r="B40" s="86">
        <f>'EEPROM-Contents'!B113</f>
        <v>109</v>
      </c>
      <c r="C40" s="76">
        <f t="shared" si="4"/>
        <v>0</v>
      </c>
      <c r="D40" s="237" t="str">
        <f>K33</f>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02</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1200000000000000000000FF646402118906051003F50000270F00</v>
      </c>
    </row>
    <row r="41" spans="2:32" ht="15.75" thickBot="1" x14ac:dyDescent="0.3">
      <c r="B41" s="86">
        <f>'EEPROM-Contents'!B114</f>
        <v>110</v>
      </c>
      <c r="C41" s="76">
        <f t="shared" si="4"/>
        <v>0</v>
      </c>
      <c r="D41" s="237" t="str">
        <f>K34</f>
        <v>00</v>
      </c>
      <c r="E41" s="67" t="str">
        <f>'EEPROM-Contents'!L114</f>
        <v>Accelerometer Cal</v>
      </c>
      <c r="F41" s="68"/>
      <c r="G41" s="69"/>
      <c r="N41" s="79" t="s">
        <v>374</v>
      </c>
      <c r="O41" s="85" t="str">
        <f>RIGHT(INDEX($D$9:$D$47,MATCH('EEPROM-Contents'!Q35,$B$9:$B$47,0)),2)</f>
        <v>80</v>
      </c>
      <c r="P41" s="85" t="str">
        <f>RIGHT(INDEX($D$9:$D$47,MATCH('EEPROM-Contents'!R35,$B$9:$B$47,0)),2)</f>
        <v>00</v>
      </c>
      <c r="Q41" s="85" t="str">
        <f>RIGHT(INDEX($D$9:$D$47,MATCH('EEPROM-Contents'!S35,$B$9:$B$47,0)),2)</f>
        <v>80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02</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120000000000000000008000800000000000FF6464021280000000</v>
      </c>
    </row>
    <row r="42" spans="2:32" x14ac:dyDescent="0.25">
      <c r="B42" s="86">
        <f>'EEPROM-Contents'!B115</f>
        <v>111</v>
      </c>
      <c r="C42" s="76">
        <f t="shared" si="4"/>
        <v>0</v>
      </c>
      <c r="D42" s="237" t="str">
        <f>K28</f>
        <v>00</v>
      </c>
      <c r="E42" s="67" t="str">
        <f>'EEPROM-Contents'!L115</f>
        <v>Voltage H Cal 3.1V</v>
      </c>
      <c r="F42" s="68"/>
      <c r="G42" s="69"/>
    </row>
    <row r="43" spans="2:32" x14ac:dyDescent="0.25">
      <c r="B43" s="86">
        <f>'EEPROM-Contents'!B116</f>
        <v>112</v>
      </c>
      <c r="C43" s="76">
        <f t="shared" si="4"/>
        <v>0</v>
      </c>
      <c r="D43" s="237" t="str">
        <f>K29</f>
        <v>00</v>
      </c>
      <c r="E43" s="67" t="str">
        <f>'EEPROM-Contents'!L116</f>
        <v>Voltage L Cal 3.1V</v>
      </c>
      <c r="F43" s="68"/>
      <c r="G43" s="69"/>
    </row>
    <row r="44" spans="2:32" x14ac:dyDescent="0.25">
      <c r="B44" s="86">
        <f>'EEPROM-Contents'!B117</f>
        <v>113</v>
      </c>
      <c r="C44" s="76">
        <f>HEX2DEC(D44)</f>
        <v>255</v>
      </c>
      <c r="D44" s="236" t="str">
        <f>F4</f>
        <v>FF</v>
      </c>
      <c r="E44" s="67" t="str">
        <f>'EEPROM-Contents'!L117</f>
        <v>Operating Side</v>
      </c>
      <c r="F44" s="68"/>
      <c r="G44" s="69"/>
    </row>
    <row r="45" spans="2:32" x14ac:dyDescent="0.25">
      <c r="B45" s="86">
        <f>'EEPROM-Contents'!B118</f>
        <v>114</v>
      </c>
      <c r="C45" s="76">
        <f t="shared" si="4"/>
        <v>100</v>
      </c>
      <c r="D45" s="236" t="str">
        <f>J5</f>
        <v>64</v>
      </c>
      <c r="E45" s="67" t="str">
        <f>'EEPROM-Contents'!L118</f>
        <v>Cal Factor for CondyleA</v>
      </c>
      <c r="F45" s="68"/>
      <c r="G45" s="69"/>
    </row>
    <row r="46" spans="2:32" x14ac:dyDescent="0.25">
      <c r="B46" s="86">
        <f>'EEPROM-Contents'!B119</f>
        <v>115</v>
      </c>
      <c r="C46" s="76">
        <f t="shared" si="4"/>
        <v>100</v>
      </c>
      <c r="D46" s="236" t="str">
        <f>K5</f>
        <v>64</v>
      </c>
      <c r="E46" s="67" t="str">
        <f>'EEPROM-Contents'!L119</f>
        <v>Cal Factor for CondyleB</v>
      </c>
      <c r="F46" s="68"/>
      <c r="G46" s="69"/>
    </row>
    <row r="47" spans="2:32" x14ac:dyDescent="0.25">
      <c r="B47" s="86">
        <f>'EEPROM-Contents'!B120</f>
        <v>116</v>
      </c>
      <c r="C47" s="76">
        <f ca="1">255-HEX2DEC(RIGHT(DEC2HEX(SUM(C22:C46)),2))</f>
        <v>2</v>
      </c>
      <c r="D47" s="236" t="str">
        <f ca="1">DEC2HEX($C$47,2)</f>
        <v>02</v>
      </c>
      <c r="E47" s="67" t="str">
        <f>'EEPROM-Contents'!L120</f>
        <v>Checksum</v>
      </c>
      <c r="F47" s="68"/>
      <c r="G47" s="69"/>
    </row>
  </sheetData>
  <mergeCells count="1">
    <mergeCell ref="B2:L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52" t="s">
        <v>296</v>
      </c>
      <c r="C2" s="352"/>
      <c r="D2" s="352"/>
      <c r="E2" s="352"/>
      <c r="F2" s="352"/>
      <c r="G2" s="352"/>
      <c r="H2" s="352"/>
      <c r="I2" s="352"/>
      <c r="J2" s="352"/>
      <c r="K2" s="352"/>
      <c r="L2" s="352"/>
    </row>
    <row r="3" spans="2:32" x14ac:dyDescent="0.25">
      <c r="B3" s="62" t="s">
        <v>197</v>
      </c>
      <c r="C3" s="62" t="s">
        <v>297</v>
      </c>
      <c r="D3" s="62" t="s">
        <v>298</v>
      </c>
      <c r="E3" s="62" t="s">
        <v>299</v>
      </c>
      <c r="F3" s="62" t="s">
        <v>586</v>
      </c>
      <c r="G3" s="62" t="s">
        <v>300</v>
      </c>
      <c r="H3" s="62" t="s">
        <v>301</v>
      </c>
      <c r="I3" s="62" t="s">
        <v>302</v>
      </c>
      <c r="J3" s="62" t="s">
        <v>199</v>
      </c>
      <c r="K3" s="62" t="s">
        <v>200</v>
      </c>
      <c r="L3" s="26" t="s">
        <v>182</v>
      </c>
    </row>
    <row r="4" spans="2:32" x14ac:dyDescent="0.25">
      <c r="B4" s="180">
        <f>'1204-Initial'!B4</f>
        <v>1013</v>
      </c>
      <c r="C4" s="180">
        <f>'1204-Initial'!C4</f>
        <v>5</v>
      </c>
      <c r="D4" s="180">
        <f>'1204-Initial'!D4</f>
        <v>9999</v>
      </c>
      <c r="E4" s="181">
        <f>'1204-Initial'!E4</f>
        <v>100</v>
      </c>
      <c r="F4" s="194" t="str">
        <f>'1204-Initial'!F4</f>
        <v>FF</v>
      </c>
      <c r="G4" s="180">
        <f>INDEX('FTS-Initialization'!$W$20:$W$32,MATCH(FLOOR($B$4,1000),'FTS-Initialization'!$V$20:$V$32,0))</f>
        <v>84</v>
      </c>
      <c r="H4" s="180" t="str">
        <f>INDEX('FTS-Initialization'!$X$20:$X$32,MATCH(FLOOR($B$4,1000),'FTS-Initialization'!$V$20:$V$32,0))</f>
        <v>TKA</v>
      </c>
      <c r="I4" s="182">
        <f ca="1">TODAY()</f>
        <v>42506</v>
      </c>
      <c r="J4" s="180">
        <f>'FTS-Initialization'!$AA$29</f>
        <v>100</v>
      </c>
      <c r="K4" s="180">
        <f>'FTS-Initialization'!$AA$29</f>
        <v>100</v>
      </c>
      <c r="L4" s="180"/>
      <c r="N4" t="s">
        <v>463</v>
      </c>
    </row>
    <row r="5" spans="2:32" x14ac:dyDescent="0.25">
      <c r="B5" s="183" t="str">
        <f>DEC2HEX(B4,4)</f>
        <v>03F5</v>
      </c>
      <c r="C5" s="183" t="str">
        <f>DEC2HEX(C4*2,2)</f>
        <v>0A</v>
      </c>
      <c r="D5" s="183" t="str">
        <f>DEC2HEX(D4,8)</f>
        <v>0000270F</v>
      </c>
      <c r="E5" s="183" t="str">
        <f>DEC2HEX(E4,8)</f>
        <v>00000064</v>
      </c>
      <c r="F5" s="184" t="str">
        <f ca="1">DEC2HEX(YEAR($I$4)-2010,2)</f>
        <v>06</v>
      </c>
      <c r="G5" s="183" t="str">
        <f ca="1">DEC2HEX(MONTH($I$4),2)</f>
        <v>05</v>
      </c>
      <c r="H5" s="183" t="str">
        <f ca="1">DEC2HEX(DAY($I$4),2)</f>
        <v>10</v>
      </c>
      <c r="I5" s="183" t="str">
        <f>DEC2HEX('FTS-Initialization'!$AA$31,2)</f>
        <v>00</v>
      </c>
      <c r="J5" s="183" t="str">
        <f t="shared" ref="J5:K5" si="0">DEC2HEX(J4)</f>
        <v>64</v>
      </c>
      <c r="K5" s="183" t="str">
        <f t="shared" si="0"/>
        <v>64</v>
      </c>
      <c r="L5" s="183">
        <f>'1204-Initial'!L5</f>
        <v>89</v>
      </c>
      <c r="N5" s="79">
        <v>13466634</v>
      </c>
      <c r="O5" s="80">
        <v>12</v>
      </c>
      <c r="P5" s="80" t="str">
        <f>MID(DEC2HEX($N$5,8),1,2)</f>
        <v>00</v>
      </c>
      <c r="Q5" s="80" t="str">
        <f>MID(DEC2HEX($N$5,8),3,2)</f>
        <v>CD</v>
      </c>
      <c r="R5" s="80" t="str">
        <f>MID(DEC2HEX($N$5,8),5,2)</f>
        <v>7C</v>
      </c>
      <c r="S5" s="80" t="str">
        <f>MID(DEC2HEX($N$5,8),7,2)</f>
        <v>0A</v>
      </c>
      <c r="T5" s="124" t="s">
        <v>459</v>
      </c>
      <c r="U5" s="124" t="s">
        <v>459</v>
      </c>
      <c r="V5" s="124" t="s">
        <v>459</v>
      </c>
      <c r="W5" s="124" t="s">
        <v>459</v>
      </c>
      <c r="X5" s="124" t="s">
        <v>459</v>
      </c>
    </row>
    <row r="6" spans="2:32" x14ac:dyDescent="0.25">
      <c r="B6" s="62" t="str">
        <f>B3</f>
        <v>DevType</v>
      </c>
      <c r="C6" s="62" t="str">
        <f t="shared" ref="C6:E6" si="1">C3</f>
        <v>Channel</v>
      </c>
      <c r="D6" s="62" t="str">
        <f t="shared" si="1"/>
        <v>Lot #</v>
      </c>
      <c r="E6" s="62" t="str">
        <f t="shared" si="1"/>
        <v>Serial #</v>
      </c>
      <c r="F6" s="62" t="s">
        <v>185</v>
      </c>
      <c r="G6" s="62" t="s">
        <v>183</v>
      </c>
      <c r="H6" s="62" t="s">
        <v>184</v>
      </c>
      <c r="I6" s="62" t="s">
        <v>324</v>
      </c>
      <c r="J6" s="62" t="s">
        <v>199</v>
      </c>
      <c r="K6" s="62" t="s">
        <v>200</v>
      </c>
      <c r="L6" s="26" t="s">
        <v>323</v>
      </c>
      <c r="N6" s="79" t="s">
        <v>18</v>
      </c>
      <c r="O6" s="80">
        <v>12</v>
      </c>
      <c r="P6" s="80" t="str">
        <f>D22</f>
        <v>00</v>
      </c>
      <c r="Q6" s="80" t="str">
        <f>D23</f>
        <v>00</v>
      </c>
      <c r="R6" s="80" t="str">
        <f>D24</f>
        <v>00</v>
      </c>
      <c r="S6" s="80" t="str">
        <f>D25</f>
        <v>64</v>
      </c>
      <c r="T6" s="80" t="s">
        <v>459</v>
      </c>
      <c r="U6" s="80" t="s">
        <v>459</v>
      </c>
      <c r="V6" s="80" t="s">
        <v>459</v>
      </c>
      <c r="W6" s="80" t="s">
        <v>459</v>
      </c>
      <c r="X6" s="80" t="s">
        <v>459</v>
      </c>
    </row>
    <row r="8" spans="2:32" ht="15.75" thickBot="1" x14ac:dyDescent="0.3">
      <c r="B8" t="s">
        <v>417</v>
      </c>
      <c r="N8" t="s">
        <v>402</v>
      </c>
      <c r="AF8" t="s">
        <v>403</v>
      </c>
    </row>
    <row r="9" spans="2:32" x14ac:dyDescent="0.25">
      <c r="B9" s="86">
        <f>'EEPROM-Contents'!B33</f>
        <v>29</v>
      </c>
      <c r="C9" s="75">
        <f t="shared" ref="C9:C21" ca="1" si="2">HEX2DEC(D9)</f>
        <v>2</v>
      </c>
      <c r="D9" s="78" t="str">
        <f ca="1">DEC2HEX(OFFSET('FTS-Initialization'!AC37,0,MATCH(H4,'FTS-Initialization'!$AD$36:$AE$36,0)),2)</f>
        <v>02</v>
      </c>
      <c r="E9" s="70" t="str">
        <f>'EEPROM-Contents'!L33</f>
        <v>SEN(0) X</v>
      </c>
      <c r="F9" s="71"/>
      <c r="G9" s="74"/>
      <c r="N9" s="79" t="s">
        <v>326</v>
      </c>
      <c r="O9" s="79" t="s">
        <v>327</v>
      </c>
      <c r="P9" s="79" t="s">
        <v>328</v>
      </c>
      <c r="Q9" s="79" t="s">
        <v>329</v>
      </c>
      <c r="R9" s="79" t="s">
        <v>330</v>
      </c>
      <c r="S9" s="79" t="s">
        <v>331</v>
      </c>
      <c r="T9" s="79" t="s">
        <v>332</v>
      </c>
      <c r="U9" s="79" t="s">
        <v>333</v>
      </c>
      <c r="V9" s="79" t="s">
        <v>334</v>
      </c>
      <c r="W9" s="79" t="s">
        <v>335</v>
      </c>
      <c r="X9" s="79" t="s">
        <v>336</v>
      </c>
      <c r="Y9" s="79" t="s">
        <v>337</v>
      </c>
      <c r="Z9" s="79" t="s">
        <v>338</v>
      </c>
      <c r="AA9" s="79" t="s">
        <v>339</v>
      </c>
      <c r="AB9" s="79" t="s">
        <v>340</v>
      </c>
      <c r="AC9" s="79" t="s">
        <v>341</v>
      </c>
      <c r="AD9" s="79" t="s">
        <v>342</v>
      </c>
      <c r="AF9" s="81" t="str">
        <f>CONCATENATE($O$5,$P$5,$Q$5,$R$5,$S$5,"A5AAAAAAAAAAAAAAAAAAAAAAAAAAAAAAAAAAAAAAAAAA")</f>
        <v>1200CD7C0AA5AAAAAAAAAAAAAAAAAAAAAAAAAAAAAAAAAAAAAAAAAA</v>
      </c>
    </row>
    <row r="10" spans="2:32" x14ac:dyDescent="0.25">
      <c r="B10" s="86">
        <f>'EEPROM-Contents'!B34</f>
        <v>30</v>
      </c>
      <c r="C10" s="75">
        <f t="shared" ca="1" si="2"/>
        <v>2</v>
      </c>
      <c r="D10" s="78" t="str">
        <f ca="1">DEC2HEX(OFFSET('FTS-Initialization'!AC38,0,MATCH($H$4,'FTS-Initialization'!$AD$36:$AE$36,0)),2)</f>
        <v>02</v>
      </c>
      <c r="E10" s="70" t="str">
        <f>'EEPROM-Contents'!L34</f>
        <v>SEN(1) Y</v>
      </c>
      <c r="F10" s="71"/>
      <c r="G10" s="74"/>
      <c r="N10" s="79" t="s">
        <v>327</v>
      </c>
      <c r="O10" s="80" t="str">
        <f>RIGHT(INDEX('EEPROM-Contents'!$K$4:'EEPROM-Contents'!$K$141,MATCH('EEPROM-Contents'!Q4,'EEPROM-Contents'!$I$4:'EEPROM-Contents'!$I$141,0)),2)</f>
        <v>1B</v>
      </c>
      <c r="P10" s="80" t="str">
        <f>RIGHT(INDEX('EEPROM-Contents'!$K$4:'EEPROM-Contents'!$K$141,MATCH('EEPROM-Contents'!R4,'EEPROM-Contents'!$I$4:'EEPROM-Contents'!$I$141,0)),2)</f>
        <v>00</v>
      </c>
      <c r="Q10" s="80" t="str">
        <f>RIGHT(INDEX('EEPROM-Contents'!$K$4:'EEPROM-Contents'!$K$141,MATCH('EEPROM-Contents'!S4,'EEPROM-Contents'!$I$4:'EEPROM-Contents'!$I$141,0)),2)</f>
        <v>00</v>
      </c>
      <c r="R10" s="80" t="str">
        <f>RIGHT(INDEX('EEPROM-Contents'!$K$4:'EEPROM-Contents'!$K$141,MATCH('EEPROM-Contents'!T4,'EEPROM-Contents'!$I$4:'EEPROM-Contents'!$I$141,0)),2)</f>
        <v>00</v>
      </c>
      <c r="S10" s="80" t="str">
        <f>RIGHT(INDEX('EEPROM-Contents'!$K$4:'EEPROM-Contents'!$K$141,MATCH('EEPROM-Contents'!U4,'EEPROM-Contents'!$I$4:'EEPROM-Contents'!$I$141,0)),2)</f>
        <v>00</v>
      </c>
      <c r="T10" s="80" t="str">
        <f>RIGHT(INDEX('EEPROM-Contents'!$K$4:'EEPROM-Contents'!$K$141,MATCH('EEPROM-Contents'!V4,'EEPROM-Contents'!$I$4:'EEPROM-Contents'!$I$141,0)),2)</f>
        <v>00</v>
      </c>
      <c r="U10" s="80" t="str">
        <f>RIGHT(INDEX('EEPROM-Contents'!$K$4:'EEPROM-Contents'!$K$141,MATCH('EEPROM-Contents'!W4,'EEPROM-Contents'!$I$4:'EEPROM-Contents'!$I$141,0)),2)</f>
        <v>00</v>
      </c>
      <c r="V10" s="80" t="str">
        <f>RIGHT(INDEX('EEPROM-Contents'!$K$4:'EEPROM-Contents'!$K$141,MATCH('EEPROM-Contents'!X4,'EEPROM-Contents'!$I$4:'EEPROM-Contents'!$I$141,0)),2)</f>
        <v>00</v>
      </c>
      <c r="W10" s="80" t="str">
        <f>RIGHT(INDEX('EEPROM-Contents'!$K$4:'EEPROM-Contents'!$K$141,MATCH('EEPROM-Contents'!Y4,'EEPROM-Contents'!$I$4:'EEPROM-Contents'!$I$141,0)),2)</f>
        <v>00</v>
      </c>
      <c r="X10" s="80" t="str">
        <f>RIGHT(INDEX('EEPROM-Contents'!$K$4:'EEPROM-Contents'!$K$141,MATCH('EEPROM-Contents'!Z4,'EEPROM-Contents'!$I$4:'EEPROM-Contents'!$I$141,0)),2)</f>
        <v>00</v>
      </c>
      <c r="Y10" s="80" t="str">
        <f>RIGHT(INDEX('EEPROM-Contents'!$K$4:'EEPROM-Contents'!$K$141,MATCH('EEPROM-Contents'!AA4,'EEPROM-Contents'!$I$4:'EEPROM-Contents'!$I$141,0)),2)</f>
        <v>01</v>
      </c>
      <c r="Z10" s="80" t="str">
        <f>RIGHT(INDEX('EEPROM-Contents'!$K$4:'EEPROM-Contents'!$K$141,MATCH('EEPROM-Contents'!AB4,'EEPROM-Contents'!$I$4:'EEPROM-Contents'!$I$141,0)),2)</f>
        <v>38</v>
      </c>
      <c r="AA10" s="80" t="str">
        <f>RIGHT(INDEX('EEPROM-Contents'!$K$4:'EEPROM-Contents'!$K$141,MATCH('EEPROM-Contents'!AC4,'EEPROM-Contents'!$I$4:'EEPROM-Contents'!$I$141,0)),2)</f>
        <v>21</v>
      </c>
      <c r="AB10" s="80" t="str">
        <f>RIGHT(INDEX('EEPROM-Contents'!$K$4:'EEPROM-Contents'!$K$141,MATCH('EEPROM-Contents'!AD4,'EEPROM-Contents'!$I$4:'EEPROM-Contents'!$I$141,0)),2)</f>
        <v>50</v>
      </c>
      <c r="AC10" s="80" t="str">
        <f>RIGHT(INDEX('EEPROM-Contents'!$K$4:'EEPROM-Contents'!$K$141,MATCH('EEPROM-Contents'!AE4,'EEPROM-Contents'!$I$4:'EEPROM-Contents'!$I$141,0)),2)</f>
        <v>FF</v>
      </c>
      <c r="AD10" s="80" t="str">
        <f>RIGHT(INDEX('EEPROM-Contents'!$K$4:'EEPROM-Contents'!$K$141,MATCH('EEPROM-Contents'!AF4,'EEPROM-Contents'!$I$4:'EEPROM-Contents'!$I$141,0)),2)</f>
        <v>EF</v>
      </c>
      <c r="AF10" s="82" t="str">
        <f>CONCATENATE($O$5,$P$5,$Q$5,$R$5,$S$5,$T$5,$U$5,$V$5,$W$5,$X$5,O10,P10,Q10,R10,S10,T10,U10,V10,W10,X10,Y10,Z10,AA10,AB10,AC10,AD10,"00")</f>
        <v>1200CD7C0A00000000001B00000000000000000001382150FFEF00</v>
      </c>
    </row>
    <row r="11" spans="2:32" x14ac:dyDescent="0.25">
      <c r="B11" s="86">
        <f>'EEPROM-Contents'!B35</f>
        <v>31</v>
      </c>
      <c r="C11" s="75">
        <f t="shared" ca="1" si="2"/>
        <v>2</v>
      </c>
      <c r="D11" s="78" t="str">
        <f ca="1">DEC2HEX(OFFSET('FTS-Initialization'!AC39,0,MATCH($H$4,'FTS-Initialization'!$AD$36:$AE$36,0)),2)</f>
        <v>02</v>
      </c>
      <c r="E11" s="70" t="str">
        <f>'EEPROM-Contents'!L35</f>
        <v>SEN(2) Z</v>
      </c>
      <c r="F11" s="71"/>
      <c r="G11" s="74"/>
      <c r="N11" s="79" t="s">
        <v>343</v>
      </c>
      <c r="O11" s="80" t="str">
        <f>RIGHT(INDEX('EEPROM-Contents'!$K$4:'EEPROM-Contents'!$K$141,MATCH('EEPROM-Contents'!Q5,'EEPROM-Contents'!$I$4:'EEPROM-Contents'!$I$141,0)),2)</f>
        <v>F0</v>
      </c>
      <c r="P11" s="80" t="str">
        <f>RIGHT(INDEX('EEPROM-Contents'!$K$4:'EEPROM-Contents'!$K$141,MATCH('EEPROM-Contents'!R5,'EEPROM-Contents'!$I$4:'EEPROM-Contents'!$I$141,0)),2)</f>
        <v>5D</v>
      </c>
      <c r="Q11" s="80" t="str">
        <f>RIGHT(INDEX('EEPROM-Contents'!$K$4:'EEPROM-Contents'!$K$141,MATCH('EEPROM-Contents'!S5,'EEPROM-Contents'!$I$4:'EEPROM-Contents'!$I$141,0)),2)</f>
        <v>01</v>
      </c>
      <c r="R11" s="80" t="str">
        <f>RIGHT(INDEX('EEPROM-Contents'!$K$4:'EEPROM-Contents'!$K$141,MATCH('EEPROM-Contents'!T5,'EEPROM-Contents'!$I$4:'EEPROM-Contents'!$I$141,0)),2)</f>
        <v>00</v>
      </c>
      <c r="S11" s="80" t="str">
        <f>RIGHT(INDEX('EEPROM-Contents'!$K$4:'EEPROM-Contents'!$K$141,MATCH('EEPROM-Contents'!U5,'EEPROM-Contents'!$I$4:'EEPROM-Contents'!$I$141,0)),2)</f>
        <v>00</v>
      </c>
      <c r="T11" s="80" t="str">
        <f>RIGHT(INDEX('EEPROM-Contents'!$K$4:'EEPROM-Contents'!$K$141,MATCH('EEPROM-Contents'!V5,'EEPROM-Contents'!$I$4:'EEPROM-Contents'!$I$141,0)),2)</f>
        <v>00</v>
      </c>
      <c r="U11" s="80" t="str">
        <f>RIGHT(INDEX('EEPROM-Contents'!$K$4:'EEPROM-Contents'!$K$141,MATCH('EEPROM-Contents'!W5,'EEPROM-Contents'!$I$4:'EEPROM-Contents'!$I$141,0)),2)</f>
        <v>06</v>
      </c>
      <c r="V11" s="80" t="str">
        <f>RIGHT(INDEX('EEPROM-Contents'!$K$4:'EEPROM-Contents'!$K$141,MATCH('EEPROM-Contents'!X5,'EEPROM-Contents'!$I$4:'EEPROM-Contents'!$I$141,0)),2)</f>
        <v>01</v>
      </c>
      <c r="W11" s="80" t="str">
        <f>RIGHT(INDEX('EEPROM-Contents'!$K$4:'EEPROM-Contents'!$K$141,MATCH('EEPROM-Contents'!Y5,'EEPROM-Contents'!$I$4:'EEPROM-Contents'!$I$141,0)),2)</f>
        <v>01</v>
      </c>
      <c r="X11" s="80" t="str">
        <f>RIGHT(INDEX('EEPROM-Contents'!$K$4:'EEPROM-Contents'!$K$141,MATCH('EEPROM-Contents'!Z5,'EEPROM-Contents'!$I$4:'EEPROM-Contents'!$I$141,0)),2)</f>
        <v>A5</v>
      </c>
      <c r="Y11" s="80" t="str">
        <f>RIGHT(INDEX('EEPROM-Contents'!$K$4:'EEPROM-Contents'!$K$141,MATCH('EEPROM-Contents'!AA5,'EEPROM-Contents'!$I$4:'EEPROM-Contents'!$I$141,0)),2)</f>
        <v>10</v>
      </c>
      <c r="Z11" s="80" t="str">
        <f>RIGHT(INDEX('EEPROM-Contents'!$K$4:'EEPROM-Contents'!$K$141,MATCH('EEPROM-Contents'!AB5,'EEPROM-Contents'!$I$4:'EEPROM-Contents'!$I$141,0)),2)</f>
        <v>00</v>
      </c>
      <c r="AA11" s="80" t="str">
        <f>RIGHT(INDEX('EEPROM-Contents'!$K$4:'EEPROM-Contents'!$K$141,MATCH('EEPROM-Contents'!AC5,'EEPROM-Contents'!$I$4:'EEPROM-Contents'!$I$141,0)),2)</f>
        <v>00</v>
      </c>
      <c r="AB11" s="85" t="str">
        <f ca="1">RIGHT(INDEX($D$9:$D$47,MATCH('EEPROM-Contents'!AD5,$B$9:$B$47,0)),2)</f>
        <v>02</v>
      </c>
      <c r="AC11" s="85" t="str">
        <f ca="1">RIGHT(INDEX($D$9:$D$47,MATCH('EEPROM-Contents'!AE5,$B$9:$B$47,0)),2)</f>
        <v>02</v>
      </c>
      <c r="AD11" s="85" t="str">
        <f ca="1">RIGHT(INDEX($D$9:$D$47,MATCH('EEPROM-Contents'!AF5,$B$9:$B$47,0)),2)</f>
        <v>02</v>
      </c>
      <c r="AF11" s="82" t="str">
        <f t="shared" ref="AF11:AF41" ca="1" si="3">CONCATENATE($O$5,$P$5,$Q$5,$R$5,$S$5,$T$5,$U$5,$V$5,$W$5,$X$5,O11,P11,Q11,R11,S11,T11,U11,V11,W11,X11,Y11,Z11,AA11,AB11,AC11,AD11,"00")</f>
        <v>1200CD7C0A0000000000F05D01000000060101A510000002020200</v>
      </c>
    </row>
    <row r="12" spans="2:32" x14ac:dyDescent="0.25">
      <c r="B12" s="86">
        <f>'EEPROM-Contents'!B36</f>
        <v>32</v>
      </c>
      <c r="C12" s="75">
        <f t="shared" ca="1" si="2"/>
        <v>4</v>
      </c>
      <c r="D12" s="78" t="str">
        <f ca="1">DEC2HEX(OFFSET('FTS-Initialization'!AC40,0,MATCH($H$4,'FTS-Initialization'!$AD$36:$AE$36,0)),2)</f>
        <v>04</v>
      </c>
      <c r="E12" s="70" t="str">
        <f>'EEPROM-Contents'!L36</f>
        <v>SEN(3) SP6B</v>
      </c>
      <c r="F12" s="71"/>
      <c r="G12" s="74"/>
      <c r="N12" s="79" t="s">
        <v>344</v>
      </c>
      <c r="O12" s="85" t="str">
        <f ca="1">RIGHT(INDEX($D$9:$D$47,MATCH('EEPROM-Contents'!Q6,$B$9:$B$47,0)),2)</f>
        <v>04</v>
      </c>
      <c r="P12" s="85" t="str">
        <f ca="1">RIGHT(INDEX($D$9:$D$47,MATCH('EEPROM-Contents'!R6,$B$9:$B$47,0)),2)</f>
        <v>04</v>
      </c>
      <c r="Q12" s="85" t="str">
        <f ca="1">RIGHT(INDEX($D$9:$D$47,MATCH('EEPROM-Contents'!S6,$B$9:$B$47,0)),2)</f>
        <v>04</v>
      </c>
      <c r="R12" s="85" t="str">
        <f ca="1">RIGHT(INDEX($D$9:$D$47,MATCH('EEPROM-Contents'!T6,$B$9:$B$47,0)),2)</f>
        <v>04</v>
      </c>
      <c r="S12" s="85" t="str">
        <f ca="1">RIGHT(INDEX($D$9:$D$47,MATCH('EEPROM-Contents'!U6,$B$9:$B$47,0)),2)</f>
        <v>04</v>
      </c>
      <c r="T12" s="85" t="str">
        <f ca="1">RIGHT(INDEX($D$9:$D$47,MATCH('EEPROM-Contents'!V6,$B$9:$B$47,0)),2)</f>
        <v>04</v>
      </c>
      <c r="U12" s="85" t="str">
        <f ca="1">RIGHT(INDEX($D$9:$D$47,MATCH('EEPROM-Contents'!W6,$B$9:$B$47,0)),2)</f>
        <v>04</v>
      </c>
      <c r="V12" s="80" t="str">
        <f>RIGHT(INDEX('EEPROM-Contents'!$K$4:'EEPROM-Contents'!$K$141,MATCH('EEPROM-Contents'!X6,'EEPROM-Contents'!$I$4:'EEPROM-Contents'!$I$141,0)),2)</f>
        <v>00</v>
      </c>
      <c r="W12" s="80" t="str">
        <f>RIGHT(INDEX('EEPROM-Contents'!$K$4:'EEPROM-Contents'!$K$141,MATCH('EEPROM-Contents'!Y6,'EEPROM-Contents'!$I$4:'EEPROM-Contents'!$I$141,0)),2)</f>
        <v>21</v>
      </c>
      <c r="X12" s="80" t="str">
        <f>RIGHT(INDEX('EEPROM-Contents'!$K$4:'EEPROM-Contents'!$K$141,MATCH('EEPROM-Contents'!Z6,'EEPROM-Contents'!$I$4:'EEPROM-Contents'!$I$141,0)),2)</f>
        <v>BF</v>
      </c>
      <c r="Y12" s="80" t="str">
        <f>RIGHT(INDEX('EEPROM-Contents'!$K$4:'EEPROM-Contents'!$K$141,MATCH('EEPROM-Contents'!AA6,'EEPROM-Contents'!$I$4:'EEPROM-Contents'!$I$141,0)),2)</f>
        <v>88</v>
      </c>
      <c r="Z12" s="80" t="str">
        <f>RIGHT(INDEX('EEPROM-Contents'!$K$4:'EEPROM-Contents'!$K$141,MATCH('EEPROM-Contents'!AB6,'EEPROM-Contents'!$I$4:'EEPROM-Contents'!$I$141,0)),2)</f>
        <v>02</v>
      </c>
      <c r="AA12" s="80" t="str">
        <f>RIGHT(INDEX('EEPROM-Contents'!$K$4:'EEPROM-Contents'!$K$141,MATCH('EEPROM-Contents'!AC6,'EEPROM-Contents'!$I$4:'EEPROM-Contents'!$I$141,0)),2)</f>
        <v>20</v>
      </c>
      <c r="AB12" s="80" t="str">
        <f>RIGHT(INDEX('EEPROM-Contents'!$K$4:'EEPROM-Contents'!$K$141,MATCH('EEPROM-Contents'!AD6,'EEPROM-Contents'!$I$4:'EEPROM-Contents'!$I$141,0)),2)</f>
        <v>20</v>
      </c>
      <c r="AC12" s="80" t="str">
        <f>RIGHT(INDEX('EEPROM-Contents'!$K$4:'EEPROM-Contents'!$K$141,MATCH('EEPROM-Contents'!AE6,'EEPROM-Contents'!$I$4:'EEPROM-Contents'!$I$141,0)),2)</f>
        <v>A0</v>
      </c>
      <c r="AD12" s="85" t="str">
        <f>RIGHT(INDEX($D$9:$D$47,MATCH('EEPROM-Contents'!AF6,$B$9:$B$47,0)),2)</f>
        <v>84</v>
      </c>
      <c r="AF12" s="82" t="str">
        <f t="shared" ca="1" si="3"/>
        <v>1200CD7C0A0000000000040404040404040021BF88022020A08400</v>
      </c>
    </row>
    <row r="13" spans="2:32" x14ac:dyDescent="0.25">
      <c r="B13" s="86">
        <f>'EEPROM-Contents'!B37</f>
        <v>33</v>
      </c>
      <c r="C13" s="75">
        <f t="shared" ca="1" si="2"/>
        <v>4</v>
      </c>
      <c r="D13" s="78" t="str">
        <f ca="1">DEC2HEX(OFFSET('FTS-Initialization'!AC41,0,MATCH($H$4,'FTS-Initialization'!$AD$36:$AE$36,0)),2)</f>
        <v>04</v>
      </c>
      <c r="E13" s="70" t="str">
        <f>'EEPROM-Contents'!L37</f>
        <v>SEN(4) SP5B</v>
      </c>
      <c r="F13" s="71"/>
      <c r="G13" s="74"/>
      <c r="N13" s="79" t="s">
        <v>345</v>
      </c>
      <c r="O13" s="80" t="str">
        <f>RIGHT(INDEX('EEPROM-Contents'!$K$4:'EEPROM-Contents'!$K$141,MATCH('EEPROM-Contents'!Q7,'EEPROM-Contents'!$I$4:'EEPROM-Contents'!$I$141,0)),2)</f>
        <v>00</v>
      </c>
      <c r="P13" s="80" t="str">
        <f>RIGHT(INDEX('EEPROM-Contents'!$K$4:'EEPROM-Contents'!$K$141,MATCH('EEPROM-Contents'!R7,'EEPROM-Contents'!$I$4:'EEPROM-Contents'!$I$141,0)),2)</f>
        <v>06</v>
      </c>
      <c r="Q13" s="80" t="str">
        <f>RIGHT(INDEX('EEPROM-Contents'!$K$4:'EEPROM-Contents'!$K$141,MATCH('EEPROM-Contents'!S7,'EEPROM-Contents'!$I$4:'EEPROM-Contents'!$I$141,0)),2)</f>
        <v>2E</v>
      </c>
      <c r="R13" s="80" t="str">
        <f>RIGHT(INDEX('EEPROM-Contents'!$K$4:'EEPROM-Contents'!$K$141,MATCH('EEPROM-Contents'!T7,'EEPROM-Contents'!$I$4:'EEPROM-Contents'!$I$141,0)),2)</f>
        <v>2F</v>
      </c>
      <c r="S13" s="80" t="str">
        <f>RIGHT(INDEX('EEPROM-Contents'!$K$4:'EEPROM-Contents'!$K$141,MATCH('EEPROM-Contents'!U7,'EEPROM-Contents'!$I$4:'EEPROM-Contents'!$I$141,0)),2)</f>
        <v>07</v>
      </c>
      <c r="T13" s="80" t="str">
        <f>RIGHT(INDEX('EEPROM-Contents'!$K$4:'EEPROM-Contents'!$K$141,MATCH('EEPROM-Contents'!V7,'EEPROM-Contents'!$I$4:'EEPROM-Contents'!$I$141,0)),2)</f>
        <v>D3</v>
      </c>
      <c r="U13" s="80" t="str">
        <f>RIGHT(INDEX('EEPROM-Contents'!$K$4:'EEPROM-Contents'!$K$141,MATCH('EEPROM-Contents'!W7,'EEPROM-Contents'!$I$4:'EEPROM-Contents'!$I$141,0)),2)</f>
        <v>91</v>
      </c>
      <c r="V13" s="80" t="str">
        <f>RIGHT(INDEX('EEPROM-Contents'!$K$4:'EEPROM-Contents'!$K$141,MATCH('EEPROM-Contents'!X7,'EEPROM-Contents'!$I$4:'EEPROM-Contents'!$I$141,0)),2)</f>
        <v>1B</v>
      </c>
      <c r="W13" s="80" t="str">
        <f>RIGHT(INDEX('EEPROM-Contents'!$K$4:'EEPROM-Contents'!$K$141,MATCH('EEPROM-Contents'!Y7,'EEPROM-Contents'!$I$4:'EEPROM-Contents'!$I$141,0)),2)</f>
        <v>28</v>
      </c>
      <c r="X13" s="80" t="str">
        <f>RIGHT(INDEX('EEPROM-Contents'!$K$4:'EEPROM-Contents'!$K$141,MATCH('EEPROM-Contents'!Z7,'EEPROM-Contents'!$I$4:'EEPROM-Contents'!$I$141,0)),2)</f>
        <v>44</v>
      </c>
      <c r="Y13" s="80" t="str">
        <f>RIGHT(INDEX('EEPROM-Contents'!$K$4:'EEPROM-Contents'!$K$141,MATCH('EEPROM-Contents'!AA7,'EEPROM-Contents'!$I$4:'EEPROM-Contents'!$I$141,0)),2)</f>
        <v>00</v>
      </c>
      <c r="Z13" s="85" t="str">
        <f>RIGHT(INDEX($D$9:$D$47,MATCH('EEPROM-Contents'!AB7,$B$9:$B$47,0)),2)</f>
        <v>0A</v>
      </c>
      <c r="AA13" s="80" t="str">
        <f>RIGHT(INDEX('EEPROM-Contents'!$K$4:'EEPROM-Contents'!$K$141,MATCH('EEPROM-Contents'!AC7,'EEPROM-Contents'!$I$4:'EEPROM-Contents'!$I$141,0)),2)</f>
        <v>0F</v>
      </c>
      <c r="AB13" s="80" t="str">
        <f>RIGHT(INDEX('EEPROM-Contents'!$K$4:'EEPROM-Contents'!$K$141,MATCH('EEPROM-Contents'!AD7,'EEPROM-Contents'!$I$4:'EEPROM-Contents'!$I$141,0)),2)</f>
        <v>00</v>
      </c>
      <c r="AC13" s="80" t="str">
        <f>RIGHT(INDEX('EEPROM-Contents'!$K$4:'EEPROM-Contents'!$K$141,MATCH('EEPROM-Contents'!AE7,'EEPROM-Contents'!$I$4:'EEPROM-Contents'!$I$141,0)),2)</f>
        <v>0F</v>
      </c>
      <c r="AD13" s="80" t="str">
        <f>RIGHT(INDEX('EEPROM-Contents'!$K$4:'EEPROM-Contents'!$K$141,MATCH('EEPROM-Contents'!AF7,'EEPROM-Contents'!$I$4:'EEPROM-Contents'!$I$141,0)),2)</f>
        <v>6C</v>
      </c>
      <c r="AF13" s="82" t="str">
        <f t="shared" si="3"/>
        <v>1200CD7C0A000000000000062E2F07D3911B2844000A0F000F6C00</v>
      </c>
    </row>
    <row r="14" spans="2:32" x14ac:dyDescent="0.25">
      <c r="B14" s="86">
        <f>'EEPROM-Contents'!B38</f>
        <v>34</v>
      </c>
      <c r="C14" s="75">
        <f t="shared" ca="1" si="2"/>
        <v>4</v>
      </c>
      <c r="D14" s="78" t="str">
        <f ca="1">DEC2HEX(OFFSET('FTS-Initialization'!AC42,0,MATCH($H$4,'FTS-Initialization'!$AD$36:$AE$36,0)),2)</f>
        <v>04</v>
      </c>
      <c r="E14" s="70" t="str">
        <f>'EEPROM-Contents'!L38</f>
        <v>SEN(5) SP4B</v>
      </c>
      <c r="F14" s="71"/>
      <c r="G14" s="74"/>
      <c r="N14" s="79" t="s">
        <v>347</v>
      </c>
      <c r="O14" s="80" t="str">
        <f>RIGHT(INDEX('EEPROM-Contents'!$K$4:'EEPROM-Contents'!$K$141,MATCH('EEPROM-Contents'!Q8,'EEPROM-Contents'!$I$4:'EEPROM-Contents'!$I$141,0)),2)</f>
        <v>CC</v>
      </c>
      <c r="P14" s="80" t="str">
        <f>RIGHT(INDEX('EEPROM-Contents'!$K$4:'EEPROM-Contents'!$K$141,MATCH('EEPROM-Contents'!R8,'EEPROM-Contents'!$I$4:'EEPROM-Contents'!$I$141,0)),2)</f>
        <v>5B</v>
      </c>
      <c r="Q14" s="80" t="str">
        <f>RIGHT(INDEX('EEPROM-Contents'!$K$4:'EEPROM-Contents'!$K$141,MATCH('EEPROM-Contents'!S8,'EEPROM-Contents'!$I$4:'EEPROM-Contents'!$I$141,0)),2)</f>
        <v>F8</v>
      </c>
      <c r="R14" s="80" t="str">
        <f>RIGHT(INDEX('EEPROM-Contents'!$K$4:'EEPROM-Contents'!$K$141,MATCH('EEPROM-Contents'!T8,'EEPROM-Contents'!$I$4:'EEPROM-Contents'!$I$141,0)),2)</f>
        <v>17</v>
      </c>
      <c r="S14" s="80" t="str">
        <f>RIGHT(INDEX('EEPROM-Contents'!$K$4:'EEPROM-Contents'!$K$141,MATCH('EEPROM-Contents'!U8,'EEPROM-Contents'!$I$4:'EEPROM-Contents'!$I$141,0)),2)</f>
        <v>23</v>
      </c>
      <c r="T14" s="80" t="str">
        <f>RIGHT(INDEX('EEPROM-Contents'!$K$4:'EEPROM-Contents'!$K$141,MATCH('EEPROM-Contents'!V8,'EEPROM-Contents'!$I$4:'EEPROM-Contents'!$I$141,0)),2)</f>
        <v>9A</v>
      </c>
      <c r="U14" s="80" t="str">
        <f>RIGHT(INDEX('EEPROM-Contents'!$K$4:'EEPROM-Contents'!$K$141,MATCH('EEPROM-Contents'!W8,'EEPROM-Contents'!$I$4:'EEPROM-Contents'!$I$141,0)),2)</f>
        <v>47</v>
      </c>
      <c r="V14" s="80" t="str">
        <f>RIGHT(INDEX('EEPROM-Contents'!$K$4:'EEPROM-Contents'!$K$141,MATCH('EEPROM-Contents'!X8,'EEPROM-Contents'!$I$4:'EEPROM-Contents'!$I$141,0)),2)</f>
        <v>00</v>
      </c>
      <c r="W14" s="80" t="str">
        <f>RIGHT(INDEX('EEPROM-Contents'!$K$4:'EEPROM-Contents'!$K$141,MATCH('EEPROM-Contents'!Y8,'EEPROM-Contents'!$I$4:'EEPROM-Contents'!$I$141,0)),2)</f>
        <v>30</v>
      </c>
      <c r="X14" s="80" t="str">
        <f>RIGHT(INDEX('EEPROM-Contents'!$K$4:'EEPROM-Contents'!$K$141,MATCH('EEPROM-Contents'!Z8,'EEPROM-Contents'!$I$4:'EEPROM-Contents'!$I$141,0)),2)</f>
        <v>18</v>
      </c>
      <c r="Y14" s="80" t="str">
        <f>RIGHT(INDEX('EEPROM-Contents'!$K$4:'EEPROM-Contents'!$K$141,MATCH('EEPROM-Contents'!AA8,'EEPROM-Contents'!$I$4:'EEPROM-Contents'!$I$141,0)),2)</f>
        <v>16</v>
      </c>
      <c r="Z14" s="80" t="str">
        <f>RIGHT(INDEX('EEPROM-Contents'!$K$4:'EEPROM-Contents'!$K$141,MATCH('EEPROM-Contents'!AB8,'EEPROM-Contents'!$I$4:'EEPROM-Contents'!$I$141,0)),2)</f>
        <v>6C</v>
      </c>
      <c r="AA14" s="80" t="str">
        <f>RIGHT(INDEX('EEPROM-Contents'!$K$4:'EEPROM-Contents'!$K$141,MATCH('EEPROM-Contents'!AC8,'EEPROM-Contents'!$I$4:'EEPROM-Contents'!$I$141,0)),2)</f>
        <v>03</v>
      </c>
      <c r="AB14" s="80" t="str">
        <f>RIGHT(INDEX('EEPROM-Contents'!$K$4:'EEPROM-Contents'!$K$141,MATCH('EEPROM-Contents'!AD8,'EEPROM-Contents'!$I$4:'EEPROM-Contents'!$I$141,0)),2)</f>
        <v>60</v>
      </c>
      <c r="AC14" s="80" t="str">
        <f>RIGHT(INDEX('EEPROM-Contents'!$K$4:'EEPROM-Contents'!$K$141,MATCH('EEPROM-Contents'!AE8,'EEPROM-Contents'!$I$4:'EEPROM-Contents'!$I$141,0)),2)</f>
        <v>91</v>
      </c>
      <c r="AD14" s="80" t="str">
        <f>RIGHT(INDEX('EEPROM-Contents'!$K$4:'EEPROM-Contents'!$K$141,MATCH('EEPROM-Contents'!AF8,'EEPROM-Contents'!$I$4:'EEPROM-Contents'!$I$141,0)),2)</f>
        <v>02</v>
      </c>
      <c r="AF14" s="82" t="str">
        <f t="shared" si="3"/>
        <v>1200CD7C0A0000000000CC5BF817239A47003018166C0360910200</v>
      </c>
    </row>
    <row r="15" spans="2:32" x14ac:dyDescent="0.25">
      <c r="B15" s="86">
        <f>'EEPROM-Contents'!B39</f>
        <v>35</v>
      </c>
      <c r="C15" s="75">
        <f t="shared" ca="1" si="2"/>
        <v>4</v>
      </c>
      <c r="D15" s="78" t="str">
        <f ca="1">DEC2HEX(OFFSET('FTS-Initialization'!AC43,0,MATCH($H$4,'FTS-Initialization'!$AD$36:$AE$36,0)),2)</f>
        <v>04</v>
      </c>
      <c r="E15" s="70" t="str">
        <f>'EEPROM-Contents'!L39</f>
        <v>SEN(6) SP3B</v>
      </c>
      <c r="F15" s="71"/>
      <c r="G15" s="74"/>
      <c r="N15" s="79" t="s">
        <v>348</v>
      </c>
      <c r="O15" s="80" t="str">
        <f>RIGHT(INDEX('EEPROM-Contents'!$K$4:'EEPROM-Contents'!$K$141,MATCH('EEPROM-Contents'!Q9,'EEPROM-Contents'!$I$4:'EEPROM-Contents'!$I$141,0)),2)</f>
        <v>0E</v>
      </c>
      <c r="P15" s="80" t="str">
        <f>RIGHT(INDEX('EEPROM-Contents'!$K$4:'EEPROM-Contents'!$K$141,MATCH('EEPROM-Contents'!R9,'EEPROM-Contents'!$I$4:'EEPROM-Contents'!$I$141,0)),2)</f>
        <v>78</v>
      </c>
      <c r="Q15" s="80" t="str">
        <f>RIGHT(INDEX('EEPROM-Contents'!$K$4:'EEPROM-Contents'!$K$141,MATCH('EEPROM-Contents'!S9,'EEPROM-Contents'!$I$4:'EEPROM-Contents'!$I$141,0)),2)</f>
        <v>56</v>
      </c>
      <c r="R15" s="80" t="str">
        <f>RIGHT(INDEX('EEPROM-Contents'!$K$4:'EEPROM-Contents'!$K$141,MATCH('EEPROM-Contents'!T9,'EEPROM-Contents'!$I$4:'EEPROM-Contents'!$I$141,0)),2)</f>
        <v>10</v>
      </c>
      <c r="S15" s="80" t="str">
        <f>RIGHT(INDEX('EEPROM-Contents'!$K$4:'EEPROM-Contents'!$K$141,MATCH('EEPROM-Contents'!U9,'EEPROM-Contents'!$I$4:'EEPROM-Contents'!$I$141,0)),2)</f>
        <v>EA</v>
      </c>
      <c r="T15" s="80" t="str">
        <f>RIGHT(INDEX('EEPROM-Contents'!$K$4:'EEPROM-Contents'!$K$141,MATCH('EEPROM-Contents'!V9,'EEPROM-Contents'!$I$4:'EEPROM-Contents'!$I$141,0)),2)</f>
        <v>2A</v>
      </c>
      <c r="U15" s="80" t="str">
        <f>RIGHT(INDEX('EEPROM-Contents'!$K$4:'EEPROM-Contents'!$K$141,MATCH('EEPROM-Contents'!W9,'EEPROM-Contents'!$I$4:'EEPROM-Contents'!$I$141,0)),2)</f>
        <v>00</v>
      </c>
      <c r="V15" s="80" t="str">
        <f>RIGHT(INDEX('EEPROM-Contents'!$K$4:'EEPROM-Contents'!$K$141,MATCH('EEPROM-Contents'!X9,'EEPROM-Contents'!$I$4:'EEPROM-Contents'!$I$141,0)),2)</f>
        <v>1F</v>
      </c>
      <c r="W15" s="80" t="str">
        <f>RIGHT(INDEX('EEPROM-Contents'!$K$4:'EEPROM-Contents'!$K$141,MATCH('EEPROM-Contents'!Y9,'EEPROM-Contents'!$I$4:'EEPROM-Contents'!$I$141,0)),2)</f>
        <v>41</v>
      </c>
      <c r="X15" s="80" t="str">
        <f>RIGHT(INDEX('EEPROM-Contents'!$K$4:'EEPROM-Contents'!$K$141,MATCH('EEPROM-Contents'!Z9,'EEPROM-Contents'!$I$4:'EEPROM-Contents'!$I$141,0)),2)</f>
        <v>00</v>
      </c>
      <c r="Y15" s="80" t="str">
        <f>RIGHT(INDEX('EEPROM-Contents'!$K$4:'EEPROM-Contents'!$K$141,MATCH('EEPROM-Contents'!AA9,'EEPROM-Contents'!$I$4:'EEPROM-Contents'!$I$141,0)),2)</f>
        <v>00</v>
      </c>
      <c r="Z15" s="85" t="str">
        <f>RIGHT(INDEX($D$9:$D$47,MATCH('EEPROM-Contents'!AB9,$B$9:$B$47,0)),2)</f>
        <v>00</v>
      </c>
      <c r="AA15" s="85" t="str">
        <f>RIGHT(INDEX($D$9:$D$47,MATCH('EEPROM-Contents'!AC9,$B$9:$B$47,0)),2)</f>
        <v>00</v>
      </c>
      <c r="AB15" s="85" t="str">
        <f>RIGHT(INDEX($D$9:$D$47,MATCH('EEPROM-Contents'!AD9,$B$9:$B$47,0)),2)</f>
        <v>00</v>
      </c>
      <c r="AC15" s="85" t="str">
        <f>RIGHT(INDEX($D$9:$D$47,MATCH('EEPROM-Contents'!AE9,$B$9:$B$47,0)),2)</f>
        <v>64</v>
      </c>
      <c r="AD15" s="85" t="str">
        <f>RIGHT(INDEX($D$9:$D$47,MATCH('EEPROM-Contents'!AF9,$B$9:$B$47,0)),2)</f>
        <v>89</v>
      </c>
      <c r="AF15" s="82" t="str">
        <f t="shared" si="3"/>
        <v>1200CD7C0A00000000000E785610EA2A001F410000000000648900</v>
      </c>
    </row>
    <row r="16" spans="2:32" x14ac:dyDescent="0.25">
      <c r="B16" s="86">
        <f>'EEPROM-Contents'!B40</f>
        <v>36</v>
      </c>
      <c r="C16" s="75">
        <f t="shared" ca="1" si="2"/>
        <v>4</v>
      </c>
      <c r="D16" s="78" t="str">
        <f ca="1">DEC2HEX(OFFSET('FTS-Initialization'!AC44,0,MATCH($H$4,'FTS-Initialization'!$AD$36:$AE$36,0)),2)</f>
        <v>04</v>
      </c>
      <c r="E16" s="70" t="str">
        <f>'EEPROM-Contents'!L40</f>
        <v>SEN(7) SP2B</v>
      </c>
      <c r="F16" s="71"/>
      <c r="G16" s="74"/>
      <c r="N16" s="79" t="s">
        <v>349</v>
      </c>
      <c r="O16" s="85" t="str">
        <f ca="1">RIGHT(INDEX($D$9:$D$47,MATCH('EEPROM-Contents'!Q10,$B$9:$B$47,0)),2)</f>
        <v>06</v>
      </c>
      <c r="P16" s="85" t="str">
        <f ca="1">RIGHT(INDEX($D$9:$D$47,MATCH('EEPROM-Contents'!R10,$B$9:$B$47,0)),2)</f>
        <v>05</v>
      </c>
      <c r="Q16" s="85" t="str">
        <f ca="1">RIGHT(INDEX($D$9:$D$47,MATCH('EEPROM-Contents'!S10,$B$9:$B$47,0)),2)</f>
        <v>10</v>
      </c>
      <c r="R16" s="85" t="str">
        <f>RIGHT(INDEX($D$9:$D$47,MATCH('EEPROM-Contents'!T10,$B$9:$B$47,0)),2)</f>
        <v>03</v>
      </c>
      <c r="S16" s="85" t="str">
        <f>RIGHT(INDEX($D$9:$D$47,MATCH('EEPROM-Contents'!U10,$B$9:$B$47,0)),2)</f>
        <v>F5</v>
      </c>
      <c r="T16" s="85" t="str">
        <f>RIGHT(INDEX($D$9:$D$47,MATCH('EEPROM-Contents'!V10,$B$9:$B$47,0)),2)</f>
        <v>00</v>
      </c>
      <c r="U16" s="85" t="str">
        <f>RIGHT(INDEX($D$9:$D$47,MATCH('EEPROM-Contents'!W10,$B$9:$B$47,0)),2)</f>
        <v>00</v>
      </c>
      <c r="V16" s="85" t="str">
        <f>RIGHT(INDEX($D$9:$D$47,MATCH('EEPROM-Contents'!X10,$B$9:$B$47,0)),2)</f>
        <v>27</v>
      </c>
      <c r="W16" s="85" t="str">
        <f>RIGHT(INDEX($D$9:$D$47,MATCH('EEPROM-Contents'!Y10,$B$9:$B$47,0)),2)</f>
        <v>0F</v>
      </c>
      <c r="X16" s="85" t="str">
        <f>RIGHT(INDEX($D$9:$D$47,MATCH('EEPROM-Contents'!Z10,$B$9:$B$47,0)),2)</f>
        <v>00</v>
      </c>
      <c r="Y16" s="85" t="str">
        <f>RIGHT(INDEX($D$9:$D$47,MATCH('EEPROM-Contents'!AA10,$B$9:$B$47,0)),2)</f>
        <v>00</v>
      </c>
      <c r="Z16" s="85" t="str">
        <f>RIGHT(INDEX($D$9:$D$47,MATCH('EEPROM-Contents'!AB10,$B$9:$B$47,0)),2)</f>
        <v>00</v>
      </c>
      <c r="AA16" s="85" t="str">
        <f>RIGHT(INDEX($D$9:$D$47,MATCH('EEPROM-Contents'!AC10,$B$9:$B$47,0)),2)</f>
        <v>00</v>
      </c>
      <c r="AB16" s="85" t="str">
        <f>RIGHT(INDEX($D$9:$D$47,MATCH('EEPROM-Contents'!AD10,$B$9:$B$47,0)),2)</f>
        <v>00</v>
      </c>
      <c r="AC16" s="85" t="str">
        <f>RIGHT(INDEX($D$9:$D$47,MATCH('EEPROM-Contents'!AE10,$B$9:$B$47,0)),2)</f>
        <v>00</v>
      </c>
      <c r="AD16" s="85" t="str">
        <f>RIGHT(INDEX($D$9:$D$47,MATCH('EEPROM-Contents'!AF10,$B$9:$B$47,0)),2)</f>
        <v>00</v>
      </c>
      <c r="AF16" s="82" t="str">
        <f t="shared" ca="1" si="3"/>
        <v>1200CD7C0A000000000006051003F50000270F0000000000000000</v>
      </c>
    </row>
    <row r="17" spans="2:32" x14ac:dyDescent="0.25">
      <c r="B17" s="86">
        <f>'EEPROM-Contents'!B41</f>
        <v>37</v>
      </c>
      <c r="C17" s="75">
        <f t="shared" ca="1" si="2"/>
        <v>4</v>
      </c>
      <c r="D17" s="78" t="str">
        <f ca="1">DEC2HEX(OFFSET('FTS-Initialization'!AC45,0,MATCH($H$4,'FTS-Initialization'!$AD$36:$AE$36,0)),2)</f>
        <v>04</v>
      </c>
      <c r="E17" s="70" t="str">
        <f>'EEPROM-Contents'!L41</f>
        <v>SEN(8) SP1B</v>
      </c>
      <c r="F17" s="71"/>
      <c r="G17" s="74"/>
      <c r="N17" s="79" t="s">
        <v>350</v>
      </c>
      <c r="O17" s="85" t="str">
        <f>RIGHT(INDEX($D$9:$D$47,MATCH('EEPROM-Contents'!Q11,$B$9:$B$47,0)),2)</f>
        <v>00</v>
      </c>
      <c r="P17" s="85" t="str">
        <f>RIGHT(INDEX($D$9:$D$47,MATCH('EEPROM-Contents'!R11,$B$9:$B$47,0)),2)</f>
        <v>FF</v>
      </c>
      <c r="Q17" s="85" t="str">
        <f>RIGHT(INDEX($D$9:$D$47,MATCH('EEPROM-Contents'!S11,$B$9:$B$47,0)),2)</f>
        <v>64</v>
      </c>
      <c r="R17" s="85" t="str">
        <f>RIGHT(INDEX($D$9:$D$47,MATCH('EEPROM-Contents'!T11,$B$9:$B$47,0)),2)</f>
        <v>64</v>
      </c>
      <c r="S17" s="85" t="str">
        <f ca="1">RIGHT(INDEX($D$9:$D$47,MATCH('EEPROM-Contents'!U11,$B$9:$B$47,0)),2)</f>
        <v>02</v>
      </c>
      <c r="T17" s="80" t="str">
        <f>RIGHT(INDEX('EEPROM-Contents'!$K$4:'EEPROM-Contents'!$K$141,MATCH('EEPROM-Contents'!V11,'EEPROM-Contents'!$I$4:'EEPROM-Contents'!$I$141,0)),2)</f>
        <v>01</v>
      </c>
      <c r="U17" s="85" t="str">
        <f>RIGHT(INDEX($D$9:$D$47,MATCH('EEPROM-Contents'!W11,$B$9:$B$47,0)),2)</f>
        <v>89</v>
      </c>
      <c r="V17" s="85" t="str">
        <f ca="1">RIGHT(INDEX($D$9:$D$47,MATCH('EEPROM-Contents'!X11,$B$9:$B$47,0)),2)</f>
        <v>06</v>
      </c>
      <c r="W17" s="85" t="str">
        <f ca="1">RIGHT(INDEX($D$9:$D$47,MATCH('EEPROM-Contents'!Y11,$B$9:$B$47,0)),2)</f>
        <v>05</v>
      </c>
      <c r="X17" s="85" t="str">
        <f ca="1">RIGHT(INDEX($D$9:$D$47,MATCH('EEPROM-Contents'!Z11,$B$9:$B$47,0)),2)</f>
        <v>10</v>
      </c>
      <c r="Y17" s="85" t="str">
        <f>RIGHT(INDEX($D$9:$D$47,MATCH('EEPROM-Contents'!AA11,$B$9:$B$47,0)),2)</f>
        <v>03</v>
      </c>
      <c r="Z17" s="85" t="str">
        <f>RIGHT(INDEX($D$9:$D$47,MATCH('EEPROM-Contents'!AB11,$B$9:$B$47,0)),2)</f>
        <v>F5</v>
      </c>
      <c r="AA17" s="85" t="str">
        <f>RIGHT(INDEX($D$9:$D$47,MATCH('EEPROM-Contents'!AC11,$B$9:$B$47,0)),2)</f>
        <v>00</v>
      </c>
      <c r="AB17" s="85" t="str">
        <f>RIGHT(INDEX($D$9:$D$47,MATCH('EEPROM-Contents'!AD11,$B$9:$B$47,0)),2)</f>
        <v>00</v>
      </c>
      <c r="AC17" s="85" t="str">
        <f>RIGHT(INDEX($D$9:$D$47,MATCH('EEPROM-Contents'!AE11,$B$9:$B$47,0)),2)</f>
        <v>27</v>
      </c>
      <c r="AD17" s="85" t="str">
        <f>RIGHT(INDEX($D$9:$D$47,MATCH('EEPROM-Contents'!AF11,$B$9:$B$47,0)),2)</f>
        <v>0F</v>
      </c>
      <c r="AF17" s="82" t="str">
        <f t="shared" ca="1" si="3"/>
        <v>1200CD7C0A000000000000FF646402018906051003F50000270F00</v>
      </c>
    </row>
    <row r="18" spans="2:32" x14ac:dyDescent="0.25">
      <c r="B18" s="86">
        <f>'EEPROM-Contents'!B42</f>
        <v>38</v>
      </c>
      <c r="C18" s="75">
        <f t="shared" ca="1" si="2"/>
        <v>4</v>
      </c>
      <c r="D18" s="78" t="str">
        <f ca="1">DEC2HEX(OFFSET('FTS-Initialization'!AC46,0,MATCH($H$4,'FTS-Initialization'!$AD$36:$AE$36,0)),2)</f>
        <v>04</v>
      </c>
      <c r="E18" s="70" t="str">
        <f>'EEPROM-Contents'!L42</f>
        <v>SEN(9) CP1B</v>
      </c>
      <c r="F18" s="71"/>
      <c r="G18" s="74"/>
      <c r="N18" s="79" t="s">
        <v>351</v>
      </c>
      <c r="O18" s="85" t="str">
        <f>RIGHT(INDEX($D$9:$D$47,MATCH('EEPROM-Contents'!Q12,$B$9:$B$47,0)),2)</f>
        <v>00</v>
      </c>
      <c r="P18" s="85" t="str">
        <f>RIGHT(INDEX($D$9:$D$47,MATCH('EEPROM-Contents'!R12,$B$9:$B$47,0)),2)</f>
        <v>00</v>
      </c>
      <c r="Q18" s="85" t="str">
        <f>RIGHT(INDEX($D$9:$D$47,MATCH('EEPROM-Contents'!S12,$B$9:$B$47,0)),2)</f>
        <v>00</v>
      </c>
      <c r="R18" s="85" t="str">
        <f>RIGHT(INDEX($D$9:$D$47,MATCH('EEPROM-Contents'!T12,$B$9:$B$47,0)),2)</f>
        <v>00</v>
      </c>
      <c r="S18" s="85" t="str">
        <f>RIGHT(INDEX($D$9:$D$47,MATCH('EEPROM-Contents'!U12,$B$9:$B$47,0)),2)</f>
        <v>00</v>
      </c>
      <c r="T18" s="85" t="str">
        <f>RIGHT(INDEX($D$9:$D$47,MATCH('EEPROM-Contents'!V12,$B$9:$B$47,0)),2)</f>
        <v>00</v>
      </c>
      <c r="U18" s="85" t="str">
        <f>RIGHT(INDEX($D$9:$D$47,MATCH('EEPROM-Contents'!W12,$B$9:$B$47,0)),2)</f>
        <v>00</v>
      </c>
      <c r="V18" s="85" t="str">
        <f>RIGHT(INDEX($D$9:$D$47,MATCH('EEPROM-Contents'!X12,$B$9:$B$47,0)),2)</f>
        <v>00</v>
      </c>
      <c r="W18" s="85" t="str">
        <f>RIGHT(INDEX($D$9:$D$47,MATCH('EEPROM-Contents'!Y12,$B$9:$B$47,0)),2)</f>
        <v>FF</v>
      </c>
      <c r="X18" s="85" t="str">
        <f>RIGHT(INDEX($D$9:$D$47,MATCH('EEPROM-Contents'!Z12,$B$9:$B$47,0)),2)</f>
        <v>64</v>
      </c>
      <c r="Y18" s="85" t="str">
        <f>RIGHT(INDEX($D$9:$D$47,MATCH('EEPROM-Contents'!AA12,$B$9:$B$47,0)),2)</f>
        <v>64</v>
      </c>
      <c r="Z18" s="85" t="str">
        <f ca="1">RIGHT(INDEX($D$9:$D$47,MATCH('EEPROM-Contents'!AB12,$B$9:$B$47,0)),2)</f>
        <v>02</v>
      </c>
      <c r="AA18" s="80" t="str">
        <f>RIGHT(INDEX('EEPROM-Contents'!$K$4:'EEPROM-Contents'!$K$141,MATCH('EEPROM-Contents'!AC12,'EEPROM-Contents'!$I$4:'EEPROM-Contents'!$I$141,0)),2)</f>
        <v>02</v>
      </c>
      <c r="AB18" s="85" t="str">
        <f>RIGHT(INDEX($D$9:$D$47,MATCH('EEPROM-Contents'!AD12,$B$9:$B$47,0)),2)</f>
        <v>89</v>
      </c>
      <c r="AC18" s="85" t="str">
        <f ca="1">RIGHT(INDEX($D$9:$D$47,MATCH('EEPROM-Contents'!AE12,$B$9:$B$47,0)),2)</f>
        <v>06</v>
      </c>
      <c r="AD18" s="85" t="str">
        <f ca="1">RIGHT(INDEX($D$9:$D$47,MATCH('EEPROM-Contents'!AF12,$B$9:$B$47,0)),2)</f>
        <v>05</v>
      </c>
      <c r="AF18" s="82" t="str">
        <f t="shared" ca="1" si="3"/>
        <v>1200CD7C0A00000000000000000000000000FF6464020289060500</v>
      </c>
    </row>
    <row r="19" spans="2:32" x14ac:dyDescent="0.25">
      <c r="B19" s="86">
        <f>'EEPROM-Contents'!I19</f>
        <v>15</v>
      </c>
      <c r="C19" s="78">
        <f>HEX2DEC(D19)</f>
        <v>239</v>
      </c>
      <c r="D19" s="78" t="str">
        <f>'FTS-Initialization'!AA32</f>
        <v>EF</v>
      </c>
      <c r="E19" s="70" t="str">
        <f>'EEPROM-Contents'!L19</f>
        <v>GAINC</v>
      </c>
      <c r="F19" s="71"/>
      <c r="G19" s="74"/>
      <c r="N19" s="79" t="s">
        <v>352</v>
      </c>
      <c r="O19" s="85" t="str">
        <f ca="1">RIGHT(INDEX($D$9:$D$47,MATCH('EEPROM-Contents'!Q13,$B$9:$B$47,0)),2)</f>
        <v>10</v>
      </c>
      <c r="P19" s="85" t="str">
        <f>RIGHT(INDEX($D$9:$D$47,MATCH('EEPROM-Contents'!R13,$B$9:$B$47,0)),2)</f>
        <v>03</v>
      </c>
      <c r="Q19" s="85" t="str">
        <f>RIGHT(INDEX($D$9:$D$47,MATCH('EEPROM-Contents'!S13,$B$9:$B$47,0)),2)</f>
        <v>F5</v>
      </c>
      <c r="R19" s="85" t="str">
        <f>RIGHT(INDEX($D$9:$D$47,MATCH('EEPROM-Contents'!T13,$B$9:$B$47,0)),2)</f>
        <v>00</v>
      </c>
      <c r="S19" s="85" t="str">
        <f>RIGHT(INDEX($D$9:$D$47,MATCH('EEPROM-Contents'!U13,$B$9:$B$47,0)),2)</f>
        <v>00</v>
      </c>
      <c r="T19" s="85" t="str">
        <f>RIGHT(INDEX($D$9:$D$47,MATCH('EEPROM-Contents'!V13,$B$9:$B$47,0)),2)</f>
        <v>27</v>
      </c>
      <c r="U19" s="85" t="str">
        <f>RIGHT(INDEX($D$9:$D$47,MATCH('EEPROM-Contents'!W13,$B$9:$B$47,0)),2)</f>
        <v>0F</v>
      </c>
      <c r="V19" s="85" t="str">
        <f>RIGHT(INDEX($D$9:$D$47,MATCH('EEPROM-Contents'!X13,$B$9:$B$47,0)),2)</f>
        <v>00</v>
      </c>
      <c r="W19" s="85" t="str">
        <f>RIGHT(INDEX($D$9:$D$47,MATCH('EEPROM-Contents'!Y13,$B$9:$B$47,0)),2)</f>
        <v>00</v>
      </c>
      <c r="X19" s="85" t="str">
        <f>RIGHT(INDEX($D$9:$D$47,MATCH('EEPROM-Contents'!Z13,$B$9:$B$47,0)),2)</f>
        <v>00</v>
      </c>
      <c r="Y19" s="85" t="str">
        <f>RIGHT(INDEX($D$9:$D$47,MATCH('EEPROM-Contents'!AA13,$B$9:$B$47,0)),2)</f>
        <v>00</v>
      </c>
      <c r="Z19" s="85" t="str">
        <f>RIGHT(INDEX($D$9:$D$47,MATCH('EEPROM-Contents'!AB13,$B$9:$B$47,0)),2)</f>
        <v>00</v>
      </c>
      <c r="AA19" s="85" t="str">
        <f>RIGHT(INDEX($D$9:$D$47,MATCH('EEPROM-Contents'!AC13,$B$9:$B$47,0)),2)</f>
        <v>00</v>
      </c>
      <c r="AB19" s="85" t="str">
        <f>RIGHT(INDEX($D$9:$D$47,MATCH('EEPROM-Contents'!AD13,$B$9:$B$47,0)),2)</f>
        <v>00</v>
      </c>
      <c r="AC19" s="85" t="str">
        <f>RIGHT(INDEX($D$9:$D$47,MATCH('EEPROM-Contents'!AE13,$B$9:$B$47,0)),2)</f>
        <v>00</v>
      </c>
      <c r="AD19" s="85" t="str">
        <f>RIGHT(INDEX($D$9:$D$47,MATCH('EEPROM-Contents'!AF13,$B$9:$B$47,0)),2)</f>
        <v>FF</v>
      </c>
      <c r="AF19" s="82" t="str">
        <f t="shared" ca="1" si="3"/>
        <v>1200CD7C0A00000000001003F50000270F0000000000000000FF00</v>
      </c>
    </row>
    <row r="20" spans="2:32" x14ac:dyDescent="0.25">
      <c r="B20" s="86">
        <f>'EEPROM-Contents'!B51</f>
        <v>47</v>
      </c>
      <c r="C20" s="75">
        <f t="shared" si="2"/>
        <v>132</v>
      </c>
      <c r="D20" s="78">
        <f>$G$4</f>
        <v>84</v>
      </c>
      <c r="E20" s="70" t="str">
        <f>'EEPROM-Contents'!E51</f>
        <v>PATBL</v>
      </c>
      <c r="F20" s="71"/>
      <c r="G20" s="74"/>
      <c r="N20" s="79" t="s">
        <v>353</v>
      </c>
      <c r="O20" s="85" t="str">
        <f>RIGHT(INDEX($D$9:$D$47,MATCH('EEPROM-Contents'!Q14,$B$9:$B$47,0)),2)</f>
        <v>64</v>
      </c>
      <c r="P20" s="85" t="str">
        <f>RIGHT(INDEX($D$9:$D$47,MATCH('EEPROM-Contents'!R14,$B$9:$B$47,0)),2)</f>
        <v>64</v>
      </c>
      <c r="Q20" s="85" t="str">
        <f ca="1">RIGHT(INDEX($D$9:$D$47,MATCH('EEPROM-Contents'!S14,$B$9:$B$47,0)),2)</f>
        <v>02</v>
      </c>
      <c r="R20" s="80" t="str">
        <f>RIGHT(INDEX('EEPROM-Contents'!$K$4:'EEPROM-Contents'!$K$141,MATCH('EEPROM-Contents'!T14,'EEPROM-Contents'!$I$4:'EEPROM-Contents'!$I$141,0)),2)</f>
        <v>03</v>
      </c>
      <c r="S20" s="85" t="str">
        <f>RIGHT(INDEX($D$9:$D$47,MATCH('EEPROM-Contents'!U14,$B$9:$B$47,0)),2)</f>
        <v>89</v>
      </c>
      <c r="T20" s="85" t="str">
        <f ca="1">RIGHT(INDEX($D$9:$D$47,MATCH('EEPROM-Contents'!V14,$B$9:$B$47,0)),2)</f>
        <v>06</v>
      </c>
      <c r="U20" s="85" t="str">
        <f ca="1">RIGHT(INDEX($D$9:$D$47,MATCH('EEPROM-Contents'!W14,$B$9:$B$47,0)),2)</f>
        <v>05</v>
      </c>
      <c r="V20" s="85" t="str">
        <f ca="1">RIGHT(INDEX($D$9:$D$47,MATCH('EEPROM-Contents'!X14,$B$9:$B$47,0)),2)</f>
        <v>10</v>
      </c>
      <c r="W20" s="85" t="str">
        <f>RIGHT(INDEX($D$9:$D$47,MATCH('EEPROM-Contents'!Y14,$B$9:$B$47,0)),2)</f>
        <v>03</v>
      </c>
      <c r="X20" s="85" t="str">
        <f>RIGHT(INDEX($D$9:$D$47,MATCH('EEPROM-Contents'!Z14,$B$9:$B$47,0)),2)</f>
        <v>F5</v>
      </c>
      <c r="Y20" s="85" t="str">
        <f>RIGHT(INDEX($D$9:$D$47,MATCH('EEPROM-Contents'!AA14,$B$9:$B$47,0)),2)</f>
        <v>00</v>
      </c>
      <c r="Z20" s="85" t="str">
        <f>RIGHT(INDEX($D$9:$D$47,MATCH('EEPROM-Contents'!AB14,$B$9:$B$47,0)),2)</f>
        <v>00</v>
      </c>
      <c r="AA20" s="85" t="str">
        <f>RIGHT(INDEX($D$9:$D$47,MATCH('EEPROM-Contents'!AC14,$B$9:$B$47,0)),2)</f>
        <v>27</v>
      </c>
      <c r="AB20" s="85" t="str">
        <f>RIGHT(INDEX($D$9:$D$47,MATCH('EEPROM-Contents'!AD14,$B$9:$B$47,0)),2)</f>
        <v>0F</v>
      </c>
      <c r="AC20" s="85" t="str">
        <f>RIGHT(INDEX($D$9:$D$47,MATCH('EEPROM-Contents'!AE14,$B$9:$B$47,0)),2)</f>
        <v>00</v>
      </c>
      <c r="AD20" s="85" t="str">
        <f>RIGHT(INDEX($D$9:$D$47,MATCH('EEPROM-Contents'!AF14,$B$9:$B$47,0)),2)</f>
        <v>00</v>
      </c>
      <c r="AF20" s="82" t="str">
        <f t="shared" ca="1" si="3"/>
        <v>1200CD7C0A0000000000646402038906051003F50000270F000000</v>
      </c>
    </row>
    <row r="21" spans="2:32" x14ac:dyDescent="0.25">
      <c r="B21" s="86">
        <f>'EEPROM-Contents'!B63</f>
        <v>59</v>
      </c>
      <c r="C21" s="75">
        <f t="shared" si="2"/>
        <v>10</v>
      </c>
      <c r="D21" s="78" t="str">
        <f>DEC2HEX(2*$C$4,2)</f>
        <v>0A</v>
      </c>
      <c r="E21" s="70" t="str">
        <f>'EEPROM-Contents'!E63</f>
        <v>CHANNR</v>
      </c>
      <c r="F21" s="71"/>
      <c r="G21" s="74"/>
      <c r="N21" s="79" t="s">
        <v>354</v>
      </c>
      <c r="O21" s="85" t="str">
        <f>RIGHT(INDEX($D$9:$D$47,MATCH('EEPROM-Contents'!Q15,$B$9:$B$47,0)),2)</f>
        <v>00</v>
      </c>
      <c r="P21" s="85" t="str">
        <f>RIGHT(INDEX($D$9:$D$47,MATCH('EEPROM-Contents'!R15,$B$9:$B$47,0)),2)</f>
        <v>00</v>
      </c>
      <c r="Q21" s="85" t="str">
        <f>RIGHT(INDEX($D$9:$D$47,MATCH('EEPROM-Contents'!S15,$B$9:$B$47,0)),2)</f>
        <v>00</v>
      </c>
      <c r="R21" s="85" t="str">
        <f>RIGHT(INDEX($D$9:$D$47,MATCH('EEPROM-Contents'!T15,$B$9:$B$47,0)),2)</f>
        <v>00</v>
      </c>
      <c r="S21" s="85" t="str">
        <f>RIGHT(INDEX($D$9:$D$47,MATCH('EEPROM-Contents'!U15,$B$9:$B$47,0)),2)</f>
        <v>00</v>
      </c>
      <c r="T21" s="85" t="str">
        <f>RIGHT(INDEX($D$9:$D$47,MATCH('EEPROM-Contents'!V15,$B$9:$B$47,0)),2)</f>
        <v>00</v>
      </c>
      <c r="U21" s="85" t="str">
        <f>RIGHT(INDEX($D$9:$D$47,MATCH('EEPROM-Contents'!W15,$B$9:$B$47,0)),2)</f>
        <v>FF</v>
      </c>
      <c r="V21" s="85" t="str">
        <f>RIGHT(INDEX($D$9:$D$47,MATCH('EEPROM-Contents'!X15,$B$9:$B$47,0)),2)</f>
        <v>64</v>
      </c>
      <c r="W21" s="85" t="str">
        <f>RIGHT(INDEX($D$9:$D$47,MATCH('EEPROM-Contents'!Y15,$B$9:$B$47,0)),2)</f>
        <v>64</v>
      </c>
      <c r="X21" s="85" t="str">
        <f ca="1">RIGHT(INDEX($D$9:$D$47,MATCH('EEPROM-Contents'!Z15,$B$9:$B$47,0)),2)</f>
        <v>02</v>
      </c>
      <c r="Y21" s="80" t="str">
        <f>RIGHT(INDEX('EEPROM-Contents'!$K$4:'EEPROM-Contents'!$K$141,MATCH('EEPROM-Contents'!AA15,'EEPROM-Contents'!$I$4:'EEPROM-Contents'!$I$141,0)),2)</f>
        <v>04</v>
      </c>
      <c r="Z21" s="85" t="str">
        <f>RIGHT(INDEX($D$9:$D$47,MATCH('EEPROM-Contents'!AB15,$B$9:$B$47,0)),2)</f>
        <v>89</v>
      </c>
      <c r="AA21" s="85" t="str">
        <f ca="1">RIGHT(INDEX($D$9:$D$47,MATCH('EEPROM-Contents'!AC15,$B$9:$B$47,0)),2)</f>
        <v>06</v>
      </c>
      <c r="AB21" s="85" t="str">
        <f ca="1">RIGHT(INDEX($D$9:$D$47,MATCH('EEPROM-Contents'!AD15,$B$9:$B$47,0)),2)</f>
        <v>05</v>
      </c>
      <c r="AC21" s="85" t="str">
        <f ca="1">RIGHT(INDEX($D$9:$D$47,MATCH('EEPROM-Contents'!AE15,$B$9:$B$47,0)),2)</f>
        <v>10</v>
      </c>
      <c r="AD21" s="85" t="str">
        <f>RIGHT(INDEX($D$9:$D$47,MATCH('EEPROM-Contents'!AF15,$B$9:$B$47,0)),2)</f>
        <v>03</v>
      </c>
      <c r="AF21" s="82" t="str">
        <f t="shared" ca="1" si="3"/>
        <v>1200CD7C0A0000000000000000000000FF64640204890605100300</v>
      </c>
    </row>
    <row r="22" spans="2:32" x14ac:dyDescent="0.25">
      <c r="B22" s="86">
        <f>'EEPROM-Contents'!B95</f>
        <v>91</v>
      </c>
      <c r="C22" s="78">
        <f>HEX2DEC(D22)</f>
        <v>0</v>
      </c>
      <c r="D22" s="78" t="str">
        <f>LEFT(RIGHT($E$5,8),2)</f>
        <v>00</v>
      </c>
      <c r="E22" s="70" t="str">
        <f>'EEPROM-Contents'!L95</f>
        <v>Device ID</v>
      </c>
      <c r="F22" s="71"/>
      <c r="G22" s="74"/>
      <c r="N22" s="79" t="s">
        <v>355</v>
      </c>
      <c r="O22" s="85" t="str">
        <f>RIGHT(INDEX($D$9:$D$47,MATCH('EEPROM-Contents'!Q16,$B$9:$B$47,0)),2)</f>
        <v>F5</v>
      </c>
      <c r="P22" s="85" t="str">
        <f>RIGHT(INDEX($D$9:$D$47,MATCH('EEPROM-Contents'!R16,$B$9:$B$47,0)),2)</f>
        <v>00</v>
      </c>
      <c r="Q22" s="85" t="str">
        <f>RIGHT(INDEX($D$9:$D$47,MATCH('EEPROM-Contents'!S16,$B$9:$B$47,0)),2)</f>
        <v>00</v>
      </c>
      <c r="R22" s="85" t="str">
        <f>RIGHT(INDEX($D$9:$D$47,MATCH('EEPROM-Contents'!T16,$B$9:$B$47,0)),2)</f>
        <v>27</v>
      </c>
      <c r="S22" s="85" t="str">
        <f>RIGHT(INDEX($D$9:$D$47,MATCH('EEPROM-Contents'!U16,$B$9:$B$47,0)),2)</f>
        <v>0F</v>
      </c>
      <c r="T22" s="85" t="str">
        <f>RIGHT(INDEX($D$9:$D$47,MATCH('EEPROM-Contents'!V16,$B$9:$B$47,0)),2)</f>
        <v>00</v>
      </c>
      <c r="U22" s="85" t="str">
        <f>RIGHT(INDEX($D$9:$D$47,MATCH('EEPROM-Contents'!W16,$B$9:$B$47,0)),2)</f>
        <v>00</v>
      </c>
      <c r="V22" s="85" t="str">
        <f>RIGHT(INDEX($D$9:$D$47,MATCH('EEPROM-Contents'!X16,$B$9:$B$47,0)),2)</f>
        <v>00</v>
      </c>
      <c r="W22" s="85" t="str">
        <f>RIGHT(INDEX($D$9:$D$47,MATCH('EEPROM-Contents'!Y16,$B$9:$B$47,0)),2)</f>
        <v>00</v>
      </c>
      <c r="X22" s="85" t="str">
        <f>RIGHT(INDEX($D$9:$D$47,MATCH('EEPROM-Contents'!Z16,$B$9:$B$47,0)),2)</f>
        <v>00</v>
      </c>
      <c r="Y22" s="85" t="str">
        <f>RIGHT(INDEX($D$9:$D$47,MATCH('EEPROM-Contents'!AA16,$B$9:$B$47,0)),2)</f>
        <v>00</v>
      </c>
      <c r="Z22" s="85" t="str">
        <f>RIGHT(INDEX($D$9:$D$47,MATCH('EEPROM-Contents'!AB16,$B$9:$B$47,0)),2)</f>
        <v>00</v>
      </c>
      <c r="AA22" s="85" t="str">
        <f>RIGHT(INDEX($D$9:$D$47,MATCH('EEPROM-Contents'!AC16,$B$9:$B$47,0)),2)</f>
        <v>00</v>
      </c>
      <c r="AB22" s="85" t="str">
        <f>RIGHT(INDEX($D$9:$D$47,MATCH('EEPROM-Contents'!AD16,$B$9:$B$47,0)),2)</f>
        <v>FF</v>
      </c>
      <c r="AC22" s="85" t="str">
        <f>RIGHT(INDEX($D$9:$D$47,MATCH('EEPROM-Contents'!AE16,$B$9:$B$47,0)),2)</f>
        <v>64</v>
      </c>
      <c r="AD22" s="85" t="str">
        <f>RIGHT(INDEX($D$9:$D$47,MATCH('EEPROM-Contents'!AF16,$B$9:$B$47,0)),2)</f>
        <v>64</v>
      </c>
      <c r="AF22" s="82" t="str">
        <f t="shared" si="3"/>
        <v>1200CD7C0A0000000000F50000270F0000000000000000FF646400</v>
      </c>
    </row>
    <row r="23" spans="2:32" x14ac:dyDescent="0.25">
      <c r="B23" s="86">
        <f>'EEPROM-Contents'!B96</f>
        <v>92</v>
      </c>
      <c r="C23" s="78">
        <f t="shared" ref="C23:C46" si="4">HEX2DEC(D23)</f>
        <v>0</v>
      </c>
      <c r="D23" s="78" t="str">
        <f>LEFT(RIGHT($E$5,6),2)</f>
        <v>00</v>
      </c>
      <c r="E23" s="70" t="str">
        <f>'EEPROM-Contents'!L96</f>
        <v>Device ID</v>
      </c>
      <c r="F23" s="71"/>
      <c r="G23" s="74"/>
      <c r="N23" s="79" t="s">
        <v>356</v>
      </c>
      <c r="O23" s="85" t="str">
        <f ca="1">RIGHT(INDEX($D$9:$D$47,MATCH('EEPROM-Contents'!Q17,$B$9:$B$47,0)),2)</f>
        <v>02</v>
      </c>
      <c r="P23" s="80" t="str">
        <f>RIGHT(INDEX('EEPROM-Contents'!$K$4:'EEPROM-Contents'!$K$141,MATCH('EEPROM-Contents'!R17,'EEPROM-Contents'!$I$4:'EEPROM-Contents'!$I$141,0)),2)</f>
        <v>05</v>
      </c>
      <c r="Q23" s="85" t="str">
        <f>RIGHT(INDEX($D$9:$D$47,MATCH('EEPROM-Contents'!S17,$B$9:$B$47,0)),2)</f>
        <v>89</v>
      </c>
      <c r="R23" s="85" t="str">
        <f ca="1">RIGHT(INDEX($D$9:$D$47,MATCH('EEPROM-Contents'!T17,$B$9:$B$47,0)),2)</f>
        <v>06</v>
      </c>
      <c r="S23" s="85" t="str">
        <f ca="1">RIGHT(INDEX($D$9:$D$47,MATCH('EEPROM-Contents'!U17,$B$9:$B$47,0)),2)</f>
        <v>05</v>
      </c>
      <c r="T23" s="85" t="str">
        <f ca="1">RIGHT(INDEX($D$9:$D$47,MATCH('EEPROM-Contents'!V17,$B$9:$B$47,0)),2)</f>
        <v>10</v>
      </c>
      <c r="U23" s="85" t="str">
        <f>RIGHT(INDEX($D$9:$D$47,MATCH('EEPROM-Contents'!W17,$B$9:$B$47,0)),2)</f>
        <v>03</v>
      </c>
      <c r="V23" s="85" t="str">
        <f>RIGHT(INDEX($D$9:$D$47,MATCH('EEPROM-Contents'!X17,$B$9:$B$47,0)),2)</f>
        <v>F5</v>
      </c>
      <c r="W23" s="85" t="str">
        <f>RIGHT(INDEX($D$9:$D$47,MATCH('EEPROM-Contents'!Y17,$B$9:$B$47,0)),2)</f>
        <v>00</v>
      </c>
      <c r="X23" s="85" t="str">
        <f>RIGHT(INDEX($D$9:$D$47,MATCH('EEPROM-Contents'!Z17,$B$9:$B$47,0)),2)</f>
        <v>00</v>
      </c>
      <c r="Y23" s="85" t="str">
        <f>RIGHT(INDEX($D$9:$D$47,MATCH('EEPROM-Contents'!AA17,$B$9:$B$47,0)),2)</f>
        <v>27</v>
      </c>
      <c r="Z23" s="85" t="str">
        <f>RIGHT(INDEX($D$9:$D$47,MATCH('EEPROM-Contents'!AB17,$B$9:$B$47,0)),2)</f>
        <v>0F</v>
      </c>
      <c r="AA23" s="85" t="str">
        <f>RIGHT(INDEX($D$9:$D$47,MATCH('EEPROM-Contents'!AC17,$B$9:$B$47,0)),2)</f>
        <v>00</v>
      </c>
      <c r="AB23" s="85" t="str">
        <f>RIGHT(INDEX($D$9:$D$47,MATCH('EEPROM-Contents'!AD17,$B$9:$B$47,0)),2)</f>
        <v>00</v>
      </c>
      <c r="AC23" s="85" t="str">
        <f>RIGHT(INDEX($D$9:$D$47,MATCH('EEPROM-Contents'!AE17,$B$9:$B$47,0)),2)</f>
        <v>00</v>
      </c>
      <c r="AD23" s="85" t="str">
        <f>RIGHT(INDEX($D$9:$D$47,MATCH('EEPROM-Contents'!AF17,$B$9:$B$47,0)),2)</f>
        <v>00</v>
      </c>
      <c r="AF23" s="82" t="str">
        <f t="shared" ca="1" si="3"/>
        <v>1200CD7C0A000000000002058906051003F50000270F0000000000</v>
      </c>
    </row>
    <row r="24" spans="2:32" x14ac:dyDescent="0.25">
      <c r="B24" s="86">
        <f>'EEPROM-Contents'!B97</f>
        <v>93</v>
      </c>
      <c r="C24" s="78">
        <f t="shared" si="4"/>
        <v>0</v>
      </c>
      <c r="D24" s="78" t="str">
        <f>LEFT(RIGHT($E$5,4),2)</f>
        <v>00</v>
      </c>
      <c r="E24" s="70" t="str">
        <f>'EEPROM-Contents'!L97</f>
        <v>Device ID</v>
      </c>
      <c r="F24" s="71"/>
      <c r="G24" s="74"/>
      <c r="N24" s="79" t="s">
        <v>357</v>
      </c>
      <c r="O24" s="85" t="str">
        <f>RIGHT(INDEX($D$9:$D$47,MATCH('EEPROM-Contents'!Q18,$B$9:$B$47,0)),2)</f>
        <v>00</v>
      </c>
      <c r="P24" s="85" t="str">
        <f>RIGHT(INDEX($D$9:$D$47,MATCH('EEPROM-Contents'!R18,$B$9:$B$47,0)),2)</f>
        <v>00</v>
      </c>
      <c r="Q24" s="85" t="str">
        <f>RIGHT(INDEX($D$9:$D$47,MATCH('EEPROM-Contents'!S18,$B$9:$B$47,0)),2)</f>
        <v>00</v>
      </c>
      <c r="R24" s="85" t="str">
        <f>RIGHT(INDEX($D$9:$D$47,MATCH('EEPROM-Contents'!T18,$B$9:$B$47,0)),2)</f>
        <v>00</v>
      </c>
      <c r="S24" s="85" t="str">
        <f>RIGHT(INDEX($D$9:$D$47,MATCH('EEPROM-Contents'!U18,$B$9:$B$47,0)),2)</f>
        <v>FF</v>
      </c>
      <c r="T24" s="85" t="str">
        <f>RIGHT(INDEX($D$9:$D$47,MATCH('EEPROM-Contents'!V18,$B$9:$B$47,0)),2)</f>
        <v>64</v>
      </c>
      <c r="U24" s="85" t="str">
        <f>RIGHT(INDEX($D$9:$D$47,MATCH('EEPROM-Contents'!W18,$B$9:$B$47,0)),2)</f>
        <v>64</v>
      </c>
      <c r="V24" s="85" t="str">
        <f ca="1">RIGHT(INDEX($D$9:$D$47,MATCH('EEPROM-Contents'!X18,$B$9:$B$47,0)),2)</f>
        <v>02</v>
      </c>
      <c r="W24" s="80" t="str">
        <f>RIGHT(INDEX('EEPROM-Contents'!$K$4:'EEPROM-Contents'!$K$141,MATCH('EEPROM-Contents'!Y18,'EEPROM-Contents'!$I$4:'EEPROM-Contents'!$I$141,0)),2)</f>
        <v>06</v>
      </c>
      <c r="X24" s="85" t="str">
        <f>RIGHT(INDEX($D$9:$D$47,MATCH('EEPROM-Contents'!Z18,$B$9:$B$47,0)),2)</f>
        <v>89</v>
      </c>
      <c r="Y24" s="85" t="str">
        <f ca="1">RIGHT(INDEX($D$9:$D$47,MATCH('EEPROM-Contents'!AA18,$B$9:$B$47,0)),2)</f>
        <v>06</v>
      </c>
      <c r="Z24" s="85" t="str">
        <f ca="1">RIGHT(INDEX($D$9:$D$47,MATCH('EEPROM-Contents'!AB18,$B$9:$B$47,0)),2)</f>
        <v>05</v>
      </c>
      <c r="AA24" s="85" t="str">
        <f ca="1">RIGHT(INDEX($D$9:$D$47,MATCH('EEPROM-Contents'!AC18,$B$9:$B$47,0)),2)</f>
        <v>10</v>
      </c>
      <c r="AB24" s="85" t="str">
        <f>RIGHT(INDEX($D$9:$D$47,MATCH('EEPROM-Contents'!AD18,$B$9:$B$47,0)),2)</f>
        <v>03</v>
      </c>
      <c r="AC24" s="85" t="str">
        <f>RIGHT(INDEX($D$9:$D$47,MATCH('EEPROM-Contents'!AE18,$B$9:$B$47,0)),2)</f>
        <v>F5</v>
      </c>
      <c r="AD24" s="85" t="str">
        <f>RIGHT(INDEX($D$9:$D$47,MATCH('EEPROM-Contents'!AF18,$B$9:$B$47,0)),2)</f>
        <v>00</v>
      </c>
      <c r="AF24" s="82" t="str">
        <f t="shared" ca="1" si="3"/>
        <v>1200CD7C0A000000000000000000FF646402068906051003F50000</v>
      </c>
    </row>
    <row r="25" spans="2:32" x14ac:dyDescent="0.25">
      <c r="B25" s="86">
        <f>'EEPROM-Contents'!B98</f>
        <v>94</v>
      </c>
      <c r="C25" s="78">
        <f t="shared" si="4"/>
        <v>100</v>
      </c>
      <c r="D25" s="78" t="str">
        <f>LEFT(RIGHT($E$5,2),2)</f>
        <v>64</v>
      </c>
      <c r="E25" s="70" t="str">
        <f>'EEPROM-Contents'!L98</f>
        <v>Device ID</v>
      </c>
      <c r="F25" s="71"/>
      <c r="G25" s="74"/>
      <c r="N25" s="79" t="s">
        <v>358</v>
      </c>
      <c r="O25" s="85" t="str">
        <f>RIGHT(INDEX($D$9:$D$47,MATCH('EEPROM-Contents'!Q19,$B$9:$B$47,0)),2)</f>
        <v>00</v>
      </c>
      <c r="P25" s="85" t="str">
        <f>RIGHT(INDEX($D$9:$D$47,MATCH('EEPROM-Contents'!R19,$B$9:$B$47,0)),2)</f>
        <v>27</v>
      </c>
      <c r="Q25" s="85" t="str">
        <f>RIGHT(INDEX($D$9:$D$47,MATCH('EEPROM-Contents'!S19,$B$9:$B$47,0)),2)</f>
        <v>0F</v>
      </c>
      <c r="R25" s="85" t="str">
        <f>RIGHT(INDEX($D$9:$D$47,MATCH('EEPROM-Contents'!T19,$B$9:$B$47,0)),2)</f>
        <v>00</v>
      </c>
      <c r="S25" s="85" t="str">
        <f>RIGHT(INDEX($D$9:$D$47,MATCH('EEPROM-Contents'!U19,$B$9:$B$47,0)),2)</f>
        <v>00</v>
      </c>
      <c r="T25" s="85" t="str">
        <f>RIGHT(INDEX($D$9:$D$47,MATCH('EEPROM-Contents'!V19,$B$9:$B$47,0)),2)</f>
        <v>00</v>
      </c>
      <c r="U25" s="85" t="str">
        <f>RIGHT(INDEX($D$9:$D$47,MATCH('EEPROM-Contents'!W19,$B$9:$B$47,0)),2)</f>
        <v>00</v>
      </c>
      <c r="V25" s="85" t="str">
        <f>RIGHT(INDEX($D$9:$D$47,MATCH('EEPROM-Contents'!X19,$B$9:$B$47,0)),2)</f>
        <v>00</v>
      </c>
      <c r="W25" s="85" t="str">
        <f>RIGHT(INDEX($D$9:$D$47,MATCH('EEPROM-Contents'!Y19,$B$9:$B$47,0)),2)</f>
        <v>00</v>
      </c>
      <c r="X25" s="85" t="str">
        <f>RIGHT(INDEX($D$9:$D$47,MATCH('EEPROM-Contents'!Z19,$B$9:$B$47,0)),2)</f>
        <v>00</v>
      </c>
      <c r="Y25" s="85" t="str">
        <f>RIGHT(INDEX($D$9:$D$47,MATCH('EEPROM-Contents'!AA19,$B$9:$B$47,0)),2)</f>
        <v>00</v>
      </c>
      <c r="Z25" s="85" t="str">
        <f>RIGHT(INDEX($D$9:$D$47,MATCH('EEPROM-Contents'!AB19,$B$9:$B$47,0)),2)</f>
        <v>FF</v>
      </c>
      <c r="AA25" s="85" t="str">
        <f>RIGHT(INDEX($D$9:$D$47,MATCH('EEPROM-Contents'!AC19,$B$9:$B$47,0)),2)</f>
        <v>64</v>
      </c>
      <c r="AB25" s="85" t="str">
        <f>RIGHT(INDEX($D$9:$D$47,MATCH('EEPROM-Contents'!AD19,$B$9:$B$47,0)),2)</f>
        <v>64</v>
      </c>
      <c r="AC25" s="85" t="str">
        <f ca="1">RIGHT(INDEX($D$9:$D$47,MATCH('EEPROM-Contents'!AE19,$B$9:$B$47,0)),2)</f>
        <v>02</v>
      </c>
      <c r="AD25" s="80" t="str">
        <f>RIGHT(INDEX('EEPROM-Contents'!$K$4:'EEPROM-Contents'!$K$141,MATCH('EEPROM-Contents'!AF19,'EEPROM-Contents'!$I$4:'EEPROM-Contents'!$I$141,0)),2)</f>
        <v>07</v>
      </c>
      <c r="AF25" s="82" t="str">
        <f t="shared" ca="1" si="3"/>
        <v>1200CD7C0A000000000000270F0000000000000000FF6464020700</v>
      </c>
    </row>
    <row r="26" spans="2:32" x14ac:dyDescent="0.25">
      <c r="B26" s="86">
        <f>'EEPROM-Contents'!B99</f>
        <v>95</v>
      </c>
      <c r="C26" s="76">
        <f t="shared" si="4"/>
        <v>137</v>
      </c>
      <c r="D26" s="76">
        <f>L5</f>
        <v>89</v>
      </c>
      <c r="E26" s="67" t="str">
        <f>'EEPROM-Contents'!L99</f>
        <v>8X=ASIC 1204, 0X= ASIC 1010</v>
      </c>
      <c r="F26" s="68"/>
      <c r="G26" s="69"/>
      <c r="N26" s="79" t="s">
        <v>359</v>
      </c>
      <c r="O26" s="85" t="str">
        <f>RIGHT(INDEX($D$9:$D$47,MATCH('EEPROM-Contents'!Q20,$B$9:$B$47,0)),2)</f>
        <v>89</v>
      </c>
      <c r="P26" s="85" t="str">
        <f ca="1">RIGHT(INDEX($D$9:$D$47,MATCH('EEPROM-Contents'!R20,$B$9:$B$47,0)),2)</f>
        <v>06</v>
      </c>
      <c r="Q26" s="85" t="str">
        <f ca="1">RIGHT(INDEX($D$9:$D$47,MATCH('EEPROM-Contents'!S20,$B$9:$B$47,0)),2)</f>
        <v>05</v>
      </c>
      <c r="R26" s="85" t="str">
        <f ca="1">RIGHT(INDEX($D$9:$D$47,MATCH('EEPROM-Contents'!T20,$B$9:$B$47,0)),2)</f>
        <v>10</v>
      </c>
      <c r="S26" s="85" t="str">
        <f>RIGHT(INDEX($D$9:$D$47,MATCH('EEPROM-Contents'!U20,$B$9:$B$47,0)),2)</f>
        <v>03</v>
      </c>
      <c r="T26" s="85" t="str">
        <f>RIGHT(INDEX($D$9:$D$47,MATCH('EEPROM-Contents'!V20,$B$9:$B$47,0)),2)</f>
        <v>F5</v>
      </c>
      <c r="U26" s="85" t="str">
        <f>RIGHT(INDEX($D$9:$D$47,MATCH('EEPROM-Contents'!W20,$B$9:$B$47,0)),2)</f>
        <v>00</v>
      </c>
      <c r="V26" s="85" t="str">
        <f>RIGHT(INDEX($D$9:$D$47,MATCH('EEPROM-Contents'!X20,$B$9:$B$47,0)),2)</f>
        <v>00</v>
      </c>
      <c r="W26" s="85" t="str">
        <f>RIGHT(INDEX($D$9:$D$47,MATCH('EEPROM-Contents'!Y20,$B$9:$B$47,0)),2)</f>
        <v>27</v>
      </c>
      <c r="X26" s="85" t="str">
        <f>RIGHT(INDEX($D$9:$D$47,MATCH('EEPROM-Contents'!Z20,$B$9:$B$47,0)),2)</f>
        <v>0F</v>
      </c>
      <c r="Y26" s="85" t="str">
        <f>RIGHT(INDEX($D$9:$D$47,MATCH('EEPROM-Contents'!AA20,$B$9:$B$47,0)),2)</f>
        <v>00</v>
      </c>
      <c r="Z26" s="85" t="str">
        <f>RIGHT(INDEX($D$9:$D$47,MATCH('EEPROM-Contents'!AB20,$B$9:$B$47,0)),2)</f>
        <v>00</v>
      </c>
      <c r="AA26" s="85" t="str">
        <f>RIGHT(INDEX($D$9:$D$47,MATCH('EEPROM-Contents'!AC20,$B$9:$B$47,0)),2)</f>
        <v>00</v>
      </c>
      <c r="AB26" s="85" t="str">
        <f>RIGHT(INDEX($D$9:$D$47,MATCH('EEPROM-Contents'!AD20,$B$9:$B$47,0)),2)</f>
        <v>00</v>
      </c>
      <c r="AC26" s="85" t="str">
        <f>RIGHT(INDEX($D$9:$D$47,MATCH('EEPROM-Contents'!AE20,$B$9:$B$47,0)),2)</f>
        <v>00</v>
      </c>
      <c r="AD26" s="85" t="str">
        <f>RIGHT(INDEX($D$9:$D$47,MATCH('EEPROM-Contents'!AF20,$B$9:$B$47,0)),2)</f>
        <v>00</v>
      </c>
      <c r="AF26" s="82" t="str">
        <f t="shared" ca="1" si="3"/>
        <v>1200CD7C0A00000000008906051003F50000270F00000000000000</v>
      </c>
    </row>
    <row r="27" spans="2:32" x14ac:dyDescent="0.25">
      <c r="B27" s="86">
        <f>'EEPROM-Contents'!B100</f>
        <v>96</v>
      </c>
      <c r="C27" s="76">
        <f t="shared" ca="1" si="4"/>
        <v>6</v>
      </c>
      <c r="D27" s="76" t="str">
        <f ca="1">F5</f>
        <v>06</v>
      </c>
      <c r="E27" s="67" t="str">
        <f>'EEPROM-Contents'!L100</f>
        <v>Year</v>
      </c>
      <c r="F27" s="68"/>
      <c r="G27" s="69"/>
      <c r="N27" s="79" t="s">
        <v>360</v>
      </c>
      <c r="O27" s="85" t="str">
        <f>RIGHT(INDEX($D$9:$D$47,MATCH('EEPROM-Contents'!Q21,$B$9:$B$47,0)),2)</f>
        <v>00</v>
      </c>
      <c r="P27" s="85" t="str">
        <f>RIGHT(INDEX($D$9:$D$47,MATCH('EEPROM-Contents'!R21,$B$9:$B$47,0)),2)</f>
        <v>00</v>
      </c>
      <c r="Q27" s="85" t="str">
        <f>RIGHT(INDEX($D$9:$D$47,MATCH('EEPROM-Contents'!S21,$B$9:$B$47,0)),2)</f>
        <v>FF</v>
      </c>
      <c r="R27" s="85" t="str">
        <f>RIGHT(INDEX($D$9:$D$47,MATCH('EEPROM-Contents'!T21,$B$9:$B$47,0)),2)</f>
        <v>64</v>
      </c>
      <c r="S27" s="85" t="str">
        <f>RIGHT(INDEX($D$9:$D$47,MATCH('EEPROM-Contents'!U21,$B$9:$B$47,0)),2)</f>
        <v>64</v>
      </c>
      <c r="T27" s="85" t="str">
        <f ca="1">RIGHT(INDEX($D$9:$D$47,MATCH('EEPROM-Contents'!V21,$B$9:$B$47,0)),2)</f>
        <v>02</v>
      </c>
      <c r="U27" s="80" t="str">
        <f>RIGHT(INDEX('EEPROM-Contents'!$K$4:'EEPROM-Contents'!$K$141,MATCH('EEPROM-Contents'!W21,'EEPROM-Contents'!$I$4:'EEPROM-Contents'!$I$141,0)),2)</f>
        <v>08</v>
      </c>
      <c r="V27" s="85" t="str">
        <f>RIGHT(INDEX($D$9:$D$47,MATCH('EEPROM-Contents'!X21,$B$9:$B$47,0)),2)</f>
        <v>89</v>
      </c>
      <c r="W27" s="85" t="str">
        <f ca="1">RIGHT(INDEX($D$9:$D$47,MATCH('EEPROM-Contents'!Y21,$B$9:$B$47,0)),2)</f>
        <v>06</v>
      </c>
      <c r="X27" s="85" t="str">
        <f ca="1">RIGHT(INDEX($D$9:$D$47,MATCH('EEPROM-Contents'!Z21,$B$9:$B$47,0)),2)</f>
        <v>05</v>
      </c>
      <c r="Y27" s="85" t="str">
        <f ca="1">RIGHT(INDEX($D$9:$D$47,MATCH('EEPROM-Contents'!AA21,$B$9:$B$47,0)),2)</f>
        <v>10</v>
      </c>
      <c r="Z27" s="85" t="str">
        <f>RIGHT(INDEX($D$9:$D$47,MATCH('EEPROM-Contents'!AB21,$B$9:$B$47,0)),2)</f>
        <v>03</v>
      </c>
      <c r="AA27" s="85" t="str">
        <f>RIGHT(INDEX($D$9:$D$47,MATCH('EEPROM-Contents'!AC21,$B$9:$B$47,0)),2)</f>
        <v>F5</v>
      </c>
      <c r="AB27" s="85" t="str">
        <f>RIGHT(INDEX($D$9:$D$47,MATCH('EEPROM-Contents'!AD21,$B$9:$B$47,0)),2)</f>
        <v>00</v>
      </c>
      <c r="AC27" s="85" t="str">
        <f>RIGHT(INDEX($D$9:$D$47,MATCH('EEPROM-Contents'!AE21,$B$9:$B$47,0)),2)</f>
        <v>00</v>
      </c>
      <c r="AD27" s="85" t="str">
        <f>RIGHT(INDEX($D$9:$D$47,MATCH('EEPROM-Contents'!AF21,$B$9:$B$47,0)),2)</f>
        <v>27</v>
      </c>
      <c r="AF27" s="82" t="str">
        <f t="shared" ca="1" si="3"/>
        <v>1200CD7C0A00000000000000FF646402088906051003F500002700</v>
      </c>
    </row>
    <row r="28" spans="2:32" x14ac:dyDescent="0.25">
      <c r="B28" s="86">
        <f>'EEPROM-Contents'!B101</f>
        <v>97</v>
      </c>
      <c r="C28" s="76">
        <f t="shared" ca="1" si="4"/>
        <v>5</v>
      </c>
      <c r="D28" s="76" t="str">
        <f ca="1">G5</f>
        <v>05</v>
      </c>
      <c r="E28" s="67" t="str">
        <f>'EEPROM-Contents'!L101</f>
        <v>Month</v>
      </c>
      <c r="F28" s="68"/>
      <c r="G28" s="69"/>
      <c r="N28" s="79" t="s">
        <v>361</v>
      </c>
      <c r="O28" s="85" t="str">
        <f>RIGHT(INDEX($D$9:$D$47,MATCH('EEPROM-Contents'!Q22,$B$9:$B$47,0)),2)</f>
        <v>0F</v>
      </c>
      <c r="P28" s="85" t="str">
        <f>RIGHT(INDEX($D$9:$D$47,MATCH('EEPROM-Contents'!R22,$B$9:$B$47,0)),2)</f>
        <v>00</v>
      </c>
      <c r="Q28" s="85" t="str">
        <f>RIGHT(INDEX($D$9:$D$47,MATCH('EEPROM-Contents'!S22,$B$9:$B$47,0)),2)</f>
        <v>00</v>
      </c>
      <c r="R28" s="85" t="str">
        <f>RIGHT(INDEX($D$9:$D$47,MATCH('EEPROM-Contents'!T22,$B$9:$B$47,0)),2)</f>
        <v>00</v>
      </c>
      <c r="S28" s="85" t="str">
        <f>RIGHT(INDEX($D$9:$D$47,MATCH('EEPROM-Contents'!U22,$B$9:$B$47,0)),2)</f>
        <v>00</v>
      </c>
      <c r="T28" s="85" t="str">
        <f>RIGHT(INDEX($D$9:$D$47,MATCH('EEPROM-Contents'!V22,$B$9:$B$47,0)),2)</f>
        <v>00</v>
      </c>
      <c r="U28" s="85" t="str">
        <f>RIGHT(INDEX($D$9:$D$47,MATCH('EEPROM-Contents'!W22,$B$9:$B$47,0)),2)</f>
        <v>00</v>
      </c>
      <c r="V28" s="85" t="str">
        <f>RIGHT(INDEX($D$9:$D$47,MATCH('EEPROM-Contents'!X22,$B$9:$B$47,0)),2)</f>
        <v>00</v>
      </c>
      <c r="W28" s="85" t="str">
        <f>RIGHT(INDEX($D$9:$D$47,MATCH('EEPROM-Contents'!Y22,$B$9:$B$47,0)),2)</f>
        <v>00</v>
      </c>
      <c r="X28" s="85" t="str">
        <f>RIGHT(INDEX($D$9:$D$47,MATCH('EEPROM-Contents'!Z22,$B$9:$B$47,0)),2)</f>
        <v>FF</v>
      </c>
      <c r="Y28" s="85" t="str">
        <f>RIGHT(INDEX($D$9:$D$47,MATCH('EEPROM-Contents'!AA22,$B$9:$B$47,0)),2)</f>
        <v>64</v>
      </c>
      <c r="Z28" s="85" t="str">
        <f>RIGHT(INDEX($D$9:$D$47,MATCH('EEPROM-Contents'!AB22,$B$9:$B$47,0)),2)</f>
        <v>64</v>
      </c>
      <c r="AA28" s="85" t="str">
        <f ca="1">RIGHT(INDEX($D$9:$D$47,MATCH('EEPROM-Contents'!AC22,$B$9:$B$47,0)),2)</f>
        <v>02</v>
      </c>
      <c r="AB28" s="80" t="str">
        <f>RIGHT(INDEX('EEPROM-Contents'!$K$4:'EEPROM-Contents'!$K$141,MATCH('EEPROM-Contents'!AD22,'EEPROM-Contents'!$I$4:'EEPROM-Contents'!$I$141,0)),2)</f>
        <v>09</v>
      </c>
      <c r="AC28" s="85" t="str">
        <f>RIGHT(INDEX($D$9:$D$47,MATCH('EEPROM-Contents'!AE22,$B$9:$B$47,0)),2)</f>
        <v>89</v>
      </c>
      <c r="AD28" s="85" t="str">
        <f ca="1">RIGHT(INDEX($D$9:$D$47,MATCH('EEPROM-Contents'!AF22,$B$9:$B$47,0)),2)</f>
        <v>06</v>
      </c>
      <c r="AF28" s="82" t="str">
        <f t="shared" ca="1" si="3"/>
        <v>1200CD7C0A00000000000F0000000000000000FF64640209890600</v>
      </c>
    </row>
    <row r="29" spans="2:32" x14ac:dyDescent="0.25">
      <c r="B29" s="86">
        <f>'EEPROM-Contents'!B102</f>
        <v>98</v>
      </c>
      <c r="C29" s="76">
        <f t="shared" ca="1" si="4"/>
        <v>16</v>
      </c>
      <c r="D29" s="76" t="str">
        <f ca="1">H5</f>
        <v>10</v>
      </c>
      <c r="E29" s="67" t="str">
        <f>'EEPROM-Contents'!L102</f>
        <v>Day</v>
      </c>
      <c r="F29" s="68"/>
      <c r="G29" s="69"/>
      <c r="N29" s="79" t="s">
        <v>362</v>
      </c>
      <c r="O29" s="85" t="str">
        <f ca="1">RIGHT(INDEX($D$9:$D$47,MATCH('EEPROM-Contents'!Q23,$B$9:$B$47,0)),2)</f>
        <v>05</v>
      </c>
      <c r="P29" s="85" t="str">
        <f ca="1">RIGHT(INDEX($D$9:$D$47,MATCH('EEPROM-Contents'!R23,$B$9:$B$47,0)),2)</f>
        <v>10</v>
      </c>
      <c r="Q29" s="85" t="str">
        <f>RIGHT(INDEX($D$9:$D$47,MATCH('EEPROM-Contents'!S23,$B$9:$B$47,0)),2)</f>
        <v>03</v>
      </c>
      <c r="R29" s="85" t="str">
        <f>RIGHT(INDEX($D$9:$D$47,MATCH('EEPROM-Contents'!T23,$B$9:$B$47,0)),2)</f>
        <v>F5</v>
      </c>
      <c r="S29" s="85" t="str">
        <f>RIGHT(INDEX($D$9:$D$47,MATCH('EEPROM-Contents'!U23,$B$9:$B$47,0)),2)</f>
        <v>00</v>
      </c>
      <c r="T29" s="85" t="str">
        <f>RIGHT(INDEX($D$9:$D$47,MATCH('EEPROM-Contents'!V23,$B$9:$B$47,0)),2)</f>
        <v>00</v>
      </c>
      <c r="U29" s="85" t="str">
        <f>RIGHT(INDEX($D$9:$D$47,MATCH('EEPROM-Contents'!W23,$B$9:$B$47,0)),2)</f>
        <v>27</v>
      </c>
      <c r="V29" s="85" t="str">
        <f>RIGHT(INDEX($D$9:$D$47,MATCH('EEPROM-Contents'!X23,$B$9:$B$47,0)),2)</f>
        <v>0F</v>
      </c>
      <c r="W29" s="85" t="str">
        <f>RIGHT(INDEX($D$9:$D$47,MATCH('EEPROM-Contents'!Y23,$B$9:$B$47,0)),2)</f>
        <v>00</v>
      </c>
      <c r="X29" s="85" t="str">
        <f>RIGHT(INDEX($D$9:$D$47,MATCH('EEPROM-Contents'!Z23,$B$9:$B$47,0)),2)</f>
        <v>00</v>
      </c>
      <c r="Y29" s="85" t="str">
        <f>RIGHT(INDEX($D$9:$D$47,MATCH('EEPROM-Contents'!AA23,$B$9:$B$47,0)),2)</f>
        <v>00</v>
      </c>
      <c r="Z29" s="85" t="str">
        <f>RIGHT(INDEX($D$9:$D$47,MATCH('EEPROM-Contents'!AB23,$B$9:$B$47,0)),2)</f>
        <v>00</v>
      </c>
      <c r="AA29" s="85" t="str">
        <f>RIGHT(INDEX($D$9:$D$47,MATCH('EEPROM-Contents'!AC23,$B$9:$B$47,0)),2)</f>
        <v>00</v>
      </c>
      <c r="AB29" s="85" t="str">
        <f>RIGHT(INDEX($D$9:$D$47,MATCH('EEPROM-Contents'!AD23,$B$9:$B$47,0)),2)</f>
        <v>00</v>
      </c>
      <c r="AC29" s="85" t="str">
        <f>RIGHT(INDEX($D$9:$D$47,MATCH('EEPROM-Contents'!AE23,$B$9:$B$47,0)),2)</f>
        <v>00</v>
      </c>
      <c r="AD29" s="85" t="str">
        <f>RIGHT(INDEX($D$9:$D$47,MATCH('EEPROM-Contents'!AF23,$B$9:$B$47,0)),2)</f>
        <v>00</v>
      </c>
      <c r="AF29" s="82" t="str">
        <f t="shared" ca="1" si="3"/>
        <v>1200CD7C0A0000000000051003F50000270F000000000000000000</v>
      </c>
    </row>
    <row r="30" spans="2:32" x14ac:dyDescent="0.25">
      <c r="B30" s="86">
        <f>'EEPROM-Contents'!B103</f>
        <v>99</v>
      </c>
      <c r="C30" s="76">
        <f t="shared" si="4"/>
        <v>3</v>
      </c>
      <c r="D30" s="76" t="str">
        <f>LEFT(RIGHT($B$5,4),2)</f>
        <v>03</v>
      </c>
      <c r="E30" s="67" t="str">
        <f>'EEPROM-Contents'!L103</f>
        <v>Device Type</v>
      </c>
      <c r="F30" s="68"/>
      <c r="G30" s="69"/>
      <c r="N30" s="79" t="s">
        <v>363</v>
      </c>
      <c r="O30" s="85" t="str">
        <f>RIGHT(INDEX($D$9:$D$47,MATCH('EEPROM-Contents'!Q24,$B$9:$B$47,0)),2)</f>
        <v>FF</v>
      </c>
      <c r="P30" s="85" t="str">
        <f>RIGHT(INDEX($D$9:$D$47,MATCH('EEPROM-Contents'!R24,$B$9:$B$47,0)),2)</f>
        <v>64</v>
      </c>
      <c r="Q30" s="85" t="str">
        <f>RIGHT(INDEX($D$9:$D$47,MATCH('EEPROM-Contents'!S24,$B$9:$B$47,0)),2)</f>
        <v>64</v>
      </c>
      <c r="R30" s="85" t="str">
        <f ca="1">RIGHT(INDEX($D$9:$D$47,MATCH('EEPROM-Contents'!T24,$B$9:$B$47,0)),2)</f>
        <v>02</v>
      </c>
      <c r="S30" s="80" t="str">
        <f>RIGHT(INDEX('EEPROM-Contents'!$K$4:'EEPROM-Contents'!$K$141,MATCH('EEPROM-Contents'!U24,'EEPROM-Contents'!$I$4:'EEPROM-Contents'!$I$141,0)),2)</f>
        <v>0A</v>
      </c>
      <c r="T30" s="85" t="str">
        <f>RIGHT(INDEX($D$9:$D$47,MATCH('EEPROM-Contents'!V24,$B$9:$B$47,0)),2)</f>
        <v>89</v>
      </c>
      <c r="U30" s="85" t="str">
        <f ca="1">RIGHT(INDEX($D$9:$D$47,MATCH('EEPROM-Contents'!W24,$B$9:$B$47,0)),2)</f>
        <v>06</v>
      </c>
      <c r="V30" s="85" t="str">
        <f ca="1">RIGHT(INDEX($D$9:$D$47,MATCH('EEPROM-Contents'!X24,$B$9:$B$47,0)),2)</f>
        <v>05</v>
      </c>
      <c r="W30" s="85" t="str">
        <f ca="1">RIGHT(INDEX($D$9:$D$47,MATCH('EEPROM-Contents'!Y24,$B$9:$B$47,0)),2)</f>
        <v>10</v>
      </c>
      <c r="X30" s="85" t="str">
        <f>RIGHT(INDEX($D$9:$D$47,MATCH('EEPROM-Contents'!Z24,$B$9:$B$47,0)),2)</f>
        <v>03</v>
      </c>
      <c r="Y30" s="85" t="str">
        <f>RIGHT(INDEX($D$9:$D$47,MATCH('EEPROM-Contents'!AA24,$B$9:$B$47,0)),2)</f>
        <v>F5</v>
      </c>
      <c r="Z30" s="85" t="str">
        <f>RIGHT(INDEX($D$9:$D$47,MATCH('EEPROM-Contents'!AB24,$B$9:$B$47,0)),2)</f>
        <v>00</v>
      </c>
      <c r="AA30" s="85" t="str">
        <f>RIGHT(INDEX($D$9:$D$47,MATCH('EEPROM-Contents'!AC24,$B$9:$B$47,0)),2)</f>
        <v>00</v>
      </c>
      <c r="AB30" s="85" t="str">
        <f>RIGHT(INDEX($D$9:$D$47,MATCH('EEPROM-Contents'!AD24,$B$9:$B$47,0)),2)</f>
        <v>27</v>
      </c>
      <c r="AC30" s="85" t="str">
        <f>RIGHT(INDEX($D$9:$D$47,MATCH('EEPROM-Contents'!AE24,$B$9:$B$47,0)),2)</f>
        <v>0F</v>
      </c>
      <c r="AD30" s="85" t="str">
        <f>RIGHT(INDEX($D$9:$D$47,MATCH('EEPROM-Contents'!AF24,$B$9:$B$47,0)),2)</f>
        <v>00</v>
      </c>
      <c r="AF30" s="82" t="str">
        <f t="shared" ca="1" si="3"/>
        <v>1200CD7C0A0000000000FF6464020A8906051003F50000270F0000</v>
      </c>
    </row>
    <row r="31" spans="2:32" x14ac:dyDescent="0.25">
      <c r="B31" s="86">
        <f>'EEPROM-Contents'!B104</f>
        <v>100</v>
      </c>
      <c r="C31" s="76">
        <f t="shared" si="4"/>
        <v>245</v>
      </c>
      <c r="D31" s="76" t="str">
        <f>LEFT(RIGHT($B$5,2),2)</f>
        <v>F5</v>
      </c>
      <c r="E31" s="67" t="str">
        <f>'EEPROM-Contents'!L104</f>
        <v>Device Type</v>
      </c>
      <c r="F31" s="68"/>
      <c r="G31" s="69"/>
      <c r="N31" s="79" t="s">
        <v>364</v>
      </c>
      <c r="O31" s="85" t="str">
        <f>RIGHT(INDEX($D$9:$D$47,MATCH('EEPROM-Contents'!Q25,$B$9:$B$47,0)),2)</f>
        <v>00</v>
      </c>
      <c r="P31" s="85" t="str">
        <f>RIGHT(INDEX($D$9:$D$47,MATCH('EEPROM-Contents'!R25,$B$9:$B$47,0)),2)</f>
        <v>00</v>
      </c>
      <c r="Q31" s="85" t="str">
        <f>RIGHT(INDEX($D$9:$D$47,MATCH('EEPROM-Contents'!S25,$B$9:$B$47,0)),2)</f>
        <v>00</v>
      </c>
      <c r="R31" s="85" t="str">
        <f>RIGHT(INDEX($D$9:$D$47,MATCH('EEPROM-Contents'!T25,$B$9:$B$47,0)),2)</f>
        <v>00</v>
      </c>
      <c r="S31" s="85" t="str">
        <f>RIGHT(INDEX($D$9:$D$47,MATCH('EEPROM-Contents'!U25,$B$9:$B$47,0)),2)</f>
        <v>00</v>
      </c>
      <c r="T31" s="85" t="str">
        <f>RIGHT(INDEX($D$9:$D$47,MATCH('EEPROM-Contents'!V25,$B$9:$B$47,0)),2)</f>
        <v>00</v>
      </c>
      <c r="U31" s="85" t="str">
        <f>RIGHT(INDEX($D$9:$D$47,MATCH('EEPROM-Contents'!W25,$B$9:$B$47,0)),2)</f>
        <v>00</v>
      </c>
      <c r="V31" s="85" t="str">
        <f>RIGHT(INDEX($D$9:$D$47,MATCH('EEPROM-Contents'!X25,$B$9:$B$47,0)),2)</f>
        <v>FF</v>
      </c>
      <c r="W31" s="85" t="str">
        <f>RIGHT(INDEX($D$9:$D$47,MATCH('EEPROM-Contents'!Y25,$B$9:$B$47,0)),2)</f>
        <v>64</v>
      </c>
      <c r="X31" s="85" t="str">
        <f>RIGHT(INDEX($D$9:$D$47,MATCH('EEPROM-Contents'!Z25,$B$9:$B$47,0)),2)</f>
        <v>64</v>
      </c>
      <c r="Y31" s="85" t="str">
        <f ca="1">RIGHT(INDEX($D$9:$D$47,MATCH('EEPROM-Contents'!AA25,$B$9:$B$47,0)),2)</f>
        <v>02</v>
      </c>
      <c r="Z31" s="80" t="str">
        <f>RIGHT(INDEX('EEPROM-Contents'!$K$4:'EEPROM-Contents'!$K$141,MATCH('EEPROM-Contents'!AB25,'EEPROM-Contents'!$I$4:'EEPROM-Contents'!$I$141,0)),2)</f>
        <v>0B</v>
      </c>
      <c r="AA31" s="85" t="str">
        <f>RIGHT(INDEX($D$9:$D$47,MATCH('EEPROM-Contents'!AC25,$B$9:$B$47,0)),2)</f>
        <v>89</v>
      </c>
      <c r="AB31" s="85" t="str">
        <f ca="1">RIGHT(INDEX($D$9:$D$47,MATCH('EEPROM-Contents'!AD25,$B$9:$B$47,0)),2)</f>
        <v>06</v>
      </c>
      <c r="AC31" s="85" t="str">
        <f ca="1">RIGHT(INDEX($D$9:$D$47,MATCH('EEPROM-Contents'!AE25,$B$9:$B$47,0)),2)</f>
        <v>05</v>
      </c>
      <c r="AD31" s="85" t="str">
        <f ca="1">RIGHT(INDEX($D$9:$D$47,MATCH('EEPROM-Contents'!AF25,$B$9:$B$47,0)),2)</f>
        <v>10</v>
      </c>
      <c r="AF31" s="82" t="str">
        <f t="shared" ca="1" si="3"/>
        <v>1200CD7C0A000000000000000000000000FF6464020B8906051000</v>
      </c>
    </row>
    <row r="32" spans="2:32" x14ac:dyDescent="0.25">
      <c r="B32" s="86">
        <f>'EEPROM-Contents'!B105</f>
        <v>101</v>
      </c>
      <c r="C32" s="76">
        <f t="shared" si="4"/>
        <v>0</v>
      </c>
      <c r="D32" s="76" t="str">
        <f>LEFT(RIGHT($D$5,8),2)</f>
        <v>00</v>
      </c>
      <c r="E32" s="67" t="str">
        <f>'EEPROM-Contents'!L105</f>
        <v>Manufacturer / Lot ID</v>
      </c>
      <c r="F32" s="68"/>
      <c r="G32" s="69"/>
      <c r="N32" s="79" t="s">
        <v>365</v>
      </c>
      <c r="O32" s="85" t="str">
        <f>RIGHT(INDEX($D$9:$D$47,MATCH('EEPROM-Contents'!Q26,$B$9:$B$47,0)),2)</f>
        <v>03</v>
      </c>
      <c r="P32" s="85" t="str">
        <f>RIGHT(INDEX($D$9:$D$47,MATCH('EEPROM-Contents'!R26,$B$9:$B$47,0)),2)</f>
        <v>F5</v>
      </c>
      <c r="Q32" s="85" t="str">
        <f>RIGHT(INDEX($D$9:$D$47,MATCH('EEPROM-Contents'!S26,$B$9:$B$47,0)),2)</f>
        <v>00</v>
      </c>
      <c r="R32" s="85" t="str">
        <f>RIGHT(INDEX($D$9:$D$47,MATCH('EEPROM-Contents'!T26,$B$9:$B$47,0)),2)</f>
        <v>00</v>
      </c>
      <c r="S32" s="85" t="str">
        <f>RIGHT(INDEX($D$9:$D$47,MATCH('EEPROM-Contents'!U26,$B$9:$B$47,0)),2)</f>
        <v>27</v>
      </c>
      <c r="T32" s="85" t="str">
        <f>RIGHT(INDEX($D$9:$D$47,MATCH('EEPROM-Contents'!V26,$B$9:$B$47,0)),2)</f>
        <v>0F</v>
      </c>
      <c r="U32" s="85" t="str">
        <f>RIGHT(INDEX($D$9:$D$47,MATCH('EEPROM-Contents'!W26,$B$9:$B$47,0)),2)</f>
        <v>00</v>
      </c>
      <c r="V32" s="85" t="str">
        <f>RIGHT(INDEX($D$9:$D$47,MATCH('EEPROM-Contents'!X26,$B$9:$B$47,0)),2)</f>
        <v>00</v>
      </c>
      <c r="W32" s="85" t="str">
        <f>RIGHT(INDEX($D$9:$D$47,MATCH('EEPROM-Contents'!Y26,$B$9:$B$47,0)),2)</f>
        <v>00</v>
      </c>
      <c r="X32" s="85" t="str">
        <f>RIGHT(INDEX($D$9:$D$47,MATCH('EEPROM-Contents'!Z26,$B$9:$B$47,0)),2)</f>
        <v>00</v>
      </c>
      <c r="Y32" s="85" t="str">
        <f>RIGHT(INDEX($D$9:$D$47,MATCH('EEPROM-Contents'!AA26,$B$9:$B$47,0)),2)</f>
        <v>00</v>
      </c>
      <c r="Z32" s="85" t="str">
        <f>RIGHT(INDEX($D$9:$D$47,MATCH('EEPROM-Contents'!AB26,$B$9:$B$47,0)),2)</f>
        <v>00</v>
      </c>
      <c r="AA32" s="85" t="str">
        <f>RIGHT(INDEX($D$9:$D$47,MATCH('EEPROM-Contents'!AC26,$B$9:$B$47,0)),2)</f>
        <v>00</v>
      </c>
      <c r="AB32" s="85" t="str">
        <f>RIGHT(INDEX($D$9:$D$47,MATCH('EEPROM-Contents'!AD26,$B$9:$B$47,0)),2)</f>
        <v>00</v>
      </c>
      <c r="AC32" s="85" t="str">
        <f>RIGHT(INDEX($D$9:$D$47,MATCH('EEPROM-Contents'!AE26,$B$9:$B$47,0)),2)</f>
        <v>FF</v>
      </c>
      <c r="AD32" s="85" t="str">
        <f>RIGHT(INDEX($D$9:$D$47,MATCH('EEPROM-Contents'!AF26,$B$9:$B$47,0)),2)</f>
        <v>64</v>
      </c>
      <c r="AF32" s="82" t="str">
        <f t="shared" si="3"/>
        <v>1200CD7C0A000000000003F50000270F0000000000000000FF6400</v>
      </c>
    </row>
    <row r="33" spans="2:32" x14ac:dyDescent="0.25">
      <c r="B33" s="86">
        <f>'EEPROM-Contents'!B106</f>
        <v>102</v>
      </c>
      <c r="C33" s="76">
        <f t="shared" si="4"/>
        <v>0</v>
      </c>
      <c r="D33" s="76" t="str">
        <f>LEFT(RIGHT($D$5,6),2)</f>
        <v>00</v>
      </c>
      <c r="E33" s="67" t="str">
        <f>'EEPROM-Contents'!L106</f>
        <v>Manufacturer / Lot ID</v>
      </c>
      <c r="F33" s="68"/>
      <c r="G33" s="69"/>
      <c r="N33" s="79" t="s">
        <v>366</v>
      </c>
      <c r="O33" s="85" t="str">
        <f>RIGHT(INDEX($D$9:$D$47,MATCH('EEPROM-Contents'!Q27,$B$9:$B$47,0)),2)</f>
        <v>64</v>
      </c>
      <c r="P33" s="85" t="str">
        <f ca="1">RIGHT(INDEX($D$9:$D$47,MATCH('EEPROM-Contents'!R27,$B$9:$B$47,0)),2)</f>
        <v>02</v>
      </c>
      <c r="Q33" s="80" t="str">
        <f>RIGHT(INDEX('EEPROM-Contents'!$K$4:'EEPROM-Contents'!$K$141,MATCH('EEPROM-Contents'!S27,'EEPROM-Contents'!$I$4:'EEPROM-Contents'!$I$141,0)),2)</f>
        <v>0C</v>
      </c>
      <c r="R33" s="85" t="str">
        <f>RIGHT(INDEX($D$9:$D$47,MATCH('EEPROM-Contents'!T27,$B$9:$B$47,0)),2)</f>
        <v>89</v>
      </c>
      <c r="S33" s="85" t="str">
        <f ca="1">RIGHT(INDEX($D$9:$D$47,MATCH('EEPROM-Contents'!U27,$B$9:$B$47,0)),2)</f>
        <v>06</v>
      </c>
      <c r="T33" s="85" t="str">
        <f ca="1">RIGHT(INDEX($D$9:$D$47,MATCH('EEPROM-Contents'!V27,$B$9:$B$47,0)),2)</f>
        <v>05</v>
      </c>
      <c r="U33" s="85" t="str">
        <f ca="1">RIGHT(INDEX($D$9:$D$47,MATCH('EEPROM-Contents'!W27,$B$9:$B$47,0)),2)</f>
        <v>10</v>
      </c>
      <c r="V33" s="85" t="str">
        <f>RIGHT(INDEX($D$9:$D$47,MATCH('EEPROM-Contents'!X27,$B$9:$B$47,0)),2)</f>
        <v>03</v>
      </c>
      <c r="W33" s="85" t="str">
        <f>RIGHT(INDEX($D$9:$D$47,MATCH('EEPROM-Contents'!Y27,$B$9:$B$47,0)),2)</f>
        <v>F5</v>
      </c>
      <c r="X33" s="85" t="str">
        <f>RIGHT(INDEX($D$9:$D$47,MATCH('EEPROM-Contents'!Z27,$B$9:$B$47,0)),2)</f>
        <v>00</v>
      </c>
      <c r="Y33" s="85" t="str">
        <f>RIGHT(INDEX($D$9:$D$47,MATCH('EEPROM-Contents'!AA27,$B$9:$B$47,0)),2)</f>
        <v>00</v>
      </c>
      <c r="Z33" s="85" t="str">
        <f>RIGHT(INDEX($D$9:$D$47,MATCH('EEPROM-Contents'!AB27,$B$9:$B$47,0)),2)</f>
        <v>27</v>
      </c>
      <c r="AA33" s="85" t="str">
        <f>RIGHT(INDEX($D$9:$D$47,MATCH('EEPROM-Contents'!AC27,$B$9:$B$47,0)),2)</f>
        <v>0F</v>
      </c>
      <c r="AB33" s="85" t="str">
        <f>RIGHT(INDEX($D$9:$D$47,MATCH('EEPROM-Contents'!AD27,$B$9:$B$47,0)),2)</f>
        <v>00</v>
      </c>
      <c r="AC33" s="85" t="str">
        <f>RIGHT(INDEX($D$9:$D$47,MATCH('EEPROM-Contents'!AE27,$B$9:$B$47,0)),2)</f>
        <v>00</v>
      </c>
      <c r="AD33" s="85" t="str">
        <f>RIGHT(INDEX($D$9:$D$47,MATCH('EEPROM-Contents'!AF27,$B$9:$B$47,0)),2)</f>
        <v>00</v>
      </c>
      <c r="AF33" s="82" t="str">
        <f t="shared" ca="1" si="3"/>
        <v>1200CD7C0A000000000064020C8906051003F50000270F00000000</v>
      </c>
    </row>
    <row r="34" spans="2:32" x14ac:dyDescent="0.25">
      <c r="B34" s="86">
        <f>'EEPROM-Contents'!B107</f>
        <v>103</v>
      </c>
      <c r="C34" s="76">
        <f t="shared" si="4"/>
        <v>39</v>
      </c>
      <c r="D34" s="76" t="str">
        <f>LEFT(RIGHT($D$5,4),2)</f>
        <v>27</v>
      </c>
      <c r="E34" s="67" t="str">
        <f>'EEPROM-Contents'!L107</f>
        <v>Manufacturer / Lot ID</v>
      </c>
      <c r="F34" s="68"/>
      <c r="G34" s="69"/>
      <c r="N34" s="79" t="s">
        <v>367</v>
      </c>
      <c r="O34" s="85" t="str">
        <f>RIGHT(INDEX($D$9:$D$47,MATCH('EEPROM-Contents'!Q28,$B$9:$B$47,0)),2)</f>
        <v>00</v>
      </c>
      <c r="P34" s="85" t="str">
        <f>RIGHT(INDEX($D$9:$D$47,MATCH('EEPROM-Contents'!R28,$B$9:$B$47,0)),2)</f>
        <v>00</v>
      </c>
      <c r="Q34" s="85" t="str">
        <f>RIGHT(INDEX($D$9:$D$47,MATCH('EEPROM-Contents'!S28,$B$9:$B$47,0)),2)</f>
        <v>00</v>
      </c>
      <c r="R34" s="85" t="str">
        <f>RIGHT(INDEX($D$9:$D$47,MATCH('EEPROM-Contents'!T28,$B$9:$B$47,0)),2)</f>
        <v>00</v>
      </c>
      <c r="S34" s="85" t="str">
        <f>RIGHT(INDEX($D$9:$D$47,MATCH('EEPROM-Contents'!U28,$B$9:$B$47,0)),2)</f>
        <v>00</v>
      </c>
      <c r="T34" s="85" t="str">
        <f>RIGHT(INDEX($D$9:$D$47,MATCH('EEPROM-Contents'!V28,$B$9:$B$47,0)),2)</f>
        <v>FF</v>
      </c>
      <c r="U34" s="85" t="str">
        <f>RIGHT(INDEX($D$9:$D$47,MATCH('EEPROM-Contents'!W28,$B$9:$B$47,0)),2)</f>
        <v>64</v>
      </c>
      <c r="V34" s="85" t="str">
        <f>RIGHT(INDEX($D$9:$D$47,MATCH('EEPROM-Contents'!X28,$B$9:$B$47,0)),2)</f>
        <v>64</v>
      </c>
      <c r="W34" s="85" t="str">
        <f ca="1">RIGHT(INDEX($D$9:$D$47,MATCH('EEPROM-Contents'!Y28,$B$9:$B$47,0)),2)</f>
        <v>02</v>
      </c>
      <c r="X34" s="80" t="str">
        <f>RIGHT(INDEX('EEPROM-Contents'!$K$4:'EEPROM-Contents'!$K$141,MATCH('EEPROM-Contents'!Z28,'EEPROM-Contents'!$I$4:'EEPROM-Contents'!$I$141,0)),2)</f>
        <v>0D</v>
      </c>
      <c r="Y34" s="85" t="str">
        <f>RIGHT(INDEX($D$9:$D$47,MATCH('EEPROM-Contents'!AA28,$B$9:$B$47,0)),2)</f>
        <v>89</v>
      </c>
      <c r="Z34" s="85" t="str">
        <f ca="1">RIGHT(INDEX($D$9:$D$47,MATCH('EEPROM-Contents'!AB28,$B$9:$B$47,0)),2)</f>
        <v>06</v>
      </c>
      <c r="AA34" s="85" t="str">
        <f ca="1">RIGHT(INDEX($D$9:$D$47,MATCH('EEPROM-Contents'!AC28,$B$9:$B$47,0)),2)</f>
        <v>05</v>
      </c>
      <c r="AB34" s="85" t="str">
        <f ca="1">RIGHT(INDEX($D$9:$D$47,MATCH('EEPROM-Contents'!AD28,$B$9:$B$47,0)),2)</f>
        <v>10</v>
      </c>
      <c r="AC34" s="85" t="str">
        <f>RIGHT(INDEX($D$9:$D$47,MATCH('EEPROM-Contents'!AE28,$B$9:$B$47,0)),2)</f>
        <v>03</v>
      </c>
      <c r="AD34" s="85" t="str">
        <f>RIGHT(INDEX($D$9:$D$47,MATCH('EEPROM-Contents'!AF28,$B$9:$B$47,0)),2)</f>
        <v>F5</v>
      </c>
      <c r="AF34" s="82" t="str">
        <f t="shared" ca="1" si="3"/>
        <v>1200CD7C0A00000000000000000000FF6464020D8906051003F500</v>
      </c>
    </row>
    <row r="35" spans="2:32" x14ac:dyDescent="0.25">
      <c r="B35" s="86">
        <f>'EEPROM-Contents'!B108</f>
        <v>104</v>
      </c>
      <c r="C35" s="76">
        <f t="shared" si="4"/>
        <v>15</v>
      </c>
      <c r="D35" s="76" t="str">
        <f>LEFT(RIGHT($D$5,2),2)</f>
        <v>0F</v>
      </c>
      <c r="E35" s="67" t="str">
        <f>'EEPROM-Contents'!L108</f>
        <v>Manufacturer / Lot ID</v>
      </c>
      <c r="F35" s="68"/>
      <c r="G35" s="69"/>
      <c r="N35" s="79" t="s">
        <v>368</v>
      </c>
      <c r="O35" s="85" t="str">
        <f>RIGHT(INDEX($D$9:$D$47,MATCH('EEPROM-Contents'!Q29,$B$9:$B$47,0)),2)</f>
        <v>00</v>
      </c>
      <c r="P35" s="85" t="str">
        <f>RIGHT(INDEX($D$9:$D$47,MATCH('EEPROM-Contents'!R29,$B$9:$B$47,0)),2)</f>
        <v>00</v>
      </c>
      <c r="Q35" s="85" t="str">
        <f>RIGHT(INDEX($D$9:$D$47,MATCH('EEPROM-Contents'!S29,$B$9:$B$47,0)),2)</f>
        <v>27</v>
      </c>
      <c r="R35" s="85" t="str">
        <f>RIGHT(INDEX($D$9:$D$47,MATCH('EEPROM-Contents'!T29,$B$9:$B$47,0)),2)</f>
        <v>0F</v>
      </c>
      <c r="S35" s="85" t="str">
        <f>RIGHT(INDEX($D$9:$D$47,MATCH('EEPROM-Contents'!U29,$B$9:$B$47,0)),2)</f>
        <v>00</v>
      </c>
      <c r="T35" s="85" t="str">
        <f>RIGHT(INDEX($D$9:$D$47,MATCH('EEPROM-Contents'!V29,$B$9:$B$47,0)),2)</f>
        <v>00</v>
      </c>
      <c r="U35" s="85" t="str">
        <f>RIGHT(INDEX($D$9:$D$47,MATCH('EEPROM-Contents'!W29,$B$9:$B$47,0)),2)</f>
        <v>00</v>
      </c>
      <c r="V35" s="85" t="str">
        <f>RIGHT(INDEX($D$9:$D$47,MATCH('EEPROM-Contents'!X29,$B$9:$B$47,0)),2)</f>
        <v>00</v>
      </c>
      <c r="W35" s="85" t="str">
        <f>RIGHT(INDEX($D$9:$D$47,MATCH('EEPROM-Contents'!Y29,$B$9:$B$47,0)),2)</f>
        <v>00</v>
      </c>
      <c r="X35" s="85" t="str">
        <f>RIGHT(INDEX($D$9:$D$47,MATCH('EEPROM-Contents'!Z29,$B$9:$B$47,0)),2)</f>
        <v>00</v>
      </c>
      <c r="Y35" s="85" t="str">
        <f>RIGHT(INDEX($D$9:$D$47,MATCH('EEPROM-Contents'!AA29,$B$9:$B$47,0)),2)</f>
        <v>00</v>
      </c>
      <c r="Z35" s="85" t="str">
        <f>RIGHT(INDEX($D$9:$D$47,MATCH('EEPROM-Contents'!AB29,$B$9:$B$47,0)),2)</f>
        <v>00</v>
      </c>
      <c r="AA35" s="85" t="str">
        <f>RIGHT(INDEX($D$9:$D$47,MATCH('EEPROM-Contents'!AC29,$B$9:$B$47,0)),2)</f>
        <v>FF</v>
      </c>
      <c r="AB35" s="85" t="str">
        <f>RIGHT(INDEX($D$9:$D$47,MATCH('EEPROM-Contents'!AD29,$B$9:$B$47,0)),2)</f>
        <v>64</v>
      </c>
      <c r="AC35" s="85" t="str">
        <f>RIGHT(INDEX($D$9:$D$47,MATCH('EEPROM-Contents'!AE29,$B$9:$B$47,0)),2)</f>
        <v>64</v>
      </c>
      <c r="AD35" s="85" t="str">
        <f ca="1">RIGHT(INDEX($D$9:$D$47,MATCH('EEPROM-Contents'!AF29,$B$9:$B$47,0)),2)</f>
        <v>02</v>
      </c>
      <c r="AF35" s="82" t="str">
        <f t="shared" ca="1" si="3"/>
        <v>1200CD7C0A00000000000000270F0000000000000000FF64640200</v>
      </c>
    </row>
    <row r="36" spans="2:32" x14ac:dyDescent="0.25">
      <c r="B36" s="86">
        <f>'EEPROM-Contents'!B109</f>
        <v>105</v>
      </c>
      <c r="C36" s="76">
        <f t="shared" si="4"/>
        <v>0</v>
      </c>
      <c r="D36" s="77" t="str">
        <f>$I$5</f>
        <v>00</v>
      </c>
      <c r="E36" s="67" t="str">
        <f>'EEPROM-Contents'!L109</f>
        <v>Accelerometer Cal</v>
      </c>
      <c r="F36" s="68"/>
      <c r="G36" s="69"/>
      <c r="N36" s="79" t="s">
        <v>369</v>
      </c>
      <c r="O36" s="80" t="str">
        <f>RIGHT(INDEX('EEPROM-Contents'!$K$4:'EEPROM-Contents'!$K$141,MATCH('EEPROM-Contents'!Q30,'EEPROM-Contents'!$I$4:'EEPROM-Contents'!$I$141,0)),2)</f>
        <v>0E</v>
      </c>
      <c r="P36" s="85" t="str">
        <f>RIGHT(INDEX($D$9:$D$47,MATCH('EEPROM-Contents'!R30,$B$9:$B$47,0)),2)</f>
        <v>89</v>
      </c>
      <c r="Q36" s="85" t="str">
        <f ca="1">RIGHT(INDEX($D$9:$D$47,MATCH('EEPROM-Contents'!S30,$B$9:$B$47,0)),2)</f>
        <v>06</v>
      </c>
      <c r="R36" s="85" t="str">
        <f ca="1">RIGHT(INDEX($D$9:$D$47,MATCH('EEPROM-Contents'!T30,$B$9:$B$47,0)),2)</f>
        <v>05</v>
      </c>
      <c r="S36" s="85" t="str">
        <f ca="1">RIGHT(INDEX($D$9:$D$47,MATCH('EEPROM-Contents'!U30,$B$9:$B$47,0)),2)</f>
        <v>10</v>
      </c>
      <c r="T36" s="85" t="str">
        <f>RIGHT(INDEX($D$9:$D$47,MATCH('EEPROM-Contents'!V30,$B$9:$B$47,0)),2)</f>
        <v>03</v>
      </c>
      <c r="U36" s="85" t="str">
        <f>RIGHT(INDEX($D$9:$D$47,MATCH('EEPROM-Contents'!W30,$B$9:$B$47,0)),2)</f>
        <v>F5</v>
      </c>
      <c r="V36" s="85" t="str">
        <f>RIGHT(INDEX($D$9:$D$47,MATCH('EEPROM-Contents'!X30,$B$9:$B$47,0)),2)</f>
        <v>00</v>
      </c>
      <c r="W36" s="85" t="str">
        <f>RIGHT(INDEX($D$9:$D$47,MATCH('EEPROM-Contents'!Y30,$B$9:$B$47,0)),2)</f>
        <v>00</v>
      </c>
      <c r="X36" s="85" t="str">
        <f>RIGHT(INDEX($D$9:$D$47,MATCH('EEPROM-Contents'!Z30,$B$9:$B$47,0)),2)</f>
        <v>27</v>
      </c>
      <c r="Y36" s="85" t="str">
        <f>RIGHT(INDEX($D$9:$D$47,MATCH('EEPROM-Contents'!AA30,$B$9:$B$47,0)),2)</f>
        <v>0F</v>
      </c>
      <c r="Z36" s="85" t="str">
        <f>RIGHT(INDEX($D$9:$D$47,MATCH('EEPROM-Contents'!AB30,$B$9:$B$47,0)),2)</f>
        <v>00</v>
      </c>
      <c r="AA36" s="85" t="str">
        <f>RIGHT(INDEX($D$9:$D$47,MATCH('EEPROM-Contents'!AC30,$B$9:$B$47,0)),2)</f>
        <v>00</v>
      </c>
      <c r="AB36" s="85" t="str">
        <f>RIGHT(INDEX($D$9:$D$47,MATCH('EEPROM-Contents'!AD30,$B$9:$B$47,0)),2)</f>
        <v>00</v>
      </c>
      <c r="AC36" s="85" t="str">
        <f>RIGHT(INDEX($D$9:$D$47,MATCH('EEPROM-Contents'!AE30,$B$9:$B$47,0)),2)</f>
        <v>00</v>
      </c>
      <c r="AD36" s="85" t="str">
        <f>RIGHT(INDEX($D$9:$D$47,MATCH('EEPROM-Contents'!AF30,$B$9:$B$47,0)),2)</f>
        <v>00</v>
      </c>
      <c r="AF36" s="82" t="str">
        <f t="shared" ca="1" si="3"/>
        <v>1200CD7C0A00000000000E8906051003F50000270F000000000000</v>
      </c>
    </row>
    <row r="37" spans="2:32" x14ac:dyDescent="0.25">
      <c r="B37" s="86">
        <f>'EEPROM-Contents'!B110</f>
        <v>106</v>
      </c>
      <c r="C37" s="76">
        <f t="shared" si="4"/>
        <v>0</v>
      </c>
      <c r="D37" s="77" t="str">
        <f t="shared" ref="D37:D43" si="5">$I$5</f>
        <v>00</v>
      </c>
      <c r="E37" s="67" t="str">
        <f>'EEPROM-Contents'!L110</f>
        <v>Accelerometer Cal</v>
      </c>
      <c r="F37" s="68"/>
      <c r="G37" s="69"/>
      <c r="N37" s="79" t="s">
        <v>370</v>
      </c>
      <c r="O37" s="85" t="str">
        <f>RIGHT(INDEX($D$9:$D$47,MATCH('EEPROM-Contents'!Q31,$B$9:$B$47,0)),2)</f>
        <v>00</v>
      </c>
      <c r="P37" s="85" t="str">
        <f>RIGHT(INDEX($D$9:$D$47,MATCH('EEPROM-Contents'!R31,$B$9:$B$47,0)),2)</f>
        <v>00</v>
      </c>
      <c r="Q37" s="85" t="str">
        <f>RIGHT(INDEX($D$9:$D$47,MATCH('EEPROM-Contents'!S31,$B$9:$B$47,0)),2)</f>
        <v>00</v>
      </c>
      <c r="R37" s="85" t="str">
        <f>RIGHT(INDEX($D$9:$D$47,MATCH('EEPROM-Contents'!T31,$B$9:$B$47,0)),2)</f>
        <v>FF</v>
      </c>
      <c r="S37" s="85" t="str">
        <f>RIGHT(INDEX($D$9:$D$47,MATCH('EEPROM-Contents'!U31,$B$9:$B$47,0)),2)</f>
        <v>64</v>
      </c>
      <c r="T37" s="85" t="str">
        <f>RIGHT(INDEX($D$9:$D$47,MATCH('EEPROM-Contents'!V31,$B$9:$B$47,0)),2)</f>
        <v>64</v>
      </c>
      <c r="U37" s="85" t="str">
        <f ca="1">RIGHT(INDEX($D$9:$D$47,MATCH('EEPROM-Contents'!W31,$B$9:$B$47,0)),2)</f>
        <v>02</v>
      </c>
      <c r="V37" s="80" t="str">
        <f>RIGHT(INDEX('EEPROM-Contents'!$K$4:'EEPROM-Contents'!$K$141,MATCH('EEPROM-Contents'!X31,'EEPROM-Contents'!$I$4:'EEPROM-Contents'!$I$141,0)),2)</f>
        <v>0F</v>
      </c>
      <c r="W37" s="85" t="str">
        <f>RIGHT(INDEX($D$9:$D$47,MATCH('EEPROM-Contents'!Y31,$B$9:$B$47,0)),2)</f>
        <v>89</v>
      </c>
      <c r="X37" s="85" t="str">
        <f ca="1">RIGHT(INDEX($D$9:$D$47,MATCH('EEPROM-Contents'!Z31,$B$9:$B$47,0)),2)</f>
        <v>06</v>
      </c>
      <c r="Y37" s="85" t="str">
        <f ca="1">RIGHT(INDEX($D$9:$D$47,MATCH('EEPROM-Contents'!AA31,$B$9:$B$47,0)),2)</f>
        <v>05</v>
      </c>
      <c r="Z37" s="85" t="str">
        <f ca="1">RIGHT(INDEX($D$9:$D$47,MATCH('EEPROM-Contents'!AB31,$B$9:$B$47,0)),2)</f>
        <v>10</v>
      </c>
      <c r="AA37" s="85" t="str">
        <f>RIGHT(INDEX($D$9:$D$47,MATCH('EEPROM-Contents'!AC31,$B$9:$B$47,0)),2)</f>
        <v>03</v>
      </c>
      <c r="AB37" s="85" t="str">
        <f>RIGHT(INDEX($D$9:$D$47,MATCH('EEPROM-Contents'!AD31,$B$9:$B$47,0)),2)</f>
        <v>F5</v>
      </c>
      <c r="AC37" s="85" t="str">
        <f>RIGHT(INDEX($D$9:$D$47,MATCH('EEPROM-Contents'!AE31,$B$9:$B$47,0)),2)</f>
        <v>00</v>
      </c>
      <c r="AD37" s="85" t="str">
        <f>RIGHT(INDEX($D$9:$D$47,MATCH('EEPROM-Contents'!AF31,$B$9:$B$47,0)),2)</f>
        <v>00</v>
      </c>
      <c r="AF37" s="82" t="str">
        <f t="shared" ca="1" si="3"/>
        <v>1200CD7C0A0000000000000000FF6464020F8906051003F5000000</v>
      </c>
    </row>
    <row r="38" spans="2:32" x14ac:dyDescent="0.25">
      <c r="B38" s="86">
        <f>'EEPROM-Contents'!B111</f>
        <v>107</v>
      </c>
      <c r="C38" s="76">
        <f t="shared" si="4"/>
        <v>0</v>
      </c>
      <c r="D38" s="77" t="str">
        <f t="shared" si="5"/>
        <v>00</v>
      </c>
      <c r="E38" s="67" t="str">
        <f>'EEPROM-Contents'!L111</f>
        <v>Accelerometer Cal</v>
      </c>
      <c r="F38" s="68"/>
      <c r="G38" s="69"/>
      <c r="N38" s="79" t="s">
        <v>371</v>
      </c>
      <c r="O38" s="85" t="str">
        <f>RIGHT(INDEX($D$9:$D$47,MATCH('EEPROM-Contents'!Q32,$B$9:$B$47,0)),2)</f>
        <v>27</v>
      </c>
      <c r="P38" s="85" t="str">
        <f>RIGHT(INDEX($D$9:$D$47,MATCH('EEPROM-Contents'!R32,$B$9:$B$47,0)),2)</f>
        <v>0F</v>
      </c>
      <c r="Q38" s="85" t="str">
        <f>RIGHT(INDEX($D$9:$D$47,MATCH('EEPROM-Contents'!S32,$B$9:$B$47,0)),2)</f>
        <v>00</v>
      </c>
      <c r="R38" s="85" t="str">
        <f>RIGHT(INDEX($D$9:$D$47,MATCH('EEPROM-Contents'!T32,$B$9:$B$47,0)),2)</f>
        <v>00</v>
      </c>
      <c r="S38" s="85" t="str">
        <f>RIGHT(INDEX($D$9:$D$47,MATCH('EEPROM-Contents'!U32,$B$9:$B$47,0)),2)</f>
        <v>00</v>
      </c>
      <c r="T38" s="85" t="str">
        <f>RIGHT(INDEX($D$9:$D$47,MATCH('EEPROM-Contents'!V32,$B$9:$B$47,0)),2)</f>
        <v>00</v>
      </c>
      <c r="U38" s="85" t="str">
        <f>RIGHT(INDEX($D$9:$D$47,MATCH('EEPROM-Contents'!W32,$B$9:$B$47,0)),2)</f>
        <v>00</v>
      </c>
      <c r="V38" s="85" t="str">
        <f>RIGHT(INDEX($D$9:$D$47,MATCH('EEPROM-Contents'!X32,$B$9:$B$47,0)),2)</f>
        <v>00</v>
      </c>
      <c r="W38" s="85" t="str">
        <f>RIGHT(INDEX($D$9:$D$47,MATCH('EEPROM-Contents'!Y32,$B$9:$B$47,0)),2)</f>
        <v>00</v>
      </c>
      <c r="X38" s="85" t="str">
        <f>RIGHT(INDEX($D$9:$D$47,MATCH('EEPROM-Contents'!Z32,$B$9:$B$47,0)),2)</f>
        <v>00</v>
      </c>
      <c r="Y38" s="85" t="str">
        <f>RIGHT(INDEX($D$9:$D$47,MATCH('EEPROM-Contents'!AA32,$B$9:$B$47,0)),2)</f>
        <v>FF</v>
      </c>
      <c r="Z38" s="85" t="str">
        <f>RIGHT(INDEX($D$9:$D$47,MATCH('EEPROM-Contents'!AB32,$B$9:$B$47,0)),2)</f>
        <v>64</v>
      </c>
      <c r="AA38" s="85" t="str">
        <f>RIGHT(INDEX($D$9:$D$47,MATCH('EEPROM-Contents'!AC32,$B$9:$B$47,0)),2)</f>
        <v>64</v>
      </c>
      <c r="AB38" s="85" t="str">
        <f ca="1">RIGHT(INDEX($D$9:$D$47,MATCH('EEPROM-Contents'!AD32,$B$9:$B$47,0)),2)</f>
        <v>02</v>
      </c>
      <c r="AC38" s="80" t="str">
        <f>RIGHT(INDEX('EEPROM-Contents'!$K$4:'EEPROM-Contents'!$K$141,MATCH('EEPROM-Contents'!AE32,'EEPROM-Contents'!$I$4:'EEPROM-Contents'!$I$141,0)),2)</f>
        <v>10</v>
      </c>
      <c r="AD38" s="85" t="str">
        <f>RIGHT(INDEX($D$9:$D$47,MATCH('EEPROM-Contents'!AF32,$B$9:$B$47,0)),2)</f>
        <v>89</v>
      </c>
      <c r="AF38" s="82" t="str">
        <f t="shared" ca="1" si="3"/>
        <v>1200CD7C0A0000000000270F0000000000000000FF646402108900</v>
      </c>
    </row>
    <row r="39" spans="2:32" x14ac:dyDescent="0.25">
      <c r="B39" s="86">
        <f>'EEPROM-Contents'!B112</f>
        <v>108</v>
      </c>
      <c r="C39" s="76">
        <f t="shared" si="4"/>
        <v>0</v>
      </c>
      <c r="D39" s="77" t="str">
        <f t="shared" si="5"/>
        <v>00</v>
      </c>
      <c r="E39" s="67" t="str">
        <f>'EEPROM-Contents'!L112</f>
        <v>Accelerometer Cal</v>
      </c>
      <c r="F39" s="68"/>
      <c r="G39" s="69"/>
      <c r="N39" s="79" t="s">
        <v>372</v>
      </c>
      <c r="O39" s="85" t="str">
        <f ca="1">RIGHT(INDEX($D$9:$D$47,MATCH('EEPROM-Contents'!Q33,$B$9:$B$47,0)),2)</f>
        <v>06</v>
      </c>
      <c r="P39" s="85" t="str">
        <f ca="1">RIGHT(INDEX($D$9:$D$47,MATCH('EEPROM-Contents'!R33,$B$9:$B$47,0)),2)</f>
        <v>05</v>
      </c>
      <c r="Q39" s="85" t="str">
        <f ca="1">RIGHT(INDEX($D$9:$D$47,MATCH('EEPROM-Contents'!S33,$B$9:$B$47,0)),2)</f>
        <v>10</v>
      </c>
      <c r="R39" s="85" t="str">
        <f>RIGHT(INDEX($D$9:$D$47,MATCH('EEPROM-Contents'!T33,$B$9:$B$47,0)),2)</f>
        <v>03</v>
      </c>
      <c r="S39" s="85" t="str">
        <f>RIGHT(INDEX($D$9:$D$47,MATCH('EEPROM-Contents'!U33,$B$9:$B$47,0)),2)</f>
        <v>F5</v>
      </c>
      <c r="T39" s="85" t="str">
        <f>RIGHT(INDEX($D$9:$D$47,MATCH('EEPROM-Contents'!V33,$B$9:$B$47,0)),2)</f>
        <v>00</v>
      </c>
      <c r="U39" s="85" t="str">
        <f>RIGHT(INDEX($D$9:$D$47,MATCH('EEPROM-Contents'!W33,$B$9:$B$47,0)),2)</f>
        <v>00</v>
      </c>
      <c r="V39" s="85" t="str">
        <f>RIGHT(INDEX($D$9:$D$47,MATCH('EEPROM-Contents'!X33,$B$9:$B$47,0)),2)</f>
        <v>27</v>
      </c>
      <c r="W39" s="85" t="str">
        <f>RIGHT(INDEX($D$9:$D$47,MATCH('EEPROM-Contents'!Y33,$B$9:$B$47,0)),2)</f>
        <v>0F</v>
      </c>
      <c r="X39" s="85" t="str">
        <f>RIGHT(INDEX($D$9:$D$47,MATCH('EEPROM-Contents'!Z33,$B$9:$B$47,0)),2)</f>
        <v>00</v>
      </c>
      <c r="Y39" s="85" t="str">
        <f>RIGHT(INDEX($D$9:$D$47,MATCH('EEPROM-Contents'!AA33,$B$9:$B$47,0)),2)</f>
        <v>00</v>
      </c>
      <c r="Z39" s="85" t="str">
        <f>RIGHT(INDEX($D$9:$D$47,MATCH('EEPROM-Contents'!AB33,$B$9:$B$47,0)),2)</f>
        <v>00</v>
      </c>
      <c r="AA39" s="85" t="str">
        <f>RIGHT(INDEX($D$9:$D$47,MATCH('EEPROM-Contents'!AC33,$B$9:$B$47,0)),2)</f>
        <v>00</v>
      </c>
      <c r="AB39" s="85" t="str">
        <f>RIGHT(INDEX($D$9:$D$47,MATCH('EEPROM-Contents'!AD33,$B$9:$B$47,0)),2)</f>
        <v>00</v>
      </c>
      <c r="AC39" s="85" t="str">
        <f>RIGHT(INDEX($D$9:$D$47,MATCH('EEPROM-Contents'!AE33,$B$9:$B$47,0)),2)</f>
        <v>00</v>
      </c>
      <c r="AD39" s="85" t="str">
        <f>RIGHT(INDEX($D$9:$D$47,MATCH('EEPROM-Contents'!AF33,$B$9:$B$47,0)),2)</f>
        <v>00</v>
      </c>
      <c r="AF39" s="82" t="str">
        <f t="shared" ca="1" si="3"/>
        <v>1200CD7C0A000000000006051003F50000270F0000000000000000</v>
      </c>
    </row>
    <row r="40" spans="2:32" x14ac:dyDescent="0.25">
      <c r="B40" s="86">
        <f>'EEPROM-Contents'!B113</f>
        <v>109</v>
      </c>
      <c r="C40" s="76">
        <f t="shared" si="4"/>
        <v>0</v>
      </c>
      <c r="D40" s="77" t="str">
        <f t="shared" si="5"/>
        <v>00</v>
      </c>
      <c r="E40" s="67" t="str">
        <f>'EEPROM-Contents'!L113</f>
        <v>Accelerometer Cal</v>
      </c>
      <c r="F40" s="68"/>
      <c r="G40" s="69"/>
      <c r="N40" s="79" t="s">
        <v>373</v>
      </c>
      <c r="O40" s="85" t="str">
        <f>RIGHT(INDEX($D$9:$D$47,MATCH('EEPROM-Contents'!Q34,$B$9:$B$47,0)),2)</f>
        <v>00</v>
      </c>
      <c r="P40" s="85" t="str">
        <f>RIGHT(INDEX($D$9:$D$47,MATCH('EEPROM-Contents'!R34,$B$9:$B$47,0)),2)</f>
        <v>FF</v>
      </c>
      <c r="Q40" s="85" t="str">
        <f>RIGHT(INDEX($D$9:$D$47,MATCH('EEPROM-Contents'!S34,$B$9:$B$47,0)),2)</f>
        <v>64</v>
      </c>
      <c r="R40" s="85" t="str">
        <f>RIGHT(INDEX($D$9:$D$47,MATCH('EEPROM-Contents'!T34,$B$9:$B$47,0)),2)</f>
        <v>64</v>
      </c>
      <c r="S40" s="85" t="str">
        <f ca="1">RIGHT(INDEX($D$9:$D$47,MATCH('EEPROM-Contents'!U34,$B$9:$B$47,0)),2)</f>
        <v>02</v>
      </c>
      <c r="T40" s="80" t="str">
        <f>RIGHT(INDEX('EEPROM-Contents'!$K$4:'EEPROM-Contents'!$K$141,MATCH('EEPROM-Contents'!V34,'EEPROM-Contents'!$I$4:'EEPROM-Contents'!$I$141,0)),2)</f>
        <v>11</v>
      </c>
      <c r="U40" s="85" t="str">
        <f>RIGHT(INDEX($D$9:$D$47,MATCH('EEPROM-Contents'!W34,$B$9:$B$47,0)),2)</f>
        <v>89</v>
      </c>
      <c r="V40" s="85" t="str">
        <f ca="1">RIGHT(INDEX($D$9:$D$47,MATCH('EEPROM-Contents'!X34,$B$9:$B$47,0)),2)</f>
        <v>06</v>
      </c>
      <c r="W40" s="85" t="str">
        <f ca="1">RIGHT(INDEX($D$9:$D$47,MATCH('EEPROM-Contents'!Y34,$B$9:$B$47,0)),2)</f>
        <v>05</v>
      </c>
      <c r="X40" s="85" t="str">
        <f ca="1">RIGHT(INDEX($D$9:$D$47,MATCH('EEPROM-Contents'!Z34,$B$9:$B$47,0)),2)</f>
        <v>10</v>
      </c>
      <c r="Y40" s="85" t="str">
        <f>RIGHT(INDEX($D$9:$D$47,MATCH('EEPROM-Contents'!AA34,$B$9:$B$47,0)),2)</f>
        <v>03</v>
      </c>
      <c r="Z40" s="85" t="str">
        <f>RIGHT(INDEX($D$9:$D$47,MATCH('EEPROM-Contents'!AB34,$B$9:$B$47,0)),2)</f>
        <v>F5</v>
      </c>
      <c r="AA40" s="85" t="str">
        <f>RIGHT(INDEX($D$9:$D$47,MATCH('EEPROM-Contents'!AC34,$B$9:$B$47,0)),2)</f>
        <v>00</v>
      </c>
      <c r="AB40" s="85" t="str">
        <f>RIGHT(INDEX($D$9:$D$47,MATCH('EEPROM-Contents'!AD34,$B$9:$B$47,0)),2)</f>
        <v>00</v>
      </c>
      <c r="AC40" s="85" t="str">
        <f>RIGHT(INDEX($D$9:$D$47,MATCH('EEPROM-Contents'!AE34,$B$9:$B$47,0)),2)</f>
        <v>27</v>
      </c>
      <c r="AD40" s="85" t="str">
        <f>RIGHT(INDEX($D$9:$D$47,MATCH('EEPROM-Contents'!AF34,$B$9:$B$47,0)),2)</f>
        <v>0F</v>
      </c>
      <c r="AF40" s="82" t="str">
        <f t="shared" ca="1" si="3"/>
        <v>1200CD7C0A000000000000FF646402118906051003F50000270F00</v>
      </c>
    </row>
    <row r="41" spans="2:32" ht="15.75" thickBot="1" x14ac:dyDescent="0.3">
      <c r="B41" s="86">
        <f>'EEPROM-Contents'!B114</f>
        <v>110</v>
      </c>
      <c r="C41" s="76">
        <f t="shared" si="4"/>
        <v>0</v>
      </c>
      <c r="D41" s="77" t="str">
        <f t="shared" si="5"/>
        <v>00</v>
      </c>
      <c r="E41" s="67" t="str">
        <f>'EEPROM-Contents'!L114</f>
        <v>Accelerometer Cal</v>
      </c>
      <c r="F41" s="68"/>
      <c r="G41" s="69"/>
      <c r="N41" s="79" t="s">
        <v>374</v>
      </c>
      <c r="O41" s="85" t="str">
        <f>RIGHT(INDEX($D$9:$D$47,MATCH('EEPROM-Contents'!Q35,$B$9:$B$47,0)),2)</f>
        <v>00</v>
      </c>
      <c r="P41" s="85" t="str">
        <f>RIGHT(INDEX($D$9:$D$47,MATCH('EEPROM-Contents'!R35,$B$9:$B$47,0)),2)</f>
        <v>00</v>
      </c>
      <c r="Q41" s="85" t="str">
        <f>RIGHT(INDEX($D$9:$D$47,MATCH('EEPROM-Contents'!S35,$B$9:$B$47,0)),2)</f>
        <v>00</v>
      </c>
      <c r="R41" s="85" t="str">
        <f>RIGHT(INDEX($D$9:$D$47,MATCH('EEPROM-Contents'!T35,$B$9:$B$47,0)),2)</f>
        <v>00</v>
      </c>
      <c r="S41" s="85" t="str">
        <f>RIGHT(INDEX($D$9:$D$47,MATCH('EEPROM-Contents'!U35,$B$9:$B$47,0)),2)</f>
        <v>00</v>
      </c>
      <c r="T41" s="85" t="str">
        <f>RIGHT(INDEX($D$9:$D$47,MATCH('EEPROM-Contents'!V35,$B$9:$B$47,0)),2)</f>
        <v>00</v>
      </c>
      <c r="U41" s="85" t="str">
        <f>RIGHT(INDEX($D$9:$D$47,MATCH('EEPROM-Contents'!W35,$B$9:$B$47,0)),2)</f>
        <v>00</v>
      </c>
      <c r="V41" s="85" t="str">
        <f>RIGHT(INDEX($D$9:$D$47,MATCH('EEPROM-Contents'!X35,$B$9:$B$47,0)),2)</f>
        <v>00</v>
      </c>
      <c r="W41" s="85" t="str">
        <f>RIGHT(INDEX($D$9:$D$47,MATCH('EEPROM-Contents'!Y35,$B$9:$B$47,0)),2)</f>
        <v>FF</v>
      </c>
      <c r="X41" s="85" t="str">
        <f>RIGHT(INDEX($D$9:$D$47,MATCH('EEPROM-Contents'!Z35,$B$9:$B$47,0)),2)</f>
        <v>64</v>
      </c>
      <c r="Y41" s="85" t="str">
        <f>RIGHT(INDEX($D$9:$D$47,MATCH('EEPROM-Contents'!AA35,$B$9:$B$47,0)),2)</f>
        <v>64</v>
      </c>
      <c r="Z41" s="85" t="str">
        <f ca="1">RIGHT(INDEX($D$9:$D$47,MATCH('EEPROM-Contents'!AB35,$B$9:$B$47,0)),2)</f>
        <v>02</v>
      </c>
      <c r="AA41" s="80" t="str">
        <f>RIGHT(INDEX('EEPROM-Contents'!$K$4:'EEPROM-Contents'!$K$141,MATCH('EEPROM-Contents'!AC35,'EEPROM-Contents'!$I$4:'EEPROM-Contents'!$I$141,0)),2)</f>
        <v>12</v>
      </c>
      <c r="AB41" s="80" t="str">
        <f>RIGHT(INDEX('EEPROM-Contents'!$K$4:'EEPROM-Contents'!$K$141,MATCH('EEPROM-Contents'!AD35,'EEPROM-Contents'!$I$4:'EEPROM-Contents'!$I$141,0)),2)</f>
        <v>80</v>
      </c>
      <c r="AC41" s="80" t="str">
        <f>RIGHT(INDEX('EEPROM-Contents'!$K$4:'EEPROM-Contents'!$K$141,MATCH('EEPROM-Contents'!AE35,'EEPROM-Contents'!$I$4:'EEPROM-Contents'!$I$141,0)),2)</f>
        <v>00</v>
      </c>
      <c r="AD41" s="80" t="str">
        <f>RIGHT(INDEX('EEPROM-Contents'!$K$4:'EEPROM-Contents'!$K$141,MATCH('EEPROM-Contents'!AF35,'EEPROM-Contents'!$I$4:'EEPROM-Contents'!$I$141,0)),2)</f>
        <v>00</v>
      </c>
      <c r="AF41" s="83" t="str">
        <f t="shared" ca="1" si="3"/>
        <v>1200CD7C0A00000000000000000000000000FF6464021280000000</v>
      </c>
    </row>
    <row r="42" spans="2:32" x14ac:dyDescent="0.25">
      <c r="B42" s="86">
        <f>'EEPROM-Contents'!B115</f>
        <v>111</v>
      </c>
      <c r="C42" s="76">
        <f t="shared" si="4"/>
        <v>0</v>
      </c>
      <c r="D42" s="77" t="str">
        <f t="shared" si="5"/>
        <v>00</v>
      </c>
      <c r="E42" s="67" t="str">
        <f>'EEPROM-Contents'!L115</f>
        <v>Voltage H Cal 3.1V</v>
      </c>
      <c r="F42" s="68"/>
      <c r="G42" s="69"/>
    </row>
    <row r="43" spans="2:32" x14ac:dyDescent="0.25">
      <c r="B43" s="86">
        <f>'EEPROM-Contents'!B116</f>
        <v>112</v>
      </c>
      <c r="C43" s="76">
        <f t="shared" si="4"/>
        <v>0</v>
      </c>
      <c r="D43" s="77" t="str">
        <f t="shared" si="5"/>
        <v>00</v>
      </c>
      <c r="E43" s="67" t="str">
        <f>'EEPROM-Contents'!L116</f>
        <v>Voltage L Cal 3.1V</v>
      </c>
      <c r="F43" s="68"/>
      <c r="G43" s="69"/>
    </row>
    <row r="44" spans="2:32" x14ac:dyDescent="0.25">
      <c r="B44" s="86">
        <f>'EEPROM-Contents'!B117</f>
        <v>113</v>
      </c>
      <c r="C44" s="76">
        <f>HEX2DEC(D44)</f>
        <v>255</v>
      </c>
      <c r="D44" s="76" t="str">
        <f>F4</f>
        <v>FF</v>
      </c>
      <c r="E44" s="67" t="str">
        <f>'EEPROM-Contents'!L117</f>
        <v>Operating Side</v>
      </c>
      <c r="F44" s="68"/>
      <c r="G44" s="69"/>
    </row>
    <row r="45" spans="2:32" x14ac:dyDescent="0.25">
      <c r="B45" s="86">
        <f>'EEPROM-Contents'!B118</f>
        <v>114</v>
      </c>
      <c r="C45" s="76">
        <f t="shared" si="4"/>
        <v>100</v>
      </c>
      <c r="D45" s="76" t="str">
        <f>J5</f>
        <v>64</v>
      </c>
      <c r="E45" s="67" t="str">
        <f>'EEPROM-Contents'!L118</f>
        <v>Cal Factor for CondyleA</v>
      </c>
      <c r="F45" s="68"/>
      <c r="G45" s="69"/>
    </row>
    <row r="46" spans="2:32" x14ac:dyDescent="0.25">
      <c r="B46" s="86">
        <f>'EEPROM-Contents'!B119</f>
        <v>115</v>
      </c>
      <c r="C46" s="76">
        <f t="shared" si="4"/>
        <v>100</v>
      </c>
      <c r="D46" s="76" t="str">
        <f>K5</f>
        <v>64</v>
      </c>
      <c r="E46" s="67" t="str">
        <f>'EEPROM-Contents'!L119</f>
        <v>Cal Factor for CondyleB</v>
      </c>
      <c r="F46" s="68"/>
      <c r="G46" s="69"/>
    </row>
    <row r="47" spans="2:32" x14ac:dyDescent="0.25">
      <c r="B47" s="86">
        <f>'EEPROM-Contents'!B120</f>
        <v>116</v>
      </c>
      <c r="C47" s="76">
        <f ca="1">255-HEX2DEC(RIGHT(DEC2HEX(SUM(C22:C46)),2))</f>
        <v>2</v>
      </c>
      <c r="D47" s="76" t="str">
        <f ca="1">DEC2HEX($C$47,2)</f>
        <v>02</v>
      </c>
      <c r="E47" s="67" t="str">
        <f>'EEPROM-Contents'!L120</f>
        <v>Checksum</v>
      </c>
      <c r="F47" s="68"/>
      <c r="G47" s="69"/>
    </row>
    <row r="49" spans="2:12" x14ac:dyDescent="0.25">
      <c r="B49" s="357" t="s">
        <v>404</v>
      </c>
      <c r="C49" s="358"/>
      <c r="D49" s="358"/>
      <c r="E49" s="358"/>
      <c r="F49" s="358"/>
      <c r="G49" s="358"/>
      <c r="H49" s="358"/>
      <c r="I49" s="358"/>
      <c r="J49" s="359"/>
    </row>
    <row r="50" spans="2:12" x14ac:dyDescent="0.25">
      <c r="B50" s="111" t="s">
        <v>223</v>
      </c>
      <c r="C50" s="111" t="s">
        <v>224</v>
      </c>
      <c r="D50" s="111" t="s">
        <v>225</v>
      </c>
      <c r="E50" s="111" t="s">
        <v>226</v>
      </c>
      <c r="F50" s="111" t="s">
        <v>227</v>
      </c>
      <c r="G50" s="111" t="s">
        <v>228</v>
      </c>
      <c r="H50" s="111" t="s">
        <v>229</v>
      </c>
      <c r="I50" s="111" t="s">
        <v>230</v>
      </c>
      <c r="J50" s="111" t="s">
        <v>231</v>
      </c>
    </row>
    <row r="51" spans="2:12" x14ac:dyDescent="0.25">
      <c r="B51" s="37">
        <v>0</v>
      </c>
      <c r="C51" s="24"/>
      <c r="D51" s="24"/>
      <c r="E51" s="24"/>
      <c r="F51" s="24"/>
      <c r="G51" s="24"/>
      <c r="H51" s="24"/>
      <c r="I51" s="24"/>
      <c r="J51" s="24"/>
    </row>
    <row r="53" spans="2:12" x14ac:dyDescent="0.25">
      <c r="B53" s="354" t="s">
        <v>405</v>
      </c>
      <c r="C53" s="355"/>
      <c r="D53" s="355"/>
      <c r="E53" s="355"/>
      <c r="F53" s="355"/>
      <c r="G53" s="113" t="s">
        <v>410</v>
      </c>
      <c r="H53" s="113">
        <f>'FTS-Initialization'!$AE$27</f>
        <v>33000</v>
      </c>
      <c r="I53" s="113" t="s">
        <v>411</v>
      </c>
      <c r="J53" s="113">
        <f>'FTS-Initialization'!$AE$26</f>
        <v>52000</v>
      </c>
      <c r="L53" s="91" t="s">
        <v>414</v>
      </c>
    </row>
    <row r="54" spans="2:12" x14ac:dyDescent="0.25">
      <c r="B54" s="111" t="s">
        <v>231</v>
      </c>
      <c r="C54" s="111">
        <f>J51</f>
        <v>0</v>
      </c>
      <c r="I54" s="111" t="s">
        <v>407</v>
      </c>
      <c r="J54" s="111" t="b">
        <f>IF(AND(C54&gt;=H53,C54&lt;=J53),TRUE,FALSE)</f>
        <v>0</v>
      </c>
      <c r="L54" s="91">
        <f>IF(J54,0,IF(C54&lt;H53,'FTS-Initialization'!N72,IF(C54&gt;J53,'FTS-Initialization'!N73,0)))</f>
        <v>35</v>
      </c>
    </row>
    <row r="56" spans="2:12" x14ac:dyDescent="0.25">
      <c r="B56" s="354" t="s">
        <v>406</v>
      </c>
      <c r="C56" s="355"/>
      <c r="D56" s="355"/>
      <c r="E56" s="355"/>
      <c r="F56" s="355"/>
      <c r="G56" s="355"/>
      <c r="H56" s="355"/>
      <c r="I56" s="126" t="s">
        <v>206</v>
      </c>
      <c r="J56" s="126">
        <f>'FTS-Initialization'!$AE$28</f>
        <v>60000</v>
      </c>
      <c r="L56" s="91" t="s">
        <v>414</v>
      </c>
    </row>
    <row r="57" spans="2:12" x14ac:dyDescent="0.25">
      <c r="B57" s="125" t="s">
        <v>412</v>
      </c>
      <c r="C57" s="125">
        <f>MAX($C$51:$I$51)</f>
        <v>0</v>
      </c>
      <c r="I57" s="125" t="s">
        <v>407</v>
      </c>
      <c r="J57" s="125" t="b">
        <f>IF($C$57&lt;=$J$56,TRUE,FALSE)</f>
        <v>1</v>
      </c>
      <c r="L57" s="91">
        <f>IF(J57,0,'FTS-Initialization'!$N$75)</f>
        <v>0</v>
      </c>
    </row>
    <row r="60" spans="2:12" x14ac:dyDescent="0.25">
      <c r="B60" s="354"/>
      <c r="C60" s="355"/>
      <c r="D60" s="355"/>
      <c r="E60" s="355"/>
      <c r="F60" s="355"/>
      <c r="G60" s="355"/>
      <c r="H60" s="355"/>
      <c r="I60" s="113"/>
      <c r="J60" s="90"/>
    </row>
    <row r="61" spans="2:12" x14ac:dyDescent="0.25">
      <c r="B61" s="111"/>
      <c r="C61" s="111"/>
      <c r="D61" s="111"/>
      <c r="E61" s="111"/>
      <c r="F61" s="111"/>
      <c r="G61" s="111"/>
      <c r="H61" s="111"/>
      <c r="I61" s="111"/>
      <c r="J61" s="111"/>
      <c r="L61" s="91"/>
    </row>
    <row r="62" spans="2:12" x14ac:dyDescent="0.25">
      <c r="B62" s="87"/>
      <c r="C62" s="88"/>
      <c r="D62" s="88"/>
      <c r="E62" s="88"/>
      <c r="F62" s="88"/>
      <c r="G62" s="88"/>
      <c r="H62" s="88"/>
      <c r="I62" s="88"/>
      <c r="J62" s="111"/>
      <c r="L62" s="91"/>
    </row>
    <row r="64" spans="2:12" x14ac:dyDescent="0.25">
      <c r="B64" s="354"/>
      <c r="C64" s="355"/>
      <c r="D64" s="355"/>
      <c r="E64" s="355"/>
      <c r="F64" s="355"/>
      <c r="G64" s="355"/>
      <c r="H64" s="355"/>
      <c r="I64" s="355"/>
      <c r="J64" s="356"/>
    </row>
    <row r="65" spans="2:12" x14ac:dyDescent="0.25">
      <c r="B65" s="111"/>
      <c r="C65" s="113"/>
      <c r="D65" s="111"/>
      <c r="I65" s="111"/>
      <c r="J65" s="111"/>
    </row>
    <row r="66" spans="2:12" x14ac:dyDescent="0.25">
      <c r="B66" s="111"/>
      <c r="C66" s="94"/>
      <c r="D66" s="111"/>
      <c r="I66" s="98"/>
      <c r="J66" s="99"/>
    </row>
    <row r="68" spans="2:12" x14ac:dyDescent="0.25">
      <c r="B68" s="354"/>
      <c r="C68" s="355"/>
      <c r="D68" s="355"/>
      <c r="E68" s="355"/>
      <c r="F68" s="355"/>
      <c r="G68" s="355"/>
      <c r="H68" s="355"/>
      <c r="I68" s="355"/>
      <c r="J68" s="356"/>
    </row>
    <row r="69" spans="2:12" x14ac:dyDescent="0.25">
      <c r="B69" s="113"/>
      <c r="C69" s="111"/>
      <c r="D69" s="111"/>
      <c r="E69" s="111"/>
      <c r="F69" s="111"/>
      <c r="G69" s="111"/>
      <c r="H69" s="111"/>
      <c r="I69" s="111"/>
      <c r="J69" s="111"/>
      <c r="L69" s="91"/>
    </row>
    <row r="70" spans="2:12" x14ac:dyDescent="0.25">
      <c r="B70" s="94"/>
      <c r="C70" s="100"/>
      <c r="D70" s="100"/>
      <c r="E70" s="100"/>
      <c r="F70" s="100"/>
      <c r="G70" s="100"/>
      <c r="H70" s="100"/>
      <c r="I70" s="100"/>
      <c r="J70" s="111"/>
      <c r="L70" s="91"/>
    </row>
    <row r="73" spans="2:12" x14ac:dyDescent="0.25">
      <c r="B73" s="354"/>
      <c r="C73" s="355"/>
      <c r="D73" s="355"/>
      <c r="E73" s="355"/>
      <c r="F73" s="355"/>
      <c r="G73" s="355"/>
      <c r="H73" s="355"/>
      <c r="I73" s="113"/>
      <c r="J73" s="90"/>
    </row>
    <row r="74" spans="2:12" x14ac:dyDescent="0.25">
      <c r="B74" s="111"/>
      <c r="C74" s="111"/>
      <c r="D74" s="111"/>
      <c r="E74" s="111"/>
      <c r="F74" s="111"/>
      <c r="J74" s="111"/>
      <c r="L74" s="91"/>
    </row>
    <row r="75" spans="2:12" x14ac:dyDescent="0.25">
      <c r="B75" s="87"/>
      <c r="C75" s="88"/>
      <c r="D75" s="88"/>
      <c r="E75" s="88"/>
      <c r="F75" s="88"/>
      <c r="J75" s="111"/>
      <c r="L75" s="91"/>
    </row>
    <row r="77" spans="2:12" x14ac:dyDescent="0.25">
      <c r="B77" s="354"/>
      <c r="C77" s="355"/>
      <c r="D77" s="355"/>
      <c r="E77" s="355"/>
      <c r="F77" s="355"/>
      <c r="G77" s="355"/>
      <c r="H77" s="355"/>
      <c r="I77" s="355"/>
      <c r="J77" s="356"/>
    </row>
    <row r="78" spans="2:12" x14ac:dyDescent="0.25">
      <c r="B78" s="111"/>
      <c r="C78" s="113"/>
      <c r="D78" s="111"/>
      <c r="I78" s="111"/>
      <c r="J78" s="111"/>
    </row>
    <row r="79" spans="2:12" x14ac:dyDescent="0.25">
      <c r="B79" s="111"/>
      <c r="C79" s="94"/>
      <c r="D79" s="111"/>
      <c r="I79" s="98"/>
      <c r="J79" s="99"/>
    </row>
    <row r="81" spans="2:12" x14ac:dyDescent="0.25">
      <c r="B81" s="354"/>
      <c r="C81" s="355"/>
      <c r="D81" s="355"/>
      <c r="E81" s="355"/>
      <c r="F81" s="355"/>
      <c r="G81" s="355"/>
      <c r="H81" s="355"/>
      <c r="I81" s="355"/>
      <c r="J81" s="356"/>
    </row>
    <row r="82" spans="2:12" x14ac:dyDescent="0.25">
      <c r="B82" s="113"/>
      <c r="C82" s="111"/>
      <c r="D82" s="111"/>
      <c r="E82" s="111"/>
      <c r="F82" s="111"/>
      <c r="J82" s="111"/>
      <c r="L82" s="91"/>
    </row>
    <row r="83" spans="2:12" x14ac:dyDescent="0.25">
      <c r="B83" s="94"/>
      <c r="C83" s="100"/>
      <c r="D83" s="100"/>
      <c r="E83" s="100"/>
      <c r="F83" s="100"/>
      <c r="J83" s="111"/>
      <c r="L83" s="91"/>
    </row>
    <row r="88" spans="2:12" x14ac:dyDescent="0.25">
      <c r="B88" s="353" t="s">
        <v>415</v>
      </c>
      <c r="C88" s="353"/>
      <c r="D88" s="353"/>
      <c r="E88" s="353"/>
    </row>
    <row r="89" spans="2:12" x14ac:dyDescent="0.25">
      <c r="B89" s="92" t="s">
        <v>416</v>
      </c>
      <c r="C89" s="112">
        <f>L54</f>
        <v>35</v>
      </c>
      <c r="D89" s="92" t="s">
        <v>73</v>
      </c>
      <c r="E89" s="112"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2016-05-16T18:18:54Z</dcterms:modified>
</cp:coreProperties>
</file>