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filterPrivacy="1" autoCompressPictures="0"/>
  <bookViews>
    <workbookView xWindow="-36420" yWindow="-1395" windowWidth="21840" windowHeight="19845" tabRatio="732" firstSheet="3" activeTab="7"/>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62" i="14" l="1"/>
  <c r="B74" i="14"/>
  <c r="C74" i="14"/>
  <c r="C79" i="14"/>
  <c r="D62" i="14"/>
  <c r="D74" i="14"/>
  <c r="D79" i="14"/>
  <c r="E62" i="14"/>
  <c r="E74" i="14"/>
  <c r="E79" i="14"/>
  <c r="I79" i="14"/>
  <c r="C83" i="14"/>
  <c r="B83" i="14"/>
  <c r="E83" i="14"/>
  <c r="E137" i="14"/>
  <c r="P79" i="14"/>
  <c r="C78" i="14"/>
  <c r="D78" i="14"/>
  <c r="E78" i="14"/>
  <c r="I78" i="14"/>
  <c r="P78" i="14"/>
  <c r="C77" i="14"/>
  <c r="D77" i="14"/>
  <c r="E77" i="14"/>
  <c r="I77" i="14"/>
  <c r="P77" i="14"/>
  <c r="C76" i="14"/>
  <c r="D76" i="14"/>
  <c r="E76" i="14"/>
  <c r="I76" i="14"/>
  <c r="P76" i="14"/>
  <c r="C75" i="14"/>
  <c r="D75" i="14"/>
  <c r="E75" i="14"/>
  <c r="I75" i="14"/>
  <c r="P75" i="14"/>
  <c r="I74" i="14"/>
  <c r="P74" i="14"/>
  <c r="F62" i="14"/>
  <c r="F74" i="14"/>
  <c r="F79" i="14"/>
  <c r="G62" i="14"/>
  <c r="G74" i="14"/>
  <c r="G79" i="14"/>
  <c r="H62" i="14"/>
  <c r="H74" i="14"/>
  <c r="H79" i="14"/>
  <c r="J79" i="14"/>
  <c r="D83" i="14"/>
  <c r="F83" i="14"/>
  <c r="G137" i="14"/>
  <c r="Q79" i="14"/>
  <c r="F78" i="14"/>
  <c r="G78" i="14"/>
  <c r="H78" i="14"/>
  <c r="J78" i="14"/>
  <c r="Q78" i="14"/>
  <c r="F77" i="14"/>
  <c r="G77" i="14"/>
  <c r="H77" i="14"/>
  <c r="J77" i="14"/>
  <c r="Q77" i="14"/>
  <c r="F75" i="14"/>
  <c r="G75" i="14"/>
  <c r="H75" i="14"/>
  <c r="J75" i="14"/>
  <c r="Q75" i="14"/>
  <c r="F76" i="14"/>
  <c r="G76" i="14"/>
  <c r="H76" i="14"/>
  <c r="J76" i="14"/>
  <c r="Q76" i="14"/>
  <c r="J74" i="14"/>
  <c r="Q74" i="14"/>
  <c r="K27" i="14"/>
  <c r="J210" i="14"/>
  <c r="B202" i="14"/>
  <c r="B210" i="14"/>
  <c r="M210" i="14"/>
  <c r="J209" i="14"/>
  <c r="B201" i="14"/>
  <c r="B209" i="14"/>
  <c r="M209" i="14"/>
  <c r="I210" i="14"/>
  <c r="L210" i="14"/>
  <c r="I209" i="14"/>
  <c r="L209" i="14"/>
  <c r="J207" i="14"/>
  <c r="B199" i="14"/>
  <c r="B207" i="14"/>
  <c r="M207" i="14"/>
  <c r="J208" i="14"/>
  <c r="B200" i="14"/>
  <c r="B208" i="14"/>
  <c r="M208" i="14"/>
  <c r="I208" i="14"/>
  <c r="L208" i="14"/>
  <c r="I207" i="14"/>
  <c r="L207" i="14"/>
  <c r="B216" i="14"/>
  <c r="B217" i="14"/>
  <c r="B218" i="14"/>
  <c r="B215" i="14"/>
  <c r="P171" i="14"/>
  <c r="E64" i="14"/>
  <c r="H63" i="14"/>
  <c r="C64" i="14"/>
  <c r="J63" i="14"/>
  <c r="J64" i="14"/>
  <c r="L64" i="14"/>
  <c r="L171" i="14"/>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E67" i="14"/>
  <c r="H66" i="14"/>
  <c r="C67" i="14"/>
  <c r="J66" i="14"/>
  <c r="J67" i="14"/>
  <c r="L67" i="14"/>
  <c r="J81" i="14"/>
  <c r="H81" i="14"/>
  <c r="J83" i="14"/>
  <c r="L83" i="14"/>
  <c r="B96" i="14"/>
  <c r="E84" i="14"/>
  <c r="C96" i="14"/>
  <c r="F84" i="14"/>
  <c r="D96" i="14"/>
  <c r="B97" i="14"/>
  <c r="C97" i="14"/>
  <c r="D97" i="14"/>
  <c r="B98" i="14"/>
  <c r="C98" i="14"/>
  <c r="D98" i="14"/>
  <c r="B99" i="14"/>
  <c r="C99" i="14"/>
  <c r="D99" i="14"/>
  <c r="B100" i="14"/>
  <c r="C100" i="14"/>
  <c r="D100" i="14"/>
  <c r="B101" i="14"/>
  <c r="C101" i="14"/>
  <c r="D101" i="14"/>
  <c r="J95" i="14"/>
  <c r="L95" i="14"/>
  <c r="U86" i="14"/>
  <c r="V86" i="14"/>
  <c r="W86" i="14"/>
  <c r="X86" i="14"/>
  <c r="Y86" i="14"/>
  <c r="Z86" i="14"/>
  <c r="L214" i="14"/>
  <c r="C137" i="14"/>
  <c r="R171" i="14"/>
  <c r="Q171" i="14"/>
  <c r="V48" i="8"/>
  <c r="N48" i="8"/>
  <c r="X48" i="8"/>
  <c r="V49" i="8"/>
  <c r="N49" i="8"/>
  <c r="X49" i="8"/>
  <c r="V50" i="8"/>
  <c r="N50" i="8"/>
  <c r="X50" i="8"/>
  <c r="V47" i="8"/>
  <c r="N47" i="8"/>
  <c r="X47" i="8"/>
  <c r="U48" i="8"/>
  <c r="W48" i="8"/>
  <c r="U49" i="8"/>
  <c r="W49" i="8"/>
  <c r="U50" i="8"/>
  <c r="W50" i="8"/>
  <c r="U47" i="8"/>
  <c r="W47" i="8"/>
  <c r="O47" i="8"/>
  <c r="P47" i="8"/>
  <c r="Q47" i="8"/>
  <c r="R47" i="8"/>
  <c r="S47" i="8"/>
  <c r="T47" i="8"/>
  <c r="O48" i="8"/>
  <c r="P48" i="8"/>
  <c r="Q48" i="8"/>
  <c r="R48" i="8"/>
  <c r="S48" i="8"/>
  <c r="T48" i="8"/>
  <c r="O49" i="8"/>
  <c r="P49" i="8"/>
  <c r="Q49" i="8"/>
  <c r="R49" i="8"/>
  <c r="S49" i="8"/>
  <c r="T49" i="8"/>
  <c r="O50" i="8"/>
  <c r="P50" i="8"/>
  <c r="Q50" i="8"/>
  <c r="R50" i="8"/>
  <c r="S50" i="8"/>
  <c r="T50" i="8"/>
  <c r="C215" i="14"/>
  <c r="D215" i="14"/>
  <c r="C216" i="14"/>
  <c r="D216" i="14"/>
  <c r="C217" i="14"/>
  <c r="C218" i="14"/>
  <c r="D217" i="14"/>
  <c r="D218" i="14"/>
  <c r="J214" i="14"/>
  <c r="B192" i="14"/>
  <c r="B193" i="14"/>
  <c r="B194" i="14"/>
  <c r="B191" i="14"/>
  <c r="B184" i="14"/>
  <c r="B185" i="14"/>
  <c r="B186" i="14"/>
  <c r="B183" i="14"/>
  <c r="F217" i="14"/>
  <c r="F216" i="14"/>
  <c r="E217" i="14"/>
  <c r="E216" i="14"/>
  <c r="F219" i="14"/>
  <c r="E219" i="14"/>
  <c r="D98" i="1"/>
  <c r="D97" i="1"/>
  <c r="D96" i="1"/>
  <c r="D95" i="1"/>
  <c r="D94" i="1"/>
  <c r="N169"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R74" i="14"/>
  <c r="S74" i="14"/>
  <c r="B75" i="14"/>
  <c r="R76" i="14"/>
  <c r="B76" i="14"/>
  <c r="S76" i="14"/>
  <c r="R77" i="14"/>
  <c r="B77" i="14"/>
  <c r="S77" i="14"/>
  <c r="R78" i="14"/>
  <c r="B78" i="14"/>
  <c r="S78" i="14"/>
  <c r="R79" i="14"/>
  <c r="S79" i="14"/>
  <c r="T3" i="8"/>
  <c r="AE20" i="1"/>
  <c r="W3" i="8"/>
  <c r="X3" i="8"/>
  <c r="S3" i="8"/>
  <c r="D19" i="12"/>
  <c r="D19" i="13"/>
  <c r="D19" i="14"/>
  <c r="F4" i="13"/>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R75" i="14"/>
  <c r="S75" i="14"/>
  <c r="S81" i="14"/>
  <c r="I88" i="14"/>
  <c r="M88" i="14"/>
  <c r="E218" i="14"/>
  <c r="E220" i="14"/>
  <c r="F218" i="14"/>
  <c r="F220" i="14"/>
  <c r="Q3" i="8"/>
  <c r="R3" i="8"/>
</calcChain>
</file>

<file path=xl/sharedStrings.xml><?xml version="1.0" encoding="utf-8"?>
<sst xmlns="http://schemas.openxmlformats.org/spreadsheetml/2006/main" count="2142" uniqueCount="690">
  <si>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</si>
  <si>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</si>
  <si>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</si>
  <si>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</si>
  <si>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</si>
  <si>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</si>
  <si>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</si>
  <si>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</si>
  <si>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</si>
  <si>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</si>
  <si>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</si>
  <si>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</si>
  <si>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</si>
  <si>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</si>
  <si>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</si>
  <si>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</si>
  <si>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</si>
  <si>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</si>
  <si>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</si>
  <si>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</si>
  <si>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</si>
  <si>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</si>
  <si>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</si>
  <si>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</si>
  <si>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</si>
  <si>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</si>
  <si>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</si>
  <si>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</si>
  <si>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</si>
  <si>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</si>
  <si>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</si>
  <si>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</si>
  <si>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</si>
  <si>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</si>
  <si>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</si>
  <si>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</si>
  <si>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</si>
  <si>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</si>
  <si>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</si>
  <si>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</si>
  <si>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</si>
  <si>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</si>
  <si>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</si>
  <si>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</si>
  <si>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</si>
  <si>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</si>
  <si>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</si>
  <si>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</si>
  <si>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</si>
  <si>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</si>
  <si>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</si>
  <si>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</si>
  <si>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</si>
  <si>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</si>
  <si>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</si>
  <si>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</si>
  <si>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</si>
  <si>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</si>
  <si>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</si>
  <si>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</si>
  <si>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</si>
  <si>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</si>
  <si>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</si>
  <si>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</si>
  <si>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</si>
  <si>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</si>
  <si>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</si>
  <si>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</si>
  <si>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</si>
  <si>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</si>
  <si>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</si>
  <si>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</si>
  <si>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</si>
  <si>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</si>
  <si>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</si>
  <si>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</si>
  <si>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</si>
  <si>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</si>
  <si>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</si>
  <si>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</si>
  <si>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</si>
  <si>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</si>
  <si>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</si>
  <si>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</si>
  <si>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</si>
  <si>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</si>
  <si>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</si>
  <si>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</si>
  <si>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</si>
  <si>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</si>
  <si>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</si>
  <si>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</si>
  <si>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</si>
  <si>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</si>
  <si>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</si>
  <si>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</si>
  <si>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</si>
  <si>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</si>
  <si>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</si>
  <si>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</si>
  <si>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</si>
  <si>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</si>
  <si>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</si>
  <si>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</si>
  <si>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</si>
  <si>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</si>
  <si>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</si>
  <si>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</si>
  <si>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</si>
  <si>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</si>
  <si>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</si>
  <si>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</si>
  <si>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</si>
  <si>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</si>
  <si>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</si>
  <si>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</si>
  <si>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</si>
  <si>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</si>
  <si>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</si>
  <si>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</si>
  <si>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</si>
  <si>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</si>
  <si>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</si>
  <si>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</si>
  <si>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</si>
  <si>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</si>
  <si>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</si>
  <si>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</si>
  <si>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</si>
  <si>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</si>
  <si>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</si>
  <si>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</si>
  <si>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</si>
  <si>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</si>
  <si>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</si>
  <si>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</si>
  <si>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</si>
  <si>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</si>
  <si>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</si>
  <si>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</si>
  <si>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</si>
  <si>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</si>
  <si>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</si>
  <si>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</si>
  <si>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</si>
  <si>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</si>
  <si>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</si>
  <si>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</si>
  <si>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</si>
  <si>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</si>
  <si>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</si>
  <si>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</si>
  <si>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</si>
  <si>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</si>
  <si>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</si>
  <si>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</si>
  <si>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</si>
  <si>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</si>
  <si>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</si>
  <si>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</si>
  <si>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</si>
  <si>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</si>
  <si>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</si>
  <si>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</si>
  <si>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</si>
  <si>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</si>
  <si>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</si>
  <si>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</si>
  <si>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</si>
  <si>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</si>
  <si>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</si>
  <si>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</si>
  <si>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</si>
  <si>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</si>
  <si>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</si>
  <si>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</si>
  <si>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</si>
  <si>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</si>
  <si>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</si>
  <si>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</si>
  <si>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</si>
  <si>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</si>
  <si>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</si>
  <si>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</si>
  <si>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</si>
  <si>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</si>
  <si>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</si>
  <si>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</si>
  <si>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</si>
  <si>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</si>
  <si>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</si>
  <si>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</si>
  <si>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</si>
  <si>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</si>
  <si>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</si>
  <si>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</si>
  <si>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</si>
  <si>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</si>
  <si>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</si>
  <si>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</si>
  <si>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</si>
  <si>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</si>
  <si>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</si>
  <si>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</si>
  <si>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</si>
  <si>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</si>
  <si>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</si>
  <si>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</si>
  <si>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</si>
  <si>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</si>
  <si>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</si>
  <si>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</si>
  <si>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</si>
  <si>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</si>
  <si>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</si>
  <si>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</si>
  <si>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</si>
  <si>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</si>
  <si>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</si>
  <si>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</si>
  <si>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</si>
  <si>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</si>
  <si>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</si>
  <si>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</si>
  <si>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</si>
  <si>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</si>
  <si>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</si>
  <si>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</si>
  <si>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</si>
  <si>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</si>
  <si>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</si>
  <si>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</si>
  <si>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</si>
  <si>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</si>
  <si>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</si>
  <si>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</si>
  <si>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</si>
  <si>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</si>
  <si>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</si>
  <si>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</si>
  <si>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</si>
  <si>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</si>
  <si>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</si>
  <si>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</si>
  <si>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</si>
  <si>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</si>
  <si>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</si>
  <si>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</si>
  <si>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</si>
  <si>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</si>
  <si>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</si>
  <si>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</si>
  <si>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</si>
  <si>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</si>
  <si>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</si>
  <si>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</si>
  <si>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</si>
  <si>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</si>
  <si>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</si>
  <si>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</si>
  <si>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</si>
  <si>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</si>
  <si>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</si>
  <si>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</si>
  <si>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</si>
  <si>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</si>
  <si>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</si>
  <si>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</si>
  <si>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</si>
  <si>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</si>
  <si>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</si>
  <si>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</si>
  <si>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</si>
  <si>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</si>
  <si>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</si>
  <si>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</si>
  <si>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</si>
  <si>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</si>
  <si>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</si>
  <si>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</si>
  <si>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</si>
  <si>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</si>
  <si>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</si>
  <si>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</si>
  <si>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</si>
  <si>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</si>
  <si>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</si>
  <si>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</si>
  <si>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</si>
  <si>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</si>
  <si>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</si>
  <si>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</si>
  <si>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</si>
  <si>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</si>
  <si>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</si>
  <si>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</si>
  <si>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</si>
  <si>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</si>
  <si>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</si>
  <si>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</si>
  <si>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</si>
  <si>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</si>
  <si>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</si>
  <si>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</si>
  <si>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</si>
  <si>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</si>
  <si>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</si>
  <si>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</si>
  <si>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</si>
  <si>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</si>
  <si>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</si>
  <si>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</si>
  <si>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</si>
  <si>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</si>
  <si>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</si>
  <si>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</si>
  <si>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</si>
  <si>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</si>
  <si>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</si>
  <si>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</si>
  <si>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</si>
  <si>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</si>
  <si>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</si>
  <si>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</si>
  <si>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</si>
  <si>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</si>
  <si>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</si>
  <si>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</si>
  <si>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</si>
  <si>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</si>
  <si>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</si>
  <si>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</si>
  <si>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</si>
  <si>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</si>
  <si>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</si>
  <si>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</si>
  <si>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</si>
  <si>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</si>
  <si>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</si>
  <si>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</si>
  <si>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</si>
  <si>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</si>
  <si>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</si>
  <si>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</si>
  <si>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</si>
  <si>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</si>
  <si>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</si>
  <si>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</si>
  <si>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</si>
  <si>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</si>
  <si>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</si>
  <si>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</si>
  <si>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</si>
  <si>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</si>
  <si>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</si>
  <si>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</si>
  <si>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</si>
  <si>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</si>
  <si>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</si>
  <si>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</si>
  <si>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</si>
  <si>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</si>
  <si>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</si>
  <si>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</si>
  <si>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</si>
  <si>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</si>
  <si>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</si>
  <si>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</si>
  <si>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</si>
  <si>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</si>
  <si>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</si>
  <si>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</si>
  <si>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</si>
  <si>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</si>
  <si>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</si>
  <si>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</si>
  <si>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</si>
  <si>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</si>
  <si>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</si>
  <si>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</si>
  <si>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</si>
  <si>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</si>
  <si>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</si>
  <si>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</si>
  <si>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</si>
  <si>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</si>
  <si>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</si>
  <si>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</si>
  <si>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</si>
  <si>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</si>
  <si>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</si>
  <si>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</si>
  <si>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</si>
  <si>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</si>
  <si>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</si>
  <si>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</si>
  <si>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</si>
  <si>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</si>
  <si>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</si>
  <si>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</si>
  <si>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</si>
  <si>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</si>
  <si>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</si>
  <si>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</si>
  <si>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</si>
  <si>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</si>
  <si>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</si>
  <si>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</si>
  <si>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</si>
  <si>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</si>
  <si>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</si>
  <si>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</si>
  <si>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</si>
  <si>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</si>
  <si>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</si>
  <si>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</si>
  <si>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</si>
  <si>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</si>
  <si>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</si>
  <si>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</si>
  <si>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</si>
  <si>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</si>
  <si>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</si>
  <si>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</si>
  <si>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</si>
  <si>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</si>
  <si>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</si>
  <si>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</si>
  <si>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</si>
  <si>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</si>
  <si>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</si>
  <si>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</si>
  <si>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</si>
  <si>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</si>
  <si>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</si>
  <si>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</si>
  <si>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</si>
  <si>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</si>
  <si>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</si>
  <si>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</si>
  <si>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</si>
  <si>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</si>
  <si>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</si>
  <si>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</si>
  <si>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</si>
  <si>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</si>
  <si>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</si>
  <si>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</si>
  <si>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</si>
  <si>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</si>
  <si>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</si>
  <si>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</si>
  <si>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</si>
  <si>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</si>
  <si>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</si>
  <si>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</si>
  <si>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</si>
  <si>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</si>
  <si>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</si>
  <si>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</si>
  <si>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</si>
  <si>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</si>
  <si>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</si>
  <si>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</si>
  <si>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</si>
  <si>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</si>
  <si>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</si>
  <si>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</si>
  <si>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</si>
  <si>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</si>
  <si>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</si>
  <si>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</si>
  <si>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</si>
  <si>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</si>
  <si>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</si>
  <si>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</si>
  <si>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</si>
  <si>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</si>
  <si>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</si>
  <si>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</si>
  <si>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</si>
  <si>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</si>
  <si>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</si>
  <si>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</si>
  <si>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</si>
  <si>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</si>
  <si>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</si>
  <si>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</si>
  <si>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</si>
  <si>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</si>
  <si>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</si>
  <si>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</si>
  <si>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</si>
  <si>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</si>
  <si>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</si>
  <si>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</si>
  <si>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</si>
  <si>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</si>
  <si>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</si>
  <si>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</si>
  <si>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</si>
  <si>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</si>
  <si>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</si>
  <si>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</si>
  <si>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</si>
  <si>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</si>
  <si>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</si>
  <si>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</si>
  <si>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</si>
  <si>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</si>
  <si>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</si>
  <si>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</si>
  <si>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</si>
  <si>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</si>
  <si>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</si>
  <si>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</si>
  <si>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</si>
  <si>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</si>
  <si>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</si>
  <si>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</si>
  <si>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</si>
  <si>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</si>
  <si>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</si>
  <si>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</si>
  <si>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</si>
  <si>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</si>
  <si>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</si>
  <si>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</si>
  <si>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</si>
  <si>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</si>
  <si>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</si>
  <si>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</si>
  <si>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</si>
  <si>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</si>
  <si>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</si>
  <si>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</si>
  <si>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</si>
  <si>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</si>
  <si>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</si>
  <si>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</si>
  <si>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</si>
  <si>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</si>
  <si>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</si>
  <si>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</si>
  <si>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</si>
  <si>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</si>
  <si>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</si>
  <si>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</si>
  <si>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</si>
  <si>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</si>
  <si>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</si>
  <si>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</si>
  <si>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</si>
  <si>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</si>
  <si>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</si>
  <si>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</si>
  <si>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</si>
  <si>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</si>
  <si>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</si>
  <si>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</si>
  <si>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</si>
  <si>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</si>
  <si>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</si>
  <si>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</si>
  <si>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</si>
  <si>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</si>
  <si>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</si>
  <si>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</si>
  <si>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</si>
  <si>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</si>
  <si>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</si>
  <si>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</si>
  <si>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</si>
  <si>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</si>
  <si>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</si>
  <si>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</si>
  <si>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</si>
  <si>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</si>
  <si>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</si>
  <si>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</si>
  <si>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</si>
  <si>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</si>
  <si>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</si>
  <si>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</si>
  <si>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</si>
  <si>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</si>
  <si>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</si>
  <si>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</si>
  <si>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</si>
  <si>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</si>
  <si>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</si>
  <si>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</si>
  <si>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</si>
  <si>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</si>
  <si>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</si>
  <si>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</si>
  <si>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</si>
  <si>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</si>
  <si>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</si>
  <si>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</si>
  <si>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</si>
  <si>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</si>
  <si>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</si>
  <si>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</si>
  <si>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</si>
  <si>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</si>
  <si>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</si>
  <si>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</si>
  <si>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</si>
  <si>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</si>
  <si>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</si>
  <si>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</si>
  <si>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</si>
  <si>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</si>
  <si>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</si>
  <si>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</si>
  <si>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</si>
  <si>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</si>
  <si>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</si>
  <si>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</si>
  <si>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</si>
  <si>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</si>
  <si>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</si>
  <si>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</si>
  <si>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</si>
  <si>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</si>
  <si>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</si>
  <si>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</si>
  <si>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</si>
  <si>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</si>
  <si>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</si>
  <si>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</si>
  <si>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</si>
  <si>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</si>
  <si>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</si>
  <si>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</si>
  <si>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</si>
  <si>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</si>
  <si>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</si>
  <si>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</si>
  <si>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</si>
  <si>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</si>
  <si>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</si>
  <si>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</si>
  <si>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</si>
  <si>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</si>
  <si>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</si>
  <si>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</si>
  <si>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</si>
  <si>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</si>
  <si>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</si>
  <si>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</si>
  <si>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</si>
  <si>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</si>
  <si>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</si>
  <si>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</si>
  <si>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</si>
  <si>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</si>
  <si>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</si>
  <si>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</si>
  <si>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</si>
  <si>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</si>
  <si>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</si>
  <si>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</si>
  <si>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</si>
  <si>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</si>
  <si>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</si>
  <si>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</si>
  <si>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</si>
  <si>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</si>
  <si>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</si>
  <si>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</si>
  <si>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</si>
  <si>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</si>
  <si>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</si>
  <si>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</si>
  <si>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</si>
  <si>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</si>
  <si>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</si>
  <si>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</si>
  <si>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</si>
  <si>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</si>
  <si>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</si>
  <si>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</si>
  <si>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</si>
  <si>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 xml:space="preserve"> </t>
  </si>
  <si>
    <t>Load Accuracy Test. Forces Table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</si>
  <si>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t>
  </si>
  <si>
    <t>H to S</t>
  </si>
  <si>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</sst>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
    <numFmt numFmtId="166" formatCode="0.000"/>
    <numFmt numFmtId="167" formatCode="h:mm:ss;@"/>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sz val="10"/>
      <color theme="0"/>
      <name val="Calibri"/>
      <family val="2"/>
    </font>
  </fonts>
  <fills count="2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14">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76">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0"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31" xfId="0" applyFont="1" applyBorder="1" applyAlignment="1">
      <alignment horizontal="center"/>
    </xf>
    <xf numFmtId="0" fontId="0" fillId="0" borderId="31"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4" xfId="15" applyFont="1" applyBorder="1" applyAlignment="1">
      <alignment horizontal="center"/>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0" fillId="17" borderId="25" xfId="0" applyFill="1" applyBorder="1" applyAlignment="1">
      <alignment horizontal="left"/>
    </xf>
    <xf numFmtId="0" fontId="0" fillId="17" borderId="25" xfId="0" applyFill="1" applyBorder="1" applyAlignment="1">
      <alignment horizont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25"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20" fillId="28" borderId="0" xfId="13" applyFont="1" applyFill="1" applyBorder="1" applyAlignment="1">
      <alignment horizontal="left" vertical="center"/>
    </xf>
    <xf numFmtId="0" fontId="20" fillId="28" borderId="0" xfId="4" applyFont="1" applyFill="1" applyBorder="1" applyAlignment="1">
      <alignment horizontal="left" vertical="center"/>
    </xf>
    <xf numFmtId="1" fontId="20" fillId="28" borderId="0" xfId="4" applyNumberFormat="1" applyFont="1" applyFill="1" applyBorder="1" applyAlignment="1">
      <alignment horizontal="left" vertical="center"/>
    </xf>
  </cellXfs>
  <cellStyles count="114">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FDC5-462D-A5BF-3F8FB6470C91}"/>
            </c:ext>
          </c:extLst>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FDC5-462D-A5BF-3F8FB6470C91}"/>
            </c:ext>
          </c:extLst>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2-FDC5-462D-A5BF-3F8FB6470C91}"/>
            </c:ext>
          </c:extLst>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3-FDC5-462D-A5BF-3F8FB6470C91}"/>
            </c:ext>
          </c:extLst>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4-FDC5-462D-A5BF-3F8FB6470C91}"/>
            </c:ext>
          </c:extLst>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5-FDC5-462D-A5BF-3F8FB6470C91}"/>
            </c:ext>
          </c:extLst>
        </c:ser>
        <c:dLbls>
          <c:showLegendKey val="0"/>
          <c:showVal val="0"/>
          <c:showCatName val="0"/>
          <c:showSerName val="0"/>
          <c:showPercent val="0"/>
          <c:showBubbleSize val="0"/>
        </c:dLbls>
        <c:axId val="2136265784"/>
        <c:axId val="2136807672"/>
      </c:scatterChart>
      <c:valAx>
        <c:axId val="2136265784"/>
        <c:scaling>
          <c:orientation val="minMax"/>
        </c:scaling>
        <c:delete val="0"/>
        <c:axPos val="b"/>
        <c:numFmt formatCode="General" sourceLinked="1"/>
        <c:majorTickMark val="out"/>
        <c:minorTickMark val="none"/>
        <c:tickLblPos val="nextTo"/>
        <c:crossAx val="2136807672"/>
        <c:crosses val="autoZero"/>
        <c:crossBetween val="midCat"/>
      </c:valAx>
      <c:valAx>
        <c:axId val="2136807672"/>
        <c:scaling>
          <c:orientation val="minMax"/>
        </c:scaling>
        <c:delete val="0"/>
        <c:axPos val="l"/>
        <c:majorGridlines/>
        <c:numFmt formatCode="0.0" sourceLinked="1"/>
        <c:majorTickMark val="out"/>
        <c:minorTickMark val="none"/>
        <c:tickLblPos val="nextTo"/>
        <c:crossAx val="2136265784"/>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0-34A2-4E3C-A38C-7225D095F600}"/>
            </c:ext>
          </c:extLst>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1-34A2-4E3C-A38C-7225D095F600}"/>
            </c:ext>
          </c:extLst>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2-34A2-4E3C-A38C-7225D095F600}"/>
            </c:ext>
          </c:extLst>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3-34A2-4E3C-A38C-7225D095F600}"/>
            </c:ext>
          </c:extLst>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4-34A2-4E3C-A38C-7225D095F600}"/>
            </c:ext>
          </c:extLst>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5-34A2-4E3C-A38C-7225D095F600}"/>
            </c:ext>
          </c:extLst>
        </c:ser>
        <c:dLbls>
          <c:showLegendKey val="0"/>
          <c:showVal val="0"/>
          <c:showCatName val="0"/>
          <c:showSerName val="0"/>
          <c:showPercent val="0"/>
          <c:showBubbleSize val="0"/>
        </c:dLbls>
        <c:axId val="-2085816472"/>
        <c:axId val="-2085813256"/>
      </c:scatterChart>
      <c:valAx>
        <c:axId val="-2085816472"/>
        <c:scaling>
          <c:orientation val="minMax"/>
        </c:scaling>
        <c:delete val="0"/>
        <c:axPos val="b"/>
        <c:numFmt formatCode="General" sourceLinked="1"/>
        <c:majorTickMark val="out"/>
        <c:minorTickMark val="none"/>
        <c:tickLblPos val="nextTo"/>
        <c:crossAx val="-2085813256"/>
        <c:crosses val="autoZero"/>
        <c:crossBetween val="midCat"/>
      </c:valAx>
      <c:valAx>
        <c:axId val="-2085813256"/>
        <c:scaling>
          <c:orientation val="minMax"/>
        </c:scaling>
        <c:delete val="0"/>
        <c:axPos val="l"/>
        <c:majorGridlines/>
        <c:numFmt formatCode="0.0" sourceLinked="1"/>
        <c:majorTickMark val="out"/>
        <c:minorTickMark val="none"/>
        <c:tickLblPos val="nextTo"/>
        <c:crossAx val="-2085816472"/>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C9B7-4B82-8EE3-C3D897F50564}"/>
            </c:ext>
          </c:extLst>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C9B7-4B82-8EE3-C3D897F50564}"/>
            </c:ext>
          </c:extLst>
        </c:ser>
        <c:dLbls>
          <c:showLegendKey val="0"/>
          <c:showVal val="0"/>
          <c:showCatName val="0"/>
          <c:showSerName val="0"/>
          <c:showPercent val="0"/>
          <c:showBubbleSize val="0"/>
        </c:dLbls>
        <c:axId val="-2083394472"/>
        <c:axId val="-208373994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2-C9B7-4B82-8EE3-C3D897F50564}"/>
            </c:ext>
          </c:extLst>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3-C9B7-4B82-8EE3-C3D897F50564}"/>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C9B7-4B82-8EE3-C3D897F50564}"/>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C9B7-4B82-8EE3-C3D897F50564}"/>
            </c:ext>
          </c:extLst>
        </c:ser>
        <c:dLbls>
          <c:showLegendKey val="0"/>
          <c:showVal val="0"/>
          <c:showCatName val="0"/>
          <c:showSerName val="0"/>
          <c:showPercent val="0"/>
          <c:showBubbleSize val="0"/>
        </c:dLbls>
        <c:axId val="2131649640"/>
        <c:axId val="-2083742312"/>
      </c:scatterChart>
      <c:valAx>
        <c:axId val="-2083394472"/>
        <c:scaling>
          <c:orientation val="minMax"/>
        </c:scaling>
        <c:delete val="0"/>
        <c:axPos val="b"/>
        <c:numFmt formatCode="General" sourceLinked="1"/>
        <c:majorTickMark val="out"/>
        <c:minorTickMark val="none"/>
        <c:tickLblPos val="nextTo"/>
        <c:crossAx val="-2083739944"/>
        <c:crosses val="autoZero"/>
        <c:crossBetween val="midCat"/>
      </c:valAx>
      <c:valAx>
        <c:axId val="-2083739944"/>
        <c:scaling>
          <c:orientation val="minMax"/>
        </c:scaling>
        <c:delete val="0"/>
        <c:axPos val="l"/>
        <c:majorGridlines/>
        <c:numFmt formatCode="0.0" sourceLinked="1"/>
        <c:majorTickMark val="out"/>
        <c:minorTickMark val="none"/>
        <c:tickLblPos val="nextTo"/>
        <c:crossAx val="-2083394472"/>
        <c:crosses val="autoZero"/>
        <c:crossBetween val="midCat"/>
      </c:valAx>
      <c:valAx>
        <c:axId val="-2083742312"/>
        <c:scaling>
          <c:orientation val="minMax"/>
          <c:max val="5"/>
          <c:min val="-5"/>
        </c:scaling>
        <c:delete val="0"/>
        <c:axPos val="r"/>
        <c:numFmt formatCode="0.0" sourceLinked="1"/>
        <c:majorTickMark val="out"/>
        <c:minorTickMark val="none"/>
        <c:tickLblPos val="nextTo"/>
        <c:crossAx val="2131649640"/>
        <c:crosses val="max"/>
        <c:crossBetween val="midCat"/>
      </c:valAx>
      <c:valAx>
        <c:axId val="2131649640"/>
        <c:scaling>
          <c:orientation val="minMax"/>
        </c:scaling>
        <c:delete val="1"/>
        <c:axPos val="b"/>
        <c:numFmt formatCode="General" sourceLinked="1"/>
        <c:majorTickMark val="out"/>
        <c:minorTickMark val="none"/>
        <c:tickLblPos val="none"/>
        <c:crossAx val="-2083742312"/>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0-F70D-4D4E-8B5F-E4983656A870}"/>
            </c:ext>
          </c:extLst>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1-F70D-4D4E-8B5F-E4983656A870}"/>
            </c:ext>
          </c:extLst>
        </c:ser>
        <c:dLbls>
          <c:showLegendKey val="0"/>
          <c:showVal val="0"/>
          <c:showCatName val="0"/>
          <c:showSerName val="0"/>
          <c:showPercent val="0"/>
          <c:showBubbleSize val="0"/>
        </c:dLbls>
        <c:axId val="-2083594920"/>
        <c:axId val="-2083591864"/>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2-F70D-4D4E-8B5F-E4983656A870}"/>
            </c:ext>
          </c:extLst>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3-F70D-4D4E-8B5F-E4983656A870}"/>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F70D-4D4E-8B5F-E4983656A870}"/>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F70D-4D4E-8B5F-E4983656A870}"/>
            </c:ext>
          </c:extLst>
        </c:ser>
        <c:dLbls>
          <c:showLegendKey val="0"/>
          <c:showVal val="0"/>
          <c:showCatName val="0"/>
          <c:showSerName val="0"/>
          <c:showPercent val="0"/>
          <c:showBubbleSize val="0"/>
        </c:dLbls>
        <c:axId val="-2083732680"/>
        <c:axId val="-2083588824"/>
      </c:scatterChart>
      <c:valAx>
        <c:axId val="-2083594920"/>
        <c:scaling>
          <c:orientation val="minMax"/>
        </c:scaling>
        <c:delete val="0"/>
        <c:axPos val="b"/>
        <c:numFmt formatCode="General" sourceLinked="1"/>
        <c:majorTickMark val="out"/>
        <c:minorTickMark val="none"/>
        <c:tickLblPos val="nextTo"/>
        <c:crossAx val="-2083591864"/>
        <c:crosses val="autoZero"/>
        <c:crossBetween val="midCat"/>
      </c:valAx>
      <c:valAx>
        <c:axId val="-2083591864"/>
        <c:scaling>
          <c:orientation val="minMax"/>
        </c:scaling>
        <c:delete val="0"/>
        <c:axPos val="l"/>
        <c:majorGridlines/>
        <c:numFmt formatCode="0.0" sourceLinked="1"/>
        <c:majorTickMark val="out"/>
        <c:minorTickMark val="none"/>
        <c:tickLblPos val="nextTo"/>
        <c:crossAx val="-2083594920"/>
        <c:crosses val="autoZero"/>
        <c:crossBetween val="midCat"/>
      </c:valAx>
      <c:valAx>
        <c:axId val="-2083588824"/>
        <c:scaling>
          <c:orientation val="minMax"/>
          <c:max val="5"/>
          <c:min val="-5"/>
        </c:scaling>
        <c:delete val="0"/>
        <c:axPos val="r"/>
        <c:numFmt formatCode="0.0" sourceLinked="1"/>
        <c:majorTickMark val="out"/>
        <c:minorTickMark val="none"/>
        <c:tickLblPos val="nextTo"/>
        <c:crossAx val="-2083732680"/>
        <c:crosses val="max"/>
        <c:crossBetween val="midCat"/>
      </c:valAx>
      <c:valAx>
        <c:axId val="-2083732680"/>
        <c:scaling>
          <c:orientation val="minMax"/>
        </c:scaling>
        <c:delete val="1"/>
        <c:axPos val="b"/>
        <c:numFmt formatCode="General" sourceLinked="1"/>
        <c:majorTickMark val="out"/>
        <c:minorTickMark val="none"/>
        <c:tickLblPos val="none"/>
        <c:crossAx val="-2083588824"/>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8.1415265490863503E-2"/>
          <c:y val="0.32177121771217698"/>
          <c:w val="0.59845212935081404"/>
          <c:h val="0.5644677074325249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c:v>
                </c:pt>
                <c:pt idx="1">
                  <c:v>20</c:v>
                </c:pt>
                <c:pt idx="2">
                  <c:v>40</c:v>
                </c:pt>
                <c:pt idx="3">
                  <c:v>80</c:v>
                </c:pt>
              </c:numCache>
            </c:numRef>
          </c:cat>
          <c:val>
            <c:numRef>
              <c:f>Presentation!$U$47:$U$50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0-2E78-4F02-A9E5-7258EFE53431}"/>
            </c:ext>
          </c:extLst>
        </c:ser>
        <c:ser>
          <c:idx val="1"/>
          <c:order val="1"/>
          <c:tx>
            <c:strRef>
              <c:f>Presentation!$V$46</c:f>
              <c:strCache>
                <c:ptCount val="1"/>
                <c:pt idx="0">
                  <c:v>CondB [lb]</c:v>
                </c:pt>
              </c:strCache>
            </c:strRef>
          </c:tx>
          <c:cat>
            <c:numRef>
              <c:f>Presentation!$N$47:$N$50</c:f>
              <c:numCache>
                <c:formatCode>General</c:formatCode>
                <c:ptCount val="4"/>
                <c:pt idx="0">
                  <c:v>0</c:v>
                </c:pt>
                <c:pt idx="1">
                  <c:v>20</c:v>
                </c:pt>
                <c:pt idx="2">
                  <c:v>40</c:v>
                </c:pt>
                <c:pt idx="3">
                  <c:v>80</c:v>
                </c:pt>
              </c:numCache>
            </c:numRef>
          </c:cat>
          <c:val>
            <c:numRef>
              <c:f>Presentation!$V$47:$V$50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2E78-4F02-A9E5-7258EFE53431}"/>
            </c:ext>
          </c:extLst>
        </c:ser>
        <c:dLbls>
          <c:showLegendKey val="0"/>
          <c:showVal val="0"/>
          <c:showCatName val="0"/>
          <c:showSerName val="0"/>
          <c:showPercent val="0"/>
          <c:showBubbleSize val="0"/>
        </c:dLbls>
        <c:marker val="1"/>
        <c:smooth val="0"/>
        <c:axId val="2136860520"/>
        <c:axId val="2136863528"/>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c:v>
                </c:pt>
                <c:pt idx="1">
                  <c:v>20</c:v>
                </c:pt>
                <c:pt idx="2">
                  <c:v>40</c:v>
                </c:pt>
                <c:pt idx="3">
                  <c:v>80</c:v>
                </c:pt>
              </c:numCache>
            </c:numRef>
          </c:cat>
          <c:val>
            <c:numRef>
              <c:f>Presentation!$W$47:$W$50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2-2E78-4F02-A9E5-7258EFE53431}"/>
            </c:ext>
          </c:extLst>
        </c:ser>
        <c:ser>
          <c:idx val="3"/>
          <c:order val="3"/>
          <c:tx>
            <c:strRef>
              <c:f>Presentation!$X$46</c:f>
              <c:strCache>
                <c:ptCount val="1"/>
                <c:pt idx="0">
                  <c:v>ErrorB [lb]</c:v>
                </c:pt>
              </c:strCache>
            </c:strRef>
          </c:tx>
          <c:cat>
            <c:numRef>
              <c:f>Presentation!$N$47:$N$50</c:f>
              <c:numCache>
                <c:formatCode>General</c:formatCode>
                <c:ptCount val="4"/>
                <c:pt idx="0">
                  <c:v>0</c:v>
                </c:pt>
                <c:pt idx="1">
                  <c:v>20</c:v>
                </c:pt>
                <c:pt idx="2">
                  <c:v>40</c:v>
                </c:pt>
                <c:pt idx="3">
                  <c:v>80</c:v>
                </c:pt>
              </c:numCache>
            </c:numRef>
          </c:cat>
          <c:val>
            <c:numRef>
              <c:f>Presentation!$X$47:$X$50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3-2E78-4F02-A9E5-7258EFE53431}"/>
            </c:ext>
          </c:extLst>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c:v>
                </c:pt>
                <c:pt idx="1">
                  <c:v>20</c:v>
                </c:pt>
                <c:pt idx="2">
                  <c:v>40</c:v>
                </c:pt>
                <c:pt idx="3">
                  <c:v>80</c:v>
                </c:pt>
              </c:numCache>
            </c:numRef>
          </c:cat>
          <c:val>
            <c:numRef>
              <c:f>Presentation!$Z$47:$Z$50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4-2E78-4F02-A9E5-7258EFE53431}"/>
            </c:ext>
          </c:extLst>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c:v>
                </c:pt>
                <c:pt idx="1">
                  <c:v>20</c:v>
                </c:pt>
                <c:pt idx="2">
                  <c:v>40</c:v>
                </c:pt>
                <c:pt idx="3">
                  <c:v>80</c:v>
                </c:pt>
              </c:numCache>
            </c:numRef>
          </c:cat>
          <c:val>
            <c:numRef>
              <c:f>Presentation!$AA$47:$AA$50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5-2E78-4F02-A9E5-7258EFE53431}"/>
            </c:ext>
          </c:extLst>
        </c:ser>
        <c:dLbls>
          <c:showLegendKey val="0"/>
          <c:showVal val="0"/>
          <c:showCatName val="0"/>
          <c:showSerName val="0"/>
          <c:showPercent val="0"/>
          <c:showBubbleSize val="0"/>
        </c:dLbls>
        <c:marker val="1"/>
        <c:smooth val="0"/>
        <c:axId val="2136869512"/>
        <c:axId val="2136866600"/>
      </c:lineChart>
      <c:catAx>
        <c:axId val="2136860520"/>
        <c:scaling>
          <c:orientation val="minMax"/>
        </c:scaling>
        <c:delete val="0"/>
        <c:axPos val="b"/>
        <c:numFmt formatCode="General" sourceLinked="1"/>
        <c:majorTickMark val="out"/>
        <c:minorTickMark val="none"/>
        <c:tickLblPos val="nextTo"/>
        <c:crossAx val="2136863528"/>
        <c:crosses val="autoZero"/>
        <c:auto val="1"/>
        <c:lblAlgn val="ctr"/>
        <c:lblOffset val="200"/>
        <c:noMultiLvlLbl val="0"/>
      </c:catAx>
      <c:valAx>
        <c:axId val="2136863528"/>
        <c:scaling>
          <c:orientation val="minMax"/>
          <c:max val="50"/>
        </c:scaling>
        <c:delete val="0"/>
        <c:axPos val="l"/>
        <c:majorGridlines/>
        <c:numFmt formatCode="0.0" sourceLinked="0"/>
        <c:majorTickMark val="out"/>
        <c:minorTickMark val="none"/>
        <c:tickLblPos val="nextTo"/>
        <c:crossAx val="2136860520"/>
        <c:crossesAt val="1"/>
        <c:crossBetween val="midCat"/>
        <c:majorUnit val="10"/>
      </c:valAx>
      <c:valAx>
        <c:axId val="2136866600"/>
        <c:scaling>
          <c:orientation val="minMax"/>
          <c:max val="5"/>
          <c:min val="-5"/>
        </c:scaling>
        <c:delete val="0"/>
        <c:axPos val="r"/>
        <c:numFmt formatCode="0.0" sourceLinked="0"/>
        <c:majorTickMark val="out"/>
        <c:minorTickMark val="none"/>
        <c:tickLblPos val="nextTo"/>
        <c:crossAx val="2136869512"/>
        <c:crosses val="max"/>
        <c:crossBetween val="between"/>
      </c:valAx>
      <c:catAx>
        <c:axId val="2136869512"/>
        <c:scaling>
          <c:orientation val="minMax"/>
        </c:scaling>
        <c:delete val="1"/>
        <c:axPos val="b"/>
        <c:numFmt formatCode="General" sourceLinked="1"/>
        <c:majorTickMark val="out"/>
        <c:minorTickMark val="none"/>
        <c:tickLblPos val="nextTo"/>
        <c:crossAx val="2136866600"/>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180975</xdr:rowOff>
        </xdr:from>
        <xdr:to>
          <xdr:col>14</xdr:col>
          <xdr:colOff>409575</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180975</xdr:rowOff>
        </xdr:from>
        <xdr:to>
          <xdr:col>14</xdr:col>
          <xdr:colOff>409575</xdr:colOff>
          <xdr:row>23</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180975</xdr:rowOff>
        </xdr:from>
        <xdr:to>
          <xdr:col>14</xdr:col>
          <xdr:colOff>409575</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180975</xdr:rowOff>
        </xdr:from>
        <xdr:to>
          <xdr:col>14</xdr:col>
          <xdr:colOff>409575</xdr:colOff>
          <xdr:row>25</xdr:row>
          <xdr:rowOff>66675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180975</xdr:rowOff>
        </xdr:from>
        <xdr:to>
          <xdr:col>14</xdr:col>
          <xdr:colOff>409575</xdr:colOff>
          <xdr:row>26</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180975</xdr:rowOff>
        </xdr:from>
        <xdr:to>
          <xdr:col>14</xdr:col>
          <xdr:colOff>409575</xdr:colOff>
          <xdr:row>27</xdr:row>
          <xdr:rowOff>66675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409575</xdr:colOff>
          <xdr:row>28</xdr:row>
          <xdr:rowOff>66675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180975</xdr:rowOff>
        </xdr:from>
        <xdr:to>
          <xdr:col>14</xdr:col>
          <xdr:colOff>409575</xdr:colOff>
          <xdr:row>29</xdr:row>
          <xdr:rowOff>66675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180975</xdr:rowOff>
        </xdr:from>
        <xdr:to>
          <xdr:col>14</xdr:col>
          <xdr:colOff>409575</xdr:colOff>
          <xdr:row>30</xdr:row>
          <xdr:rowOff>66675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180975</xdr:rowOff>
        </xdr:from>
        <xdr:to>
          <xdr:col>14</xdr:col>
          <xdr:colOff>409575</xdr:colOff>
          <xdr:row>31</xdr:row>
          <xdr:rowOff>66675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180975</xdr:rowOff>
        </xdr:from>
        <xdr:to>
          <xdr:col>14</xdr:col>
          <xdr:colOff>409575</xdr:colOff>
          <xdr:row>32</xdr:row>
          <xdr:rowOff>66675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180975</xdr:rowOff>
        </xdr:from>
        <xdr:to>
          <xdr:col>14</xdr:col>
          <xdr:colOff>409575</xdr:colOff>
          <xdr:row>33</xdr:row>
          <xdr:rowOff>66675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180975</xdr:rowOff>
        </xdr:from>
        <xdr:to>
          <xdr:col>30</xdr:col>
          <xdr:colOff>409575</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180975</xdr:rowOff>
        </xdr:from>
        <xdr:to>
          <xdr:col>30</xdr:col>
          <xdr:colOff>409575</xdr:colOff>
          <xdr:row>23</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180975</xdr:rowOff>
        </xdr:from>
        <xdr:to>
          <xdr:col>30</xdr:col>
          <xdr:colOff>409575</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180975</xdr:rowOff>
        </xdr:from>
        <xdr:to>
          <xdr:col>30</xdr:col>
          <xdr:colOff>409575</xdr:colOff>
          <xdr:row>25</xdr:row>
          <xdr:rowOff>66675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180975</xdr:rowOff>
        </xdr:from>
        <xdr:to>
          <xdr:col>30</xdr:col>
          <xdr:colOff>409575</xdr:colOff>
          <xdr:row>26</xdr:row>
          <xdr:rowOff>66675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180975</xdr:rowOff>
        </xdr:from>
        <xdr:to>
          <xdr:col>30</xdr:col>
          <xdr:colOff>409575</xdr:colOff>
          <xdr:row>27</xdr:row>
          <xdr:rowOff>66675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180975</xdr:rowOff>
        </xdr:from>
        <xdr:to>
          <xdr:col>30</xdr:col>
          <xdr:colOff>409575</xdr:colOff>
          <xdr:row>28</xdr:row>
          <xdr:rowOff>66675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180975</xdr:rowOff>
        </xdr:from>
        <xdr:to>
          <xdr:col>30</xdr:col>
          <xdr:colOff>409575</xdr:colOff>
          <xdr:row>29</xdr:row>
          <xdr:rowOff>66675</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180975</xdr:rowOff>
        </xdr:from>
        <xdr:to>
          <xdr:col>30</xdr:col>
          <xdr:colOff>409575</xdr:colOff>
          <xdr:row>30</xdr:row>
          <xdr:rowOff>66675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180975</xdr:rowOff>
        </xdr:from>
        <xdr:to>
          <xdr:col>30</xdr:col>
          <xdr:colOff>409575</xdr:colOff>
          <xdr:row>31</xdr:row>
          <xdr:rowOff>66675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180975</xdr:rowOff>
        </xdr:from>
        <xdr:to>
          <xdr:col>30</xdr:col>
          <xdr:colOff>409575</xdr:colOff>
          <xdr:row>32</xdr:row>
          <xdr:rowOff>66675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30</xdr:col>
          <xdr:colOff>409575</xdr:colOff>
          <xdr:row>33</xdr:row>
          <xdr:rowOff>66675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D23" sqref="D23:G23"/>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26.28515625"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9"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306"/>
      <c r="B1" s="307"/>
      <c r="C1" s="306"/>
      <c r="D1" s="1" t="s">
        <v>0</v>
      </c>
      <c r="E1" s="308" t="s">
        <v>12</v>
      </c>
      <c r="F1" s="308"/>
      <c r="G1" s="308"/>
      <c r="H1" s="308"/>
      <c r="I1" s="308"/>
      <c r="J1" s="308"/>
      <c r="M1" s="2"/>
    </row>
    <row r="2" spans="1:13" x14ac:dyDescent="0.25">
      <c r="A2" s="306"/>
      <c r="B2" s="307"/>
      <c r="C2" s="306"/>
      <c r="D2" s="1" t="s">
        <v>1</v>
      </c>
      <c r="E2" s="308" t="s">
        <v>13</v>
      </c>
      <c r="F2" s="308"/>
      <c r="G2" s="308"/>
      <c r="H2" s="308"/>
      <c r="I2" s="308"/>
      <c r="J2" s="308"/>
      <c r="M2" s="2"/>
    </row>
    <row r="3" spans="1:13" x14ac:dyDescent="0.25">
      <c r="A3" s="306"/>
      <c r="B3" s="307"/>
      <c r="C3" s="306"/>
      <c r="D3" s="1" t="s">
        <v>2</v>
      </c>
      <c r="E3" s="308">
        <v>11</v>
      </c>
      <c r="F3" s="308"/>
      <c r="G3" s="308"/>
      <c r="H3" s="308"/>
      <c r="I3" s="308"/>
      <c r="J3" s="308"/>
      <c r="M3" s="2"/>
    </row>
    <row r="4" spans="1:13" x14ac:dyDescent="0.25">
      <c r="M4" s="2"/>
    </row>
    <row r="5" spans="1:13" ht="21.6" customHeight="1" x14ac:dyDescent="0.25">
      <c r="A5" s="3" t="s">
        <v>3</v>
      </c>
      <c r="B5" s="157"/>
      <c r="C5" s="4"/>
      <c r="D5" s="4"/>
      <c r="E5" s="4"/>
      <c r="F5" s="4"/>
      <c r="G5" s="4"/>
      <c r="H5" s="4"/>
      <c r="I5" s="4"/>
      <c r="J5" s="5"/>
      <c r="M5" s="2"/>
    </row>
    <row r="6" spans="1:13" ht="129.75" customHeight="1" x14ac:dyDescent="0.25">
      <c r="A6" s="309" t="s">
        <v>616</v>
      </c>
      <c r="B6" s="310"/>
      <c r="C6" s="311"/>
      <c r="D6" s="311"/>
      <c r="E6" s="311"/>
      <c r="F6" s="311"/>
      <c r="G6" s="311"/>
      <c r="H6" s="311"/>
      <c r="I6" s="311"/>
      <c r="J6" s="312"/>
      <c r="M6" s="2"/>
    </row>
    <row r="7" spans="1:13" ht="21.6" customHeight="1" x14ac:dyDescent="0.25">
      <c r="A7" s="6"/>
      <c r="B7" s="6"/>
      <c r="C7" s="6"/>
      <c r="D7" s="6"/>
      <c r="E7" s="6"/>
      <c r="F7" s="6"/>
      <c r="G7" s="6"/>
      <c r="H7" s="6"/>
      <c r="I7" s="6"/>
      <c r="J7" s="6"/>
      <c r="M7" s="2"/>
    </row>
    <row r="8" spans="1:13" ht="21.6" customHeight="1" x14ac:dyDescent="0.25">
      <c r="A8" s="7"/>
      <c r="B8" s="7"/>
      <c r="C8" s="7"/>
      <c r="D8" s="7"/>
      <c r="E8" s="7"/>
      <c r="F8" s="7"/>
      <c r="G8" s="7"/>
      <c r="H8" s="7"/>
      <c r="I8" s="7"/>
      <c r="J8" s="7"/>
      <c r="M8" s="2"/>
    </row>
    <row r="9" spans="1:13" ht="21.6" customHeight="1" x14ac:dyDescent="0.25">
      <c r="A9" s="3" t="s">
        <v>4</v>
      </c>
      <c r="B9" s="157"/>
      <c r="C9" s="8"/>
      <c r="D9" s="8"/>
      <c r="E9" s="8"/>
      <c r="F9" s="8"/>
      <c r="G9" s="8"/>
      <c r="H9" s="8"/>
      <c r="I9" s="9"/>
      <c r="M9" s="2"/>
    </row>
    <row r="10" spans="1:13" ht="45" customHeight="1" x14ac:dyDescent="0.25">
      <c r="A10" s="10" t="s">
        <v>5</v>
      </c>
      <c r="B10" s="158" t="s">
        <v>554</v>
      </c>
      <c r="C10" s="10" t="s">
        <v>6</v>
      </c>
      <c r="D10" s="313" t="s">
        <v>7</v>
      </c>
      <c r="E10" s="314"/>
      <c r="F10" s="314"/>
      <c r="G10" s="315"/>
      <c r="H10" s="10" t="s">
        <v>8</v>
      </c>
      <c r="I10" s="10" t="s">
        <v>9</v>
      </c>
      <c r="L10" s="11"/>
      <c r="M10" s="12"/>
    </row>
    <row r="11" spans="1:13" ht="31.5" customHeight="1" x14ac:dyDescent="0.25">
      <c r="A11" s="20" t="s">
        <v>519</v>
      </c>
      <c r="B11" s="159"/>
      <c r="C11" s="20" t="s">
        <v>11</v>
      </c>
      <c r="D11" s="299" t="s">
        <v>523</v>
      </c>
      <c r="E11" s="297"/>
      <c r="F11" s="297"/>
      <c r="G11" s="298"/>
      <c r="H11" s="20" t="s">
        <v>10</v>
      </c>
      <c r="I11" s="14">
        <v>41645</v>
      </c>
      <c r="L11" s="11"/>
      <c r="M11" s="12"/>
    </row>
    <row r="12" spans="1:13" ht="31.5" customHeight="1" x14ac:dyDescent="0.25">
      <c r="A12" s="20" t="s">
        <v>524</v>
      </c>
      <c r="B12" s="159"/>
      <c r="C12" s="20" t="s">
        <v>11</v>
      </c>
      <c r="D12" s="299" t="s">
        <v>525</v>
      </c>
      <c r="E12" s="297"/>
      <c r="F12" s="297"/>
      <c r="G12" s="298"/>
      <c r="H12" s="20" t="s">
        <v>10</v>
      </c>
      <c r="I12" s="14">
        <v>41647</v>
      </c>
      <c r="L12" s="11"/>
      <c r="M12" s="12"/>
    </row>
    <row r="13" spans="1:13" ht="31.5" customHeight="1" x14ac:dyDescent="0.25">
      <c r="A13" s="101" t="s">
        <v>526</v>
      </c>
      <c r="B13" s="101"/>
      <c r="C13" s="20" t="s">
        <v>11</v>
      </c>
      <c r="D13" s="299" t="s">
        <v>527</v>
      </c>
      <c r="E13" s="297"/>
      <c r="F13" s="297"/>
      <c r="G13" s="298"/>
      <c r="H13" s="20" t="s">
        <v>10</v>
      </c>
      <c r="I13" s="15">
        <v>41652</v>
      </c>
      <c r="L13" s="11"/>
      <c r="M13" s="12"/>
    </row>
    <row r="14" spans="1:13" ht="31.5" customHeight="1" x14ac:dyDescent="0.25">
      <c r="A14" s="20" t="s">
        <v>528</v>
      </c>
      <c r="B14" s="159"/>
      <c r="C14" s="20" t="s">
        <v>11</v>
      </c>
      <c r="D14" s="299" t="s">
        <v>529</v>
      </c>
      <c r="E14" s="297"/>
      <c r="F14" s="297"/>
      <c r="G14" s="298"/>
      <c r="H14" s="20" t="s">
        <v>10</v>
      </c>
      <c r="I14" s="14">
        <v>41656</v>
      </c>
      <c r="L14" s="11"/>
      <c r="M14" s="12"/>
    </row>
    <row r="15" spans="1:13" ht="31.5" customHeight="1" x14ac:dyDescent="0.25">
      <c r="A15" s="20" t="s">
        <v>532</v>
      </c>
      <c r="B15" s="159"/>
      <c r="C15" s="20" t="s">
        <v>11</v>
      </c>
      <c r="D15" s="299" t="s">
        <v>542</v>
      </c>
      <c r="E15" s="297"/>
      <c r="F15" s="297"/>
      <c r="G15" s="298"/>
      <c r="H15" s="20" t="s">
        <v>10</v>
      </c>
      <c r="I15" s="119">
        <v>41661</v>
      </c>
      <c r="M15" s="2"/>
    </row>
    <row r="16" spans="1:13" ht="48.75" customHeight="1" x14ac:dyDescent="0.25">
      <c r="A16" s="20">
        <v>4</v>
      </c>
      <c r="B16" s="159" t="s">
        <v>552</v>
      </c>
      <c r="C16" s="20" t="s">
        <v>11</v>
      </c>
      <c r="D16" s="299" t="s">
        <v>551</v>
      </c>
      <c r="E16" s="297"/>
      <c r="F16" s="297"/>
      <c r="G16" s="298"/>
      <c r="H16" s="20" t="s">
        <v>10</v>
      </c>
      <c r="I16" s="119">
        <v>41676</v>
      </c>
      <c r="M16" s="2"/>
    </row>
    <row r="17" spans="1:13" ht="31.5" customHeight="1" x14ac:dyDescent="0.25">
      <c r="A17" s="20">
        <v>5</v>
      </c>
      <c r="B17" s="159" t="s">
        <v>553</v>
      </c>
      <c r="C17" s="20"/>
      <c r="D17" s="299" t="s">
        <v>555</v>
      </c>
      <c r="E17" s="297"/>
      <c r="F17" s="297"/>
      <c r="G17" s="298"/>
      <c r="H17" s="20" t="s">
        <v>556</v>
      </c>
      <c r="I17" s="14">
        <v>41690</v>
      </c>
      <c r="M17" s="2"/>
    </row>
    <row r="18" spans="1:13" ht="201.75" customHeight="1" x14ac:dyDescent="0.25">
      <c r="A18" s="20">
        <v>6</v>
      </c>
      <c r="B18" s="159" t="s">
        <v>512</v>
      </c>
      <c r="C18" s="20"/>
      <c r="D18" s="299" t="s">
        <v>590</v>
      </c>
      <c r="E18" s="297"/>
      <c r="F18" s="297"/>
      <c r="G18" s="298"/>
      <c r="H18" s="20" t="s">
        <v>589</v>
      </c>
      <c r="I18" s="14">
        <v>41852</v>
      </c>
      <c r="M18" s="2"/>
    </row>
    <row r="19" spans="1:13" ht="38.1" customHeight="1" x14ac:dyDescent="0.25">
      <c r="A19" s="207">
        <v>7</v>
      </c>
      <c r="B19" s="208" t="s">
        <v>591</v>
      </c>
      <c r="C19" s="208"/>
      <c r="D19" s="303" t="s">
        <v>613</v>
      </c>
      <c r="E19" s="304"/>
      <c r="F19" s="304"/>
      <c r="G19" s="305"/>
      <c r="H19" s="208" t="s">
        <v>556</v>
      </c>
      <c r="I19" s="209">
        <v>41922</v>
      </c>
      <c r="M19" s="2"/>
    </row>
    <row r="20" spans="1:13" ht="134.25" customHeight="1" x14ac:dyDescent="0.25">
      <c r="A20" s="20">
        <v>8</v>
      </c>
      <c r="B20" s="159" t="s">
        <v>614</v>
      </c>
      <c r="C20" s="20"/>
      <c r="D20" s="299" t="s">
        <v>615</v>
      </c>
      <c r="E20" s="297"/>
      <c r="F20" s="297"/>
      <c r="G20" s="298"/>
      <c r="H20" s="20" t="s">
        <v>556</v>
      </c>
      <c r="I20" s="14">
        <v>41929</v>
      </c>
      <c r="M20" s="2"/>
    </row>
    <row r="21" spans="1:13" ht="216.6" customHeight="1" x14ac:dyDescent="0.25">
      <c r="A21" s="20">
        <v>9</v>
      </c>
      <c r="B21" s="159" t="s">
        <v>617</v>
      </c>
      <c r="C21" s="20"/>
      <c r="D21" s="299" t="s">
        <v>648</v>
      </c>
      <c r="E21" s="297"/>
      <c r="F21" s="297"/>
      <c r="G21" s="298"/>
      <c r="H21" s="20" t="s">
        <v>589</v>
      </c>
      <c r="I21" s="14">
        <v>42118</v>
      </c>
      <c r="M21" s="2"/>
    </row>
    <row r="22" spans="1:13" ht="117.75" customHeight="1" x14ac:dyDescent="0.25">
      <c r="A22" s="20">
        <v>10</v>
      </c>
      <c r="B22" s="159" t="s">
        <v>513</v>
      </c>
      <c r="C22" s="20"/>
      <c r="D22" s="299" t="s">
        <v>659</v>
      </c>
      <c r="E22" s="297"/>
      <c r="F22" s="297"/>
      <c r="G22" s="298"/>
      <c r="H22" s="20" t="s">
        <v>556</v>
      </c>
      <c r="I22" s="14">
        <v>42178</v>
      </c>
      <c r="M22" s="2"/>
    </row>
    <row r="23" spans="1:13" ht="345" customHeight="1" x14ac:dyDescent="0.25">
      <c r="A23" s="267">
        <v>11</v>
      </c>
      <c r="B23" s="268" t="s">
        <v>660</v>
      </c>
      <c r="C23" s="267"/>
      <c r="D23" s="300" t="s">
        <v>687</v>
      </c>
      <c r="E23" s="301"/>
      <c r="F23" s="301"/>
      <c r="G23" s="302"/>
      <c r="H23" s="268" t="s">
        <v>556</v>
      </c>
      <c r="I23" s="269">
        <v>42475</v>
      </c>
      <c r="M23" s="2"/>
    </row>
    <row r="24" spans="1:13" ht="31.5" customHeight="1" x14ac:dyDescent="0.25">
      <c r="A24" s="16"/>
      <c r="B24" s="161"/>
      <c r="C24" s="17"/>
      <c r="D24" s="296"/>
      <c r="E24" s="297"/>
      <c r="F24" s="297"/>
      <c r="G24" s="298"/>
      <c r="H24" s="13"/>
      <c r="I24" s="14"/>
      <c r="M24" s="2"/>
    </row>
    <row r="25" spans="1:13" ht="31.5" customHeight="1" x14ac:dyDescent="0.25">
      <c r="A25" s="13"/>
      <c r="B25" s="160"/>
      <c r="C25" s="13"/>
      <c r="D25" s="296"/>
      <c r="E25" s="297"/>
      <c r="F25" s="297"/>
      <c r="G25" s="298"/>
      <c r="H25" s="13"/>
      <c r="I25" s="18"/>
      <c r="M25" s="2"/>
    </row>
    <row r="26" spans="1:13" ht="31.5" customHeight="1" x14ac:dyDescent="0.25">
      <c r="A26" s="13"/>
      <c r="B26" s="160"/>
      <c r="C26" s="13"/>
      <c r="D26" s="296"/>
      <c r="E26" s="297"/>
      <c r="F26" s="297"/>
      <c r="G26" s="298"/>
      <c r="H26" s="13"/>
      <c r="I26" s="18"/>
      <c r="M26" s="2"/>
    </row>
    <row r="27" spans="1:13" x14ac:dyDescent="0.25">
      <c r="G27" s="293"/>
      <c r="M27" s="2"/>
    </row>
    <row r="28" spans="1:13" x14ac:dyDescent="0.25">
      <c r="M28" s="2"/>
    </row>
    <row r="29" spans="1:13" x14ac:dyDescent="0.25">
      <c r="M29" s="2"/>
    </row>
    <row r="30" spans="1:13" x14ac:dyDescent="0.25">
      <c r="M30" s="2"/>
    </row>
    <row r="31" spans="1:13" x14ac:dyDescent="0.25">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B170" workbookViewId="0">
      <selection activeCell="P80" sqref="P80"/>
    </sheetView>
  </sheetViews>
  <sheetFormatPr defaultColWidth="8.7109375" defaultRowHeight="15" x14ac:dyDescent="0.25"/>
  <cols>
    <col min="1" max="1" width="3" customWidth="1"/>
    <col min="2" max="12" width="13.42578125" customWidth="1"/>
    <col min="14" max="14" width="10.42578125" customWidth="1"/>
    <col min="15" max="16" width="13.42578125" customWidth="1"/>
    <col min="17" max="17" width="9.855468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227">
        <f>'1204-Initial'!B4</f>
        <v>1013</v>
      </c>
      <c r="C4" s="227">
        <f>'1204-Initial'!C4</f>
        <v>245</v>
      </c>
      <c r="D4" s="227">
        <f>'1204-Initial'!D4</f>
        <v>9999</v>
      </c>
      <c r="E4" s="227">
        <f>'1204-Initial'!E4</f>
        <v>6287</v>
      </c>
      <c r="F4" s="227" t="str">
        <f>'1204-Initial'!F4</f>
        <v>FF</v>
      </c>
      <c r="G4" s="234">
        <f>INDEX('FTS-Initialization'!$W$20:$W$32,MATCH(FLOOR($B$4,1000),'FTS-Initialization'!$V$20:$V$32,0))</f>
        <v>84</v>
      </c>
      <c r="H4" s="234" t="str">
        <f>INDEX('FTS-Initialization'!$X$20:$X$32,MATCH(FLOOR($B$4,1000),'FTS-Initialization'!$V$20:$V$32,0))</f>
        <v>TKA</v>
      </c>
      <c r="I4" s="235">
        <f ca="1">TODAY()</f>
        <v>42509</v>
      </c>
      <c r="J4" s="179">
        <f>'FTS-Initialization'!$AA$29</f>
        <v>100</v>
      </c>
      <c r="K4" s="179">
        <f>'FTS-Initialization'!$AA$29</f>
        <v>100</v>
      </c>
      <c r="L4" s="179"/>
      <c r="N4" t="s">
        <v>463</v>
      </c>
    </row>
    <row r="5" spans="2:32" x14ac:dyDescent="0.25">
      <c r="B5" s="183" t="str">
        <f>DEC2HEX(B4,4)</f>
        <v>03F5</v>
      </c>
      <c r="C5" s="183" t="e">
        <f>DEC2HEX(C4*2,2)</f>
        <v>#NUM!</v>
      </c>
      <c r="D5" s="183" t="str">
        <f>DEC2HEX(D4,8)</f>
        <v>0000270F</v>
      </c>
      <c r="E5" s="183" t="str">
        <f>DEC2HEX(E4,8)</f>
        <v>0000188F</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18</v>
      </c>
      <c r="S6" s="80" t="str">
        <f>D25</f>
        <v>8F</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ref="AF13:AF32" si="4">CONCATENATE($O$5,$P$5,$Q$5,$R$5,$S$5,$T$5,$U$5,$V$5,$W$5,$X$5,O13,P13,Q13,R13,S13,T13,U13,V13,W13,X13,Y13,Z13,AA13,AB13,AC13,AD13,"00")</f>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18</v>
      </c>
      <c r="AC15" s="85" t="str">
        <f>RIGHT(INDEX($D$9:$D$47,MATCH('EEPROM-Contents'!AE9,$B$9:$B$47,0)),2)</f>
        <v>8F</v>
      </c>
      <c r="AD15" s="85" t="str">
        <f>RIGHT(INDEX($D$9:$D$47,MATCH('EEPROM-Contents'!AF9,$B$9:$B$47,0)),2)</f>
        <v>89</v>
      </c>
      <c r="AF15" s="82" t="str">
        <f t="shared" si="4"/>
        <v>1200CD7C0A00000000000E785610EA2A001F4100000000188F8900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1200CD7C0A000000000006051303F50000270F8000800080000000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30</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1200CD7C0A000000000000FF6A6A30018906051303F50000270F00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30</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5"/>
        <v>1200CD7C0A00000000008000800080000000FF6A6A300289060500</v>
      </c>
    </row>
    <row r="19" spans="2:32" x14ac:dyDescent="0.25">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1200CD7C0A00000000001303F50000270F8000800080000000FF00</v>
      </c>
    </row>
    <row r="20" spans="2:32" x14ac:dyDescent="0.25">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30</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1200CD7C0A00000000006A6A30038906051303F50000270F800000</v>
      </c>
    </row>
    <row r="21" spans="2:32" x14ac:dyDescent="0.25">
      <c r="B21" s="86">
        <f>'EEPROM-Contents'!B63</f>
        <v>59</v>
      </c>
      <c r="C21" s="75" t="e">
        <f t="shared" si="6"/>
        <v>#NUM!</v>
      </c>
      <c r="D21" s="78" t="e">
        <f>DEC2HEX(2*$C$4,2)</f>
        <v>#NUM!</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30</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5"/>
        <v>1200CD7C0A0000000000800080000000FF6A6A3004890605130300</v>
      </c>
    </row>
    <row r="22" spans="2:32" x14ac:dyDescent="0.25">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x14ac:dyDescent="0.25">
      <c r="B23" s="86">
        <f>'EEPROM-Contents'!B96</f>
        <v>92</v>
      </c>
      <c r="C23" s="78">
        <f t="shared" ref="C23:C43" si="7">HEX2DEC(D23)</f>
        <v>0</v>
      </c>
      <c r="D23" s="78" t="str">
        <f>LEFT(RIGHT($E$5,6),2)</f>
        <v>00</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30</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1200CD7C0A000000000030058906051303F50000270F8000800000</v>
      </c>
    </row>
    <row r="24" spans="2:32" x14ac:dyDescent="0.25">
      <c r="B24" s="86">
        <f>'EEPROM-Contents'!B97</f>
        <v>93</v>
      </c>
      <c r="C24" s="78">
        <f t="shared" si="7"/>
        <v>24</v>
      </c>
      <c r="D24" s="78" t="str">
        <f>LEFT(RIGHT($E$5,4),2)</f>
        <v>18</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30</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1200CD7C0A000000000080000000FF6A6A30068906051303F50000</v>
      </c>
    </row>
    <row r="25" spans="2:32" x14ac:dyDescent="0.25">
      <c r="B25" s="86">
        <f>'EEPROM-Contents'!B98</f>
        <v>94</v>
      </c>
      <c r="C25" s="78">
        <f t="shared" si="7"/>
        <v>143</v>
      </c>
      <c r="D25" s="78" t="str">
        <f>LEFT(RIGHT($E$5,2),2)</f>
        <v>8F</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30</v>
      </c>
      <c r="AD25" s="80" t="str">
        <f>RIGHT(INDEX('EEPROM-Contents'!$K$4:'EEPROM-Contents'!$K$141,MATCH('EEPROM-Contents'!AF19,'EEPROM-Contents'!$I$4:'EEPROM-Contents'!$I$141,0)),2)</f>
        <v>07</v>
      </c>
      <c r="AF25" s="82" t="str">
        <f t="shared" ca="1" si="9"/>
        <v>1200CD7C0A000000000000270F8000800080000000FF6A6A300700</v>
      </c>
    </row>
    <row r="26" spans="2:32" x14ac:dyDescent="0.25">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1200CD7C0A00000000008906051303F50000270F80008000800000</v>
      </c>
    </row>
    <row r="27" spans="2:32" x14ac:dyDescent="0.25">
      <c r="B27" s="86">
        <f>'EEPROM-Contents'!B100</f>
        <v>96</v>
      </c>
      <c r="C27" s="76">
        <f ca="1">HEX2DEC(D27)</f>
        <v>6</v>
      </c>
      <c r="D27" s="236" t="str">
        <f ca="1">F5</f>
        <v>06</v>
      </c>
      <c r="E27" s="67" t="str">
        <f>'EEPROM-Contents'!L100</f>
        <v>Year</v>
      </c>
      <c r="F27" s="68"/>
      <c r="G27" s="69"/>
      <c r="I27" s="28"/>
      <c r="J27" s="95" t="s">
        <v>514</v>
      </c>
      <c r="K27" s="190">
        <f>$L$169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30</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1200CD7C0A00000000000000FF6A6A30088906051303F500002700</v>
      </c>
    </row>
    <row r="28" spans="2:32" x14ac:dyDescent="0.25">
      <c r="B28" s="86">
        <f>'EEPROM-Contents'!B101</f>
        <v>97</v>
      </c>
      <c r="C28" s="76">
        <f ca="1">HEX2DEC(D28)</f>
        <v>5</v>
      </c>
      <c r="D28" s="236" t="str">
        <f ca="1">G5</f>
        <v>05</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30</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1200CD7C0A00000000000F8000800080000000FF6A6A3009890600</v>
      </c>
    </row>
    <row r="29" spans="2:32" x14ac:dyDescent="0.25">
      <c r="B29" s="86">
        <f>'EEPROM-Contents'!B102</f>
        <v>98</v>
      </c>
      <c r="C29" s="76">
        <f ca="1">HEX2DEC(D29)</f>
        <v>19</v>
      </c>
      <c r="D29" s="236" t="str">
        <f ca="1">H5</f>
        <v>13</v>
      </c>
      <c r="E29" s="67" t="str">
        <f>'EEPROM-Contents'!L102</f>
        <v>Day</v>
      </c>
      <c r="F29" s="68"/>
      <c r="G29" s="69"/>
      <c r="I29" s="28"/>
      <c r="J29" s="95" t="s">
        <v>513</v>
      </c>
      <c r="K29" s="190" t="str">
        <f>RIGHT(DEC2HEX(K27,4),2)</f>
        <v>00</v>
      </c>
      <c r="L29" s="28"/>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1200CD7C0A0000000000051303F50000270F800080008000000000</v>
      </c>
    </row>
    <row r="30" spans="2:32" x14ac:dyDescent="0.25">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30</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1200CD7C0A0000000000FF6A6A300A8906051303F50000270F8000</v>
      </c>
    </row>
    <row r="31" spans="2:32" x14ac:dyDescent="0.25">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30</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9"/>
        <v>1200CD7C0A000000000000800080000000FF6A6A300B8906051300</v>
      </c>
    </row>
    <row r="32" spans="2:32" x14ac:dyDescent="0.25">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x14ac:dyDescent="0.25">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30</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1200CD7C0A00000000006A300C8906051303F50000270F80008000</v>
      </c>
    </row>
    <row r="34" spans="2:32" x14ac:dyDescent="0.25">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30</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11"/>
        <v>1200CD7C0A00000000000080000000FF6A6A300D8906051303F500</v>
      </c>
    </row>
    <row r="35" spans="2:32" x14ac:dyDescent="0.25">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30</v>
      </c>
      <c r="AF35" s="82" t="str">
        <f t="shared" ca="1" si="11"/>
        <v>1200CD7C0A00000000000000270F8000800080000000FF6A6A3000</v>
      </c>
    </row>
    <row r="36" spans="2:32" x14ac:dyDescent="0.25">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1200CD7C0A00000000000E8906051303F50000270F800080008000</v>
      </c>
    </row>
    <row r="37" spans="2:32" x14ac:dyDescent="0.25">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30</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1200CD7C0A0000000000000000FF6A6A300F8906051303F5000000</v>
      </c>
    </row>
    <row r="38" spans="2:32" x14ac:dyDescent="0.25">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30</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1200CD7C0A0000000000270F8000800080000000FF6A6A30108900</v>
      </c>
    </row>
    <row r="39" spans="2:32" x14ac:dyDescent="0.25">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1200CD7C0A000000000006051303F50000270F8000800080000000</v>
      </c>
    </row>
    <row r="40" spans="2:32" x14ac:dyDescent="0.25">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30</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1200CD7C0A000000000000FF6A6A30118906051303F50000270F00</v>
      </c>
    </row>
    <row r="41" spans="2:32" ht="15.75" thickBot="1" x14ac:dyDescent="0.3">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30</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1200CD7C0A00000000008000800080000000FF6A6A301280000000</v>
      </c>
    </row>
    <row r="42" spans="2:32" x14ac:dyDescent="0.25">
      <c r="B42" s="86">
        <f>'EEPROM-Contents'!B115</f>
        <v>111</v>
      </c>
      <c r="C42" s="76">
        <f t="shared" si="7"/>
        <v>0</v>
      </c>
      <c r="D42" s="237" t="str">
        <f>K28</f>
        <v>00</v>
      </c>
      <c r="E42" s="67" t="str">
        <f>'EEPROM-Contents'!L115</f>
        <v>Voltage H Cal 3.1V</v>
      </c>
      <c r="F42" s="68"/>
      <c r="G42" s="69"/>
    </row>
    <row r="43" spans="2:32" x14ac:dyDescent="0.25">
      <c r="B43" s="86">
        <f>'EEPROM-Contents'!B116</f>
        <v>112</v>
      </c>
      <c r="C43" s="76">
        <f t="shared" si="7"/>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K10</f>
        <v>-150</v>
      </c>
      <c r="D45" s="236" t="str">
        <f>DEC2HEX(C45,2)</f>
        <v>FFFFFFFF6A</v>
      </c>
      <c r="E45" s="67" t="str">
        <f>'EEPROM-Contents'!L118</f>
        <v>Cal Factor for CondyleA</v>
      </c>
      <c r="F45" s="68"/>
      <c r="G45" s="69"/>
    </row>
    <row r="46" spans="2:32" x14ac:dyDescent="0.25">
      <c r="B46" s="86">
        <f>'EEPROM-Contents'!B119</f>
        <v>115</v>
      </c>
      <c r="C46" s="76">
        <f>L10</f>
        <v>-150</v>
      </c>
      <c r="D46" s="236" t="str">
        <f>DEC2HEX(C46,2)</f>
        <v>FFFFFFFF6A</v>
      </c>
      <c r="E46" s="67" t="str">
        <f>'EEPROM-Contents'!L119</f>
        <v>Cal Factor for CondyleB</v>
      </c>
      <c r="F46" s="68"/>
      <c r="G46" s="69"/>
    </row>
    <row r="47" spans="2:32" x14ac:dyDescent="0.25">
      <c r="B47" s="86">
        <f>'EEPROM-Contents'!B120</f>
        <v>116</v>
      </c>
      <c r="C47" s="76">
        <f ca="1">255-HEX2DEC(RIGHT(DEC2HEX(SUM(C22:C46)),2))</f>
        <v>48</v>
      </c>
      <c r="D47" s="236" t="str">
        <f ca="1">DEC2HEX($C$47,2)</f>
        <v>30</v>
      </c>
      <c r="E47" s="67" t="str">
        <f>'EEPROM-Contents'!L120</f>
        <v>Checksum</v>
      </c>
      <c r="F47" s="68"/>
      <c r="G47" s="69"/>
    </row>
    <row r="49" spans="2:12" x14ac:dyDescent="0.25">
      <c r="B49" s="357" t="s">
        <v>222</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229">
        <v>70</v>
      </c>
      <c r="C51" s="230"/>
      <c r="D51" s="230"/>
      <c r="E51" s="230"/>
      <c r="F51" s="230"/>
      <c r="G51" s="230"/>
      <c r="H51" s="230"/>
      <c r="I51" s="230"/>
      <c r="J51" s="230"/>
    </row>
    <row r="52" spans="2:12" x14ac:dyDescent="0.25">
      <c r="B52" s="229">
        <v>140</v>
      </c>
      <c r="C52" s="230"/>
      <c r="D52" s="230"/>
      <c r="E52" s="230"/>
      <c r="F52" s="230"/>
      <c r="G52" s="230"/>
      <c r="H52" s="230"/>
      <c r="I52" s="230"/>
      <c r="J52" s="230"/>
    </row>
    <row r="53" spans="2:12" x14ac:dyDescent="0.25">
      <c r="B53" s="229">
        <v>0</v>
      </c>
      <c r="C53" s="230"/>
      <c r="D53" s="230"/>
      <c r="E53" s="230"/>
      <c r="F53" s="230"/>
      <c r="G53" s="230"/>
      <c r="H53" s="230"/>
      <c r="I53" s="230"/>
      <c r="J53" s="230"/>
    </row>
    <row r="54" spans="2:12" x14ac:dyDescent="0.25">
      <c r="B54" s="229">
        <v>70</v>
      </c>
      <c r="C54" s="230"/>
      <c r="D54" s="230"/>
      <c r="E54" s="230"/>
      <c r="F54" s="230"/>
      <c r="G54" s="230"/>
      <c r="H54" s="230"/>
      <c r="I54" s="230"/>
      <c r="J54" s="230"/>
    </row>
    <row r="55" spans="2:12" x14ac:dyDescent="0.25">
      <c r="B55" s="229">
        <v>140</v>
      </c>
      <c r="C55" s="230"/>
      <c r="D55" s="230"/>
      <c r="E55" s="230"/>
      <c r="F55" s="230"/>
      <c r="G55" s="230"/>
      <c r="H55" s="230"/>
      <c r="I55" s="230"/>
      <c r="J55" s="230"/>
    </row>
    <row r="56" spans="2:12" x14ac:dyDescent="0.25">
      <c r="B56" s="229">
        <v>0</v>
      </c>
      <c r="C56" s="230">
        <v>1000</v>
      </c>
      <c r="D56" s="230">
        <v>1000</v>
      </c>
      <c r="E56" s="230">
        <v>1000</v>
      </c>
      <c r="F56" s="230">
        <v>1000</v>
      </c>
      <c r="G56" s="230">
        <v>1000</v>
      </c>
      <c r="H56" s="230">
        <v>1000</v>
      </c>
      <c r="I56" s="230">
        <v>1000</v>
      </c>
      <c r="J56" s="230">
        <v>20000</v>
      </c>
    </row>
    <row r="57" spans="2:12" x14ac:dyDescent="0.25">
      <c r="B57" s="229">
        <v>10</v>
      </c>
      <c r="C57" s="230"/>
      <c r="D57" s="230"/>
      <c r="E57" s="230"/>
      <c r="F57" s="230"/>
      <c r="G57" s="230"/>
      <c r="H57" s="230"/>
      <c r="I57" s="230"/>
      <c r="J57" s="230"/>
    </row>
    <row r="58" spans="2:12" x14ac:dyDescent="0.25">
      <c r="B58" s="229">
        <v>20</v>
      </c>
      <c r="C58" s="230"/>
      <c r="D58" s="230"/>
      <c r="E58" s="230"/>
      <c r="F58" s="230"/>
      <c r="G58" s="230"/>
      <c r="H58" s="230"/>
      <c r="I58" s="230"/>
      <c r="J58" s="230"/>
    </row>
    <row r="59" spans="2:12" x14ac:dyDescent="0.25">
      <c r="B59" s="229">
        <v>40</v>
      </c>
      <c r="C59" s="230"/>
      <c r="D59" s="230"/>
      <c r="E59" s="230"/>
      <c r="F59" s="230"/>
      <c r="G59" s="230"/>
      <c r="H59" s="230"/>
      <c r="I59" s="230"/>
      <c r="J59" s="230"/>
    </row>
    <row r="60" spans="2:12" x14ac:dyDescent="0.25">
      <c r="B60" s="229">
        <v>60</v>
      </c>
      <c r="C60" s="230"/>
      <c r="D60" s="230"/>
      <c r="E60" s="230"/>
      <c r="F60" s="230"/>
      <c r="G60" s="230"/>
      <c r="H60" s="230"/>
      <c r="I60" s="230"/>
      <c r="J60" s="230"/>
    </row>
    <row r="61" spans="2:12" x14ac:dyDescent="0.25">
      <c r="B61" s="229">
        <v>80</v>
      </c>
      <c r="C61" s="230"/>
      <c r="D61" s="230"/>
      <c r="E61" s="230"/>
      <c r="F61" s="230"/>
      <c r="G61" s="230"/>
      <c r="H61" s="230"/>
      <c r="I61" s="230"/>
      <c r="J61" s="230"/>
    </row>
    <row r="62" spans="2:12" x14ac:dyDescent="0.25">
      <c r="B62" s="228" t="s">
        <v>646</v>
      </c>
      <c r="C62" s="231">
        <f>(C61-C56)/($B$61-$B$56)</f>
        <v>-12.5</v>
      </c>
      <c r="D62" s="231">
        <f t="shared" ref="D62:H62" si="12">(D61-D56)/($B$61-$B$56)</f>
        <v>-12.5</v>
      </c>
      <c r="E62" s="231">
        <f t="shared" si="12"/>
        <v>-12.5</v>
      </c>
      <c r="F62" s="231">
        <f t="shared" si="12"/>
        <v>-12.5</v>
      </c>
      <c r="G62" s="231">
        <f t="shared" si="12"/>
        <v>-12.5</v>
      </c>
      <c r="H62" s="231">
        <f t="shared" si="12"/>
        <v>-12.5</v>
      </c>
    </row>
    <row r="63" spans="2:12" x14ac:dyDescent="0.25">
      <c r="B63" s="354" t="s">
        <v>405</v>
      </c>
      <c r="C63" s="355"/>
      <c r="D63" s="355"/>
      <c r="E63" s="355"/>
      <c r="F63" s="355"/>
      <c r="G63" s="117" t="s">
        <v>410</v>
      </c>
      <c r="H63" s="117">
        <f>'FTS-Initialization'!$AE$27</f>
        <v>33000</v>
      </c>
      <c r="I63" s="117" t="s">
        <v>411</v>
      </c>
      <c r="J63" s="117">
        <f>'FTS-Initialization'!$AE$26</f>
        <v>52000</v>
      </c>
      <c r="L63" s="91" t="s">
        <v>414</v>
      </c>
    </row>
    <row r="64" spans="2:12" x14ac:dyDescent="0.25">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x14ac:dyDescent="0.25">
      <c r="B66" s="354" t="s">
        <v>522</v>
      </c>
      <c r="C66" s="355"/>
      <c r="D66" s="355"/>
      <c r="E66" s="355"/>
      <c r="F66" s="355"/>
      <c r="G66" s="141" t="s">
        <v>410</v>
      </c>
      <c r="H66" s="141">
        <f>'FTS-Initialization'!$AE$29</f>
        <v>5000</v>
      </c>
      <c r="I66" s="141" t="s">
        <v>411</v>
      </c>
      <c r="J66" s="141">
        <f>'FTS-Initialization'!$AE$28</f>
        <v>60000</v>
      </c>
      <c r="L66" s="91" t="s">
        <v>414</v>
      </c>
    </row>
    <row r="67" spans="2:27" x14ac:dyDescent="0.25">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x14ac:dyDescent="0.25">
      <c r="M70" s="106">
        <f>SLOPE(M74:M79,$L$74:$L$79)</f>
        <v>-75</v>
      </c>
      <c r="N70" s="106">
        <f>SLOPE(N74:N79,$L$74:$L$79)</f>
        <v>-75</v>
      </c>
    </row>
    <row r="71" spans="2:27" x14ac:dyDescent="0.25">
      <c r="M71" s="102" t="str">
        <f t="shared" ref="M71:N79" si="13">K9</f>
        <v>ScaleA</v>
      </c>
      <c r="N71" s="102" t="str">
        <f t="shared" si="13"/>
        <v>ScaleB</v>
      </c>
    </row>
    <row r="72" spans="2:27" x14ac:dyDescent="0.25">
      <c r="B72" s="357" t="s">
        <v>518</v>
      </c>
      <c r="C72" s="358"/>
      <c r="D72" s="358"/>
      <c r="E72" s="358"/>
      <c r="F72" s="358"/>
      <c r="G72" s="358"/>
      <c r="H72" s="358"/>
      <c r="I72" s="358"/>
      <c r="J72" s="359"/>
      <c r="M72" s="102">
        <f>K10</f>
        <v>-150</v>
      </c>
      <c r="N72" s="102">
        <f>L10</f>
        <v>-150</v>
      </c>
      <c r="P72" s="165" t="s">
        <v>567</v>
      </c>
      <c r="Q72" s="166"/>
      <c r="R72" s="166"/>
      <c r="S72" s="169"/>
    </row>
    <row r="73" spans="2:27" x14ac:dyDescent="0.25">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x14ac:dyDescent="0.25">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I74/($E$137/2)</f>
        <v>0</v>
      </c>
      <c r="Q74" s="168">
        <f>J74/($G$137/2)</f>
        <v>0</v>
      </c>
      <c r="R74" s="164">
        <f>P74+Q74</f>
        <v>0</v>
      </c>
      <c r="S74" s="164">
        <f>IF(ABS(R74-B74)&gt;$J$94,'FTS-Initialization'!$N$99,0)</f>
        <v>0</v>
      </c>
      <c r="U74" s="162" t="s">
        <v>224</v>
      </c>
      <c r="V74" s="162" t="s">
        <v>225</v>
      </c>
      <c r="W74" s="162" t="s">
        <v>226</v>
      </c>
      <c r="X74" s="162" t="s">
        <v>227</v>
      </c>
      <c r="Y74" s="162" t="s">
        <v>228</v>
      </c>
      <c r="Z74" s="162" t="s">
        <v>229</v>
      </c>
      <c r="AA74" s="218" t="s">
        <v>645</v>
      </c>
    </row>
    <row r="75" spans="2:27" x14ac:dyDescent="0.25">
      <c r="B75" s="114">
        <f t="shared" ref="B75:B79" si="16">B57</f>
        <v>10</v>
      </c>
      <c r="C75" s="108">
        <f>(C57-C$56)+$C$74</f>
        <v>-1000</v>
      </c>
      <c r="D75" s="108">
        <f>(D57-D$56)+$D$74</f>
        <v>-1000</v>
      </c>
      <c r="E75" s="108">
        <f>(E57-E$56)+$E$74</f>
        <v>-1000</v>
      </c>
      <c r="F75" s="108">
        <f>(F57-F$56)+$F$74</f>
        <v>-1000</v>
      </c>
      <c r="G75" s="108">
        <f>(G57-G$56)+$G$74</f>
        <v>-1000</v>
      </c>
      <c r="H75" s="108">
        <f>(H57-H$56)+$H$74</f>
        <v>-1000</v>
      </c>
      <c r="I75" s="108">
        <f t="shared" ref="I75:I79" si="17">SUM(C75:E75)</f>
        <v>-3000</v>
      </c>
      <c r="J75" s="108">
        <f t="shared" ref="J75:J79" si="18">SUM(F75:H75)</f>
        <v>-3000</v>
      </c>
      <c r="L75" s="102">
        <f t="shared" si="14"/>
        <v>5</v>
      </c>
      <c r="M75" s="104">
        <f t="shared" si="13"/>
        <v>-375</v>
      </c>
      <c r="N75" s="104">
        <f t="shared" si="13"/>
        <v>-375</v>
      </c>
      <c r="P75" s="168">
        <f>($L$80/((4000*$E$137)/100))*I75</f>
        <v>40</v>
      </c>
      <c r="Q75" s="168">
        <f>($L$80/((4000*$G$137)/100))*J75</f>
        <v>40</v>
      </c>
      <c r="R75" s="164">
        <f t="shared" ref="R75:R79" si="19">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x14ac:dyDescent="0.25">
      <c r="B76" s="114">
        <f t="shared" si="16"/>
        <v>20</v>
      </c>
      <c r="C76" s="108">
        <f t="shared" ref="C76:C79" si="20">(C58-C$56)+$C$74</f>
        <v>-1000</v>
      </c>
      <c r="D76" s="108">
        <f t="shared" ref="D76:D79" si="21">(D58-D$56)+$D$74</f>
        <v>-1000</v>
      </c>
      <c r="E76" s="108">
        <f t="shared" ref="E76:E79" si="22">(E58-E$56)+$E$74</f>
        <v>-1000</v>
      </c>
      <c r="F76" s="108">
        <f t="shared" ref="F76:F79" si="23">(F58-F$56)+$F$74</f>
        <v>-1000</v>
      </c>
      <c r="G76" s="108">
        <f t="shared" ref="G76:G79" si="24">(G58-G$56)+$G$74</f>
        <v>-1000</v>
      </c>
      <c r="H76" s="108">
        <f t="shared" ref="H76:H79" si="25">(H58-H$56)+$H$74</f>
        <v>-1000</v>
      </c>
      <c r="I76" s="108">
        <f t="shared" si="17"/>
        <v>-3000</v>
      </c>
      <c r="J76" s="108">
        <f t="shared" si="18"/>
        <v>-3000</v>
      </c>
      <c r="L76" s="102">
        <f t="shared" si="14"/>
        <v>10</v>
      </c>
      <c r="M76" s="104">
        <f t="shared" si="13"/>
        <v>-750</v>
      </c>
      <c r="N76" s="104">
        <f t="shared" si="13"/>
        <v>-750</v>
      </c>
      <c r="P76" s="168">
        <f>($L$80/((4000*$E$137)/100))*I76</f>
        <v>40</v>
      </c>
      <c r="Q76" s="168">
        <f>($L$80/((4000*$G$137)/100))*J76</f>
        <v>40</v>
      </c>
      <c r="R76" s="164">
        <f t="shared" si="19"/>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x14ac:dyDescent="0.25">
      <c r="B77" s="114">
        <f t="shared" si="16"/>
        <v>40</v>
      </c>
      <c r="C77" s="108">
        <f t="shared" si="20"/>
        <v>-1000</v>
      </c>
      <c r="D77" s="108">
        <f t="shared" si="21"/>
        <v>-1000</v>
      </c>
      <c r="E77" s="108">
        <f t="shared" si="22"/>
        <v>-1000</v>
      </c>
      <c r="F77" s="108">
        <f t="shared" si="23"/>
        <v>-1000</v>
      </c>
      <c r="G77" s="108">
        <f t="shared" si="24"/>
        <v>-1000</v>
      </c>
      <c r="H77" s="108">
        <f t="shared" si="25"/>
        <v>-1000</v>
      </c>
      <c r="I77" s="108">
        <f t="shared" si="17"/>
        <v>-3000</v>
      </c>
      <c r="J77" s="108">
        <f t="shared" si="18"/>
        <v>-3000</v>
      </c>
      <c r="L77" s="102">
        <f t="shared" si="14"/>
        <v>20</v>
      </c>
      <c r="M77" s="104">
        <f t="shared" si="13"/>
        <v>-1500</v>
      </c>
      <c r="N77" s="104">
        <f t="shared" si="13"/>
        <v>-1500</v>
      </c>
      <c r="P77" s="168">
        <f>($L$80/((4000*$E$137)/100))*I77</f>
        <v>40</v>
      </c>
      <c r="Q77" s="168">
        <f>($L$80/((4000*$G$137)/100))*J77</f>
        <v>40</v>
      </c>
      <c r="R77" s="164">
        <f t="shared" si="19"/>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x14ac:dyDescent="0.25">
      <c r="B78" s="114">
        <f t="shared" si="16"/>
        <v>60</v>
      </c>
      <c r="C78" s="108">
        <f t="shared" si="20"/>
        <v>-1000</v>
      </c>
      <c r="D78" s="108">
        <f t="shared" si="21"/>
        <v>-1000</v>
      </c>
      <c r="E78" s="108">
        <f t="shared" si="22"/>
        <v>-1000</v>
      </c>
      <c r="F78" s="108">
        <f t="shared" si="23"/>
        <v>-1000</v>
      </c>
      <c r="G78" s="108">
        <f t="shared" si="24"/>
        <v>-1000</v>
      </c>
      <c r="H78" s="108">
        <f t="shared" si="25"/>
        <v>-1000</v>
      </c>
      <c r="I78" s="108">
        <f t="shared" si="17"/>
        <v>-3000</v>
      </c>
      <c r="J78" s="108">
        <f t="shared" si="18"/>
        <v>-3000</v>
      </c>
      <c r="L78" s="102">
        <f t="shared" si="14"/>
        <v>30</v>
      </c>
      <c r="M78" s="104">
        <f t="shared" si="13"/>
        <v>-2250</v>
      </c>
      <c r="N78" s="104">
        <f t="shared" si="13"/>
        <v>-2250</v>
      </c>
      <c r="P78" s="168">
        <f>($L$80/((4000*$E$137)/100))*I78</f>
        <v>40</v>
      </c>
      <c r="Q78" s="168">
        <f>($L$80/((4000*$G$137)/100))*J78</f>
        <v>40</v>
      </c>
      <c r="R78" s="164">
        <f t="shared" si="19"/>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x14ac:dyDescent="0.25">
      <c r="B79" s="114">
        <f t="shared" si="16"/>
        <v>80</v>
      </c>
      <c r="C79" s="108">
        <f t="shared" si="20"/>
        <v>-1000</v>
      </c>
      <c r="D79" s="108">
        <f t="shared" si="21"/>
        <v>-1000</v>
      </c>
      <c r="E79" s="108">
        <f t="shared" si="22"/>
        <v>-1000</v>
      </c>
      <c r="F79" s="108">
        <f t="shared" si="23"/>
        <v>-1000</v>
      </c>
      <c r="G79" s="108">
        <f t="shared" si="24"/>
        <v>-1000</v>
      </c>
      <c r="H79" s="108">
        <f t="shared" si="25"/>
        <v>-1000</v>
      </c>
      <c r="I79" s="108">
        <f t="shared" si="17"/>
        <v>-3000</v>
      </c>
      <c r="J79" s="108">
        <f t="shared" si="18"/>
        <v>-3000</v>
      </c>
      <c r="L79" s="102">
        <f t="shared" si="14"/>
        <v>40</v>
      </c>
      <c r="M79" s="104">
        <f t="shared" si="13"/>
        <v>-3000</v>
      </c>
      <c r="N79" s="104">
        <f t="shared" si="13"/>
        <v>-3000</v>
      </c>
      <c r="P79" s="168">
        <f>($L$80/((4000*$E$137)/100))*I79</f>
        <v>40</v>
      </c>
      <c r="Q79" s="168">
        <f>($L$80/((4000*$G$137)/100))*J79</f>
        <v>40</v>
      </c>
      <c r="R79" s="164">
        <f t="shared" si="19"/>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x14ac:dyDescent="0.25">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x14ac:dyDescent="0.25">
      <c r="B81" s="366" t="s">
        <v>644</v>
      </c>
      <c r="C81" s="367"/>
      <c r="D81" s="367"/>
      <c r="E81" s="367"/>
      <c r="F81" s="367"/>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x14ac:dyDescent="0.25">
      <c r="B82" s="116" t="s">
        <v>451</v>
      </c>
      <c r="C82" s="116" t="s">
        <v>438</v>
      </c>
      <c r="D82" s="116" t="s">
        <v>439</v>
      </c>
      <c r="E82" s="116" t="s">
        <v>199</v>
      </c>
      <c r="F82" s="116" t="s">
        <v>200</v>
      </c>
      <c r="J82" s="116" t="s">
        <v>407</v>
      </c>
      <c r="L82" s="91" t="s">
        <v>414</v>
      </c>
    </row>
    <row r="83" spans="2:26" x14ac:dyDescent="0.25">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x14ac:dyDescent="0.25">
      <c r="E84" s="222">
        <f>I16/J16/(E83/100)</f>
        <v>-1.3333333333333334E-2</v>
      </c>
      <c r="F84" s="222">
        <f>I16/J16/(F83/100)</f>
        <v>-1.3333333333333334E-2</v>
      </c>
      <c r="U84" s="162" t="s">
        <v>224</v>
      </c>
      <c r="V84" s="162" t="s">
        <v>225</v>
      </c>
      <c r="W84" s="162" t="s">
        <v>226</v>
      </c>
      <c r="X84" s="162" t="s">
        <v>227</v>
      </c>
      <c r="Y84" s="162" t="s">
        <v>228</v>
      </c>
      <c r="Z84" s="162" t="s">
        <v>229</v>
      </c>
    </row>
    <row r="85" spans="2:26" x14ac:dyDescent="0.25">
      <c r="B85" s="357" t="s">
        <v>454</v>
      </c>
      <c r="C85" s="358"/>
      <c r="D85" s="358"/>
      <c r="E85" s="358"/>
      <c r="F85" s="358"/>
      <c r="G85" s="358"/>
      <c r="H85" s="358"/>
      <c r="I85" s="358"/>
      <c r="J85" s="359"/>
      <c r="U85" s="171" t="s">
        <v>414</v>
      </c>
      <c r="V85" s="171" t="s">
        <v>414</v>
      </c>
      <c r="W85" s="171" t="s">
        <v>414</v>
      </c>
      <c r="X85" s="171" t="s">
        <v>414</v>
      </c>
      <c r="Y85" s="171" t="s">
        <v>414</v>
      </c>
      <c r="Z85" s="171" t="s">
        <v>414</v>
      </c>
    </row>
    <row r="86" spans="2:26" x14ac:dyDescent="0.25">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26">I86</f>
        <v>Left</v>
      </c>
      <c r="N86" s="102" t="str">
        <f t="shared" si="26"/>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x14ac:dyDescent="0.25">
      <c r="B87" s="221">
        <f>B56/2</f>
        <v>0</v>
      </c>
      <c r="C87" s="223">
        <f>C74*$E$84</f>
        <v>0</v>
      </c>
      <c r="D87" s="223">
        <f t="shared" ref="D87:E87" si="27">D74*$E$84</f>
        <v>0</v>
      </c>
      <c r="E87" s="223">
        <f t="shared" si="27"/>
        <v>0</v>
      </c>
      <c r="F87" s="223">
        <f>F74*$F$84</f>
        <v>0</v>
      </c>
      <c r="G87" s="223">
        <f t="shared" ref="G87:H87" si="28">G74*$F$84</f>
        <v>0</v>
      </c>
      <c r="H87" s="223">
        <f t="shared" si="28"/>
        <v>0</v>
      </c>
      <c r="I87" s="223">
        <f>I74*$E$84</f>
        <v>0</v>
      </c>
      <c r="J87" s="223">
        <f>J74*$F$84</f>
        <v>0</v>
      </c>
      <c r="L87" s="102">
        <f>B87</f>
        <v>0</v>
      </c>
      <c r="M87" s="104">
        <f t="shared" si="26"/>
        <v>0</v>
      </c>
      <c r="N87" s="104">
        <f t="shared" si="26"/>
        <v>0</v>
      </c>
    </row>
    <row r="88" spans="2:26" x14ac:dyDescent="0.25">
      <c r="B88" s="221">
        <f t="shared" ref="B88:B92" si="29">B57/2</f>
        <v>5</v>
      </c>
      <c r="C88" s="223">
        <f t="shared" ref="C88:E92" si="30">C75*$E$84</f>
        <v>13.333333333333334</v>
      </c>
      <c r="D88" s="223">
        <f t="shared" si="30"/>
        <v>13.333333333333334</v>
      </c>
      <c r="E88" s="223">
        <f t="shared" si="30"/>
        <v>13.333333333333334</v>
      </c>
      <c r="F88" s="223">
        <f t="shared" ref="F88:H92" si="31">F75*$F$84</f>
        <v>13.333333333333334</v>
      </c>
      <c r="G88" s="223">
        <f t="shared" si="31"/>
        <v>13.333333333333334</v>
      </c>
      <c r="H88" s="223">
        <f t="shared" si="31"/>
        <v>13.333333333333334</v>
      </c>
      <c r="I88" s="223">
        <f t="shared" ref="I88:I92" si="32">I75*$E$84</f>
        <v>40</v>
      </c>
      <c r="J88" s="223">
        <f t="shared" ref="J88:J92" si="33">J75*$F$84</f>
        <v>40</v>
      </c>
      <c r="L88" s="102">
        <f t="shared" ref="L88:L92" si="34">B88</f>
        <v>5</v>
      </c>
      <c r="M88" s="104">
        <f t="shared" si="26"/>
        <v>40</v>
      </c>
      <c r="N88" s="104">
        <f t="shared" si="26"/>
        <v>40</v>
      </c>
    </row>
    <row r="89" spans="2:26" x14ac:dyDescent="0.25">
      <c r="B89" s="221">
        <f t="shared" si="29"/>
        <v>10</v>
      </c>
      <c r="C89" s="223">
        <f t="shared" si="30"/>
        <v>13.333333333333334</v>
      </c>
      <c r="D89" s="223">
        <f t="shared" si="30"/>
        <v>13.333333333333334</v>
      </c>
      <c r="E89" s="223">
        <f t="shared" si="30"/>
        <v>13.333333333333334</v>
      </c>
      <c r="F89" s="223">
        <f t="shared" si="31"/>
        <v>13.333333333333334</v>
      </c>
      <c r="G89" s="223">
        <f t="shared" si="31"/>
        <v>13.333333333333334</v>
      </c>
      <c r="H89" s="223">
        <f t="shared" si="31"/>
        <v>13.333333333333334</v>
      </c>
      <c r="I89" s="223">
        <f t="shared" si="32"/>
        <v>40</v>
      </c>
      <c r="J89" s="223">
        <f t="shared" si="33"/>
        <v>40</v>
      </c>
      <c r="L89" s="102">
        <f t="shared" si="34"/>
        <v>10</v>
      </c>
      <c r="M89" s="104">
        <f t="shared" si="26"/>
        <v>40</v>
      </c>
      <c r="N89" s="104">
        <f t="shared" si="26"/>
        <v>40</v>
      </c>
    </row>
    <row r="90" spans="2:26" x14ac:dyDescent="0.25">
      <c r="B90" s="221">
        <f t="shared" si="29"/>
        <v>20</v>
      </c>
      <c r="C90" s="223">
        <f t="shared" si="30"/>
        <v>13.333333333333334</v>
      </c>
      <c r="D90" s="223">
        <f t="shared" si="30"/>
        <v>13.333333333333334</v>
      </c>
      <c r="E90" s="223">
        <f t="shared" si="30"/>
        <v>13.333333333333334</v>
      </c>
      <c r="F90" s="223">
        <f t="shared" si="31"/>
        <v>13.333333333333334</v>
      </c>
      <c r="G90" s="223">
        <f t="shared" si="31"/>
        <v>13.333333333333334</v>
      </c>
      <c r="H90" s="223">
        <f t="shared" si="31"/>
        <v>13.333333333333334</v>
      </c>
      <c r="I90" s="223">
        <f t="shared" si="32"/>
        <v>40</v>
      </c>
      <c r="J90" s="223">
        <f t="shared" si="33"/>
        <v>40</v>
      </c>
      <c r="L90" s="102">
        <f t="shared" si="34"/>
        <v>20</v>
      </c>
      <c r="M90" s="104">
        <f t="shared" si="26"/>
        <v>40</v>
      </c>
      <c r="N90" s="104">
        <f t="shared" si="26"/>
        <v>40</v>
      </c>
    </row>
    <row r="91" spans="2:26" x14ac:dyDescent="0.25">
      <c r="B91" s="221">
        <f t="shared" si="29"/>
        <v>30</v>
      </c>
      <c r="C91" s="223">
        <f t="shared" si="30"/>
        <v>13.333333333333334</v>
      </c>
      <c r="D91" s="223">
        <f t="shared" si="30"/>
        <v>13.333333333333334</v>
      </c>
      <c r="E91" s="223">
        <f t="shared" si="30"/>
        <v>13.333333333333334</v>
      </c>
      <c r="F91" s="223">
        <f t="shared" si="31"/>
        <v>13.333333333333334</v>
      </c>
      <c r="G91" s="223">
        <f t="shared" si="31"/>
        <v>13.333333333333334</v>
      </c>
      <c r="H91" s="223">
        <f t="shared" si="31"/>
        <v>13.333333333333334</v>
      </c>
      <c r="I91" s="223">
        <f t="shared" si="32"/>
        <v>40</v>
      </c>
      <c r="J91" s="223">
        <f t="shared" si="33"/>
        <v>40</v>
      </c>
      <c r="L91" s="102">
        <f t="shared" si="34"/>
        <v>30</v>
      </c>
      <c r="M91" s="104">
        <f t="shared" si="26"/>
        <v>40</v>
      </c>
      <c r="N91" s="104">
        <f t="shared" si="26"/>
        <v>40</v>
      </c>
    </row>
    <row r="92" spans="2:26" x14ac:dyDescent="0.25">
      <c r="B92" s="221">
        <f t="shared" si="29"/>
        <v>40</v>
      </c>
      <c r="C92" s="223">
        <f t="shared" si="30"/>
        <v>13.333333333333334</v>
      </c>
      <c r="D92" s="223">
        <f t="shared" si="30"/>
        <v>13.333333333333334</v>
      </c>
      <c r="E92" s="223">
        <f t="shared" si="30"/>
        <v>13.333333333333334</v>
      </c>
      <c r="F92" s="223">
        <f t="shared" si="31"/>
        <v>13.333333333333334</v>
      </c>
      <c r="G92" s="223">
        <f t="shared" si="31"/>
        <v>13.333333333333334</v>
      </c>
      <c r="H92" s="223">
        <f t="shared" si="31"/>
        <v>13.333333333333334</v>
      </c>
      <c r="I92" s="223">
        <f t="shared" si="32"/>
        <v>40</v>
      </c>
      <c r="J92" s="223">
        <f t="shared" si="33"/>
        <v>40</v>
      </c>
      <c r="L92" s="102">
        <f t="shared" si="34"/>
        <v>40</v>
      </c>
      <c r="M92" s="104">
        <f t="shared" si="26"/>
        <v>40</v>
      </c>
      <c r="N92" s="104">
        <f t="shared" si="26"/>
        <v>40</v>
      </c>
    </row>
    <row r="94" spans="2:26" x14ac:dyDescent="0.25">
      <c r="B94" s="364" t="s">
        <v>456</v>
      </c>
      <c r="C94" s="364"/>
      <c r="D94" s="364"/>
      <c r="E94" s="364"/>
      <c r="F94" s="364"/>
      <c r="G94" s="364"/>
      <c r="H94" s="364"/>
      <c r="I94" s="110" t="s">
        <v>206</v>
      </c>
      <c r="J94" s="110">
        <v>3.5</v>
      </c>
      <c r="L94" s="91" t="s">
        <v>414</v>
      </c>
    </row>
    <row r="95" spans="2:26" x14ac:dyDescent="0.25">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x14ac:dyDescent="0.25">
      <c r="B96" s="221">
        <f>B56/2</f>
        <v>0</v>
      </c>
      <c r="C96" s="223">
        <f>ABS(B96-(I74*$E$84))</f>
        <v>0</v>
      </c>
      <c r="D96" s="223">
        <f>ABS(B96-(J74*$F$84))</f>
        <v>0</v>
      </c>
      <c r="E96" s="155"/>
      <c r="F96" s="155"/>
    </row>
    <row r="97" spans="2:9" x14ac:dyDescent="0.25">
      <c r="B97" s="221">
        <f t="shared" ref="B97:B101" si="35">B57/2</f>
        <v>5</v>
      </c>
      <c r="C97" s="223">
        <f t="shared" ref="C97:C101" si="36">ABS(B97-(I75*$E$84))</f>
        <v>35</v>
      </c>
      <c r="D97" s="223">
        <f t="shared" ref="D97:D101" si="37">ABS(B97-(J75*$F$84))</f>
        <v>35</v>
      </c>
      <c r="E97" s="155">
        <f>AVERAGE(C97:C101)</f>
        <v>19</v>
      </c>
      <c r="F97" s="155">
        <f>AVERAGE(D97:D101)</f>
        <v>19</v>
      </c>
      <c r="G97" s="156" t="s">
        <v>546</v>
      </c>
      <c r="H97" s="156">
        <v>-2</v>
      </c>
      <c r="I97" s="156" t="s">
        <v>11</v>
      </c>
    </row>
    <row r="98" spans="2:9" x14ac:dyDescent="0.25">
      <c r="B98" s="221">
        <f t="shared" si="35"/>
        <v>10</v>
      </c>
      <c r="C98" s="223">
        <f t="shared" si="36"/>
        <v>30</v>
      </c>
      <c r="D98" s="223">
        <f t="shared" si="37"/>
        <v>30</v>
      </c>
      <c r="E98" s="155">
        <f>STDEV(C97:C101)</f>
        <v>14.317821063276353</v>
      </c>
      <c r="F98" s="155">
        <f>STDEV(D97:D101)</f>
        <v>14.317821063276353</v>
      </c>
      <c r="G98" s="156" t="s">
        <v>547</v>
      </c>
      <c r="H98" s="156">
        <v>1</v>
      </c>
      <c r="I98" s="156">
        <v>2</v>
      </c>
    </row>
    <row r="99" spans="2:9" x14ac:dyDescent="0.25">
      <c r="B99" s="221">
        <f t="shared" si="35"/>
        <v>20</v>
      </c>
      <c r="C99" s="223">
        <f t="shared" si="36"/>
        <v>20</v>
      </c>
      <c r="D99" s="223">
        <f t="shared" si="37"/>
        <v>20</v>
      </c>
      <c r="E99" s="155">
        <f>ABS(SLOPE(C97:C101,$B$97:$B$101))</f>
        <v>1</v>
      </c>
      <c r="F99" s="155">
        <f>ABS(SLOPE(D97:D101,$B$97:$B$101))</f>
        <v>1</v>
      </c>
      <c r="G99" s="156" t="s">
        <v>548</v>
      </c>
      <c r="H99" s="156">
        <v>0.05</v>
      </c>
      <c r="I99" s="156" t="s">
        <v>11</v>
      </c>
    </row>
    <row r="100" spans="2:9" x14ac:dyDescent="0.25">
      <c r="B100" s="221">
        <f t="shared" si="35"/>
        <v>30</v>
      </c>
      <c r="C100" s="223">
        <f t="shared" si="36"/>
        <v>10</v>
      </c>
      <c r="D100" s="223">
        <f t="shared" si="37"/>
        <v>10</v>
      </c>
      <c r="E100" s="155" t="b">
        <f>IF(E98&gt;$I$98,TRUE,FALSE)</f>
        <v>1</v>
      </c>
      <c r="F100" s="155" t="b">
        <f>IF(F98&gt;$I$98,TRUE,FALSE)</f>
        <v>1</v>
      </c>
      <c r="G100" t="s">
        <v>550</v>
      </c>
    </row>
    <row r="101" spans="2:9" x14ac:dyDescent="0.25">
      <c r="B101" s="221">
        <f t="shared" si="35"/>
        <v>40</v>
      </c>
      <c r="C101" s="223">
        <f t="shared" si="36"/>
        <v>0</v>
      </c>
      <c r="D101" s="223">
        <f t="shared" si="37"/>
        <v>0</v>
      </c>
      <c r="E101" s="155" t="b">
        <f>IF(AND(E97&lt;$H$97,E98&lt;$H$98,E99&gt;$H$99),TRUE,FALSE)</f>
        <v>0</v>
      </c>
      <c r="F101" s="155" t="b">
        <f>IF(AND(F97&lt;$H$97,F98&lt;$H$98,F99&gt;$H$99),TRUE,FALSE)</f>
        <v>0</v>
      </c>
      <c r="G101" t="s">
        <v>549</v>
      </c>
    </row>
    <row r="136" spans="2:12" x14ac:dyDescent="0.25">
      <c r="B136" s="361" t="s">
        <v>415</v>
      </c>
      <c r="C136" s="362"/>
      <c r="D136" s="362"/>
      <c r="E136" s="362"/>
      <c r="F136" s="362"/>
      <c r="G136" s="362"/>
      <c r="H136" s="201"/>
      <c r="I136" s="205"/>
      <c r="J136" s="204"/>
    </row>
    <row r="137" spans="2:12" x14ac:dyDescent="0.25">
      <c r="B137" s="105" t="s">
        <v>416</v>
      </c>
      <c r="C137" s="47">
        <f>MAX(L157:M159,L64,L67,L83,L95,L208:M210,L171,L214,P171,U86,V86,W86,X86,Y86,Z86)</f>
        <v>77</v>
      </c>
      <c r="D137" s="105" t="s">
        <v>199</v>
      </c>
      <c r="E137" s="47">
        <f>E83</f>
        <v>-150</v>
      </c>
      <c r="F137" s="105" t="s">
        <v>200</v>
      </c>
      <c r="G137" s="200">
        <f>F83</f>
        <v>-150</v>
      </c>
      <c r="H137" s="201"/>
      <c r="I137" s="205"/>
      <c r="J137" s="204"/>
    </row>
    <row r="139" spans="2:12" x14ac:dyDescent="0.25">
      <c r="B139" s="361" t="s">
        <v>454</v>
      </c>
      <c r="C139" s="362"/>
      <c r="D139" s="362"/>
      <c r="E139" s="362"/>
      <c r="F139" s="362"/>
      <c r="G139" s="362"/>
      <c r="H139" s="362"/>
      <c r="I139" s="362"/>
      <c r="J139" s="362"/>
      <c r="K139" s="362"/>
      <c r="L139" s="363"/>
    </row>
    <row r="140" spans="2:12" x14ac:dyDescent="0.25">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x14ac:dyDescent="0.25">
      <c r="B141" s="79">
        <f t="shared" ref="B141:B146" si="38">B87</f>
        <v>0</v>
      </c>
      <c r="C141" s="79">
        <f t="shared" ref="C141:H146" si="39">C87</f>
        <v>0</v>
      </c>
      <c r="D141" s="79">
        <f t="shared" si="39"/>
        <v>0</v>
      </c>
      <c r="E141" s="79">
        <f t="shared" si="39"/>
        <v>0</v>
      </c>
      <c r="F141" s="79">
        <f t="shared" si="39"/>
        <v>0</v>
      </c>
      <c r="G141" s="79">
        <f t="shared" si="39"/>
        <v>0</v>
      </c>
      <c r="H141" s="79">
        <f t="shared" si="39"/>
        <v>0</v>
      </c>
      <c r="I141" s="118">
        <f t="shared" ref="I141:I146" si="40">SUM(C141:E141)</f>
        <v>0</v>
      </c>
      <c r="J141" s="118">
        <f t="shared" ref="J141:J146" si="41">SUM(F141:H141)</f>
        <v>0</v>
      </c>
      <c r="K141" s="118">
        <f t="shared" ref="K141:L146" si="42">I141-$B141</f>
        <v>0</v>
      </c>
      <c r="L141" s="118">
        <f t="shared" si="42"/>
        <v>0</v>
      </c>
    </row>
    <row r="142" spans="2:12" x14ac:dyDescent="0.25">
      <c r="B142" s="79">
        <f t="shared" si="38"/>
        <v>5</v>
      </c>
      <c r="C142" s="79">
        <f t="shared" si="39"/>
        <v>13.333333333333334</v>
      </c>
      <c r="D142" s="79">
        <f t="shared" si="39"/>
        <v>13.333333333333334</v>
      </c>
      <c r="E142" s="79">
        <f t="shared" si="39"/>
        <v>13.333333333333334</v>
      </c>
      <c r="F142" s="79">
        <f t="shared" si="39"/>
        <v>13.333333333333334</v>
      </c>
      <c r="G142" s="79">
        <f t="shared" si="39"/>
        <v>13.333333333333334</v>
      </c>
      <c r="H142" s="79">
        <f t="shared" si="39"/>
        <v>13.333333333333334</v>
      </c>
      <c r="I142" s="118">
        <f t="shared" si="40"/>
        <v>40</v>
      </c>
      <c r="J142" s="118">
        <f t="shared" si="41"/>
        <v>40</v>
      </c>
      <c r="K142" s="118">
        <f t="shared" si="42"/>
        <v>35</v>
      </c>
      <c r="L142" s="118">
        <f t="shared" si="42"/>
        <v>35</v>
      </c>
    </row>
    <row r="143" spans="2:12" x14ac:dyDescent="0.25">
      <c r="B143" s="79">
        <f t="shared" si="38"/>
        <v>10</v>
      </c>
      <c r="C143" s="79">
        <f t="shared" si="39"/>
        <v>13.333333333333334</v>
      </c>
      <c r="D143" s="79">
        <f t="shared" si="39"/>
        <v>13.333333333333334</v>
      </c>
      <c r="E143" s="79">
        <f t="shared" si="39"/>
        <v>13.333333333333334</v>
      </c>
      <c r="F143" s="79">
        <f t="shared" si="39"/>
        <v>13.333333333333334</v>
      </c>
      <c r="G143" s="79">
        <f t="shared" si="39"/>
        <v>13.333333333333334</v>
      </c>
      <c r="H143" s="79">
        <f t="shared" si="39"/>
        <v>13.333333333333334</v>
      </c>
      <c r="I143" s="118">
        <f t="shared" si="40"/>
        <v>40</v>
      </c>
      <c r="J143" s="118">
        <f t="shared" si="41"/>
        <v>40</v>
      </c>
      <c r="K143" s="118">
        <f t="shared" si="42"/>
        <v>30</v>
      </c>
      <c r="L143" s="118">
        <f t="shared" si="42"/>
        <v>30</v>
      </c>
    </row>
    <row r="144" spans="2:12" x14ac:dyDescent="0.25">
      <c r="B144" s="79">
        <f t="shared" si="38"/>
        <v>20</v>
      </c>
      <c r="C144" s="79">
        <f t="shared" si="39"/>
        <v>13.333333333333334</v>
      </c>
      <c r="D144" s="79">
        <f t="shared" si="39"/>
        <v>13.333333333333334</v>
      </c>
      <c r="E144" s="79">
        <f t="shared" si="39"/>
        <v>13.333333333333334</v>
      </c>
      <c r="F144" s="79">
        <f t="shared" si="39"/>
        <v>13.333333333333334</v>
      </c>
      <c r="G144" s="79">
        <f t="shared" si="39"/>
        <v>13.333333333333334</v>
      </c>
      <c r="H144" s="79">
        <f t="shared" si="39"/>
        <v>13.333333333333334</v>
      </c>
      <c r="I144" s="118">
        <f t="shared" si="40"/>
        <v>40</v>
      </c>
      <c r="J144" s="118">
        <f t="shared" si="41"/>
        <v>40</v>
      </c>
      <c r="K144" s="118">
        <f t="shared" si="42"/>
        <v>20</v>
      </c>
      <c r="L144" s="118">
        <f t="shared" si="42"/>
        <v>20</v>
      </c>
    </row>
    <row r="145" spans="2:30" x14ac:dyDescent="0.25">
      <c r="B145" s="79">
        <f t="shared" si="38"/>
        <v>30</v>
      </c>
      <c r="C145" s="79">
        <f t="shared" si="39"/>
        <v>13.333333333333334</v>
      </c>
      <c r="D145" s="79">
        <f t="shared" si="39"/>
        <v>13.333333333333334</v>
      </c>
      <c r="E145" s="79">
        <f t="shared" si="39"/>
        <v>13.333333333333334</v>
      </c>
      <c r="F145" s="79">
        <f t="shared" si="39"/>
        <v>13.333333333333334</v>
      </c>
      <c r="G145" s="79">
        <f t="shared" si="39"/>
        <v>13.333333333333334</v>
      </c>
      <c r="H145" s="79">
        <f t="shared" si="39"/>
        <v>13.333333333333334</v>
      </c>
      <c r="I145" s="118">
        <f t="shared" si="40"/>
        <v>40</v>
      </c>
      <c r="J145" s="118">
        <f t="shared" si="41"/>
        <v>40</v>
      </c>
      <c r="K145" s="118">
        <f t="shared" si="42"/>
        <v>10</v>
      </c>
      <c r="L145" s="118">
        <f t="shared" si="42"/>
        <v>10</v>
      </c>
    </row>
    <row r="146" spans="2:30" x14ac:dyDescent="0.25">
      <c r="B146" s="79">
        <f t="shared" si="38"/>
        <v>40</v>
      </c>
      <c r="C146" s="79">
        <f t="shared" si="39"/>
        <v>13.333333333333334</v>
      </c>
      <c r="D146" s="79">
        <f t="shared" si="39"/>
        <v>13.333333333333334</v>
      </c>
      <c r="E146" s="79">
        <f t="shared" si="39"/>
        <v>13.333333333333334</v>
      </c>
      <c r="F146" s="79">
        <f t="shared" si="39"/>
        <v>13.333333333333334</v>
      </c>
      <c r="G146" s="79">
        <f t="shared" si="39"/>
        <v>13.333333333333334</v>
      </c>
      <c r="H146" s="79">
        <f t="shared" si="39"/>
        <v>13.333333333333334</v>
      </c>
      <c r="I146" s="118">
        <f t="shared" si="40"/>
        <v>40</v>
      </c>
      <c r="J146" s="118">
        <f t="shared" si="41"/>
        <v>40</v>
      </c>
      <c r="K146" s="118">
        <f t="shared" si="42"/>
        <v>0</v>
      </c>
      <c r="L146" s="118">
        <f t="shared" si="42"/>
        <v>0</v>
      </c>
    </row>
    <row r="148" spans="2:30" x14ac:dyDescent="0.25">
      <c r="B148" s="357" t="s">
        <v>474</v>
      </c>
      <c r="C148" s="358"/>
      <c r="D148" s="358"/>
      <c r="E148" s="358"/>
      <c r="F148" s="358"/>
      <c r="G148" s="358"/>
      <c r="H148" s="358"/>
      <c r="I148" s="358"/>
      <c r="J148" s="372"/>
      <c r="K148" s="225"/>
      <c r="N148" s="225"/>
      <c r="O148" s="225"/>
      <c r="S148" s="225"/>
      <c r="T148" s="225"/>
      <c r="X148" s="225"/>
      <c r="Y148" s="225"/>
      <c r="AC148" s="225"/>
      <c r="AD148" s="225"/>
    </row>
    <row r="149" spans="2:30" x14ac:dyDescent="0.25">
      <c r="B149" s="130" t="s">
        <v>476</v>
      </c>
      <c r="C149" s="122"/>
      <c r="D149" s="122"/>
      <c r="E149" s="122"/>
      <c r="F149" s="122"/>
      <c r="G149" s="123"/>
      <c r="H149" s="126" t="s">
        <v>477</v>
      </c>
      <c r="I149" s="126" t="s">
        <v>478</v>
      </c>
      <c r="J149" s="226" t="s">
        <v>479</v>
      </c>
    </row>
    <row r="150" spans="2:30" x14ac:dyDescent="0.25">
      <c r="B150" s="130" t="s">
        <v>475</v>
      </c>
      <c r="C150" s="122"/>
      <c r="D150" s="122"/>
      <c r="E150" s="122"/>
      <c r="F150" s="122"/>
      <c r="G150" s="123"/>
      <c r="H150" s="239">
        <v>32768</v>
      </c>
      <c r="I150" s="239">
        <v>32768</v>
      </c>
      <c r="J150" s="239">
        <v>58000</v>
      </c>
    </row>
    <row r="151" spans="2:30" x14ac:dyDescent="0.25">
      <c r="B151" s="130" t="s">
        <v>480</v>
      </c>
      <c r="C151" s="122"/>
      <c r="D151" s="122"/>
      <c r="E151" s="122"/>
      <c r="F151" s="122"/>
      <c r="G151" s="123"/>
      <c r="H151" s="239">
        <v>32768</v>
      </c>
      <c r="I151" s="239">
        <v>32768</v>
      </c>
      <c r="J151" s="239">
        <v>48000</v>
      </c>
    </row>
    <row r="152" spans="2:30" x14ac:dyDescent="0.25">
      <c r="B152" s="130" t="s">
        <v>481</v>
      </c>
      <c r="C152" s="122"/>
      <c r="D152" s="122"/>
      <c r="E152" s="122"/>
      <c r="F152" s="122"/>
      <c r="G152" s="123"/>
      <c r="H152" s="239">
        <v>58000</v>
      </c>
      <c r="I152" s="239">
        <v>48000</v>
      </c>
      <c r="J152" s="239">
        <v>32768</v>
      </c>
    </row>
    <row r="154" spans="2:30" x14ac:dyDescent="0.25">
      <c r="B154" s="354" t="s">
        <v>482</v>
      </c>
      <c r="C154" s="355"/>
      <c r="D154" s="355"/>
      <c r="E154" s="355"/>
      <c r="F154" s="355"/>
      <c r="G154" s="355"/>
      <c r="H154" s="355"/>
      <c r="I154" s="134" t="s">
        <v>517</v>
      </c>
      <c r="J154" s="110" t="b">
        <f>IF(FLOOR($B$4/1000,1)=4,TRUE,FALSE)</f>
        <v>0</v>
      </c>
    </row>
    <row r="155" spans="2:30" x14ac:dyDescent="0.25">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x14ac:dyDescent="0.25">
      <c r="B156" s="129" t="s">
        <v>507</v>
      </c>
      <c r="C156" s="129"/>
      <c r="D156" s="129"/>
      <c r="E156" s="129"/>
      <c r="F156" s="129"/>
      <c r="G156" s="126" t="s">
        <v>508</v>
      </c>
      <c r="H156" s="126" t="s">
        <v>407</v>
      </c>
      <c r="I156" s="126" t="s">
        <v>509</v>
      </c>
      <c r="J156" s="126" t="s">
        <v>407</v>
      </c>
      <c r="L156" s="91" t="s">
        <v>414</v>
      </c>
      <c r="M156" s="91" t="s">
        <v>414</v>
      </c>
    </row>
    <row r="157" spans="2:30" x14ac:dyDescent="0.25">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x14ac:dyDescent="0.25">
      <c r="B158" s="130" t="s">
        <v>501</v>
      </c>
      <c r="C158" s="131"/>
      <c r="D158" s="131"/>
      <c r="E158" s="131"/>
      <c r="F158" s="131"/>
      <c r="G158" s="128" t="str">
        <f>IF(J154,I152,"N/A")</f>
        <v>N/A</v>
      </c>
      <c r="H158" s="128" t="b">
        <f>IF(AND(G158&gt;$E$155,G158&lt;$C$155),TRUE,IF($J$154,FALSE,TRUE))</f>
        <v>1</v>
      </c>
      <c r="I158" s="128">
        <f>IF($J$154,I150,I151)</f>
        <v>32768</v>
      </c>
      <c r="J158" s="128" t="b">
        <f t="shared" ref="J158:J159" si="43">IF(AND(I158&gt;$J$155,I158&lt;$H$155),TRUE,FALSE)</f>
        <v>1</v>
      </c>
      <c r="L158" s="171">
        <f>IF(H158,0,'FTS-Initialization'!N84)</f>
        <v>0</v>
      </c>
      <c r="M158" s="171">
        <f>IF(J158,0,'FTS-Initialization'!N83)</f>
        <v>0</v>
      </c>
    </row>
    <row r="159" spans="2:30" x14ac:dyDescent="0.25">
      <c r="B159" s="130" t="s">
        <v>502</v>
      </c>
      <c r="C159" s="131"/>
      <c r="D159" s="131"/>
      <c r="E159" s="131"/>
      <c r="F159" s="131"/>
      <c r="G159" s="128">
        <f>J150</f>
        <v>58000</v>
      </c>
      <c r="H159" s="128" t="b">
        <f>IF(AND(G159&gt;$E$155,G159&lt;$C$155),TRUE,FALSE)</f>
        <v>1</v>
      </c>
      <c r="I159" s="128">
        <f>J152</f>
        <v>32768</v>
      </c>
      <c r="J159" s="128" t="b">
        <f t="shared" si="43"/>
        <v>1</v>
      </c>
      <c r="L159" s="171">
        <f>IF(H159,0,'FTS-Initialization'!N86)</f>
        <v>0</v>
      </c>
      <c r="M159" s="171">
        <f>IF(J159,0,'FTS-Initialization'!N85)</f>
        <v>0</v>
      </c>
    </row>
    <row r="167" spans="2:20" x14ac:dyDescent="0.25">
      <c r="K167" t="s">
        <v>562</v>
      </c>
      <c r="R167" t="s">
        <v>593</v>
      </c>
      <c r="S167" t="s">
        <v>412</v>
      </c>
    </row>
    <row r="168" spans="2:20" x14ac:dyDescent="0.25">
      <c r="B168" s="369" t="s">
        <v>557</v>
      </c>
      <c r="C168" s="370"/>
      <c r="D168" s="370"/>
      <c r="E168" s="370"/>
      <c r="F168" s="370"/>
      <c r="G168" s="370"/>
      <c r="H168" s="370"/>
      <c r="I168" s="370"/>
      <c r="J168" s="371"/>
      <c r="K168" s="162" t="s">
        <v>558</v>
      </c>
      <c r="L168" s="162" t="s">
        <v>559</v>
      </c>
      <c r="M168" s="162" t="s">
        <v>199</v>
      </c>
      <c r="N168" s="162" t="s">
        <v>200</v>
      </c>
      <c r="O168" s="192" t="s">
        <v>588</v>
      </c>
      <c r="P168" s="193">
        <v>3</v>
      </c>
      <c r="Q168" s="368" t="s">
        <v>647</v>
      </c>
      <c r="R168" s="162">
        <v>8000</v>
      </c>
      <c r="S168" s="162">
        <v>15000</v>
      </c>
      <c r="T168" t="s">
        <v>584</v>
      </c>
    </row>
    <row r="169" spans="2:20" x14ac:dyDescent="0.25">
      <c r="B169" s="121" t="s">
        <v>483</v>
      </c>
      <c r="C169" s="122"/>
      <c r="D169" s="122"/>
      <c r="E169" s="122"/>
      <c r="F169" s="122"/>
      <c r="G169" s="122"/>
      <c r="H169" s="122"/>
      <c r="I169" s="123"/>
      <c r="J169" s="232">
        <v>0</v>
      </c>
      <c r="K169" s="232"/>
      <c r="L169" s="232">
        <v>0</v>
      </c>
      <c r="M169" s="233">
        <f>E137</f>
        <v>-150</v>
      </c>
      <c r="N169" s="233">
        <f>G137</f>
        <v>-150</v>
      </c>
      <c r="O169" s="233"/>
      <c r="P169" s="164" t="s">
        <v>587</v>
      </c>
      <c r="Q169" s="368"/>
      <c r="R169" s="164" t="s">
        <v>568</v>
      </c>
      <c r="S169" s="164" t="s">
        <v>568</v>
      </c>
    </row>
    <row r="170" spans="2:20" x14ac:dyDescent="0.25">
      <c r="L170" s="171" t="s">
        <v>414</v>
      </c>
      <c r="P170" s="170" t="s">
        <v>414</v>
      </c>
      <c r="Q170" s="170" t="s">
        <v>414</v>
      </c>
      <c r="R170" s="170" t="s">
        <v>414</v>
      </c>
      <c r="S170" s="170" t="s">
        <v>414</v>
      </c>
    </row>
    <row r="171" spans="2:20" x14ac:dyDescent="0.25">
      <c r="L171" s="78">
        <f>IF(L64=0,IF(J169&lt;H63,'FTS-Initialization'!$N$89,IF(J169&gt;J63,'FTS-Initialization'!$N$90,0)),L64)</f>
        <v>52</v>
      </c>
      <c r="P171" s="170">
        <f>IF(O169&gt;P168,0,'FTS-Initialization'!$N$89)</f>
        <v>52</v>
      </c>
      <c r="Q171" s="170">
        <f>IF(J56=20000,R171,MAX(R171,L67))</f>
        <v>43</v>
      </c>
      <c r="R171" s="170">
        <f>IF(AND((L169-K169)&gt;R168,(L169-K169)&lt;S168),0,'FTS-Initialization'!$N$80)</f>
        <v>43</v>
      </c>
      <c r="S171" s="292"/>
    </row>
    <row r="173" spans="2:20" x14ac:dyDescent="0.25">
      <c r="B173" s="354" t="s">
        <v>676</v>
      </c>
      <c r="C173" s="355"/>
      <c r="D173" s="355"/>
      <c r="E173" s="355"/>
      <c r="F173" s="355"/>
      <c r="G173" s="355"/>
      <c r="H173" s="355"/>
      <c r="I173" s="355"/>
      <c r="J173" s="356"/>
    </row>
    <row r="174" spans="2:20" x14ac:dyDescent="0.25">
      <c r="B174" s="143" t="s">
        <v>223</v>
      </c>
      <c r="C174" s="143" t="s">
        <v>224</v>
      </c>
      <c r="D174" s="143" t="s">
        <v>225</v>
      </c>
      <c r="E174" s="143" t="s">
        <v>226</v>
      </c>
      <c r="F174" s="143" t="s">
        <v>227</v>
      </c>
      <c r="G174" s="143" t="s">
        <v>228</v>
      </c>
      <c r="H174" s="143" t="s">
        <v>229</v>
      </c>
      <c r="I174" s="143" t="s">
        <v>230</v>
      </c>
      <c r="J174" s="143" t="s">
        <v>231</v>
      </c>
    </row>
    <row r="175" spans="2:20" x14ac:dyDescent="0.25">
      <c r="B175" s="24">
        <v>0</v>
      </c>
      <c r="C175" s="24"/>
      <c r="D175" s="24"/>
      <c r="E175" s="24"/>
      <c r="F175" s="24"/>
      <c r="G175" s="24"/>
      <c r="H175" s="24"/>
      <c r="I175" s="24"/>
      <c r="J175" s="24"/>
    </row>
    <row r="176" spans="2:20" x14ac:dyDescent="0.25">
      <c r="B176" s="24">
        <v>20</v>
      </c>
      <c r="C176" s="24"/>
      <c r="D176" s="24"/>
      <c r="E176" s="24"/>
      <c r="F176" s="24"/>
      <c r="G176" s="24"/>
      <c r="H176" s="24"/>
      <c r="I176" s="24"/>
      <c r="J176" s="24"/>
    </row>
    <row r="177" spans="2:10" x14ac:dyDescent="0.25">
      <c r="B177" s="24">
        <v>40</v>
      </c>
      <c r="C177" s="24"/>
      <c r="D177" s="24"/>
      <c r="E177" s="24"/>
      <c r="F177" s="24"/>
      <c r="G177" s="24"/>
      <c r="H177" s="24"/>
      <c r="I177" s="24"/>
      <c r="J177" s="24"/>
    </row>
    <row r="178" spans="2:10" x14ac:dyDescent="0.25">
      <c r="B178" s="24">
        <v>80</v>
      </c>
      <c r="C178" s="24"/>
      <c r="D178" s="24"/>
      <c r="E178" s="24"/>
      <c r="F178" s="24"/>
      <c r="G178" s="24"/>
      <c r="H178" s="24"/>
      <c r="I178" s="24"/>
      <c r="J178" s="24"/>
    </row>
    <row r="179" spans="2:10" x14ac:dyDescent="0.25">
      <c r="B179" s="239"/>
      <c r="C179" s="239"/>
      <c r="D179" s="239"/>
      <c r="E179" s="239"/>
      <c r="F179" s="239"/>
      <c r="G179" s="239"/>
      <c r="H179" s="239"/>
      <c r="I179" s="239"/>
      <c r="J179" s="239"/>
    </row>
    <row r="180" spans="2:10" x14ac:dyDescent="0.25">
      <c r="B180" s="278"/>
      <c r="C180" s="278"/>
      <c r="D180" s="278"/>
      <c r="E180" s="278"/>
      <c r="F180" s="278"/>
      <c r="G180" s="278"/>
      <c r="H180" s="278"/>
      <c r="I180" s="278"/>
      <c r="J180" s="278"/>
    </row>
    <row r="181" spans="2:10" x14ac:dyDescent="0.25">
      <c r="B181" s="354" t="s">
        <v>677</v>
      </c>
      <c r="C181" s="355"/>
      <c r="D181" s="355"/>
      <c r="E181" s="355"/>
      <c r="F181" s="355"/>
      <c r="G181" s="355"/>
      <c r="H181" s="355"/>
      <c r="I181" s="355"/>
      <c r="J181" s="356"/>
    </row>
    <row r="182" spans="2:10" x14ac:dyDescent="0.25">
      <c r="B182" s="270" t="s">
        <v>223</v>
      </c>
      <c r="C182" s="270" t="s">
        <v>224</v>
      </c>
      <c r="D182" s="270" t="s">
        <v>225</v>
      </c>
      <c r="E182" s="270" t="s">
        <v>226</v>
      </c>
      <c r="F182" s="270" t="s">
        <v>227</v>
      </c>
      <c r="G182" s="270" t="s">
        <v>228</v>
      </c>
      <c r="H182" s="270" t="s">
        <v>229</v>
      </c>
      <c r="I182" s="270" t="s">
        <v>230</v>
      </c>
      <c r="J182" s="270" t="s">
        <v>231</v>
      </c>
    </row>
    <row r="183" spans="2:10" x14ac:dyDescent="0.25">
      <c r="B183" s="24">
        <f>B175</f>
        <v>0</v>
      </c>
      <c r="C183" s="24"/>
      <c r="D183" s="24"/>
      <c r="E183" s="24"/>
      <c r="F183" s="24"/>
      <c r="G183" s="24"/>
      <c r="H183" s="24"/>
      <c r="I183" s="24"/>
      <c r="J183" s="24"/>
    </row>
    <row r="184" spans="2:10" x14ac:dyDescent="0.25">
      <c r="B184" s="24">
        <f t="shared" ref="B184:B186" si="44">B176</f>
        <v>20</v>
      </c>
      <c r="C184" s="24"/>
      <c r="D184" s="24"/>
      <c r="E184" s="24"/>
      <c r="F184" s="24"/>
      <c r="G184" s="24"/>
      <c r="H184" s="24"/>
      <c r="I184" s="24"/>
      <c r="J184" s="24"/>
    </row>
    <row r="185" spans="2:10" x14ac:dyDescent="0.25">
      <c r="B185" s="24">
        <f t="shared" si="44"/>
        <v>40</v>
      </c>
      <c r="C185" s="24"/>
      <c r="D185" s="24"/>
      <c r="E185" s="24"/>
      <c r="F185" s="24"/>
      <c r="G185" s="24"/>
      <c r="H185" s="24"/>
      <c r="I185" s="24"/>
      <c r="J185" s="24"/>
    </row>
    <row r="186" spans="2:10" x14ac:dyDescent="0.25">
      <c r="B186" s="24">
        <f t="shared" si="44"/>
        <v>80</v>
      </c>
      <c r="C186" s="24"/>
      <c r="D186" s="24"/>
      <c r="E186" s="24"/>
      <c r="F186" s="24"/>
      <c r="G186" s="24"/>
      <c r="H186" s="24"/>
      <c r="I186" s="24"/>
      <c r="J186" s="24"/>
    </row>
    <row r="187" spans="2:10" x14ac:dyDescent="0.25">
      <c r="B187" s="24"/>
      <c r="C187" s="239"/>
      <c r="D187" s="239"/>
      <c r="E187" s="239"/>
      <c r="F187" s="239"/>
      <c r="G187" s="239"/>
      <c r="H187" s="239"/>
      <c r="I187" s="239"/>
      <c r="J187" s="239"/>
    </row>
    <row r="188" spans="2:10" x14ac:dyDescent="0.25">
      <c r="B188" s="278"/>
      <c r="C188" s="278"/>
      <c r="D188" s="278"/>
      <c r="E188" s="278"/>
      <c r="F188" s="278"/>
      <c r="G188" s="278"/>
      <c r="H188" s="278"/>
      <c r="I188" s="278"/>
      <c r="J188" s="278"/>
    </row>
    <row r="189" spans="2:10" x14ac:dyDescent="0.25">
      <c r="B189" s="354" t="s">
        <v>678</v>
      </c>
      <c r="C189" s="355"/>
      <c r="D189" s="355"/>
      <c r="E189" s="355"/>
      <c r="F189" s="355"/>
      <c r="G189" s="355"/>
      <c r="H189" s="355"/>
      <c r="I189" s="355"/>
      <c r="J189" s="356"/>
    </row>
    <row r="190" spans="2:10" x14ac:dyDescent="0.25">
      <c r="B190" s="270" t="s">
        <v>223</v>
      </c>
      <c r="C190" s="270" t="s">
        <v>224</v>
      </c>
      <c r="D190" s="270" t="s">
        <v>225</v>
      </c>
      <c r="E190" s="270" t="s">
        <v>226</v>
      </c>
      <c r="F190" s="270" t="s">
        <v>227</v>
      </c>
      <c r="G190" s="270" t="s">
        <v>228</v>
      </c>
      <c r="H190" s="270" t="s">
        <v>229</v>
      </c>
      <c r="I190" s="270" t="s">
        <v>230</v>
      </c>
      <c r="J190" s="270" t="s">
        <v>231</v>
      </c>
    </row>
    <row r="191" spans="2:10" x14ac:dyDescent="0.25">
      <c r="B191" s="24">
        <f>B175</f>
        <v>0</v>
      </c>
      <c r="C191" s="24"/>
      <c r="D191" s="24"/>
      <c r="E191" s="24"/>
      <c r="F191" s="24"/>
      <c r="G191" s="24"/>
      <c r="H191" s="24"/>
      <c r="I191" s="24"/>
      <c r="J191" s="24"/>
    </row>
    <row r="192" spans="2:10" x14ac:dyDescent="0.25">
      <c r="B192" s="24">
        <f t="shared" ref="B192:B194" si="45">B176</f>
        <v>20</v>
      </c>
      <c r="C192" s="24"/>
      <c r="D192" s="24"/>
      <c r="E192" s="24"/>
      <c r="F192" s="24"/>
      <c r="G192" s="24"/>
      <c r="H192" s="24"/>
      <c r="I192" s="24"/>
      <c r="J192" s="24"/>
    </row>
    <row r="193" spans="2:15" x14ac:dyDescent="0.25">
      <c r="B193" s="24">
        <f t="shared" si="45"/>
        <v>40</v>
      </c>
      <c r="C193" s="24"/>
      <c r="D193" s="24"/>
      <c r="E193" s="24"/>
      <c r="F193" s="24"/>
      <c r="G193" s="24"/>
      <c r="H193" s="24"/>
      <c r="I193" s="24"/>
      <c r="J193" s="24"/>
    </row>
    <row r="194" spans="2:15" x14ac:dyDescent="0.25">
      <c r="B194" s="24">
        <f t="shared" si="45"/>
        <v>80</v>
      </c>
      <c r="C194" s="24"/>
      <c r="D194" s="24"/>
      <c r="E194" s="24"/>
      <c r="F194" s="24"/>
      <c r="G194" s="24"/>
      <c r="H194" s="24"/>
      <c r="I194" s="24"/>
      <c r="J194" s="24"/>
    </row>
    <row r="195" spans="2:15" x14ac:dyDescent="0.25">
      <c r="B195" s="24"/>
      <c r="C195" s="239"/>
      <c r="D195" s="239"/>
      <c r="E195" s="239"/>
      <c r="F195" s="239"/>
      <c r="G195" s="239"/>
      <c r="H195" s="239"/>
      <c r="I195" s="239"/>
      <c r="J195" s="239"/>
    </row>
    <row r="196" spans="2:15" x14ac:dyDescent="0.25">
      <c r="B196" s="278"/>
      <c r="C196" s="278"/>
      <c r="D196" s="278"/>
      <c r="E196" s="278"/>
      <c r="F196" s="278"/>
      <c r="G196" s="278"/>
      <c r="H196" s="278"/>
      <c r="I196" s="278"/>
      <c r="J196" s="278"/>
    </row>
    <row r="197" spans="2:15" x14ac:dyDescent="0.25">
      <c r="B197" s="354" t="s">
        <v>679</v>
      </c>
      <c r="C197" s="355"/>
      <c r="D197" s="355"/>
      <c r="E197" s="355"/>
      <c r="F197" s="355"/>
      <c r="G197" s="355"/>
      <c r="H197" s="355"/>
      <c r="I197" s="355"/>
      <c r="J197" s="356"/>
    </row>
    <row r="198" spans="2:15" x14ac:dyDescent="0.25">
      <c r="B198" s="270" t="s">
        <v>223</v>
      </c>
      <c r="C198" s="270" t="s">
        <v>224</v>
      </c>
      <c r="D198" s="270" t="s">
        <v>225</v>
      </c>
      <c r="E198" s="270" t="s">
        <v>226</v>
      </c>
      <c r="F198" s="270" t="s">
        <v>227</v>
      </c>
      <c r="G198" s="270" t="s">
        <v>228</v>
      </c>
      <c r="H198" s="270" t="s">
        <v>229</v>
      </c>
      <c r="I198" s="270" t="s">
        <v>230</v>
      </c>
      <c r="J198" s="270" t="s">
        <v>231</v>
      </c>
    </row>
    <row r="199" spans="2:15" x14ac:dyDescent="0.25">
      <c r="B199" s="24">
        <f>B175</f>
        <v>0</v>
      </c>
      <c r="C199" s="24"/>
      <c r="D199" s="24"/>
      <c r="E199" s="24"/>
      <c r="F199" s="24"/>
      <c r="G199" s="24"/>
      <c r="H199" s="24"/>
      <c r="I199" s="24"/>
      <c r="J199" s="24"/>
    </row>
    <row r="200" spans="2:15" x14ac:dyDescent="0.25">
      <c r="B200" s="24">
        <f t="shared" ref="B200:B202" si="46">B176</f>
        <v>20</v>
      </c>
      <c r="C200" s="24"/>
      <c r="D200" s="24"/>
      <c r="E200" s="24"/>
      <c r="F200" s="24"/>
      <c r="G200" s="24"/>
      <c r="H200" s="24"/>
      <c r="I200" s="24"/>
      <c r="J200" s="24"/>
    </row>
    <row r="201" spans="2:15" x14ac:dyDescent="0.25">
      <c r="B201" s="24">
        <f t="shared" si="46"/>
        <v>40</v>
      </c>
      <c r="C201" s="24"/>
      <c r="D201" s="24"/>
      <c r="E201" s="24"/>
      <c r="F201" s="24"/>
      <c r="G201" s="24"/>
      <c r="H201" s="24"/>
      <c r="I201" s="24"/>
      <c r="J201" s="24"/>
    </row>
    <row r="202" spans="2:15" x14ac:dyDescent="0.25">
      <c r="B202" s="24">
        <f t="shared" si="46"/>
        <v>80</v>
      </c>
      <c r="C202" s="24"/>
      <c r="D202" s="24"/>
      <c r="E202" s="24"/>
      <c r="F202" s="24"/>
      <c r="G202" s="24"/>
      <c r="H202" s="24"/>
      <c r="I202" s="24"/>
      <c r="J202" s="24"/>
    </row>
    <row r="203" spans="2:15" x14ac:dyDescent="0.25">
      <c r="B203" s="24"/>
      <c r="C203" s="239"/>
      <c r="D203" s="239"/>
      <c r="E203" s="239"/>
      <c r="F203" s="239"/>
      <c r="G203" s="239"/>
      <c r="H203" s="239"/>
      <c r="I203" s="239"/>
      <c r="J203" s="239"/>
    </row>
    <row r="204" spans="2:15" x14ac:dyDescent="0.25">
      <c r="B204" s="278"/>
      <c r="C204" s="278"/>
      <c r="D204" s="278"/>
      <c r="E204" s="278"/>
      <c r="F204" s="278"/>
      <c r="G204" s="278"/>
      <c r="H204" s="278"/>
      <c r="I204" s="278"/>
      <c r="J204" s="278"/>
    </row>
    <row r="205" spans="2:15" x14ac:dyDescent="0.25">
      <c r="B205" s="365" t="s">
        <v>686</v>
      </c>
      <c r="C205" s="365"/>
      <c r="D205" s="365"/>
      <c r="E205" s="365"/>
      <c r="F205" s="365"/>
      <c r="G205" s="365"/>
      <c r="H205" s="365"/>
      <c r="I205" s="365"/>
      <c r="J205" s="365"/>
    </row>
    <row r="206" spans="2:15" x14ac:dyDescent="0.25">
      <c r="B206" s="270" t="s">
        <v>223</v>
      </c>
      <c r="C206" s="270" t="s">
        <v>224</v>
      </c>
      <c r="D206" s="270" t="s">
        <v>225</v>
      </c>
      <c r="E206" s="270" t="s">
        <v>226</v>
      </c>
      <c r="F206" s="270" t="s">
        <v>227</v>
      </c>
      <c r="G206" s="270" t="s">
        <v>228</v>
      </c>
      <c r="H206" s="270" t="s">
        <v>229</v>
      </c>
      <c r="I206" s="270" t="s">
        <v>438</v>
      </c>
      <c r="J206" s="270" t="s">
        <v>439</v>
      </c>
      <c r="L206" s="171" t="s">
        <v>414</v>
      </c>
      <c r="M206" s="171" t="s">
        <v>414</v>
      </c>
      <c r="O206" s="290" t="s">
        <v>683</v>
      </c>
    </row>
    <row r="207" spans="2:15" x14ac:dyDescent="0.25">
      <c r="B207" s="271">
        <f>B199</f>
        <v>0</v>
      </c>
      <c r="C207" s="223"/>
      <c r="D207" s="223"/>
      <c r="E207" s="223"/>
      <c r="F207" s="223"/>
      <c r="G207" s="223"/>
      <c r="H207" s="223"/>
      <c r="I207" s="223">
        <f>SUM(C207:E207)</f>
        <v>0</v>
      </c>
      <c r="J207" s="223">
        <f>SUM(F207:H207)</f>
        <v>0</v>
      </c>
      <c r="L207" s="171">
        <f>IF((I207-(B207/2)&lt;3.5),0,'FTS-Initialization'!N116)</f>
        <v>0</v>
      </c>
      <c r="M207" s="171">
        <f>IF((J207-(B207/2)&lt;3.5),0,'FTS-Initialization'!N116)</f>
        <v>0</v>
      </c>
      <c r="O207" s="291" t="s">
        <v>685</v>
      </c>
    </row>
    <row r="208" spans="2:15" x14ac:dyDescent="0.25">
      <c r="B208" s="295">
        <f t="shared" ref="B208:B210" si="47">B200</f>
        <v>20</v>
      </c>
      <c r="C208" s="223"/>
      <c r="D208" s="223"/>
      <c r="E208" s="223"/>
      <c r="F208" s="223"/>
      <c r="G208" s="223"/>
      <c r="H208" s="223"/>
      <c r="I208" s="223">
        <f t="shared" ref="I208:I210" si="48">SUM(C208:E208)</f>
        <v>0</v>
      </c>
      <c r="J208" s="223">
        <f t="shared" ref="J208:J210" si="49">SUM(F208:H208)</f>
        <v>0</v>
      </c>
      <c r="L208" s="171">
        <f>IF((I208-(B208/2)&lt;3.5),0,'FTS-Initialization'!N117)</f>
        <v>0</v>
      </c>
      <c r="M208" s="171">
        <f>IF((J208-(B208/2)&lt;3.5),0,'FTS-Initialization'!N118)</f>
        <v>0</v>
      </c>
    </row>
    <row r="209" spans="2:13" x14ac:dyDescent="0.25">
      <c r="B209" s="295">
        <f t="shared" si="47"/>
        <v>40</v>
      </c>
      <c r="C209" s="223"/>
      <c r="D209" s="223"/>
      <c r="E209" s="223"/>
      <c r="F209" s="223"/>
      <c r="G209" s="223"/>
      <c r="H209" s="223"/>
      <c r="I209" s="223">
        <f t="shared" si="48"/>
        <v>0</v>
      </c>
      <c r="J209" s="223">
        <f t="shared" si="49"/>
        <v>0</v>
      </c>
      <c r="L209" s="171">
        <f>IF((I209-(B209/2)&lt;3.5),0,'FTS-Initialization'!N119)</f>
        <v>0</v>
      </c>
      <c r="M209" s="171">
        <f>IF((J209-(B209/2)&lt;3.5),0,'FTS-Initialization'!N120)</f>
        <v>0</v>
      </c>
    </row>
    <row r="210" spans="2:13" x14ac:dyDescent="0.25">
      <c r="B210" s="295">
        <f t="shared" si="47"/>
        <v>80</v>
      </c>
      <c r="C210" s="223"/>
      <c r="D210" s="223"/>
      <c r="E210" s="223"/>
      <c r="F210" s="223"/>
      <c r="G210" s="223"/>
      <c r="H210" s="223"/>
      <c r="I210" s="223">
        <f t="shared" si="48"/>
        <v>0</v>
      </c>
      <c r="J210" s="223">
        <f t="shared" si="49"/>
        <v>0</v>
      </c>
      <c r="L210" s="171">
        <f>IF((I210-(B210/2)&lt;3.5),0,'FTS-Initialization'!N121)</f>
        <v>0</v>
      </c>
      <c r="M210" s="171">
        <f>IF((J210-(B210/2)&lt;3.5),0,'FTS-Initialization'!N122)</f>
        <v>0</v>
      </c>
    </row>
    <row r="211" spans="2:13" x14ac:dyDescent="0.25">
      <c r="B211" s="279"/>
      <c r="C211" s="280"/>
      <c r="D211" s="280"/>
      <c r="E211" s="280"/>
      <c r="F211" s="280"/>
      <c r="G211" s="280"/>
      <c r="H211" s="280"/>
      <c r="I211" s="223"/>
      <c r="J211" s="223"/>
    </row>
    <row r="212" spans="2:13" x14ac:dyDescent="0.25">
      <c r="B212" s="278"/>
      <c r="C212" s="278"/>
      <c r="D212" s="278"/>
      <c r="E212" s="278"/>
      <c r="F212" s="278"/>
      <c r="G212" s="278"/>
      <c r="H212" s="278"/>
      <c r="I212" s="278"/>
      <c r="J212" s="278"/>
    </row>
    <row r="213" spans="2:13" x14ac:dyDescent="0.25">
      <c r="B213" s="365" t="s">
        <v>674</v>
      </c>
      <c r="C213" s="365"/>
      <c r="D213" s="365"/>
      <c r="E213" s="365"/>
      <c r="F213" s="365"/>
      <c r="G213" s="365"/>
      <c r="H213" s="365"/>
      <c r="I213" s="285" t="s">
        <v>206</v>
      </c>
      <c r="J213" s="279">
        <v>3.5</v>
      </c>
      <c r="L213" s="171" t="s">
        <v>414</v>
      </c>
    </row>
    <row r="214" spans="2:13" x14ac:dyDescent="0.25">
      <c r="B214" s="271" t="s">
        <v>455</v>
      </c>
      <c r="C214" s="271" t="s">
        <v>457</v>
      </c>
      <c r="D214" s="271" t="s">
        <v>458</v>
      </c>
      <c r="E214" s="271" t="s">
        <v>544</v>
      </c>
      <c r="F214" s="271" t="s">
        <v>545</v>
      </c>
      <c r="I214" s="271" t="s">
        <v>407</v>
      </c>
      <c r="J214" s="271" t="b">
        <f>IF(MAX(C215:D218)&lt;=J213,TRUE, FALSE)</f>
        <v>0</v>
      </c>
      <c r="L214" s="171">
        <f>IF((MAX(L157:M159,L64,L67,L83,L95,L208:M210,U86,V86,W86,X86,Y86,Z86))&gt;0,0,(IF(J214,0,'FTS-Initialization'!$N$123)))</f>
        <v>0</v>
      </c>
    </row>
    <row r="215" spans="2:13" x14ac:dyDescent="0.25">
      <c r="B215" s="271">
        <f>B207/2</f>
        <v>0</v>
      </c>
      <c r="C215" s="223">
        <f>ABS(B215-I207)</f>
        <v>0</v>
      </c>
      <c r="D215" s="223">
        <f>ABS(B215-J207)</f>
        <v>0</v>
      </c>
      <c r="E215" s="155"/>
      <c r="F215" s="155"/>
    </row>
    <row r="216" spans="2:13" x14ac:dyDescent="0.25">
      <c r="B216" s="294">
        <f t="shared" ref="B216:B218" si="50">B208/2</f>
        <v>10</v>
      </c>
      <c r="C216" s="223">
        <f t="shared" ref="C216:C218" si="51">ABS(B216-I208)</f>
        <v>10</v>
      </c>
      <c r="D216" s="223">
        <f t="shared" ref="D216:D218" si="52">ABS(B216-J208)</f>
        <v>10</v>
      </c>
      <c r="E216" s="281">
        <f>AVERAGE(C216:C218)</f>
        <v>23.333333333333332</v>
      </c>
      <c r="F216" s="281">
        <f>AVERAGE(D216:D218)</f>
        <v>23.333333333333332</v>
      </c>
      <c r="G216" s="282" t="s">
        <v>546</v>
      </c>
      <c r="H216" s="282">
        <v>-2</v>
      </c>
      <c r="I216" s="282" t="s">
        <v>11</v>
      </c>
    </row>
    <row r="217" spans="2:13" x14ac:dyDescent="0.25">
      <c r="B217" s="294">
        <f t="shared" si="50"/>
        <v>20</v>
      </c>
      <c r="C217" s="223">
        <f t="shared" si="51"/>
        <v>20</v>
      </c>
      <c r="D217" s="223">
        <f t="shared" si="52"/>
        <v>20</v>
      </c>
      <c r="E217" s="281">
        <f>STDEV(C216:C218)</f>
        <v>15.275252316519468</v>
      </c>
      <c r="F217" s="281">
        <f>STDEV(D216:D218)</f>
        <v>15.275252316519468</v>
      </c>
      <c r="G217" s="282" t="s">
        <v>547</v>
      </c>
      <c r="H217" s="282">
        <v>1</v>
      </c>
      <c r="I217" s="282">
        <v>2</v>
      </c>
    </row>
    <row r="218" spans="2:13" x14ac:dyDescent="0.25">
      <c r="B218" s="294">
        <f t="shared" si="50"/>
        <v>40</v>
      </c>
      <c r="C218" s="223">
        <f t="shared" si="51"/>
        <v>40</v>
      </c>
      <c r="D218" s="223">
        <f t="shared" si="52"/>
        <v>40</v>
      </c>
      <c r="E218" s="281">
        <f>ABS(SLOPE(C216:C218,$B$216:$B$218))</f>
        <v>1</v>
      </c>
      <c r="F218" s="281">
        <f>ABS(SLOPE(D216:D218,$B216:$B$218))</f>
        <v>1</v>
      </c>
      <c r="G218" s="282" t="s">
        <v>548</v>
      </c>
      <c r="H218" s="282">
        <v>0.05</v>
      </c>
      <c r="I218" s="282" t="s">
        <v>11</v>
      </c>
    </row>
    <row r="219" spans="2:13" x14ac:dyDescent="0.25">
      <c r="B219" s="271"/>
      <c r="C219" s="223"/>
      <c r="D219" s="223"/>
      <c r="E219" s="281" t="b">
        <f>IF(E217&gt;$I$98,TRUE,FALSE)</f>
        <v>1</v>
      </c>
      <c r="F219" s="281" t="b">
        <f>IF(F217&gt;$I$98,TRUE,FALSE)</f>
        <v>1</v>
      </c>
      <c r="G219" s="284" t="s">
        <v>550</v>
      </c>
      <c r="H219" s="283"/>
      <c r="I219" s="283"/>
    </row>
    <row r="220" spans="2:13" x14ac:dyDescent="0.25">
      <c r="B220" s="271"/>
      <c r="C220" s="223"/>
      <c r="D220" s="223"/>
      <c r="E220" s="281" t="b">
        <f>IF(AND(E216&lt;$H$97,E217&lt;$H$98,E218&gt;$H$99),TRUE,FALSE)</f>
        <v>0</v>
      </c>
      <c r="F220" s="281" t="b">
        <f>IF(AND(F216&lt;$H$97,F217&lt;$H$98,F218&gt;$H$99),TRUE,FALSE)</f>
        <v>0</v>
      </c>
      <c r="G220" s="284" t="s">
        <v>549</v>
      </c>
      <c r="H220" s="283"/>
      <c r="I220" s="283"/>
    </row>
    <row r="221" spans="2:13" x14ac:dyDescent="0.25">
      <c r="B221" s="278"/>
      <c r="C221" s="278"/>
      <c r="D221" s="278"/>
      <c r="E221" s="278"/>
      <c r="F221" s="278"/>
      <c r="G221" s="278"/>
      <c r="H221" s="278"/>
      <c r="I221" s="278"/>
      <c r="J221" s="278"/>
    </row>
    <row r="222" spans="2:13" x14ac:dyDescent="0.25">
      <c r="B222" s="278"/>
      <c r="C222" s="278"/>
      <c r="D222" s="278"/>
      <c r="E222" s="278"/>
      <c r="F222" s="278"/>
      <c r="G222" s="278"/>
      <c r="H222" s="278"/>
      <c r="I222" s="278"/>
      <c r="J222" s="278"/>
    </row>
    <row r="223" spans="2:13" x14ac:dyDescent="0.25">
      <c r="B223" s="278"/>
      <c r="C223" s="278"/>
      <c r="D223" s="278"/>
      <c r="E223" s="278"/>
      <c r="F223" s="278"/>
      <c r="G223" s="278"/>
      <c r="H223" s="278"/>
      <c r="I223" s="278"/>
      <c r="J223" s="278"/>
    </row>
    <row r="224" spans="2:13" x14ac:dyDescent="0.25">
      <c r="B224" s="278"/>
      <c r="C224" s="278"/>
      <c r="D224" s="278"/>
      <c r="E224" s="278"/>
      <c r="F224" s="278"/>
      <c r="G224" s="278"/>
      <c r="H224" s="278"/>
      <c r="I224" s="278"/>
      <c r="J224" s="278"/>
    </row>
    <row r="225" spans="2:10" x14ac:dyDescent="0.25">
      <c r="B225" s="278"/>
      <c r="C225" s="278"/>
      <c r="D225" s="278"/>
      <c r="E225" s="278"/>
      <c r="F225" s="278"/>
      <c r="G225" s="278"/>
      <c r="H225" s="278"/>
      <c r="I225" s="278"/>
      <c r="J225" s="278"/>
    </row>
  </sheetData>
  <mergeCells count="20">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 ref="B181:J181"/>
    <mergeCell ref="B189:J189"/>
    <mergeCell ref="B197:J197"/>
    <mergeCell ref="B205:J205"/>
    <mergeCell ref="B213:H21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19" t="s">
        <v>604</v>
      </c>
      <c r="S1" s="319"/>
      <c r="AC1" s="316" t="s">
        <v>663</v>
      </c>
      <c r="AD1" s="317"/>
    </row>
    <row r="2" spans="2:30" ht="16.5" thickBot="1" x14ac:dyDescent="0.3">
      <c r="Q2" s="321" t="s">
        <v>603</v>
      </c>
      <c r="R2" s="322"/>
      <c r="S2" s="323" t="s">
        <v>602</v>
      </c>
      <c r="T2" s="324"/>
      <c r="W2" s="102" t="s">
        <v>199</v>
      </c>
      <c r="X2" s="102" t="s">
        <v>200</v>
      </c>
      <c r="Z2" s="320" t="s">
        <v>601</v>
      </c>
      <c r="AA2" s="320"/>
      <c r="AC2" s="272" t="s">
        <v>661</v>
      </c>
      <c r="AD2" s="273" t="s">
        <v>662</v>
      </c>
    </row>
    <row r="3" spans="2:30" s="136" customFormat="1" ht="32.25" thickBot="1" x14ac:dyDescent="0.55000000000000004">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x14ac:dyDescent="0.25">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x14ac:dyDescent="0.25">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x14ac:dyDescent="0.25">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x14ac:dyDescent="0.25">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x14ac:dyDescent="0.25">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x14ac:dyDescent="0.25">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x14ac:dyDescent="0.25">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row r="45" spans="14:27" x14ac:dyDescent="0.25">
      <c r="N45" s="318" t="s">
        <v>682</v>
      </c>
      <c r="O45" s="318"/>
      <c r="P45" s="318"/>
      <c r="Q45" s="318"/>
      <c r="R45" s="318"/>
      <c r="S45" s="318"/>
      <c r="T45" s="318"/>
      <c r="U45" s="318"/>
      <c r="V45" s="318"/>
      <c r="W45" s="318"/>
      <c r="X45" s="318"/>
    </row>
    <row r="46" spans="14:27" x14ac:dyDescent="0.25">
      <c r="N46" s="286" t="s">
        <v>455</v>
      </c>
      <c r="O46" s="286" t="s">
        <v>464</v>
      </c>
      <c r="P46" s="286" t="s">
        <v>465</v>
      </c>
      <c r="Q46" s="286" t="s">
        <v>466</v>
      </c>
      <c r="R46" s="286" t="s">
        <v>467</v>
      </c>
      <c r="S46" s="286" t="s">
        <v>468</v>
      </c>
      <c r="T46" s="286" t="s">
        <v>469</v>
      </c>
      <c r="U46" s="286" t="s">
        <v>471</v>
      </c>
      <c r="V46" s="286" t="s">
        <v>516</v>
      </c>
      <c r="W46" s="171" t="s">
        <v>472</v>
      </c>
      <c r="X46" s="171" t="s">
        <v>473</v>
      </c>
      <c r="Z46" s="138" t="s">
        <v>530</v>
      </c>
      <c r="AA46" s="138" t="s">
        <v>531</v>
      </c>
    </row>
    <row r="47" spans="14:27" x14ac:dyDescent="0.25">
      <c r="N47" s="289">
        <f>'1204-Scale-Volt-Accel'!B207</f>
        <v>0</v>
      </c>
      <c r="O47" s="287">
        <f>'1204-Scale-Volt-Accel'!C207</f>
        <v>0</v>
      </c>
      <c r="P47" s="287">
        <f>'1204-Scale-Volt-Accel'!D207</f>
        <v>0</v>
      </c>
      <c r="Q47" s="287">
        <f>'1204-Scale-Volt-Accel'!E207</f>
        <v>0</v>
      </c>
      <c r="R47" s="287">
        <f>'1204-Scale-Volt-Accel'!F207</f>
        <v>0</v>
      </c>
      <c r="S47" s="287">
        <f>'1204-Scale-Volt-Accel'!G207</f>
        <v>0</v>
      </c>
      <c r="T47" s="287">
        <f>'1204-Scale-Volt-Accel'!H207</f>
        <v>0</v>
      </c>
      <c r="U47" s="287">
        <f>'1204-Scale-Volt-Accel'!I207</f>
        <v>0</v>
      </c>
      <c r="V47" s="287">
        <f>'1204-Scale-Volt-Accel'!J207</f>
        <v>0</v>
      </c>
      <c r="W47" s="288">
        <f>U47-(N47/2)</f>
        <v>0</v>
      </c>
      <c r="X47" s="288">
        <f>V47-(N47/2)</f>
        <v>0</v>
      </c>
      <c r="Z47" s="139">
        <v>3.5</v>
      </c>
      <c r="AA47" s="139">
        <v>-3.5</v>
      </c>
    </row>
    <row r="48" spans="14:27" x14ac:dyDescent="0.25">
      <c r="N48" s="289">
        <f>'1204-Scale-Volt-Accel'!B208</f>
        <v>20</v>
      </c>
      <c r="O48" s="287">
        <f>'1204-Scale-Volt-Accel'!C208</f>
        <v>0</v>
      </c>
      <c r="P48" s="287">
        <f>'1204-Scale-Volt-Accel'!D208</f>
        <v>0</v>
      </c>
      <c r="Q48" s="287">
        <f>'1204-Scale-Volt-Accel'!E208</f>
        <v>0</v>
      </c>
      <c r="R48" s="287">
        <f>'1204-Scale-Volt-Accel'!F208</f>
        <v>0</v>
      </c>
      <c r="S48" s="287">
        <f>'1204-Scale-Volt-Accel'!G208</f>
        <v>0</v>
      </c>
      <c r="T48" s="287">
        <f>'1204-Scale-Volt-Accel'!H208</f>
        <v>0</v>
      </c>
      <c r="U48" s="287">
        <f>'1204-Scale-Volt-Accel'!I208</f>
        <v>0</v>
      </c>
      <c r="V48" s="287">
        <f>'1204-Scale-Volt-Accel'!J208</f>
        <v>0</v>
      </c>
      <c r="W48" s="288">
        <f t="shared" ref="W48:W50" si="0">U48-(N48/2)</f>
        <v>-10</v>
      </c>
      <c r="X48" s="288">
        <f t="shared" ref="X48:X50" si="1">V48-(N48/2)</f>
        <v>-10</v>
      </c>
      <c r="Z48" s="139">
        <v>3.5</v>
      </c>
      <c r="AA48" s="139">
        <v>-3.5</v>
      </c>
    </row>
    <row r="49" spans="14:27" x14ac:dyDescent="0.25">
      <c r="N49" s="289">
        <f>'1204-Scale-Volt-Accel'!B209</f>
        <v>40</v>
      </c>
      <c r="O49" s="287">
        <f>'1204-Scale-Volt-Accel'!C209</f>
        <v>0</v>
      </c>
      <c r="P49" s="287">
        <f>'1204-Scale-Volt-Accel'!D209</f>
        <v>0</v>
      </c>
      <c r="Q49" s="287">
        <f>'1204-Scale-Volt-Accel'!E209</f>
        <v>0</v>
      </c>
      <c r="R49" s="287">
        <f>'1204-Scale-Volt-Accel'!F209</f>
        <v>0</v>
      </c>
      <c r="S49" s="287">
        <f>'1204-Scale-Volt-Accel'!G209</f>
        <v>0</v>
      </c>
      <c r="T49" s="287">
        <f>'1204-Scale-Volt-Accel'!H209</f>
        <v>0</v>
      </c>
      <c r="U49" s="287">
        <f>'1204-Scale-Volt-Accel'!I209</f>
        <v>0</v>
      </c>
      <c r="V49" s="287">
        <f>'1204-Scale-Volt-Accel'!J209</f>
        <v>0</v>
      </c>
      <c r="W49" s="288">
        <f t="shared" si="0"/>
        <v>-20</v>
      </c>
      <c r="X49" s="288">
        <f t="shared" si="1"/>
        <v>-20</v>
      </c>
      <c r="Z49" s="139">
        <v>3.5</v>
      </c>
      <c r="AA49" s="139">
        <v>-3.5</v>
      </c>
    </row>
    <row r="50" spans="14:27" x14ac:dyDescent="0.25">
      <c r="N50" s="289">
        <f>'1204-Scale-Volt-Accel'!B210</f>
        <v>80</v>
      </c>
      <c r="O50" s="287">
        <f>'1204-Scale-Volt-Accel'!C210</f>
        <v>0</v>
      </c>
      <c r="P50" s="287">
        <f>'1204-Scale-Volt-Accel'!D210</f>
        <v>0</v>
      </c>
      <c r="Q50" s="287">
        <f>'1204-Scale-Volt-Accel'!E210</f>
        <v>0</v>
      </c>
      <c r="R50" s="287">
        <f>'1204-Scale-Volt-Accel'!F210</f>
        <v>0</v>
      </c>
      <c r="S50" s="287">
        <f>'1204-Scale-Volt-Accel'!G210</f>
        <v>0</v>
      </c>
      <c r="T50" s="287">
        <f>'1204-Scale-Volt-Accel'!H210</f>
        <v>0</v>
      </c>
      <c r="U50" s="287">
        <f>'1204-Scale-Volt-Accel'!I210</f>
        <v>0</v>
      </c>
      <c r="V50" s="287">
        <f>'1204-Scale-Volt-Accel'!J210</f>
        <v>0</v>
      </c>
      <c r="W50" s="288">
        <f t="shared" si="0"/>
        <v>-40</v>
      </c>
      <c r="X50" s="288">
        <f t="shared" si="1"/>
        <v>-40</v>
      </c>
      <c r="Z50" s="139">
        <v>3.5</v>
      </c>
      <c r="AA50" s="139">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S11" zoomScale="125" zoomScaleNormal="125" zoomScalePageLayoutView="125" workbookViewId="0">
      <selection activeCell="AA24" sqref="AA24"/>
    </sheetView>
  </sheetViews>
  <sheetFormatPr defaultColWidth="8.7109375" defaultRowHeight="15" x14ac:dyDescent="0.25"/>
  <cols>
    <col min="1" max="1" width="3" customWidth="1"/>
    <col min="14" max="15" width="9.140625" customWidth="1"/>
  </cols>
  <sheetData>
    <row r="2" spans="2:36" x14ac:dyDescent="0.25">
      <c r="B2" s="333" t="s">
        <v>26</v>
      </c>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5"/>
      <c r="AF2" s="248"/>
      <c r="AG2" s="248"/>
      <c r="AH2" s="248"/>
      <c r="AI2" s="248"/>
      <c r="AJ2" s="248"/>
    </row>
    <row r="3" spans="2:36" x14ac:dyDescent="0.25">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x14ac:dyDescent="0.25">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x14ac:dyDescent="0.25">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x14ac:dyDescent="0.25">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x14ac:dyDescent="0.25">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x14ac:dyDescent="0.25">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x14ac:dyDescent="0.25">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x14ac:dyDescent="0.25">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x14ac:dyDescent="0.25">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x14ac:dyDescent="0.25">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x14ac:dyDescent="0.25">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x14ac:dyDescent="0.25">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x14ac:dyDescent="0.25">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x14ac:dyDescent="0.25">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x14ac:dyDescent="0.25">
      <c r="B18" s="325" t="s">
        <v>192</v>
      </c>
      <c r="C18" s="326"/>
      <c r="D18" s="326"/>
      <c r="E18" s="326"/>
      <c r="F18" s="326"/>
      <c r="G18" s="326"/>
      <c r="H18" s="326"/>
      <c r="I18" s="326"/>
      <c r="J18" s="326"/>
      <c r="K18" s="326"/>
      <c r="L18" s="327"/>
      <c r="N18" s="347" t="s">
        <v>486</v>
      </c>
      <c r="O18" s="348"/>
      <c r="P18" s="348"/>
      <c r="Q18" s="349"/>
      <c r="S18" s="338" t="s">
        <v>15</v>
      </c>
      <c r="T18" s="339"/>
      <c r="U18" s="339"/>
      <c r="V18" s="339"/>
      <c r="W18" s="339"/>
      <c r="X18" s="340"/>
      <c r="Z18" s="351" t="s">
        <v>201</v>
      </c>
      <c r="AA18" s="351"/>
      <c r="AB18" s="351"/>
      <c r="AD18" s="347" t="s">
        <v>487</v>
      </c>
      <c r="AE18" s="348"/>
      <c r="AF18" s="348"/>
      <c r="AG18" s="349"/>
    </row>
    <row r="19" spans="2:33" x14ac:dyDescent="0.25">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x14ac:dyDescent="0.25">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x14ac:dyDescent="0.25">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x14ac:dyDescent="0.25">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x14ac:dyDescent="0.25">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x14ac:dyDescent="0.25">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t="s">
        <v>688</v>
      </c>
      <c r="AA24" s="22">
        <v>2</v>
      </c>
      <c r="AB24" s="21" t="s">
        <v>689</v>
      </c>
      <c r="AD24" s="34" t="s">
        <v>294</v>
      </c>
      <c r="AE24" s="35">
        <v>45000</v>
      </c>
      <c r="AF24" s="34" t="s">
        <v>11</v>
      </c>
      <c r="AG24" s="34" t="b">
        <v>1</v>
      </c>
    </row>
    <row r="25" spans="2:33" x14ac:dyDescent="0.25">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x14ac:dyDescent="0.25">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50" t="s">
        <v>253</v>
      </c>
      <c r="AA26" s="350"/>
      <c r="AB26" s="350"/>
      <c r="AD26" s="34" t="s">
        <v>440</v>
      </c>
      <c r="AE26" s="35">
        <v>52000</v>
      </c>
      <c r="AF26" s="34" t="s">
        <v>11</v>
      </c>
      <c r="AG26" s="34" t="b">
        <v>1</v>
      </c>
    </row>
    <row r="27" spans="2:33" x14ac:dyDescent="0.25">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33000</v>
      </c>
      <c r="AF27" s="34" t="s">
        <v>11</v>
      </c>
      <c r="AG27" s="34" t="b">
        <v>1</v>
      </c>
    </row>
    <row r="28" spans="2:33" x14ac:dyDescent="0.25">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x14ac:dyDescent="0.25">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x14ac:dyDescent="0.25">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x14ac:dyDescent="0.25">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x14ac:dyDescent="0.25">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x14ac:dyDescent="0.25">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x14ac:dyDescent="0.25">
      <c r="B34" s="32"/>
      <c r="C34" s="32"/>
      <c r="D34" s="32"/>
      <c r="E34" s="32"/>
      <c r="F34" s="32"/>
      <c r="G34" s="32"/>
      <c r="H34" s="32"/>
      <c r="I34" s="32"/>
      <c r="J34" s="32"/>
      <c r="K34" s="32"/>
      <c r="L34" s="32"/>
    </row>
    <row r="35" spans="2:33" x14ac:dyDescent="0.25">
      <c r="B35" s="32"/>
      <c r="C35" s="32"/>
      <c r="D35" s="32"/>
      <c r="E35" s="32"/>
      <c r="F35" s="32"/>
      <c r="G35" s="32"/>
      <c r="H35" s="32"/>
      <c r="I35" s="32"/>
      <c r="J35" s="32"/>
      <c r="K35" s="32"/>
      <c r="L35" s="32"/>
      <c r="N35" s="344" t="s">
        <v>256</v>
      </c>
      <c r="O35" s="345"/>
      <c r="P35" s="345"/>
      <c r="Q35" s="345"/>
      <c r="R35" s="345"/>
      <c r="S35" s="345"/>
      <c r="T35" s="345"/>
      <c r="U35" s="345"/>
      <c r="V35" s="345"/>
      <c r="W35" s="345"/>
      <c r="X35" s="345"/>
      <c r="Y35" s="345"/>
      <c r="Z35" s="345"/>
      <c r="AA35" s="346"/>
      <c r="AC35" s="341" t="s">
        <v>306</v>
      </c>
      <c r="AD35" s="342"/>
      <c r="AE35" s="343"/>
    </row>
    <row r="36" spans="2:33" x14ac:dyDescent="0.25">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x14ac:dyDescent="0.25">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x14ac:dyDescent="0.25">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x14ac:dyDescent="0.25">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x14ac:dyDescent="0.25">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x14ac:dyDescent="0.25">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x14ac:dyDescent="0.25">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x14ac:dyDescent="0.25">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x14ac:dyDescent="0.25">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x14ac:dyDescent="0.25">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x14ac:dyDescent="0.25">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x14ac:dyDescent="0.25">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x14ac:dyDescent="0.25">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x14ac:dyDescent="0.25">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x14ac:dyDescent="0.25">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x14ac:dyDescent="0.25">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x14ac:dyDescent="0.25">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x14ac:dyDescent="0.25">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x14ac:dyDescent="0.25">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x14ac:dyDescent="0.25">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x14ac:dyDescent="0.25">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x14ac:dyDescent="0.25">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x14ac:dyDescent="0.25">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x14ac:dyDescent="0.25">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x14ac:dyDescent="0.25">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x14ac:dyDescent="0.25">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x14ac:dyDescent="0.25">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x14ac:dyDescent="0.25">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x14ac:dyDescent="0.25">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x14ac:dyDescent="0.25">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x14ac:dyDescent="0.25">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x14ac:dyDescent="0.25">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x14ac:dyDescent="0.25">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x14ac:dyDescent="0.25">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x14ac:dyDescent="0.25">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x14ac:dyDescent="0.25">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x14ac:dyDescent="0.25">
      <c r="N72" s="49">
        <v>35</v>
      </c>
      <c r="O72" s="56" t="s">
        <v>281</v>
      </c>
      <c r="P72" s="53" t="s">
        <v>258</v>
      </c>
      <c r="Q72" s="23"/>
      <c r="R72" s="23"/>
      <c r="S72" s="52"/>
      <c r="T72" s="54" t="s">
        <v>260</v>
      </c>
      <c r="U72" s="23"/>
      <c r="V72" s="23"/>
      <c r="W72" s="23"/>
      <c r="X72" s="23"/>
      <c r="Y72" s="23"/>
      <c r="Z72" s="23"/>
      <c r="AA72" s="52"/>
    </row>
    <row r="73" spans="2:27" x14ac:dyDescent="0.25">
      <c r="B73" s="325" t="s">
        <v>543</v>
      </c>
      <c r="C73" s="326"/>
      <c r="D73" s="336"/>
      <c r="E73" s="336"/>
      <c r="F73" s="336"/>
      <c r="G73" s="336"/>
      <c r="H73" s="336"/>
      <c r="I73" s="336"/>
      <c r="J73" s="336"/>
      <c r="K73" s="336"/>
      <c r="L73" s="337"/>
      <c r="N73" s="24">
        <v>36</v>
      </c>
      <c r="O73" s="56" t="s">
        <v>281</v>
      </c>
      <c r="P73" s="53" t="s">
        <v>258</v>
      </c>
      <c r="Q73" s="23"/>
      <c r="R73" s="23"/>
      <c r="S73" s="52"/>
      <c r="T73" s="54" t="s">
        <v>259</v>
      </c>
      <c r="U73" s="23"/>
      <c r="V73" s="23"/>
      <c r="W73" s="23"/>
      <c r="X73" s="23"/>
      <c r="Y73" s="23"/>
      <c r="Z73" s="23"/>
      <c r="AA73" s="52"/>
    </row>
    <row r="74" spans="2:27" x14ac:dyDescent="0.25">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x14ac:dyDescent="0.25">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x14ac:dyDescent="0.25">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x14ac:dyDescent="0.25">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x14ac:dyDescent="0.25">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x14ac:dyDescent="0.25">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x14ac:dyDescent="0.25">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x14ac:dyDescent="0.25">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x14ac:dyDescent="0.25">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x14ac:dyDescent="0.25">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x14ac:dyDescent="0.25">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x14ac:dyDescent="0.25">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x14ac:dyDescent="0.25">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x14ac:dyDescent="0.25">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x14ac:dyDescent="0.25">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x14ac:dyDescent="0.25">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x14ac:dyDescent="0.25">
      <c r="N90" s="49">
        <v>53</v>
      </c>
      <c r="O90" s="56" t="s">
        <v>282</v>
      </c>
      <c r="P90" s="53" t="s">
        <v>258</v>
      </c>
      <c r="Q90" s="23"/>
      <c r="R90" s="23"/>
      <c r="S90" s="52"/>
      <c r="T90" s="54" t="s">
        <v>443</v>
      </c>
      <c r="U90" s="23"/>
      <c r="V90" s="23"/>
      <c r="W90" s="23"/>
      <c r="X90" s="23"/>
      <c r="Y90" s="23"/>
      <c r="Z90" s="23"/>
      <c r="AA90" s="52"/>
    </row>
    <row r="91" spans="2:27" x14ac:dyDescent="0.25">
      <c r="B91" s="325" t="s">
        <v>673</v>
      </c>
      <c r="C91" s="326"/>
      <c r="D91" s="326"/>
      <c r="E91" s="326"/>
      <c r="F91" s="326"/>
      <c r="G91" s="326"/>
      <c r="H91" s="326"/>
      <c r="I91" s="326"/>
      <c r="J91" s="326"/>
      <c r="K91" s="326"/>
      <c r="L91" s="327"/>
      <c r="N91" s="24">
        <v>54</v>
      </c>
      <c r="O91" s="56" t="s">
        <v>282</v>
      </c>
      <c r="P91" s="53" t="s">
        <v>283</v>
      </c>
      <c r="Q91" s="23"/>
      <c r="R91" s="23"/>
      <c r="S91" s="52"/>
      <c r="T91" s="54" t="s">
        <v>284</v>
      </c>
      <c r="U91" s="23"/>
      <c r="V91" s="23"/>
      <c r="W91" s="23"/>
      <c r="X91" s="23"/>
      <c r="Y91" s="23"/>
      <c r="Z91" s="23"/>
      <c r="AA91" s="52"/>
    </row>
    <row r="92" spans="2:27" x14ac:dyDescent="0.25">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x14ac:dyDescent="0.25">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x14ac:dyDescent="0.25">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x14ac:dyDescent="0.25">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x14ac:dyDescent="0.25">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x14ac:dyDescent="0.25">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x14ac:dyDescent="0.25">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x14ac:dyDescent="0.25">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x14ac:dyDescent="0.25">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x14ac:dyDescent="0.25">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x14ac:dyDescent="0.25">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x14ac:dyDescent="0.25">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x14ac:dyDescent="0.25">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x14ac:dyDescent="0.25">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x14ac:dyDescent="0.25">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x14ac:dyDescent="0.25">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x14ac:dyDescent="0.25">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x14ac:dyDescent="0.25">
      <c r="N109" s="24">
        <v>72</v>
      </c>
      <c r="O109" s="212" t="s">
        <v>282</v>
      </c>
      <c r="P109" s="213" t="s">
        <v>632</v>
      </c>
      <c r="Q109" s="173"/>
      <c r="R109" s="173"/>
      <c r="S109" s="174"/>
      <c r="T109" s="214" t="s">
        <v>633</v>
      </c>
      <c r="U109" s="173"/>
      <c r="V109" s="173"/>
      <c r="W109" s="173"/>
      <c r="X109" s="173"/>
      <c r="Y109" s="173"/>
      <c r="Z109" s="173"/>
      <c r="AA109" s="174"/>
    </row>
    <row r="110" spans="2:27" x14ac:dyDescent="0.25">
      <c r="N110" s="49">
        <v>73</v>
      </c>
      <c r="O110" s="212" t="s">
        <v>282</v>
      </c>
      <c r="P110" s="213" t="s">
        <v>634</v>
      </c>
      <c r="Q110" s="173"/>
      <c r="R110" s="173"/>
      <c r="S110" s="174"/>
      <c r="T110" s="214" t="s">
        <v>639</v>
      </c>
      <c r="U110" s="173"/>
      <c r="V110" s="173"/>
      <c r="W110" s="173"/>
      <c r="X110" s="173"/>
      <c r="Y110" s="173"/>
      <c r="Z110" s="173"/>
      <c r="AA110" s="174"/>
    </row>
    <row r="111" spans="2:27" x14ac:dyDescent="0.25">
      <c r="N111" s="24">
        <v>74</v>
      </c>
      <c r="O111" s="212" t="s">
        <v>282</v>
      </c>
      <c r="P111" s="213" t="s">
        <v>635</v>
      </c>
      <c r="Q111" s="173"/>
      <c r="R111" s="173"/>
      <c r="S111" s="174"/>
      <c r="T111" s="214" t="s">
        <v>640</v>
      </c>
      <c r="U111" s="173"/>
      <c r="V111" s="173"/>
      <c r="W111" s="173"/>
      <c r="X111" s="173"/>
      <c r="Y111" s="173"/>
      <c r="Z111" s="173"/>
      <c r="AA111" s="174"/>
    </row>
    <row r="112" spans="2:27" x14ac:dyDescent="0.25">
      <c r="N112" s="49">
        <v>75</v>
      </c>
      <c r="O112" s="212" t="s">
        <v>282</v>
      </c>
      <c r="P112" s="213" t="s">
        <v>636</v>
      </c>
      <c r="Q112" s="173"/>
      <c r="R112" s="173"/>
      <c r="S112" s="174"/>
      <c r="T112" s="214" t="s">
        <v>641</v>
      </c>
      <c r="U112" s="173"/>
      <c r="V112" s="173"/>
      <c r="W112" s="173"/>
      <c r="X112" s="173"/>
      <c r="Y112" s="173"/>
      <c r="Z112" s="173"/>
      <c r="AA112" s="174"/>
    </row>
    <row r="113" spans="14:27" x14ac:dyDescent="0.25">
      <c r="N113" s="24">
        <v>76</v>
      </c>
      <c r="O113" s="212" t="s">
        <v>282</v>
      </c>
      <c r="P113" s="213" t="s">
        <v>637</v>
      </c>
      <c r="Q113" s="173"/>
      <c r="R113" s="173"/>
      <c r="S113" s="174"/>
      <c r="T113" s="214" t="s">
        <v>642</v>
      </c>
      <c r="U113" s="173"/>
      <c r="V113" s="173"/>
      <c r="W113" s="173"/>
      <c r="X113" s="173"/>
      <c r="Y113" s="173"/>
      <c r="Z113" s="173"/>
      <c r="AA113" s="174"/>
    </row>
    <row r="114" spans="14:27" x14ac:dyDescent="0.25">
      <c r="N114" s="49">
        <v>77</v>
      </c>
      <c r="O114" s="212" t="s">
        <v>282</v>
      </c>
      <c r="P114" s="213" t="s">
        <v>638</v>
      </c>
      <c r="Q114" s="173"/>
      <c r="R114" s="173"/>
      <c r="S114" s="174"/>
      <c r="T114" s="214" t="s">
        <v>643</v>
      </c>
      <c r="U114" s="173"/>
      <c r="V114" s="173"/>
      <c r="W114" s="173"/>
      <c r="X114" s="173"/>
      <c r="Y114" s="173"/>
      <c r="Z114" s="173"/>
      <c r="AA114" s="174"/>
    </row>
    <row r="115" spans="14:27" x14ac:dyDescent="0.25">
      <c r="N115" s="24">
        <v>78</v>
      </c>
      <c r="O115" s="212"/>
      <c r="P115" s="213"/>
      <c r="Q115" s="173"/>
      <c r="R115" s="173"/>
      <c r="S115" s="174"/>
      <c r="T115" s="214"/>
      <c r="U115" s="173"/>
      <c r="V115" s="173"/>
      <c r="W115" s="173"/>
      <c r="X115" s="173"/>
      <c r="Y115" s="173"/>
      <c r="Z115" s="173"/>
      <c r="AA115" s="174"/>
    </row>
    <row r="116" spans="14:27" x14ac:dyDescent="0.25">
      <c r="N116" s="224">
        <v>79</v>
      </c>
      <c r="O116" s="212" t="s">
        <v>664</v>
      </c>
      <c r="P116" s="213" t="s">
        <v>680</v>
      </c>
      <c r="Q116" s="173"/>
      <c r="R116" s="173"/>
      <c r="S116" s="174"/>
      <c r="T116" s="214" t="s">
        <v>681</v>
      </c>
      <c r="U116" s="173"/>
      <c r="V116" s="173"/>
      <c r="W116" s="173"/>
      <c r="X116" s="173"/>
      <c r="Y116" s="173"/>
      <c r="Z116" s="173"/>
      <c r="AA116" s="174"/>
    </row>
    <row r="117" spans="14:27" x14ac:dyDescent="0.25">
      <c r="N117" s="239">
        <v>80</v>
      </c>
      <c r="O117" s="277" t="s">
        <v>664</v>
      </c>
      <c r="P117" s="331" t="s">
        <v>665</v>
      </c>
      <c r="Q117" s="331"/>
      <c r="R117" s="331"/>
      <c r="S117" s="331"/>
      <c r="T117" s="328" t="s">
        <v>667</v>
      </c>
      <c r="U117" s="329"/>
      <c r="V117" s="329"/>
      <c r="W117" s="329"/>
      <c r="X117" s="329"/>
      <c r="Y117" s="329"/>
      <c r="Z117" s="329"/>
      <c r="AA117" s="330"/>
    </row>
    <row r="118" spans="14:27" x14ac:dyDescent="0.25">
      <c r="N118" s="239">
        <v>81</v>
      </c>
      <c r="O118" s="277" t="s">
        <v>664</v>
      </c>
      <c r="P118" s="331" t="s">
        <v>666</v>
      </c>
      <c r="Q118" s="331"/>
      <c r="R118" s="331"/>
      <c r="S118" s="331"/>
      <c r="T118" s="328" t="s">
        <v>668</v>
      </c>
      <c r="U118" s="329"/>
      <c r="V118" s="329"/>
      <c r="W118" s="329"/>
      <c r="X118" s="329"/>
      <c r="Y118" s="329"/>
      <c r="Z118" s="329"/>
      <c r="AA118" s="330"/>
    </row>
    <row r="119" spans="14:27" x14ac:dyDescent="0.25">
      <c r="N119" s="239">
        <v>82</v>
      </c>
      <c r="O119" s="277" t="s">
        <v>664</v>
      </c>
      <c r="P119" s="331" t="s">
        <v>665</v>
      </c>
      <c r="Q119" s="331"/>
      <c r="R119" s="331"/>
      <c r="S119" s="331"/>
      <c r="T119" s="328" t="s">
        <v>672</v>
      </c>
      <c r="U119" s="329"/>
      <c r="V119" s="329"/>
      <c r="W119" s="329"/>
      <c r="X119" s="329"/>
      <c r="Y119" s="329"/>
      <c r="Z119" s="329"/>
      <c r="AA119" s="330"/>
    </row>
    <row r="120" spans="14:27" x14ac:dyDescent="0.25">
      <c r="N120" s="239">
        <v>83</v>
      </c>
      <c r="O120" s="277" t="s">
        <v>664</v>
      </c>
      <c r="P120" s="331" t="s">
        <v>666</v>
      </c>
      <c r="Q120" s="331"/>
      <c r="R120" s="331"/>
      <c r="S120" s="331"/>
      <c r="T120" s="328" t="s">
        <v>669</v>
      </c>
      <c r="U120" s="329"/>
      <c r="V120" s="329"/>
      <c r="W120" s="329"/>
      <c r="X120" s="329"/>
      <c r="Y120" s="329"/>
      <c r="Z120" s="329"/>
      <c r="AA120" s="330"/>
    </row>
    <row r="121" spans="14:27" x14ac:dyDescent="0.25">
      <c r="N121" s="239">
        <v>84</v>
      </c>
      <c r="O121" s="277" t="s">
        <v>664</v>
      </c>
      <c r="P121" s="331" t="s">
        <v>665</v>
      </c>
      <c r="Q121" s="331"/>
      <c r="R121" s="331"/>
      <c r="S121" s="331"/>
      <c r="T121" s="328" t="s">
        <v>670</v>
      </c>
      <c r="U121" s="329"/>
      <c r="V121" s="329"/>
      <c r="W121" s="329"/>
      <c r="X121" s="329"/>
      <c r="Y121" s="329"/>
      <c r="Z121" s="329"/>
      <c r="AA121" s="330"/>
    </row>
    <row r="122" spans="14:27" x14ac:dyDescent="0.25">
      <c r="N122" s="239">
        <v>85</v>
      </c>
      <c r="O122" s="277" t="s">
        <v>664</v>
      </c>
      <c r="P122" s="331" t="s">
        <v>666</v>
      </c>
      <c r="Q122" s="331"/>
      <c r="R122" s="331"/>
      <c r="S122" s="331"/>
      <c r="T122" s="328" t="s">
        <v>671</v>
      </c>
      <c r="U122" s="329"/>
      <c r="V122" s="329"/>
      <c r="W122" s="329"/>
      <c r="X122" s="329"/>
      <c r="Y122" s="329"/>
      <c r="Z122" s="329"/>
      <c r="AA122" s="330"/>
    </row>
    <row r="123" spans="14:27" x14ac:dyDescent="0.25">
      <c r="N123" s="239">
        <v>86</v>
      </c>
      <c r="O123" s="276" t="s">
        <v>664</v>
      </c>
      <c r="P123" s="331" t="s">
        <v>675</v>
      </c>
      <c r="Q123" s="331"/>
      <c r="R123" s="331"/>
      <c r="S123" s="331"/>
      <c r="T123" s="331" t="s">
        <v>684</v>
      </c>
      <c r="U123" s="331"/>
      <c r="V123" s="331"/>
      <c r="W123" s="331"/>
      <c r="X123" s="331"/>
      <c r="Y123" s="331"/>
      <c r="Z123" s="331"/>
      <c r="AA123" s="331"/>
    </row>
    <row r="124" spans="14:27" x14ac:dyDescent="0.25">
      <c r="N124" s="239">
        <v>87</v>
      </c>
      <c r="O124" s="276"/>
      <c r="P124" s="332"/>
      <c r="Q124" s="332"/>
      <c r="R124" s="332"/>
      <c r="S124" s="332"/>
      <c r="T124" s="332"/>
      <c r="U124" s="332"/>
      <c r="V124" s="332"/>
      <c r="W124" s="332"/>
      <c r="X124" s="332"/>
      <c r="Y124" s="332"/>
      <c r="Z124" s="332"/>
      <c r="AA124" s="332"/>
    </row>
    <row r="125" spans="14:27" x14ac:dyDescent="0.25">
      <c r="N125" s="239">
        <v>88</v>
      </c>
      <c r="O125" s="276"/>
      <c r="P125" s="332"/>
      <c r="Q125" s="332"/>
      <c r="R125" s="332"/>
      <c r="S125" s="332"/>
      <c r="T125" s="332"/>
      <c r="U125" s="332"/>
      <c r="V125" s="332"/>
      <c r="W125" s="332"/>
      <c r="X125" s="332"/>
      <c r="Y125" s="332"/>
      <c r="Z125" s="332"/>
      <c r="AA125" s="332"/>
    </row>
    <row r="126" spans="14:27" x14ac:dyDescent="0.25">
      <c r="N126" s="239">
        <v>89</v>
      </c>
      <c r="O126" s="276"/>
      <c r="P126" s="332"/>
      <c r="Q126" s="332"/>
      <c r="R126" s="332"/>
      <c r="S126" s="332"/>
      <c r="T126" s="332"/>
      <c r="U126" s="332"/>
      <c r="V126" s="332"/>
      <c r="W126" s="332"/>
      <c r="X126" s="332"/>
      <c r="Y126" s="332"/>
      <c r="Z126" s="332"/>
      <c r="AA126" s="332"/>
    </row>
  </sheetData>
  <mergeCells count="31">
    <mergeCell ref="B2:AE2"/>
    <mergeCell ref="B73:L73"/>
    <mergeCell ref="S18:X18"/>
    <mergeCell ref="AC35:AE35"/>
    <mergeCell ref="N35:AA35"/>
    <mergeCell ref="B18:L18"/>
    <mergeCell ref="N18:Q18"/>
    <mergeCell ref="Z26:AB26"/>
    <mergeCell ref="Z18:AB18"/>
    <mergeCell ref="AD18:AG18"/>
    <mergeCell ref="P126:S126"/>
    <mergeCell ref="P117:S117"/>
    <mergeCell ref="P118:S118"/>
    <mergeCell ref="P119:S119"/>
    <mergeCell ref="P120:S120"/>
    <mergeCell ref="P121:S121"/>
    <mergeCell ref="T126:AA126"/>
    <mergeCell ref="T117:AA117"/>
    <mergeCell ref="T118:AA118"/>
    <mergeCell ref="T119:AA119"/>
    <mergeCell ref="T120:AA120"/>
    <mergeCell ref="T121:AA121"/>
    <mergeCell ref="B91:L91"/>
    <mergeCell ref="T122:AA122"/>
    <mergeCell ref="T123:AA123"/>
    <mergeCell ref="T124:AA124"/>
    <mergeCell ref="T125:AA125"/>
    <mergeCell ref="P122:S122"/>
    <mergeCell ref="P123:S123"/>
    <mergeCell ref="P124:S124"/>
    <mergeCell ref="P125:S125"/>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180975</xdr:rowOff>
                  </from>
                  <to>
                    <xdr:col>14</xdr:col>
                    <xdr:colOff>409575</xdr:colOff>
                    <xdr:row>22</xdr:row>
                    <xdr:rowOff>76200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180975</xdr:rowOff>
                  </from>
                  <to>
                    <xdr:col>14</xdr:col>
                    <xdr:colOff>409575</xdr:colOff>
                    <xdr:row>23</xdr:row>
                    <xdr:rowOff>66675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180975</xdr:rowOff>
                  </from>
                  <to>
                    <xdr:col>14</xdr:col>
                    <xdr:colOff>409575</xdr:colOff>
                    <xdr:row>24</xdr:row>
                    <xdr:rowOff>76200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180975</xdr:rowOff>
                  </from>
                  <to>
                    <xdr:col>14</xdr:col>
                    <xdr:colOff>409575</xdr:colOff>
                    <xdr:row>25</xdr:row>
                    <xdr:rowOff>66675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180975</xdr:rowOff>
                  </from>
                  <to>
                    <xdr:col>14</xdr:col>
                    <xdr:colOff>409575</xdr:colOff>
                    <xdr:row>26</xdr:row>
                    <xdr:rowOff>66675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180975</xdr:rowOff>
                  </from>
                  <to>
                    <xdr:col>14</xdr:col>
                    <xdr:colOff>409575</xdr:colOff>
                    <xdr:row>27</xdr:row>
                    <xdr:rowOff>66675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180975</xdr:rowOff>
                  </from>
                  <to>
                    <xdr:col>14</xdr:col>
                    <xdr:colOff>409575</xdr:colOff>
                    <xdr:row>28</xdr:row>
                    <xdr:rowOff>66675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180975</xdr:rowOff>
                  </from>
                  <to>
                    <xdr:col>14</xdr:col>
                    <xdr:colOff>409575</xdr:colOff>
                    <xdr:row>29</xdr:row>
                    <xdr:rowOff>66675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180975</xdr:rowOff>
                  </from>
                  <to>
                    <xdr:col>14</xdr:col>
                    <xdr:colOff>409575</xdr:colOff>
                    <xdr:row>30</xdr:row>
                    <xdr:rowOff>66675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180975</xdr:rowOff>
                  </from>
                  <to>
                    <xdr:col>14</xdr:col>
                    <xdr:colOff>409575</xdr:colOff>
                    <xdr:row>31</xdr:row>
                    <xdr:rowOff>66675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180975</xdr:rowOff>
                  </from>
                  <to>
                    <xdr:col>14</xdr:col>
                    <xdr:colOff>409575</xdr:colOff>
                    <xdr:row>32</xdr:row>
                    <xdr:rowOff>66675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180975</xdr:rowOff>
                  </from>
                  <to>
                    <xdr:col>14</xdr:col>
                    <xdr:colOff>409575</xdr:colOff>
                    <xdr:row>33</xdr:row>
                    <xdr:rowOff>66675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180975</xdr:rowOff>
                  </from>
                  <to>
                    <xdr:col>30</xdr:col>
                    <xdr:colOff>409575</xdr:colOff>
                    <xdr:row>22</xdr:row>
                    <xdr:rowOff>76200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180975</xdr:rowOff>
                  </from>
                  <to>
                    <xdr:col>30</xdr:col>
                    <xdr:colOff>409575</xdr:colOff>
                    <xdr:row>23</xdr:row>
                    <xdr:rowOff>66675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180975</xdr:rowOff>
                  </from>
                  <to>
                    <xdr:col>30</xdr:col>
                    <xdr:colOff>409575</xdr:colOff>
                    <xdr:row>24</xdr:row>
                    <xdr:rowOff>76200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180975</xdr:rowOff>
                  </from>
                  <to>
                    <xdr:col>30</xdr:col>
                    <xdr:colOff>409575</xdr:colOff>
                    <xdr:row>25</xdr:row>
                    <xdr:rowOff>66675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180975</xdr:rowOff>
                  </from>
                  <to>
                    <xdr:col>30</xdr:col>
                    <xdr:colOff>409575</xdr:colOff>
                    <xdr:row>26</xdr:row>
                    <xdr:rowOff>66675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180975</xdr:rowOff>
                  </from>
                  <to>
                    <xdr:col>30</xdr:col>
                    <xdr:colOff>409575</xdr:colOff>
                    <xdr:row>27</xdr:row>
                    <xdr:rowOff>66675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180975</xdr:rowOff>
                  </from>
                  <to>
                    <xdr:col>30</xdr:col>
                    <xdr:colOff>409575</xdr:colOff>
                    <xdr:row>28</xdr:row>
                    <xdr:rowOff>66675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180975</xdr:rowOff>
                  </from>
                  <to>
                    <xdr:col>30</xdr:col>
                    <xdr:colOff>409575</xdr:colOff>
                    <xdr:row>29</xdr:row>
                    <xdr:rowOff>66675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180975</xdr:rowOff>
                  </from>
                  <to>
                    <xdr:col>30</xdr:col>
                    <xdr:colOff>409575</xdr:colOff>
                    <xdr:row>30</xdr:row>
                    <xdr:rowOff>66675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180975</xdr:rowOff>
                  </from>
                  <to>
                    <xdr:col>30</xdr:col>
                    <xdr:colOff>409575</xdr:colOff>
                    <xdr:row>31</xdr:row>
                    <xdr:rowOff>66675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180975</xdr:rowOff>
                  </from>
                  <to>
                    <xdr:col>30</xdr:col>
                    <xdr:colOff>409575</xdr:colOff>
                    <xdr:row>32</xdr:row>
                    <xdr:rowOff>66675</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180975</xdr:rowOff>
                  </from>
                  <to>
                    <xdr:col>30</xdr:col>
                    <xdr:colOff>409575</xdr:colOff>
                    <xdr:row>33</xdr:row>
                    <xdr:rowOff>66675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x14ac:dyDescent="0.25">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x14ac:dyDescent="0.25">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x14ac:dyDescent="0.25">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x14ac:dyDescent="0.25">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x14ac:dyDescent="0.25">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x14ac:dyDescent="0.25">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x14ac:dyDescent="0.25">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x14ac:dyDescent="0.25">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x14ac:dyDescent="0.25">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x14ac:dyDescent="0.25">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x14ac:dyDescent="0.25">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x14ac:dyDescent="0.25">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x14ac:dyDescent="0.25">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x14ac:dyDescent="0.25">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x14ac:dyDescent="0.25">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x14ac:dyDescent="0.25">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x14ac:dyDescent="0.25">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x14ac:dyDescent="0.25">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x14ac:dyDescent="0.25">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x14ac:dyDescent="0.25">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x14ac:dyDescent="0.25">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x14ac:dyDescent="0.25">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x14ac:dyDescent="0.25">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x14ac:dyDescent="0.25">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x14ac:dyDescent="0.25">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x14ac:dyDescent="0.25">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x14ac:dyDescent="0.25">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x14ac:dyDescent="0.25">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x14ac:dyDescent="0.25">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x14ac:dyDescent="0.25">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x14ac:dyDescent="0.25">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x14ac:dyDescent="0.25">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x14ac:dyDescent="0.25">
      <c r="B36" s="41">
        <v>32</v>
      </c>
      <c r="C36" s="41" t="str">
        <f t="shared" si="1"/>
        <v>0x020</v>
      </c>
      <c r="D36" s="66"/>
      <c r="E36" s="44" t="s">
        <v>90</v>
      </c>
      <c r="F36" s="45"/>
      <c r="G36" s="46"/>
      <c r="I36" s="41">
        <v>32</v>
      </c>
      <c r="J36" s="41" t="str">
        <f t="shared" si="2"/>
        <v>0x020</v>
      </c>
      <c r="K36" s="66"/>
      <c r="L36" s="44" t="s">
        <v>90</v>
      </c>
      <c r="M36" s="45"/>
      <c r="N36" s="46"/>
    </row>
    <row r="37" spans="2:32" x14ac:dyDescent="0.25">
      <c r="B37" s="41">
        <v>33</v>
      </c>
      <c r="C37" s="41" t="str">
        <f t="shared" si="1"/>
        <v>0x021</v>
      </c>
      <c r="D37" s="66"/>
      <c r="E37" s="44" t="s">
        <v>91</v>
      </c>
      <c r="F37" s="45"/>
      <c r="G37" s="46"/>
      <c r="I37" s="41">
        <v>33</v>
      </c>
      <c r="J37" s="41" t="str">
        <f t="shared" si="2"/>
        <v>0x021</v>
      </c>
      <c r="K37" s="66"/>
      <c r="L37" s="44" t="s">
        <v>91</v>
      </c>
      <c r="M37" s="45"/>
      <c r="N37" s="46"/>
      <c r="P37" t="s">
        <v>399</v>
      </c>
    </row>
    <row r="38" spans="2:32" x14ac:dyDescent="0.25">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x14ac:dyDescent="0.25">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x14ac:dyDescent="0.25">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x14ac:dyDescent="0.25">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x14ac:dyDescent="0.25">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x14ac:dyDescent="0.25">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x14ac:dyDescent="0.25">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x14ac:dyDescent="0.25">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x14ac:dyDescent="0.25">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x14ac:dyDescent="0.25">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x14ac:dyDescent="0.25">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x14ac:dyDescent="0.25">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x14ac:dyDescent="0.25">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x14ac:dyDescent="0.25">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x14ac:dyDescent="0.25">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x14ac:dyDescent="0.25">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x14ac:dyDescent="0.25">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x14ac:dyDescent="0.25">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x14ac:dyDescent="0.25">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x14ac:dyDescent="0.25">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x14ac:dyDescent="0.25">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x14ac:dyDescent="0.25">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x14ac:dyDescent="0.25">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x14ac:dyDescent="0.25">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x14ac:dyDescent="0.25">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x14ac:dyDescent="0.25">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x14ac:dyDescent="0.25">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x14ac:dyDescent="0.25">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x14ac:dyDescent="0.25">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x14ac:dyDescent="0.25">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x14ac:dyDescent="0.25">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x14ac:dyDescent="0.25">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x14ac:dyDescent="0.25">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x14ac:dyDescent="0.25">
      <c r="B71" s="41">
        <v>67</v>
      </c>
      <c r="C71" s="41" t="str">
        <f t="shared" si="51"/>
        <v>0x043</v>
      </c>
      <c r="D71" s="65" t="s">
        <v>142</v>
      </c>
      <c r="E71" s="44" t="s">
        <v>143</v>
      </c>
      <c r="F71" s="45"/>
      <c r="G71" s="46"/>
      <c r="I71" s="41">
        <v>67</v>
      </c>
      <c r="J71" s="41" t="str">
        <f t="shared" si="52"/>
        <v>0x043</v>
      </c>
      <c r="K71" s="65" t="s">
        <v>142</v>
      </c>
      <c r="L71" s="44" t="s">
        <v>143</v>
      </c>
      <c r="M71" s="45"/>
      <c r="N71" s="46"/>
    </row>
    <row r="72" spans="2:32" x14ac:dyDescent="0.25">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x14ac:dyDescent="0.25">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x14ac:dyDescent="0.25">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x14ac:dyDescent="0.25">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x14ac:dyDescent="0.25">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x14ac:dyDescent="0.25">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x14ac:dyDescent="0.25">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x14ac:dyDescent="0.25">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x14ac:dyDescent="0.25">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x14ac:dyDescent="0.25">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x14ac:dyDescent="0.25">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x14ac:dyDescent="0.25">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x14ac:dyDescent="0.25">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x14ac:dyDescent="0.25">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x14ac:dyDescent="0.25">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x14ac:dyDescent="0.25">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x14ac:dyDescent="0.25">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x14ac:dyDescent="0.25">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x14ac:dyDescent="0.25">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x14ac:dyDescent="0.25">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x14ac:dyDescent="0.25">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x14ac:dyDescent="0.25">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x14ac:dyDescent="0.25">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x14ac:dyDescent="0.25">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x14ac:dyDescent="0.25">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x14ac:dyDescent="0.25">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x14ac:dyDescent="0.25">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x14ac:dyDescent="0.25">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x14ac:dyDescent="0.25">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x14ac:dyDescent="0.25">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x14ac:dyDescent="0.25">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x14ac:dyDescent="0.25">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x14ac:dyDescent="0.25">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x14ac:dyDescent="0.25">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x14ac:dyDescent="0.25">
      <c r="B106" s="41">
        <v>102</v>
      </c>
      <c r="C106" s="41" t="str">
        <f t="shared" si="51"/>
        <v>0x066</v>
      </c>
      <c r="D106" s="66"/>
      <c r="E106" s="44" t="s">
        <v>187</v>
      </c>
      <c r="F106" s="45"/>
      <c r="G106" s="46"/>
      <c r="I106" s="41">
        <v>102</v>
      </c>
      <c r="J106" s="41" t="str">
        <f t="shared" si="52"/>
        <v>0x066</v>
      </c>
      <c r="K106" s="66"/>
      <c r="L106" s="44" t="s">
        <v>187</v>
      </c>
      <c r="M106" s="45"/>
      <c r="N106" s="46"/>
    </row>
    <row r="107" spans="2:32" x14ac:dyDescent="0.25">
      <c r="B107" s="41">
        <v>103</v>
      </c>
      <c r="C107" s="41" t="str">
        <f t="shared" si="51"/>
        <v>0x067</v>
      </c>
      <c r="D107" s="66"/>
      <c r="E107" s="44" t="s">
        <v>187</v>
      </c>
      <c r="F107" s="45"/>
      <c r="G107" s="46"/>
      <c r="I107" s="41">
        <v>103</v>
      </c>
      <c r="J107" s="41" t="str">
        <f t="shared" si="52"/>
        <v>0x067</v>
      </c>
      <c r="K107" s="66"/>
      <c r="L107" s="44" t="s">
        <v>187</v>
      </c>
      <c r="M107" s="45"/>
      <c r="N107" s="46"/>
    </row>
    <row r="108" spans="2:32" x14ac:dyDescent="0.25">
      <c r="B108" s="41">
        <v>104</v>
      </c>
      <c r="C108" s="41" t="str">
        <f t="shared" si="51"/>
        <v>0x068</v>
      </c>
      <c r="D108" s="66"/>
      <c r="E108" s="44" t="s">
        <v>187</v>
      </c>
      <c r="F108" s="45"/>
      <c r="G108" s="46"/>
      <c r="I108" s="41">
        <v>104</v>
      </c>
      <c r="J108" s="41" t="str">
        <f t="shared" si="52"/>
        <v>0x068</v>
      </c>
      <c r="K108" s="66"/>
      <c r="L108" s="44" t="s">
        <v>187</v>
      </c>
      <c r="M108" s="45"/>
      <c r="N108" s="46"/>
    </row>
    <row r="109" spans="2:32" x14ac:dyDescent="0.25">
      <c r="B109" s="41">
        <v>105</v>
      </c>
      <c r="C109" s="41" t="str">
        <f t="shared" si="51"/>
        <v>0x069</v>
      </c>
      <c r="D109" s="65" t="s">
        <v>51</v>
      </c>
      <c r="E109" s="44" t="s">
        <v>188</v>
      </c>
      <c r="F109" s="45"/>
      <c r="G109" s="46"/>
      <c r="I109" s="41">
        <v>105</v>
      </c>
      <c r="J109" s="41" t="str">
        <f t="shared" si="52"/>
        <v>0x069</v>
      </c>
      <c r="K109" s="66"/>
      <c r="L109" s="163" t="s">
        <v>563</v>
      </c>
      <c r="M109" s="45"/>
      <c r="N109" s="46"/>
    </row>
    <row r="110" spans="2:32" x14ac:dyDescent="0.25">
      <c r="B110" s="41">
        <v>106</v>
      </c>
      <c r="C110" s="41" t="str">
        <f t="shared" si="51"/>
        <v>0x06A</v>
      </c>
      <c r="D110" s="65" t="s">
        <v>51</v>
      </c>
      <c r="E110" s="44" t="s">
        <v>188</v>
      </c>
      <c r="F110" s="45"/>
      <c r="G110" s="46"/>
      <c r="I110" s="41">
        <v>106</v>
      </c>
      <c r="J110" s="41" t="str">
        <f t="shared" si="52"/>
        <v>0x06A</v>
      </c>
      <c r="K110" s="66"/>
      <c r="L110" s="163" t="s">
        <v>563</v>
      </c>
      <c r="M110" s="45"/>
      <c r="N110" s="46"/>
    </row>
    <row r="111" spans="2:32" x14ac:dyDescent="0.25">
      <c r="B111" s="41">
        <v>107</v>
      </c>
      <c r="C111" s="41" t="str">
        <f t="shared" si="51"/>
        <v>0x06B</v>
      </c>
      <c r="D111" s="65" t="s">
        <v>51</v>
      </c>
      <c r="E111" s="44" t="s">
        <v>188</v>
      </c>
      <c r="F111" s="45"/>
      <c r="G111" s="46"/>
      <c r="I111" s="41">
        <v>107</v>
      </c>
      <c r="J111" s="41" t="str">
        <f t="shared" si="52"/>
        <v>0x06B</v>
      </c>
      <c r="K111" s="66"/>
      <c r="L111" s="163" t="s">
        <v>563</v>
      </c>
      <c r="M111" s="45"/>
      <c r="N111" s="46"/>
    </row>
    <row r="112" spans="2:32" x14ac:dyDescent="0.25">
      <c r="B112" s="41">
        <v>108</v>
      </c>
      <c r="C112" s="41" t="str">
        <f t="shared" si="51"/>
        <v>0x06C</v>
      </c>
      <c r="D112" s="65" t="s">
        <v>51</v>
      </c>
      <c r="E112" s="44" t="s">
        <v>188</v>
      </c>
      <c r="F112" s="45"/>
      <c r="G112" s="46"/>
      <c r="I112" s="41">
        <v>108</v>
      </c>
      <c r="J112" s="41" t="str">
        <f t="shared" si="52"/>
        <v>0x06C</v>
      </c>
      <c r="K112" s="66"/>
      <c r="L112" s="163" t="s">
        <v>563</v>
      </c>
      <c r="M112" s="45"/>
      <c r="N112" s="46"/>
    </row>
    <row r="113" spans="2:14" x14ac:dyDescent="0.25">
      <c r="B113" s="41">
        <v>109</v>
      </c>
      <c r="C113" s="41" t="str">
        <f t="shared" si="51"/>
        <v>0x06D</v>
      </c>
      <c r="D113" s="65" t="s">
        <v>51</v>
      </c>
      <c r="E113" s="44" t="s">
        <v>188</v>
      </c>
      <c r="F113" s="45"/>
      <c r="G113" s="46"/>
      <c r="I113" s="41">
        <v>109</v>
      </c>
      <c r="J113" s="41" t="str">
        <f t="shared" si="52"/>
        <v>0x06D</v>
      </c>
      <c r="K113" s="66"/>
      <c r="L113" s="163" t="s">
        <v>563</v>
      </c>
      <c r="M113" s="45"/>
      <c r="N113" s="46"/>
    </row>
    <row r="114" spans="2:14" x14ac:dyDescent="0.25">
      <c r="B114" s="41">
        <v>110</v>
      </c>
      <c r="C114" s="41" t="str">
        <f t="shared" si="51"/>
        <v>0x06E</v>
      </c>
      <c r="D114" s="65" t="s">
        <v>51</v>
      </c>
      <c r="E114" s="44" t="s">
        <v>188</v>
      </c>
      <c r="F114" s="45"/>
      <c r="G114" s="46"/>
      <c r="I114" s="41">
        <v>110</v>
      </c>
      <c r="J114" s="41" t="str">
        <f t="shared" si="52"/>
        <v>0x06E</v>
      </c>
      <c r="K114" s="66"/>
      <c r="L114" s="163" t="s">
        <v>563</v>
      </c>
      <c r="M114" s="45"/>
      <c r="N114" s="46"/>
    </row>
    <row r="115" spans="2:14" x14ac:dyDescent="0.25">
      <c r="B115" s="41">
        <v>111</v>
      </c>
      <c r="C115" s="41" t="str">
        <f t="shared" si="51"/>
        <v>0x06F</v>
      </c>
      <c r="D115" s="65" t="s">
        <v>51</v>
      </c>
      <c r="E115" s="44" t="s">
        <v>188</v>
      </c>
      <c r="F115" s="45"/>
      <c r="G115" s="46"/>
      <c r="I115" s="41">
        <v>111</v>
      </c>
      <c r="J115" s="41" t="str">
        <f t="shared" si="52"/>
        <v>0x06F</v>
      </c>
      <c r="K115" s="66"/>
      <c r="L115" s="44" t="s">
        <v>560</v>
      </c>
      <c r="M115" s="45"/>
      <c r="N115" s="46"/>
    </row>
    <row r="116" spans="2:14" x14ac:dyDescent="0.25">
      <c r="B116" s="41">
        <v>112</v>
      </c>
      <c r="C116" s="41" t="str">
        <f t="shared" si="51"/>
        <v>0x070</v>
      </c>
      <c r="D116" s="65" t="s">
        <v>51</v>
      </c>
      <c r="E116" s="44" t="s">
        <v>188</v>
      </c>
      <c r="F116" s="45"/>
      <c r="G116" s="46"/>
      <c r="I116" s="41">
        <v>112</v>
      </c>
      <c r="J116" s="41" t="str">
        <f t="shared" si="52"/>
        <v>0x070</v>
      </c>
      <c r="K116" s="66"/>
      <c r="L116" s="44" t="s">
        <v>561</v>
      </c>
      <c r="M116" s="45"/>
      <c r="N116" s="46"/>
    </row>
    <row r="117" spans="2:14" x14ac:dyDescent="0.25">
      <c r="B117" s="41">
        <v>113</v>
      </c>
      <c r="C117" s="41" t="str">
        <f t="shared" si="51"/>
        <v>0x071</v>
      </c>
      <c r="D117" s="66"/>
      <c r="E117" s="44" t="s">
        <v>73</v>
      </c>
      <c r="F117" s="45"/>
      <c r="G117" s="46"/>
      <c r="I117" s="41">
        <v>113</v>
      </c>
      <c r="J117" s="41" t="str">
        <f t="shared" si="52"/>
        <v>0x071</v>
      </c>
      <c r="K117" s="66"/>
      <c r="L117" s="44" t="s">
        <v>585</v>
      </c>
      <c r="M117" s="45"/>
      <c r="N117" s="46"/>
    </row>
    <row r="118" spans="2:14" x14ac:dyDescent="0.25">
      <c r="B118" s="41">
        <v>114</v>
      </c>
      <c r="C118" s="41" t="str">
        <f t="shared" si="51"/>
        <v>0x072</v>
      </c>
      <c r="D118" s="66"/>
      <c r="E118" s="44" t="s">
        <v>189</v>
      </c>
      <c r="F118" s="45"/>
      <c r="G118" s="46"/>
      <c r="I118" s="41">
        <v>114</v>
      </c>
      <c r="J118" s="41" t="str">
        <f t="shared" si="52"/>
        <v>0x072</v>
      </c>
      <c r="K118" s="66"/>
      <c r="L118" s="44" t="s">
        <v>189</v>
      </c>
      <c r="M118" s="45"/>
      <c r="N118" s="46"/>
    </row>
    <row r="119" spans="2:14" x14ac:dyDescent="0.25">
      <c r="B119" s="41">
        <v>115</v>
      </c>
      <c r="C119" s="41" t="str">
        <f t="shared" si="51"/>
        <v>0x073</v>
      </c>
      <c r="D119" s="66"/>
      <c r="E119" s="44" t="s">
        <v>190</v>
      </c>
      <c r="F119" s="45"/>
      <c r="G119" s="46"/>
      <c r="I119" s="41">
        <v>115</v>
      </c>
      <c r="J119" s="41" t="str">
        <f t="shared" si="52"/>
        <v>0x073</v>
      </c>
      <c r="K119" s="66"/>
      <c r="L119" s="44" t="s">
        <v>190</v>
      </c>
      <c r="M119" s="45"/>
      <c r="N119" s="46"/>
    </row>
    <row r="120" spans="2:14" x14ac:dyDescent="0.25">
      <c r="B120" s="41">
        <v>116</v>
      </c>
      <c r="C120" s="41" t="str">
        <f t="shared" si="51"/>
        <v>0x074</v>
      </c>
      <c r="D120" s="66"/>
      <c r="E120" s="44" t="s">
        <v>191</v>
      </c>
      <c r="F120" s="45"/>
      <c r="G120" s="46"/>
      <c r="I120" s="41">
        <v>116</v>
      </c>
      <c r="J120" s="41" t="str">
        <f t="shared" si="52"/>
        <v>0x074</v>
      </c>
      <c r="K120" s="66"/>
      <c r="L120" s="44" t="s">
        <v>191</v>
      </c>
      <c r="M120" s="45"/>
      <c r="N120" s="46"/>
    </row>
    <row r="121" spans="2:14" x14ac:dyDescent="0.25">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x14ac:dyDescent="0.25">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x14ac:dyDescent="0.25">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x14ac:dyDescent="0.25">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x14ac:dyDescent="0.25">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x14ac:dyDescent="0.25">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x14ac:dyDescent="0.25">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x14ac:dyDescent="0.25">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x14ac:dyDescent="0.25">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x14ac:dyDescent="0.25">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x14ac:dyDescent="0.25">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x14ac:dyDescent="0.25">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x14ac:dyDescent="0.25">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x14ac:dyDescent="0.25">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x14ac:dyDescent="0.25">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x14ac:dyDescent="0.25">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x14ac:dyDescent="0.25">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x14ac:dyDescent="0.25">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x14ac:dyDescent="0.25">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x14ac:dyDescent="0.25">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x14ac:dyDescent="0.25">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C7</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0000000000000000000000BF6464C7010906051317730000000000</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C7</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str">
        <f t="shared" ca="1" si="3"/>
        <v>000000000000000000000000000000000000BF6464C70209060500</v>
      </c>
    </row>
    <row r="19" spans="2:32" x14ac:dyDescent="0.25">
      <c r="B19" s="86">
        <f>'EEPROM-Contents'!B20</f>
        <v>16</v>
      </c>
      <c r="C19" s="75">
        <f t="shared" si="2"/>
        <v>191</v>
      </c>
      <c r="D19" s="78" t="str">
        <f>$F$4</f>
        <v>BF</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00000000000000000000131773000000000000000000000000BF00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C7</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000000000000000000006464C70309060513177300000000000000</v>
      </c>
    </row>
    <row r="21" spans="2:32" x14ac:dyDescent="0.25">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C7</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str">
        <f t="shared" ca="1" si="3"/>
        <v>00000000000000000000000000000000BF6464C704090605131700</v>
      </c>
    </row>
    <row r="22" spans="2:32"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x14ac:dyDescent="0.25">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C7</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00000000000000000000C705090605131773000000000000000000</v>
      </c>
    </row>
    <row r="24" spans="2:32"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C7</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0000000000000000000000000000BF6464C7060906051317730000</v>
      </c>
    </row>
    <row r="25" spans="2:32"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C7</v>
      </c>
      <c r="AD25" s="80" t="str">
        <f>RIGHT(INDEX('EEPROM-Contents'!$D$4:'EEPROM-Contents'!$D$141,MATCH('EEPROM-Contents'!AF19,'EEPROM-Contents'!$B$4:'EEPROM-Contents'!$B$141,0)),2)</f>
        <v>07</v>
      </c>
      <c r="AF25" s="82" t="str">
        <f t="shared" ca="1" si="3"/>
        <v>000000000000000000000000000000000000000000BF6464C70700</v>
      </c>
    </row>
    <row r="26" spans="2:32"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000000000000000000000906051317730000000000000000000000</v>
      </c>
    </row>
    <row r="27" spans="2:32"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C7</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000000000000000000000000BF6464C70809060513177300000000</v>
      </c>
    </row>
    <row r="28" spans="2:32"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C7</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00000000000000000000000000000000000000BF6464C709090600</v>
      </c>
    </row>
    <row r="29" spans="2:32"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000000000000000000000513177300000000000000000000000000</v>
      </c>
    </row>
    <row r="30" spans="2:32" x14ac:dyDescent="0.25">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C7</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00000000000000000000BF6464C70A090605131773000000000000</v>
      </c>
    </row>
    <row r="31" spans="2:32"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C7</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str">
        <f t="shared" ca="1" si="3"/>
        <v>0000000000000000000000000000000000BF6464C70B0906051300</v>
      </c>
    </row>
    <row r="32" spans="2:32"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C7</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0000000000000000000064C70C0906051317730000000000000000</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C7</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str">
        <f t="shared" ca="1" si="3"/>
        <v>000000000000000000000000000000BF6464C70D09060513177300</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C7</v>
      </c>
      <c r="AF35" s="82" t="str">
        <f t="shared" ca="1" si="3"/>
        <v>00000000000000000000000000000000000000000000BF6464C700</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C7</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00000000000000000000000000BF6464C70F090605131773000000</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C7</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0000000000000000000000000000000000000000BF6464C7100900</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C7</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0000000000000000000000BF6464C7110906051317730000000000</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C7</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000000000000000000000000000000000000BF6464C71200000000</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f t="shared" si="4"/>
        <v>191</v>
      </c>
      <c r="D44" s="76" t="str">
        <f>F4</f>
        <v>BF</v>
      </c>
      <c r="E44" s="67" t="str">
        <f>'EEPROM-Contents'!E117</f>
        <v>GAINC</v>
      </c>
      <c r="F44" s="68"/>
      <c r="G44" s="69"/>
    </row>
    <row r="45" spans="2:32" x14ac:dyDescent="0.25">
      <c r="B45" s="86">
        <f>'EEPROM-Contents'!B118</f>
        <v>114</v>
      </c>
      <c r="C45" s="76">
        <f t="shared" si="4"/>
        <v>100</v>
      </c>
      <c r="D45" s="76" t="str">
        <f>J5</f>
        <v>64</v>
      </c>
      <c r="E45" s="67" t="str">
        <f>'EEPROM-Contents'!E118</f>
        <v>Cal Factor for CondyleA</v>
      </c>
      <c r="F45" s="68"/>
      <c r="G45" s="69"/>
    </row>
    <row r="46" spans="2:32" x14ac:dyDescent="0.25">
      <c r="B46" s="86">
        <f>'EEPROM-Contents'!B119</f>
        <v>115</v>
      </c>
      <c r="C46" s="76">
        <f t="shared" si="4"/>
        <v>100</v>
      </c>
      <c r="D46" s="76" t="str">
        <f>K5</f>
        <v>64</v>
      </c>
      <c r="E46" s="67" t="str">
        <f>'EEPROM-Contents'!E119</f>
        <v>Cal Factor for CondyleB</v>
      </c>
      <c r="F46" s="68"/>
      <c r="G46" s="69"/>
    </row>
    <row r="47" spans="2:32" x14ac:dyDescent="0.25">
      <c r="B47" s="86">
        <f>'EEPROM-Contents'!B120</f>
        <v>116</v>
      </c>
      <c r="C47" s="76">
        <f ca="1">255-HEX2DEC(RIGHT(DEC2HEX(SUM(C22:C46)),2))</f>
        <v>199</v>
      </c>
      <c r="D47" s="76" t="str">
        <f ca="1">DEC2HEX($C$47,2)</f>
        <v>C7</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52" t="s">
        <v>325</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42509</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I8" t="s">
        <v>420</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000000000000000000000605131773000000000000000000000000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4"/>
        <v>#NUM!</v>
      </c>
    </row>
    <row r="19" spans="2:32" x14ac:dyDescent="0.25">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x14ac:dyDescent="0.25">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x14ac:dyDescent="0.25">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4"/>
        <v>#NUM!</v>
      </c>
    </row>
    <row r="22" spans="2:32" x14ac:dyDescent="0.25">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x14ac:dyDescent="0.25">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x14ac:dyDescent="0.25">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x14ac:dyDescent="0.25">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x14ac:dyDescent="0.25">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000000000000000000000906051317730000000000000000000000</v>
      </c>
    </row>
    <row r="27" spans="2:32" x14ac:dyDescent="0.25">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x14ac:dyDescent="0.25">
      <c r="B28" s="86">
        <f>'EEPROM-Contents'!B101</f>
        <v>97</v>
      </c>
      <c r="C28" s="76">
        <f t="shared" ca="1" si="5"/>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x14ac:dyDescent="0.25">
      <c r="B29" s="86">
        <f>'EEPROM-Contents'!B102</f>
        <v>98</v>
      </c>
      <c r="C29" s="76">
        <f t="shared" ca="1" si="5"/>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000000000000000000000513177300000000000000000000000000</v>
      </c>
    </row>
    <row r="30" spans="2:32" x14ac:dyDescent="0.25">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x14ac:dyDescent="0.25">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4"/>
        <v>#NUM!</v>
      </c>
    </row>
    <row r="32" spans="2:32" x14ac:dyDescent="0.25">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x14ac:dyDescent="0.25">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x14ac:dyDescent="0.25">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4"/>
        <v>#NUM!</v>
      </c>
    </row>
    <row r="35" spans="2:32" x14ac:dyDescent="0.25">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x14ac:dyDescent="0.25">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000000000000000000000E09060513177300000000000000000000</v>
      </c>
    </row>
    <row r="37" spans="2:32" x14ac:dyDescent="0.25">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x14ac:dyDescent="0.25">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x14ac:dyDescent="0.25">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000000000000000000000605131773000000000000000000000000</v>
      </c>
    </row>
    <row r="40" spans="2:32" x14ac:dyDescent="0.25">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75" thickBot="1" x14ac:dyDescent="0.3">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x14ac:dyDescent="0.25">
      <c r="B42" s="86">
        <f>'EEPROM-Contents'!B115</f>
        <v>111</v>
      </c>
      <c r="C42" s="76">
        <f t="shared" si="5"/>
        <v>0</v>
      </c>
      <c r="D42" s="77" t="str">
        <f t="shared" si="6"/>
        <v>00</v>
      </c>
      <c r="E42" s="67" t="str">
        <f>'EEPROM-Contents'!E115</f>
        <v>Voltage Cal</v>
      </c>
      <c r="F42" s="68"/>
      <c r="G42" s="69"/>
    </row>
    <row r="43" spans="2:32" x14ac:dyDescent="0.25">
      <c r="B43" s="86">
        <f>'EEPROM-Contents'!B116</f>
        <v>112</v>
      </c>
      <c r="C43" s="76">
        <f t="shared" si="5"/>
        <v>0</v>
      </c>
      <c r="D43" s="77" t="str">
        <f t="shared" si="6"/>
        <v>00</v>
      </c>
      <c r="E43" s="67" t="str">
        <f>'EEPROM-Contents'!E116</f>
        <v>Voltage Cal</v>
      </c>
      <c r="F43" s="68"/>
      <c r="G43" s="69"/>
    </row>
    <row r="44" spans="2:32" x14ac:dyDescent="0.25">
      <c r="B44" s="86">
        <f>'EEPROM-Contents'!B117</f>
        <v>113</v>
      </c>
      <c r="C44" s="76" t="e">
        <f t="shared" si="5"/>
        <v>#NUM!</v>
      </c>
      <c r="D44" s="76" t="e">
        <f>D19</f>
        <v>#NUM!</v>
      </c>
      <c r="E44" s="67" t="str">
        <f>'EEPROM-Contents'!E117</f>
        <v>GAINC</v>
      </c>
      <c r="F44" s="68"/>
      <c r="G44" s="69"/>
    </row>
    <row r="45" spans="2:32" x14ac:dyDescent="0.25">
      <c r="B45" s="86">
        <f>'EEPROM-Contents'!B118</f>
        <v>114</v>
      </c>
      <c r="C45" s="76">
        <f t="shared" si="5"/>
        <v>100</v>
      </c>
      <c r="D45" s="76" t="str">
        <f>J5</f>
        <v>64</v>
      </c>
      <c r="E45" s="67" t="str">
        <f>'EEPROM-Contents'!E118</f>
        <v>Cal Factor for CondyleA</v>
      </c>
      <c r="F45" s="68"/>
      <c r="G45" s="69"/>
    </row>
    <row r="46" spans="2:32" x14ac:dyDescent="0.25">
      <c r="B46" s="86">
        <f>'EEPROM-Contents'!B119</f>
        <v>115</v>
      </c>
      <c r="C46" s="76">
        <f t="shared" si="5"/>
        <v>100</v>
      </c>
      <c r="D46" s="76" t="str">
        <f>K5</f>
        <v>64</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404</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37">
        <v>0</v>
      </c>
      <c r="C51" s="24"/>
      <c r="D51" s="24"/>
      <c r="E51" s="24"/>
      <c r="F51" s="24"/>
      <c r="G51" s="24"/>
      <c r="H51" s="24"/>
      <c r="I51" s="24"/>
      <c r="J51" s="24"/>
    </row>
    <row r="53" spans="2:12" x14ac:dyDescent="0.25">
      <c r="B53" s="354" t="s">
        <v>405</v>
      </c>
      <c r="C53" s="355"/>
      <c r="D53" s="355"/>
      <c r="E53" s="355"/>
      <c r="F53" s="355"/>
      <c r="G53" s="89" t="s">
        <v>410</v>
      </c>
      <c r="H53" s="89">
        <f>'FTS-Initialization'!$O$27</f>
        <v>18000</v>
      </c>
      <c r="I53" s="89" t="s">
        <v>411</v>
      </c>
      <c r="J53" s="89">
        <f>'FTS-Initialization'!$O$26</f>
        <v>24000</v>
      </c>
      <c r="L53" s="91" t="s">
        <v>414</v>
      </c>
    </row>
    <row r="54" spans="2:12" x14ac:dyDescent="0.25">
      <c r="B54" s="36" t="s">
        <v>231</v>
      </c>
      <c r="C54" s="36">
        <f>J51</f>
        <v>0</v>
      </c>
      <c r="I54" s="36" t="s">
        <v>407</v>
      </c>
      <c r="J54" s="36" t="b">
        <f>IF(AND(C54&gt;=H53,C54&lt;=J53),TRUE,FALSE)</f>
        <v>0</v>
      </c>
      <c r="L54" s="91">
        <f>IF(J54,0,IF(C54&lt;H53,'FTS-Initialization'!N73,IF(C54&gt;J53,'FTS-Initialization'!N72,0)))</f>
        <v>36</v>
      </c>
    </row>
    <row r="56" spans="2:12" x14ac:dyDescent="0.25">
      <c r="B56" s="354" t="s">
        <v>406</v>
      </c>
      <c r="C56" s="355"/>
      <c r="D56" s="355"/>
      <c r="E56" s="355"/>
      <c r="F56" s="355"/>
      <c r="G56" s="355"/>
      <c r="H56" s="355"/>
      <c r="I56" s="89" t="s">
        <v>206</v>
      </c>
      <c r="J56" s="89">
        <f>'FTS-Initialization'!$O$28</f>
        <v>65000</v>
      </c>
      <c r="L56" s="91" t="s">
        <v>414</v>
      </c>
    </row>
    <row r="57" spans="2:12" x14ac:dyDescent="0.25">
      <c r="B57" s="36" t="s">
        <v>412</v>
      </c>
      <c r="C57" s="36">
        <f>MAX($C$51:$I$51)</f>
        <v>0</v>
      </c>
      <c r="I57" s="36" t="s">
        <v>407</v>
      </c>
      <c r="J57" s="36" t="b">
        <f>IF($C$57&lt;=$J$56,TRUE,FALSE)</f>
        <v>1</v>
      </c>
      <c r="L57" s="91">
        <f>IF(J57,0,'FTS-Initialization'!$N$75)</f>
        <v>0</v>
      </c>
    </row>
    <row r="60" spans="2:12" x14ac:dyDescent="0.25">
      <c r="B60" s="354" t="s">
        <v>408</v>
      </c>
      <c r="C60" s="355"/>
      <c r="D60" s="355"/>
      <c r="E60" s="355"/>
      <c r="F60" s="355"/>
      <c r="G60" s="355"/>
      <c r="H60" s="355"/>
      <c r="I60" s="89" t="s">
        <v>206</v>
      </c>
      <c r="J60" s="90">
        <f>'FTS-Initialization'!O30/100</f>
        <v>0.3</v>
      </c>
    </row>
    <row r="61" spans="2:12" x14ac:dyDescent="0.25">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x14ac:dyDescent="0.25">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x14ac:dyDescent="0.25">
      <c r="B64" s="354" t="s">
        <v>418</v>
      </c>
      <c r="C64" s="355"/>
      <c r="D64" s="355"/>
      <c r="E64" s="355"/>
      <c r="F64" s="355"/>
      <c r="G64" s="355"/>
      <c r="H64" s="355"/>
      <c r="I64" s="355"/>
      <c r="J64" s="356"/>
    </row>
    <row r="65" spans="2:12" x14ac:dyDescent="0.25">
      <c r="B65" s="36" t="s">
        <v>409</v>
      </c>
      <c r="C65" s="89" t="s">
        <v>419</v>
      </c>
      <c r="D65" s="36" t="s">
        <v>435</v>
      </c>
      <c r="I65" s="36" t="s">
        <v>73</v>
      </c>
      <c r="J65" s="36" t="s">
        <v>435</v>
      </c>
    </row>
    <row r="66" spans="2:12" x14ac:dyDescent="0.25">
      <c r="B66" s="36" t="e">
        <f>B62</f>
        <v>#NUM!</v>
      </c>
      <c r="C66" s="94">
        <f>$J$26</f>
        <v>51000</v>
      </c>
      <c r="D66" s="36" t="e">
        <f>B66/C66</f>
        <v>#NUM!</v>
      </c>
      <c r="I66" s="98" t="e">
        <f>INDEX($I$10:$I$23,MATCH($D$66,$K$10:$K$23,1))</f>
        <v>#NUM!</v>
      </c>
      <c r="J66" s="99" t="e">
        <f>INDEX($K$10:$K$23,MATCH(I66,$I$10:$I$23,0))</f>
        <v>#NUM!</v>
      </c>
    </row>
    <row r="68" spans="2:12" x14ac:dyDescent="0.25">
      <c r="B68" s="354" t="s">
        <v>436</v>
      </c>
      <c r="C68" s="355"/>
      <c r="D68" s="355"/>
      <c r="E68" s="355"/>
      <c r="F68" s="355"/>
      <c r="G68" s="355"/>
      <c r="H68" s="355"/>
      <c r="I68" s="355"/>
      <c r="J68" s="356"/>
    </row>
    <row r="69" spans="2:12" x14ac:dyDescent="0.25">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x14ac:dyDescent="0.25">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x14ac:dyDescent="0.25">
      <c r="B88" s="353" t="s">
        <v>415</v>
      </c>
      <c r="C88" s="353"/>
      <c r="D88" s="353"/>
      <c r="E88" s="353"/>
    </row>
    <row r="89" spans="2:5" x14ac:dyDescent="0.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52" t="s">
        <v>296</v>
      </c>
      <c r="C2" s="352"/>
      <c r="D2" s="352"/>
      <c r="E2" s="352"/>
      <c r="F2" s="352"/>
      <c r="G2" s="352"/>
      <c r="H2" s="352"/>
      <c r="I2" s="352"/>
      <c r="J2" s="352"/>
      <c r="K2" s="352"/>
      <c r="L2" s="352"/>
    </row>
    <row r="3" spans="2:38" x14ac:dyDescent="0.25">
      <c r="B3" s="62" t="s">
        <v>197</v>
      </c>
      <c r="C3" s="62" t="s">
        <v>297</v>
      </c>
      <c r="D3" s="62" t="s">
        <v>298</v>
      </c>
      <c r="E3" s="62" t="s">
        <v>299</v>
      </c>
      <c r="F3" s="62" t="s">
        <v>73</v>
      </c>
      <c r="G3" s="62" t="s">
        <v>300</v>
      </c>
      <c r="H3" s="62" t="s">
        <v>301</v>
      </c>
      <c r="I3" s="62" t="s">
        <v>302</v>
      </c>
      <c r="J3" s="62" t="s">
        <v>199</v>
      </c>
      <c r="K3" s="62" t="s">
        <v>200</v>
      </c>
      <c r="L3" s="26" t="s">
        <v>182</v>
      </c>
    </row>
    <row r="4" spans="2:38" x14ac:dyDescent="0.25">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42509</v>
      </c>
      <c r="J4" s="26"/>
      <c r="K4" s="26"/>
      <c r="L4" s="26">
        <v>9</v>
      </c>
    </row>
    <row r="5" spans="2:38"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13</v>
      </c>
      <c r="I5" s="72" t="str">
        <f>DEC2HEX('FTS-Initialization'!$AA$31,2)</f>
        <v>00</v>
      </c>
      <c r="J5" s="72"/>
      <c r="K5" s="72"/>
      <c r="L5" s="72" t="str">
        <f>DEC2HEX(L4,2)</f>
        <v>09</v>
      </c>
    </row>
    <row r="6" spans="2:38" x14ac:dyDescent="0.25">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75" thickBot="1" x14ac:dyDescent="0.3">
      <c r="B8" t="s">
        <v>417</v>
      </c>
      <c r="N8" t="s">
        <v>402</v>
      </c>
      <c r="AF8" t="s">
        <v>403</v>
      </c>
    </row>
    <row r="9" spans="2:38" x14ac:dyDescent="0.25">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x14ac:dyDescent="0.25">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x14ac:dyDescent="0.25">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x14ac:dyDescent="0.25">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x14ac:dyDescent="0.25">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x14ac:dyDescent="0.25">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x14ac:dyDescent="0.25">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x14ac:dyDescent="0.25">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000000000000000000000605131773000000000000000000000000</v>
      </c>
      <c r="AL16" s="107"/>
    </row>
    <row r="17" spans="2:38" x14ac:dyDescent="0.25">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x14ac:dyDescent="0.25">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2"/>
        <v>#NUM!</v>
      </c>
      <c r="AL18" s="107"/>
    </row>
    <row r="19" spans="2:38" x14ac:dyDescent="0.25">
      <c r="B19" s="86">
        <f>'EEPROM-Contents'!B20</f>
        <v>16</v>
      </c>
      <c r="C19" s="75" t="e">
        <f t="shared" si="1"/>
        <v>#NUM!</v>
      </c>
      <c r="D19" s="78" t="e">
        <f>$F$4</f>
        <v>#NUM!</v>
      </c>
      <c r="E19" s="70" t="str">
        <f>'EEPROM-Contents'!E20</f>
        <v>GAINC</v>
      </c>
      <c r="F19" s="71"/>
      <c r="G19" s="74"/>
      <c r="N19" s="79" t="s">
        <v>352</v>
      </c>
      <c r="O19" s="85" t="str">
        <f ca="1">RIGHT(INDEX($D$9:$D$47,MATCH('EEPROM-Contents'!Q13,$B$9:$B$47,0)),2)</f>
        <v>13</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x14ac:dyDescent="0.25">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x14ac:dyDescent="0.25">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17</v>
      </c>
      <c r="AF21" s="82" t="e">
        <f t="shared" ca="1" si="2"/>
        <v>#NUM!</v>
      </c>
    </row>
    <row r="22" spans="2:38"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x14ac:dyDescent="0.25">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000000000000000000000906051317730000000000000000000000</v>
      </c>
    </row>
    <row r="27" spans="2:38"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x14ac:dyDescent="0.25">
      <c r="B29" s="86">
        <f>'EEPROM-Contents'!B102</f>
        <v>98</v>
      </c>
      <c r="C29" s="76">
        <f t="shared" ca="1" si="4"/>
        <v>19</v>
      </c>
      <c r="D29" s="76" t="str">
        <f ca="1">H5</f>
        <v>13</v>
      </c>
      <c r="E29" s="67" t="str">
        <f>'EEPROM-Contents'!E102</f>
        <v>Day</v>
      </c>
      <c r="F29" s="68"/>
      <c r="G29" s="69"/>
      <c r="N29" s="79" t="s">
        <v>362</v>
      </c>
      <c r="O29" s="85" t="str">
        <f ca="1">RIGHT(INDEX($D$9:$D$47,MATCH('EEPROM-Contents'!Q23,$B$9:$B$47,0)),2)</f>
        <v>05</v>
      </c>
      <c r="P29" s="85" t="str">
        <f ca="1">RIGHT(INDEX($D$9:$D$47,MATCH('EEPROM-Contents'!R23,$B$9:$B$47,0)),2)</f>
        <v>13</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000000000000000000000513177300000000000000000000000000</v>
      </c>
    </row>
    <row r="30" spans="2:38" x14ac:dyDescent="0.25">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13</v>
      </c>
      <c r="AF31" s="82" t="e">
        <f t="shared" ca="1" si="2"/>
        <v>#NUM!</v>
      </c>
    </row>
    <row r="32" spans="2:38"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17</v>
      </c>
      <c r="AD34" s="85" t="str">
        <f>RIGHT(INDEX($D$9:$D$47,MATCH('EEPROM-Contents'!AF28,$B$9:$B$47,0)),2)</f>
        <v>73</v>
      </c>
      <c r="AF34" s="82" t="e">
        <f t="shared" ca="1" si="2"/>
        <v>#NUM!</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000000000000000000000E09060513177300000000000000000000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000000000000000000000605131773000000000000000000000000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t="e">
        <f t="shared" si="4"/>
        <v>#NUM!</v>
      </c>
      <c r="D44" s="76" t="e">
        <f>F4</f>
        <v>#NUM!</v>
      </c>
      <c r="E44" s="67" t="str">
        <f>'EEPROM-Contents'!E117</f>
        <v>GAINC</v>
      </c>
      <c r="F44" s="68"/>
      <c r="G44" s="69"/>
    </row>
    <row r="45" spans="2:32" x14ac:dyDescent="0.25">
      <c r="B45" s="86">
        <f>'EEPROM-Contents'!B118</f>
        <v>114</v>
      </c>
      <c r="C45" s="76">
        <f>K10</f>
        <v>0</v>
      </c>
      <c r="D45" s="76" t="str">
        <f>DEC2HEX(C45,2)</f>
        <v>00</v>
      </c>
      <c r="E45" s="67" t="str">
        <f>'EEPROM-Contents'!E118</f>
        <v>Cal Factor for CondyleA</v>
      </c>
      <c r="F45" s="68"/>
      <c r="G45" s="69"/>
    </row>
    <row r="46" spans="2:32" x14ac:dyDescent="0.25">
      <c r="B46" s="86">
        <f>'EEPROM-Contents'!B119</f>
        <v>115</v>
      </c>
      <c r="C46" s="76">
        <f>L10</f>
        <v>0</v>
      </c>
      <c r="D46" s="76" t="str">
        <f>DEC2HEX(C46,2)</f>
        <v>00</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222</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24">
        <v>70</v>
      </c>
      <c r="C51" s="24"/>
      <c r="D51" s="24"/>
      <c r="E51" s="24"/>
      <c r="F51" s="24"/>
      <c r="G51" s="24"/>
      <c r="H51" s="24"/>
      <c r="I51" s="24"/>
      <c r="J51" s="24"/>
    </row>
    <row r="52" spans="2:12" x14ac:dyDescent="0.25">
      <c r="B52" s="24">
        <v>140</v>
      </c>
      <c r="C52" s="24"/>
      <c r="D52" s="24"/>
      <c r="E52" s="24"/>
      <c r="F52" s="24"/>
      <c r="G52" s="24"/>
      <c r="H52" s="24"/>
      <c r="I52" s="24"/>
      <c r="J52" s="24"/>
    </row>
    <row r="53" spans="2:12" x14ac:dyDescent="0.25">
      <c r="B53" s="24">
        <v>0</v>
      </c>
      <c r="C53" s="24"/>
      <c r="D53" s="24"/>
      <c r="E53" s="24"/>
      <c r="F53" s="24"/>
      <c r="G53" s="24"/>
      <c r="H53" s="24"/>
      <c r="I53" s="24"/>
      <c r="J53" s="24"/>
    </row>
    <row r="54" spans="2:12" x14ac:dyDescent="0.25">
      <c r="B54" s="24">
        <v>70</v>
      </c>
      <c r="C54" s="24"/>
      <c r="D54" s="24"/>
      <c r="E54" s="24"/>
      <c r="F54" s="24"/>
      <c r="G54" s="24"/>
      <c r="H54" s="24"/>
      <c r="I54" s="24"/>
      <c r="J54" s="24"/>
    </row>
    <row r="55" spans="2:12" x14ac:dyDescent="0.25">
      <c r="B55" s="24">
        <v>140</v>
      </c>
      <c r="C55" s="24"/>
      <c r="D55" s="24"/>
      <c r="E55" s="24"/>
      <c r="F55" s="24"/>
      <c r="G55" s="24"/>
      <c r="H55" s="24"/>
      <c r="I55" s="24"/>
      <c r="J55" s="24"/>
    </row>
    <row r="56" spans="2:12" x14ac:dyDescent="0.25">
      <c r="B56" s="24">
        <v>0</v>
      </c>
      <c r="C56" s="24"/>
      <c r="D56" s="24"/>
      <c r="E56" s="24"/>
      <c r="F56" s="24"/>
      <c r="G56" s="24"/>
      <c r="H56" s="24"/>
      <c r="I56" s="24"/>
      <c r="J56" s="24"/>
    </row>
    <row r="57" spans="2:12" x14ac:dyDescent="0.25">
      <c r="B57" s="24">
        <v>10</v>
      </c>
      <c r="C57" s="24"/>
      <c r="D57" s="24"/>
      <c r="E57" s="24"/>
      <c r="F57" s="24"/>
      <c r="G57" s="24"/>
      <c r="H57" s="24"/>
      <c r="I57" s="24"/>
      <c r="J57" s="24"/>
    </row>
    <row r="58" spans="2:12" x14ac:dyDescent="0.25">
      <c r="B58" s="24">
        <v>20</v>
      </c>
      <c r="C58" s="24"/>
      <c r="D58" s="24"/>
      <c r="E58" s="24"/>
      <c r="F58" s="24"/>
      <c r="G58" s="24"/>
      <c r="H58" s="24"/>
      <c r="I58" s="24"/>
      <c r="J58" s="24"/>
    </row>
    <row r="59" spans="2:12" x14ac:dyDescent="0.25">
      <c r="B59" s="24">
        <v>40</v>
      </c>
      <c r="C59" s="24"/>
      <c r="D59" s="24"/>
      <c r="E59" s="24"/>
      <c r="F59" s="24"/>
      <c r="G59" s="24"/>
      <c r="H59" s="24"/>
      <c r="I59" s="24"/>
      <c r="J59" s="24"/>
    </row>
    <row r="60" spans="2:12" x14ac:dyDescent="0.25">
      <c r="B60" s="24">
        <v>60</v>
      </c>
      <c r="C60" s="24"/>
      <c r="D60" s="24"/>
      <c r="E60" s="24"/>
      <c r="F60" s="24"/>
      <c r="G60" s="24"/>
      <c r="H60" s="24"/>
      <c r="I60" s="24"/>
      <c r="J60" s="24"/>
    </row>
    <row r="61" spans="2:12" x14ac:dyDescent="0.25">
      <c r="B61" s="24">
        <v>80</v>
      </c>
      <c r="C61" s="24"/>
      <c r="D61" s="24"/>
      <c r="E61" s="24"/>
      <c r="F61" s="24"/>
      <c r="G61" s="24"/>
      <c r="H61" s="24"/>
      <c r="I61" s="24"/>
      <c r="J61" s="24"/>
    </row>
    <row r="63" spans="2:12" x14ac:dyDescent="0.25">
      <c r="B63" s="354" t="s">
        <v>405</v>
      </c>
      <c r="C63" s="355"/>
      <c r="D63" s="355"/>
      <c r="E63" s="355"/>
      <c r="F63" s="355"/>
      <c r="G63" s="89" t="s">
        <v>410</v>
      </c>
      <c r="H63" s="89">
        <f>'FTS-Initialization'!$O$27</f>
        <v>18000</v>
      </c>
      <c r="I63" s="89" t="s">
        <v>411</v>
      </c>
      <c r="J63" s="89">
        <f>'FTS-Initialization'!$O$26</f>
        <v>24000</v>
      </c>
      <c r="L63" s="91" t="s">
        <v>414</v>
      </c>
    </row>
    <row r="64" spans="2:12" x14ac:dyDescent="0.25">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x14ac:dyDescent="0.25">
      <c r="B66" s="354" t="s">
        <v>444</v>
      </c>
      <c r="C66" s="355"/>
      <c r="D66" s="355"/>
      <c r="E66" s="355"/>
      <c r="F66" s="355"/>
      <c r="G66" s="89" t="s">
        <v>410</v>
      </c>
      <c r="H66" s="89">
        <f>'FTS-Initialization'!O29</f>
        <v>40000</v>
      </c>
      <c r="I66" s="89" t="s">
        <v>411</v>
      </c>
      <c r="J66" s="89">
        <f>'FTS-Initialization'!$O$28</f>
        <v>65000</v>
      </c>
      <c r="L66" s="91" t="s">
        <v>414</v>
      </c>
    </row>
    <row r="67" spans="2:14" x14ac:dyDescent="0.25">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x14ac:dyDescent="0.25">
      <c r="M70" s="106">
        <f>SLOPE(M74:M79,$L$74:$L$79)</f>
        <v>0</v>
      </c>
      <c r="N70" s="106">
        <f>SLOPE(N74:N79,$L$74:$L$79)</f>
        <v>0</v>
      </c>
    </row>
    <row r="71" spans="2:14" x14ac:dyDescent="0.25">
      <c r="M71" s="102" t="str">
        <f t="shared" ref="M71:M79" si="6">K9</f>
        <v>ScaleA</v>
      </c>
      <c r="N71" s="102" t="str">
        <f t="shared" ref="N71:N79" si="7">L9</f>
        <v>ScaleB</v>
      </c>
    </row>
    <row r="72" spans="2:14" x14ac:dyDescent="0.25">
      <c r="B72" s="357" t="s">
        <v>437</v>
      </c>
      <c r="C72" s="358"/>
      <c r="D72" s="358"/>
      <c r="E72" s="358"/>
      <c r="F72" s="358"/>
      <c r="G72" s="358"/>
      <c r="H72" s="358"/>
      <c r="I72" s="358"/>
      <c r="J72" s="359"/>
      <c r="M72" s="102">
        <f t="shared" si="6"/>
        <v>0</v>
      </c>
      <c r="N72" s="102">
        <f t="shared" si="7"/>
        <v>0</v>
      </c>
    </row>
    <row r="73" spans="2:14" x14ac:dyDescent="0.25">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x14ac:dyDescent="0.25">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x14ac:dyDescent="0.25">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x14ac:dyDescent="0.25">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x14ac:dyDescent="0.25">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x14ac:dyDescent="0.25">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x14ac:dyDescent="0.25">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x14ac:dyDescent="0.25">
      <c r="L80" s="102">
        <v>80</v>
      </c>
      <c r="M80" s="104">
        <f>2*M79</f>
        <v>0</v>
      </c>
      <c r="N80" s="104">
        <f>2*N79</f>
        <v>0</v>
      </c>
    </row>
    <row r="81" spans="2:14" x14ac:dyDescent="0.25">
      <c r="B81" s="360" t="s">
        <v>450</v>
      </c>
      <c r="C81" s="360"/>
      <c r="D81" s="360"/>
      <c r="E81" s="360"/>
      <c r="F81" s="360"/>
      <c r="G81" s="360"/>
      <c r="H81" s="360"/>
      <c r="I81" s="103" t="s">
        <v>452</v>
      </c>
      <c r="J81" s="103">
        <f>'FTS-Initialization'!$O$21</f>
        <v>40</v>
      </c>
    </row>
    <row r="82" spans="2:14" x14ac:dyDescent="0.25">
      <c r="B82" s="103" t="s">
        <v>451</v>
      </c>
      <c r="C82" s="103" t="s">
        <v>438</v>
      </c>
      <c r="D82" s="103" t="s">
        <v>439</v>
      </c>
      <c r="E82" s="103" t="s">
        <v>199</v>
      </c>
      <c r="F82" s="103" t="s">
        <v>200</v>
      </c>
      <c r="J82" s="103" t="s">
        <v>407</v>
      </c>
      <c r="L82" s="91" t="s">
        <v>414</v>
      </c>
    </row>
    <row r="83" spans="2:14" x14ac:dyDescent="0.25">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x14ac:dyDescent="0.25">
      <c r="B85" s="357" t="s">
        <v>454</v>
      </c>
      <c r="C85" s="358"/>
      <c r="D85" s="358"/>
      <c r="E85" s="358"/>
      <c r="F85" s="358"/>
      <c r="G85" s="358"/>
      <c r="H85" s="358"/>
      <c r="I85" s="358"/>
      <c r="J85" s="359"/>
    </row>
    <row r="86" spans="2:14" x14ac:dyDescent="0.25">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x14ac:dyDescent="0.25">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x14ac:dyDescent="0.25">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x14ac:dyDescent="0.25">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x14ac:dyDescent="0.25">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x14ac:dyDescent="0.25">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x14ac:dyDescent="0.25">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x14ac:dyDescent="0.25">
      <c r="B94" s="364" t="s">
        <v>456</v>
      </c>
      <c r="C94" s="364"/>
      <c r="D94" s="364"/>
      <c r="E94" s="364"/>
      <c r="F94" s="364"/>
      <c r="G94" s="364"/>
      <c r="H94" s="364"/>
      <c r="I94" s="110" t="s">
        <v>206</v>
      </c>
      <c r="J94" s="110">
        <f>'FTS-Initialization'!$O$20</f>
        <v>3.5</v>
      </c>
      <c r="L94" s="91" t="s">
        <v>414</v>
      </c>
    </row>
    <row r="95" spans="2:14" x14ac:dyDescent="0.25">
      <c r="B95" s="63" t="s">
        <v>455</v>
      </c>
      <c r="C95" s="63" t="s">
        <v>457</v>
      </c>
      <c r="D95" s="63" t="s">
        <v>458</v>
      </c>
      <c r="I95" s="63" t="s">
        <v>407</v>
      </c>
      <c r="J95" s="63" t="b">
        <f ca="1">IF(MAX(C96:D101)&lt;=J94,TRUE, FALSE)</f>
        <v>0</v>
      </c>
      <c r="L95" s="91">
        <f ca="1">IF(J95,0,'FTS-Initialization'!$N$91)</f>
        <v>54</v>
      </c>
    </row>
    <row r="96" spans="2:14" x14ac:dyDescent="0.25">
      <c r="B96" s="63">
        <f>B56/2</f>
        <v>0</v>
      </c>
      <c r="C96" s="108">
        <f ca="1">ABS(I87-$B96)</f>
        <v>0</v>
      </c>
      <c r="D96" s="108">
        <f ca="1">ABS(J87-$B96)</f>
        <v>0</v>
      </c>
    </row>
    <row r="97" spans="2:13" x14ac:dyDescent="0.25">
      <c r="B97" s="63">
        <f t="shared" ref="B97:B101" si="30">B57/2</f>
        <v>5</v>
      </c>
      <c r="C97" s="108">
        <f t="shared" ref="C97:D97" ca="1" si="31">ABS(I88-$B97)</f>
        <v>5</v>
      </c>
      <c r="D97" s="108">
        <f t="shared" ca="1" si="31"/>
        <v>5</v>
      </c>
    </row>
    <row r="98" spans="2:13" x14ac:dyDescent="0.25">
      <c r="B98" s="63">
        <f t="shared" si="30"/>
        <v>10</v>
      </c>
      <c r="C98" s="108">
        <f t="shared" ref="C98:D98" ca="1" si="32">ABS(I89-$B98)</f>
        <v>10</v>
      </c>
      <c r="D98" s="108">
        <f t="shared" ca="1" si="32"/>
        <v>10</v>
      </c>
    </row>
    <row r="99" spans="2:13" x14ac:dyDescent="0.25">
      <c r="B99" s="63">
        <f t="shared" si="30"/>
        <v>20</v>
      </c>
      <c r="C99" s="108">
        <f t="shared" ref="C99:D99" ca="1" si="33">ABS(I90-$B99)</f>
        <v>20</v>
      </c>
      <c r="D99" s="108">
        <f t="shared" ca="1" si="33"/>
        <v>20</v>
      </c>
    </row>
    <row r="100" spans="2:13" x14ac:dyDescent="0.25">
      <c r="B100" s="63">
        <f t="shared" si="30"/>
        <v>30</v>
      </c>
      <c r="C100" s="108">
        <f t="shared" ref="C100:D100" ca="1" si="34">ABS(I91-$B100)</f>
        <v>30</v>
      </c>
      <c r="D100" s="108">
        <f t="shared" ca="1" si="34"/>
        <v>30</v>
      </c>
    </row>
    <row r="101" spans="2:13" x14ac:dyDescent="0.25">
      <c r="B101" s="63">
        <f t="shared" si="30"/>
        <v>40</v>
      </c>
      <c r="C101" s="108">
        <f t="shared" ref="C101:D101" ca="1" si="35">ABS(I92-$B101)</f>
        <v>40</v>
      </c>
      <c r="D101" s="108">
        <f t="shared" ca="1" si="35"/>
        <v>40</v>
      </c>
    </row>
    <row r="102" spans="2:13" x14ac:dyDescent="0.25">
      <c r="M102" s="106"/>
    </row>
    <row r="103" spans="2:13" x14ac:dyDescent="0.25">
      <c r="M103" s="102"/>
    </row>
    <row r="104" spans="2:13" x14ac:dyDescent="0.25">
      <c r="B104" s="357"/>
      <c r="C104" s="358"/>
      <c r="D104" s="358"/>
      <c r="E104" s="358"/>
      <c r="F104" s="358"/>
      <c r="G104" s="358"/>
      <c r="H104" s="358"/>
      <c r="I104" s="358"/>
      <c r="J104" s="359"/>
      <c r="M104" s="102"/>
    </row>
    <row r="105" spans="2:13" x14ac:dyDescent="0.25">
      <c r="B105" s="63"/>
      <c r="C105" s="63"/>
      <c r="D105" s="63"/>
      <c r="E105" s="63"/>
      <c r="F105" s="63"/>
      <c r="L105" s="102"/>
      <c r="M105" s="102"/>
    </row>
    <row r="106" spans="2:13" x14ac:dyDescent="0.25">
      <c r="B106" s="63"/>
      <c r="C106" s="63"/>
      <c r="D106" s="63"/>
      <c r="E106" s="63"/>
      <c r="F106" s="63"/>
      <c r="L106" s="102"/>
      <c r="M106" s="102"/>
    </row>
    <row r="107" spans="2:13" x14ac:dyDescent="0.25">
      <c r="B107" s="63"/>
      <c r="C107" s="63"/>
      <c r="D107" s="63"/>
      <c r="E107" s="63"/>
      <c r="F107" s="63"/>
      <c r="L107" s="102"/>
      <c r="M107" s="102"/>
    </row>
    <row r="108" spans="2:13" x14ac:dyDescent="0.25">
      <c r="B108" s="63"/>
      <c r="C108" s="63"/>
      <c r="D108" s="63"/>
      <c r="E108" s="63"/>
      <c r="F108" s="63"/>
      <c r="L108" s="102"/>
      <c r="M108" s="102"/>
    </row>
    <row r="109" spans="2:13" x14ac:dyDescent="0.25">
      <c r="B109" s="63"/>
      <c r="C109" s="63"/>
      <c r="D109" s="63"/>
      <c r="E109" s="63"/>
      <c r="F109" s="63"/>
      <c r="L109" s="102"/>
      <c r="M109" s="102"/>
    </row>
    <row r="110" spans="2:13" x14ac:dyDescent="0.25">
      <c r="B110" s="63"/>
      <c r="C110" s="63"/>
      <c r="D110" s="63"/>
      <c r="E110" s="63"/>
      <c r="F110" s="63"/>
      <c r="L110" s="102"/>
      <c r="M110" s="102"/>
    </row>
    <row r="111" spans="2:13" x14ac:dyDescent="0.25">
      <c r="B111" s="63"/>
      <c r="C111" s="63"/>
      <c r="D111" s="63"/>
      <c r="E111" s="63"/>
      <c r="F111" s="63"/>
      <c r="L111" s="102"/>
      <c r="M111" s="102"/>
    </row>
    <row r="112" spans="2:13" x14ac:dyDescent="0.25">
      <c r="L112" s="102"/>
      <c r="M112" s="102"/>
    </row>
    <row r="113" spans="2:14" x14ac:dyDescent="0.25">
      <c r="B113" s="360"/>
      <c r="C113" s="360"/>
      <c r="D113" s="360"/>
      <c r="E113" s="360"/>
      <c r="F113" s="360"/>
      <c r="G113" s="360"/>
      <c r="H113" s="360"/>
      <c r="I113" s="103"/>
      <c r="J113" s="103"/>
    </row>
    <row r="114" spans="2:14" x14ac:dyDescent="0.25">
      <c r="B114" s="103"/>
      <c r="C114" s="103"/>
      <c r="E114" s="103"/>
      <c r="F114" s="103"/>
      <c r="J114" s="103"/>
      <c r="L114" s="91"/>
    </row>
    <row r="115" spans="2:14" x14ac:dyDescent="0.25">
      <c r="B115" s="103"/>
      <c r="C115" s="103"/>
      <c r="E115" s="103"/>
      <c r="F115" s="103"/>
      <c r="J115" s="103"/>
      <c r="L115" s="91"/>
    </row>
    <row r="117" spans="2:14" x14ac:dyDescent="0.25">
      <c r="B117" s="357"/>
      <c r="C117" s="358"/>
      <c r="D117" s="358"/>
      <c r="E117" s="358"/>
      <c r="F117" s="358"/>
      <c r="G117" s="358"/>
      <c r="H117" s="358"/>
      <c r="I117" s="358"/>
      <c r="J117" s="359"/>
    </row>
    <row r="118" spans="2:14" x14ac:dyDescent="0.25">
      <c r="B118" s="63"/>
      <c r="C118" s="63"/>
      <c r="D118" s="63"/>
      <c r="E118" s="63"/>
      <c r="I118" s="63"/>
      <c r="L118" s="102"/>
      <c r="M118" s="102"/>
      <c r="N118" s="102"/>
    </row>
    <row r="119" spans="2:14" x14ac:dyDescent="0.25">
      <c r="B119" s="63"/>
      <c r="C119" s="63"/>
      <c r="D119" s="63"/>
      <c r="E119" s="63"/>
      <c r="I119" s="63"/>
      <c r="L119" s="102"/>
      <c r="M119" s="104"/>
      <c r="N119" s="104"/>
    </row>
    <row r="120" spans="2:14" x14ac:dyDescent="0.25">
      <c r="B120" s="63"/>
      <c r="C120" s="63"/>
      <c r="D120" s="63"/>
      <c r="E120" s="63"/>
      <c r="I120" s="108"/>
      <c r="L120" s="102"/>
      <c r="M120" s="104"/>
      <c r="N120" s="104"/>
    </row>
    <row r="121" spans="2:14" x14ac:dyDescent="0.25">
      <c r="B121" s="63"/>
      <c r="C121" s="63"/>
      <c r="D121" s="63"/>
      <c r="E121" s="63"/>
      <c r="I121" s="108"/>
      <c r="L121" s="102"/>
      <c r="M121" s="104"/>
      <c r="N121" s="104"/>
    </row>
    <row r="122" spans="2:14" x14ac:dyDescent="0.25">
      <c r="B122" s="63"/>
      <c r="C122" s="63"/>
      <c r="D122" s="63"/>
      <c r="E122" s="63"/>
      <c r="I122" s="108"/>
      <c r="L122" s="102"/>
      <c r="M122" s="104"/>
      <c r="N122" s="104"/>
    </row>
    <row r="123" spans="2:14" x14ac:dyDescent="0.25">
      <c r="B123" s="63"/>
      <c r="C123" s="63"/>
      <c r="D123" s="63"/>
      <c r="E123" s="63"/>
      <c r="I123" s="108"/>
      <c r="L123" s="102"/>
      <c r="M123" s="104"/>
      <c r="N123" s="104"/>
    </row>
    <row r="124" spans="2:14" x14ac:dyDescent="0.25">
      <c r="B124" s="63"/>
      <c r="C124" s="63"/>
      <c r="D124" s="63"/>
      <c r="E124" s="63"/>
      <c r="I124" s="108"/>
      <c r="L124" s="102"/>
      <c r="M124" s="104"/>
      <c r="N124" s="104"/>
    </row>
    <row r="126" spans="2:14" x14ac:dyDescent="0.25">
      <c r="B126" s="364"/>
      <c r="C126" s="364"/>
      <c r="D126" s="364"/>
      <c r="E126" s="364"/>
      <c r="F126" s="364"/>
      <c r="G126" s="364"/>
      <c r="H126" s="364"/>
      <c r="I126" s="110"/>
      <c r="J126" s="110"/>
      <c r="L126" s="91"/>
    </row>
    <row r="127" spans="2:14" x14ac:dyDescent="0.25">
      <c r="B127" s="63"/>
      <c r="C127" s="63"/>
      <c r="D127" s="63"/>
      <c r="I127" s="63"/>
      <c r="J127" s="63"/>
      <c r="L127" s="91"/>
    </row>
    <row r="128" spans="2:14" x14ac:dyDescent="0.25">
      <c r="B128" s="63"/>
      <c r="C128" s="108"/>
      <c r="D128" s="108"/>
    </row>
    <row r="129" spans="2:12" x14ac:dyDescent="0.25">
      <c r="B129" s="63"/>
      <c r="C129" s="108"/>
      <c r="D129" s="108"/>
    </row>
    <row r="130" spans="2:12" x14ac:dyDescent="0.25">
      <c r="B130" s="63"/>
      <c r="C130" s="108"/>
      <c r="D130" s="108"/>
    </row>
    <row r="131" spans="2:12" x14ac:dyDescent="0.25">
      <c r="B131" s="63"/>
      <c r="C131" s="108"/>
      <c r="D131" s="108"/>
    </row>
    <row r="132" spans="2:12" x14ac:dyDescent="0.25">
      <c r="B132" s="63"/>
      <c r="C132" s="108"/>
      <c r="D132" s="108"/>
    </row>
    <row r="133" spans="2:12" x14ac:dyDescent="0.25">
      <c r="B133" s="63"/>
      <c r="C133" s="108"/>
      <c r="D133" s="108"/>
    </row>
    <row r="136" spans="2:12" x14ac:dyDescent="0.25">
      <c r="B136" s="361" t="s">
        <v>415</v>
      </c>
      <c r="C136" s="362"/>
      <c r="D136" s="362"/>
      <c r="E136" s="362"/>
      <c r="F136" s="362"/>
      <c r="G136" s="363"/>
    </row>
    <row r="137" spans="2:12" x14ac:dyDescent="0.25">
      <c r="B137" s="105" t="s">
        <v>416</v>
      </c>
      <c r="C137" s="47">
        <f>IF(L64,L64,IF(L67,L67,IF(L83,L83,IF(L95,L95,0))))</f>
        <v>53</v>
      </c>
      <c r="D137" s="105" t="s">
        <v>199</v>
      </c>
      <c r="E137" s="47">
        <f>E83</f>
        <v>0</v>
      </c>
      <c r="F137" s="105" t="s">
        <v>200</v>
      </c>
      <c r="G137" s="47">
        <f>F83</f>
        <v>0</v>
      </c>
    </row>
    <row r="139" spans="2:12" x14ac:dyDescent="0.25">
      <c r="B139" s="353" t="s">
        <v>454</v>
      </c>
      <c r="C139" s="353"/>
      <c r="D139" s="353"/>
      <c r="E139" s="353"/>
      <c r="F139" s="353"/>
      <c r="G139" s="353"/>
      <c r="H139" s="353"/>
      <c r="I139" s="353"/>
      <c r="J139" s="353"/>
      <c r="K139" s="353"/>
      <c r="L139" s="353"/>
    </row>
    <row r="140" spans="2:12" x14ac:dyDescent="0.25">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x14ac:dyDescent="0.25">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x14ac:dyDescent="0.25">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x14ac:dyDescent="0.25">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x14ac:dyDescent="0.25">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x14ac:dyDescent="0.25">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x14ac:dyDescent="0.25">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abSelected="1"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186" t="s">
        <v>197</v>
      </c>
      <c r="C3" s="186" t="s">
        <v>297</v>
      </c>
      <c r="D3" s="186" t="s">
        <v>298</v>
      </c>
      <c r="E3" s="186" t="s">
        <v>299</v>
      </c>
      <c r="F3" s="186" t="s">
        <v>586</v>
      </c>
      <c r="G3" s="186" t="s">
        <v>300</v>
      </c>
      <c r="H3" s="186" t="s">
        <v>301</v>
      </c>
      <c r="I3" s="186" t="s">
        <v>302</v>
      </c>
      <c r="J3" s="186" t="s">
        <v>199</v>
      </c>
      <c r="K3" s="186" t="s">
        <v>200</v>
      </c>
      <c r="L3" s="180" t="s">
        <v>182</v>
      </c>
    </row>
    <row r="4" spans="2:32" x14ac:dyDescent="0.25">
      <c r="B4" s="196">
        <v>1013</v>
      </c>
      <c r="C4" s="374">
        <v>245</v>
      </c>
      <c r="D4" s="196">
        <v>9999</v>
      </c>
      <c r="E4" s="375">
        <v>6287</v>
      </c>
      <c r="F4" s="197" t="s">
        <v>433</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0000188F</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5">
        <v>89</v>
      </c>
      <c r="N5" s="373">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18</v>
      </c>
      <c r="S6" s="80" t="str">
        <f>D25</f>
        <v>8F</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18</v>
      </c>
      <c r="AC15" s="85" t="str">
        <f>RIGHT(INDEX($D$9:$D$47,MATCH('EEPROM-Contents'!AE9,$B$9:$B$47,0)),2)</f>
        <v>8F</v>
      </c>
      <c r="AD15" s="85" t="str">
        <f>RIGHT(INDEX($D$9:$D$47,MATCH('EEPROM-Contents'!AF9,$B$9:$B$47,0)),2)</f>
        <v>89</v>
      </c>
      <c r="AF15" s="82" t="str">
        <f t="shared" si="3"/>
        <v>1200CD7C0A00000000000E785610EA2A001F4100000000188F8900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1200CD7C0A000000000006051303F50000270F8000800000000000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BC</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1200CD7C0A000000000000FF6464BC018906051303F50000270F00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BC</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1200CD7C0A00000000008000800000000000FF6464BC0289060500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1200CD7C0A00000000001303F50000270F8000800000000000FF00</v>
      </c>
    </row>
    <row r="20" spans="2:32" x14ac:dyDescent="0.25">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BC</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1200CD7C0A00000000006464BC038906051303F50000270F800000</v>
      </c>
    </row>
    <row r="21" spans="2:32" x14ac:dyDescent="0.25">
      <c r="B21" s="86">
        <f>'EEPROM-Contents'!B63</f>
        <v>59</v>
      </c>
      <c r="C21" s="75" t="e">
        <f t="shared" si="2"/>
        <v>#NUM!</v>
      </c>
      <c r="D21" s="78" t="e">
        <f>DEC2HEX(2*$C$4,2)</f>
        <v>#NUM!</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BC</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1200CD7C0A0000000000800000000000FF6464BC04890605130300</v>
      </c>
    </row>
    <row r="22" spans="2:32" x14ac:dyDescent="0.25">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x14ac:dyDescent="0.25">
      <c r="B23" s="86">
        <f>'EEPROM-Contents'!B96</f>
        <v>92</v>
      </c>
      <c r="C23" s="78">
        <f t="shared" ref="C23:C46" si="4">HEX2DEC(D23)</f>
        <v>0</v>
      </c>
      <c r="D23" s="78" t="str">
        <f>LEFT(RIGHT($E$5,6),2)</f>
        <v>00</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BC</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1200CD7C0A0000000000BC058906051303F50000270F8000800000</v>
      </c>
    </row>
    <row r="24" spans="2:32" x14ac:dyDescent="0.25">
      <c r="B24" s="86">
        <f>'EEPROM-Contents'!B97</f>
        <v>93</v>
      </c>
      <c r="C24" s="78">
        <f t="shared" si="4"/>
        <v>24</v>
      </c>
      <c r="D24" s="78" t="str">
        <f>LEFT(RIGHT($E$5,4),2)</f>
        <v>18</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BC</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1200CD7C0A000000000000000000FF6464BC068906051303F50000</v>
      </c>
    </row>
    <row r="25" spans="2:32" x14ac:dyDescent="0.25">
      <c r="B25" s="86">
        <f>'EEPROM-Contents'!B98</f>
        <v>94</v>
      </c>
      <c r="C25" s="78">
        <f t="shared" si="4"/>
        <v>143</v>
      </c>
      <c r="D25" s="78" t="str">
        <f>LEFT(RIGHT($E$5,2),2)</f>
        <v>8F</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BC</v>
      </c>
      <c r="AD25" s="80" t="str">
        <f>RIGHT(INDEX('EEPROM-Contents'!$K$4:'EEPROM-Contents'!$K$141,MATCH('EEPROM-Contents'!AF19,'EEPROM-Contents'!$I$4:'EEPROM-Contents'!$I$141,0)),2)</f>
        <v>07</v>
      </c>
      <c r="AF25" s="82" t="str">
        <f t="shared" ca="1" si="3"/>
        <v>1200CD7C0A000000000000270F8000800000000000FF6464BC0700</v>
      </c>
    </row>
    <row r="26" spans="2:32" x14ac:dyDescent="0.25">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1200CD7C0A00000000008906051303F50000270F80008000000000</v>
      </c>
    </row>
    <row r="27" spans="2:32" x14ac:dyDescent="0.25">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BC</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1200CD7C0A00000000000000FF6464BC088906051303F500002700</v>
      </c>
    </row>
    <row r="28" spans="2:32" x14ac:dyDescent="0.25">
      <c r="B28" s="86">
        <f>'EEPROM-Contents'!B101</f>
        <v>97</v>
      </c>
      <c r="C28" s="76">
        <f t="shared" ca="1" si="4"/>
        <v>5</v>
      </c>
      <c r="D28" s="236" t="str">
        <f ca="1">G5</f>
        <v>05</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BC</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1200CD7C0A00000000000F8000800000000000FF6464BC09890600</v>
      </c>
    </row>
    <row r="29" spans="2:32" x14ac:dyDescent="0.25">
      <c r="B29" s="86">
        <f>'EEPROM-Contents'!B102</f>
        <v>98</v>
      </c>
      <c r="C29" s="76">
        <f t="shared" ca="1" si="4"/>
        <v>19</v>
      </c>
      <c r="D29" s="236" t="str">
        <f ca="1">H5</f>
        <v>13</v>
      </c>
      <c r="E29" s="67" t="str">
        <f>'EEPROM-Contents'!L102</f>
        <v>Day</v>
      </c>
      <c r="F29" s="68"/>
      <c r="G29" s="69"/>
      <c r="I29" s="28"/>
      <c r="J29" s="95" t="s">
        <v>513</v>
      </c>
      <c r="K29" s="190" t="str">
        <f>RIGHT(DEC2HEX(K27,4),2)</f>
        <v>00</v>
      </c>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1200CD7C0A0000000000051303F50000270F800080000000000000</v>
      </c>
    </row>
    <row r="30" spans="2:32" x14ac:dyDescent="0.25">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BC</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1200CD7C0A0000000000FF6464BC0A8906051303F50000270F8000</v>
      </c>
    </row>
    <row r="31" spans="2:32" x14ac:dyDescent="0.25">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BC</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1200CD7C0A000000000000800000000000FF6464BC0B8906051300</v>
      </c>
    </row>
    <row r="32" spans="2:32" x14ac:dyDescent="0.25">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x14ac:dyDescent="0.25">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BC</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1200CD7C0A000000000064BC0C8906051303F50000270F80008000</v>
      </c>
    </row>
    <row r="34" spans="2:32" x14ac:dyDescent="0.25">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BC</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1200CD7C0A00000000000000000000FF6464BC0D8906051303F500</v>
      </c>
    </row>
    <row r="35" spans="2:32" x14ac:dyDescent="0.25">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BC</v>
      </c>
      <c r="AF35" s="82" t="str">
        <f t="shared" ca="1" si="3"/>
        <v>1200CD7C0A00000000000000270F8000800000000000FF6464BC00</v>
      </c>
    </row>
    <row r="36" spans="2:32" x14ac:dyDescent="0.25">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1200CD7C0A00000000000E8906051303F50000270F800080000000</v>
      </c>
    </row>
    <row r="37" spans="2:32" x14ac:dyDescent="0.25">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BC</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1200CD7C0A0000000000000000FF6464BC0F8906051303F5000000</v>
      </c>
    </row>
    <row r="38" spans="2:32" x14ac:dyDescent="0.25">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BC</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1200CD7C0A0000000000270F8000800000000000FF6464BC108900</v>
      </c>
    </row>
    <row r="39" spans="2:32" x14ac:dyDescent="0.25">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1200CD7C0A000000000006051303F50000270F8000800000000000</v>
      </c>
    </row>
    <row r="40" spans="2:32" x14ac:dyDescent="0.25">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BC</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1200CD7C0A000000000000FF6464BC118906051303F50000270F00</v>
      </c>
    </row>
    <row r="41" spans="2:32" ht="15.75" thickBot="1" x14ac:dyDescent="0.3">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BC</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1200CD7C0A00000000008000800000000000FF6464BC1280000000</v>
      </c>
    </row>
    <row r="42" spans="2:32" x14ac:dyDescent="0.25">
      <c r="B42" s="86">
        <f>'EEPROM-Contents'!B115</f>
        <v>111</v>
      </c>
      <c r="C42" s="76">
        <f t="shared" si="4"/>
        <v>0</v>
      </c>
      <c r="D42" s="237" t="str">
        <f>K28</f>
        <v>00</v>
      </c>
      <c r="E42" s="67" t="str">
        <f>'EEPROM-Contents'!L115</f>
        <v>Voltage H Cal 3.1V</v>
      </c>
      <c r="F42" s="68"/>
      <c r="G42" s="69"/>
    </row>
    <row r="43" spans="2:32" x14ac:dyDescent="0.25">
      <c r="B43" s="86">
        <f>'EEPROM-Contents'!B116</f>
        <v>112</v>
      </c>
      <c r="C43" s="76">
        <f t="shared" si="4"/>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 t="shared" si="4"/>
        <v>100</v>
      </c>
      <c r="D45" s="236" t="str">
        <f>J5</f>
        <v>64</v>
      </c>
      <c r="E45" s="67" t="str">
        <f>'EEPROM-Contents'!L118</f>
        <v>Cal Factor for CondyleA</v>
      </c>
      <c r="F45" s="68"/>
      <c r="G45" s="69"/>
    </row>
    <row r="46" spans="2:32" x14ac:dyDescent="0.25">
      <c r="B46" s="86">
        <f>'EEPROM-Contents'!B119</f>
        <v>115</v>
      </c>
      <c r="C46" s="76">
        <f t="shared" si="4"/>
        <v>100</v>
      </c>
      <c r="D46" s="236" t="str">
        <f>K5</f>
        <v>64</v>
      </c>
      <c r="E46" s="67" t="str">
        <f>'EEPROM-Contents'!L119</f>
        <v>Cal Factor for CondyleB</v>
      </c>
      <c r="F46" s="68"/>
      <c r="G46" s="69"/>
    </row>
    <row r="47" spans="2:32" x14ac:dyDescent="0.25">
      <c r="B47" s="86">
        <f>'EEPROM-Contents'!B120</f>
        <v>116</v>
      </c>
      <c r="C47" s="76">
        <f ca="1">255-HEX2DEC(RIGHT(DEC2HEX(SUM(C22:C46)),2))</f>
        <v>188</v>
      </c>
      <c r="D47" s="236" t="str">
        <f ca="1">DEC2HEX($C$47,2)</f>
        <v>BC</v>
      </c>
      <c r="E47" s="67" t="str">
        <f>'EEPROM-Contents'!L120</f>
        <v>Checksum</v>
      </c>
      <c r="F47" s="68"/>
      <c r="G47" s="69"/>
    </row>
  </sheetData>
  <mergeCells count="1">
    <mergeCell ref="B2:L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180">
        <f>'1204-Initial'!B4</f>
        <v>1013</v>
      </c>
      <c r="C4" s="180">
        <f>'1204-Initial'!C4</f>
        <v>245</v>
      </c>
      <c r="D4" s="180">
        <f>'1204-Initial'!D4</f>
        <v>9999</v>
      </c>
      <c r="E4" s="181">
        <f>'1204-Initial'!E4</f>
        <v>6287</v>
      </c>
      <c r="F4" s="194" t="str">
        <f>'1204-Initial'!F4</f>
        <v>FF</v>
      </c>
      <c r="G4" s="180">
        <f>INDEX('FTS-Initialization'!$W$20:$W$32,MATCH(FLOOR($B$4,1000),'FTS-Initialization'!$V$20:$V$32,0))</f>
        <v>84</v>
      </c>
      <c r="H4" s="180" t="str">
        <f>INDEX('FTS-Initialization'!$X$20:$X$32,MATCH(FLOOR($B$4,1000),'FTS-Initialization'!$V$20:$V$32,0))</f>
        <v>TKA</v>
      </c>
      <c r="I4" s="182">
        <f ca="1">TODAY()</f>
        <v>42509</v>
      </c>
      <c r="J4" s="180">
        <f>'FTS-Initialization'!$AA$29</f>
        <v>100</v>
      </c>
      <c r="K4" s="180">
        <f>'FTS-Initialization'!$AA$29</f>
        <v>100</v>
      </c>
      <c r="L4" s="180"/>
      <c r="N4" t="s">
        <v>463</v>
      </c>
    </row>
    <row r="5" spans="2:32" x14ac:dyDescent="0.25">
      <c r="B5" s="183" t="str">
        <f>DEC2HEX(B4,4)</f>
        <v>03F5</v>
      </c>
      <c r="C5" s="183" t="e">
        <f>DEC2HEX(C4*2,2)</f>
        <v>#NUM!</v>
      </c>
      <c r="D5" s="183" t="str">
        <f>DEC2HEX(D4,8)</f>
        <v>0000270F</v>
      </c>
      <c r="E5" s="183" t="str">
        <f>DEC2HEX(E4,8)</f>
        <v>0000188F</v>
      </c>
      <c r="F5" s="184" t="str">
        <f ca="1">DEC2HEX(YEAR($I$4)-2010,2)</f>
        <v>06</v>
      </c>
      <c r="G5" s="183" t="str">
        <f ca="1">DEC2HEX(MONTH($I$4),2)</f>
        <v>05</v>
      </c>
      <c r="H5" s="183" t="str">
        <f ca="1">DEC2HEX(DAY($I$4),2)</f>
        <v>13</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18</v>
      </c>
      <c r="S6" s="80" t="str">
        <f>D25</f>
        <v>8F</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e">
        <f>RIGHT(INDEX($D$9:$D$47,MATCH('EEPROM-Contents'!AB7,$B$9:$B$47,0)),2)</f>
        <v>#NUM!</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e">
        <f t="shared" si="3"/>
        <v>#NUM!</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18</v>
      </c>
      <c r="AC15" s="85" t="str">
        <f>RIGHT(INDEX($D$9:$D$47,MATCH('EEPROM-Contents'!AE9,$B$9:$B$47,0)),2)</f>
        <v>8F</v>
      </c>
      <c r="AD15" s="85" t="str">
        <f>RIGHT(INDEX($D$9:$D$47,MATCH('EEPROM-Contents'!AF9,$B$9:$B$47,0)),2)</f>
        <v>89</v>
      </c>
      <c r="AF15" s="82" t="str">
        <f t="shared" si="3"/>
        <v>1200CD7C0A00000000000E785610EA2A001F4100000000188F8900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13</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1200CD7C0A000000000006051303F50000270F0000000000000000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BC</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13</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1200CD7C0A000000000000FF6464BC018906051303F50000270F00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BC</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1200CD7C0A00000000000000000000000000FF6464BC0289060500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13</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1200CD7C0A00000000001303F50000270F0000000000000000FF00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BC</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13</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1200CD7C0A00000000006464BC038906051303F50000270F000000</v>
      </c>
    </row>
    <row r="21" spans="2:32" x14ac:dyDescent="0.25">
      <c r="B21" s="86">
        <f>'EEPROM-Contents'!B63</f>
        <v>59</v>
      </c>
      <c r="C21" s="75" t="e">
        <f t="shared" si="2"/>
        <v>#NUM!</v>
      </c>
      <c r="D21" s="78" t="e">
        <f>DEC2HEX(2*$C$4,2)</f>
        <v>#NUM!</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BC</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13</v>
      </c>
      <c r="AD21" s="85" t="str">
        <f>RIGHT(INDEX($D$9:$D$47,MATCH('EEPROM-Contents'!AF15,$B$9:$B$47,0)),2)</f>
        <v>03</v>
      </c>
      <c r="AF21" s="82" t="str">
        <f t="shared" ca="1" si="3"/>
        <v>1200CD7C0A0000000000000000000000FF6464BC04890605130300</v>
      </c>
    </row>
    <row r="22" spans="2:32" x14ac:dyDescent="0.25">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x14ac:dyDescent="0.25">
      <c r="B23" s="86">
        <f>'EEPROM-Contents'!B96</f>
        <v>92</v>
      </c>
      <c r="C23" s="78">
        <f t="shared" ref="C23:C46" si="4">HEX2DEC(D23)</f>
        <v>0</v>
      </c>
      <c r="D23" s="78" t="str">
        <f>LEFT(RIGHT($E$5,6),2)</f>
        <v>00</v>
      </c>
      <c r="E23" s="70" t="str">
        <f>'EEPROM-Contents'!L96</f>
        <v>Device ID</v>
      </c>
      <c r="F23" s="71"/>
      <c r="G23" s="74"/>
      <c r="N23" s="79" t="s">
        <v>356</v>
      </c>
      <c r="O23" s="85" t="str">
        <f ca="1">RIGHT(INDEX($D$9:$D$47,MATCH('EEPROM-Contents'!Q17,$B$9:$B$47,0)),2)</f>
        <v>BC</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13</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1200CD7C0A0000000000BC058906051303F50000270F0000000000</v>
      </c>
    </row>
    <row r="24" spans="2:32" x14ac:dyDescent="0.25">
      <c r="B24" s="86">
        <f>'EEPROM-Contents'!B97</f>
        <v>93</v>
      </c>
      <c r="C24" s="78">
        <f t="shared" si="4"/>
        <v>24</v>
      </c>
      <c r="D24" s="78" t="str">
        <f>LEFT(RIGHT($E$5,4),2)</f>
        <v>18</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BC</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13</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1200CD7C0A000000000000000000FF6464BC068906051303F50000</v>
      </c>
    </row>
    <row r="25" spans="2:32" x14ac:dyDescent="0.25">
      <c r="B25" s="86">
        <f>'EEPROM-Contents'!B98</f>
        <v>94</v>
      </c>
      <c r="C25" s="78">
        <f t="shared" si="4"/>
        <v>143</v>
      </c>
      <c r="D25" s="78" t="str">
        <f>LEFT(RIGHT($E$5,2),2)</f>
        <v>8F</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BC</v>
      </c>
      <c r="AD25" s="80" t="str">
        <f>RIGHT(INDEX('EEPROM-Contents'!$K$4:'EEPROM-Contents'!$K$141,MATCH('EEPROM-Contents'!AF19,'EEPROM-Contents'!$I$4:'EEPROM-Contents'!$I$141,0)),2)</f>
        <v>07</v>
      </c>
      <c r="AF25" s="82" t="str">
        <f t="shared" ca="1" si="3"/>
        <v>1200CD7C0A000000000000270F0000000000000000FF6464BC0700</v>
      </c>
    </row>
    <row r="26" spans="2:32" x14ac:dyDescent="0.25">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13</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1200CD7C0A00000000008906051303F50000270F00000000000000</v>
      </c>
    </row>
    <row r="27" spans="2:32" x14ac:dyDescent="0.25">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BC</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13</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1200CD7C0A00000000000000FF6464BC088906051303F500002700</v>
      </c>
    </row>
    <row r="28" spans="2:32" x14ac:dyDescent="0.25">
      <c r="B28" s="86">
        <f>'EEPROM-Contents'!B101</f>
        <v>97</v>
      </c>
      <c r="C28" s="76">
        <f t="shared" ca="1" si="4"/>
        <v>5</v>
      </c>
      <c r="D28" s="76" t="str">
        <f ca="1">G5</f>
        <v>05</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BC</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1200CD7C0A00000000000F0000000000000000FF6464BC09890600</v>
      </c>
    </row>
    <row r="29" spans="2:32" x14ac:dyDescent="0.25">
      <c r="B29" s="86">
        <f>'EEPROM-Contents'!B102</f>
        <v>98</v>
      </c>
      <c r="C29" s="76">
        <f t="shared" ca="1" si="4"/>
        <v>19</v>
      </c>
      <c r="D29" s="76" t="str">
        <f ca="1">H5</f>
        <v>13</v>
      </c>
      <c r="E29" s="67" t="str">
        <f>'EEPROM-Contents'!L102</f>
        <v>Day</v>
      </c>
      <c r="F29" s="68"/>
      <c r="G29" s="69"/>
      <c r="N29" s="79" t="s">
        <v>362</v>
      </c>
      <c r="O29" s="85" t="str">
        <f ca="1">RIGHT(INDEX($D$9:$D$47,MATCH('EEPROM-Contents'!Q23,$B$9:$B$47,0)),2)</f>
        <v>05</v>
      </c>
      <c r="P29" s="85" t="str">
        <f ca="1">RIGHT(INDEX($D$9:$D$47,MATCH('EEPROM-Contents'!R23,$B$9:$B$47,0)),2)</f>
        <v>13</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1200CD7C0A0000000000051303F50000270F000000000000000000</v>
      </c>
    </row>
    <row r="30" spans="2:32" x14ac:dyDescent="0.25">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BC</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13</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1200CD7C0A0000000000FF6464BC0A8906051303F50000270F0000</v>
      </c>
    </row>
    <row r="31" spans="2:32" x14ac:dyDescent="0.25">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BC</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13</v>
      </c>
      <c r="AF31" s="82" t="str">
        <f t="shared" ca="1" si="3"/>
        <v>1200CD7C0A000000000000000000000000FF6464BC0B8906051300</v>
      </c>
    </row>
    <row r="32" spans="2:32" x14ac:dyDescent="0.25">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x14ac:dyDescent="0.25">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BC</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13</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1200CD7C0A000000000064BC0C8906051303F50000270F00000000</v>
      </c>
    </row>
    <row r="34" spans="2:32" x14ac:dyDescent="0.25">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BC</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13</v>
      </c>
      <c r="AC34" s="85" t="str">
        <f>RIGHT(INDEX($D$9:$D$47,MATCH('EEPROM-Contents'!AE28,$B$9:$B$47,0)),2)</f>
        <v>03</v>
      </c>
      <c r="AD34" s="85" t="str">
        <f>RIGHT(INDEX($D$9:$D$47,MATCH('EEPROM-Contents'!AF28,$B$9:$B$47,0)),2)</f>
        <v>F5</v>
      </c>
      <c r="AF34" s="82" t="str">
        <f t="shared" ca="1" si="3"/>
        <v>1200CD7C0A00000000000000000000FF6464BC0D8906051303F500</v>
      </c>
    </row>
    <row r="35" spans="2:32" x14ac:dyDescent="0.25">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BC</v>
      </c>
      <c r="AF35" s="82" t="str">
        <f t="shared" ca="1" si="3"/>
        <v>1200CD7C0A00000000000000270F0000000000000000FF6464BC00</v>
      </c>
    </row>
    <row r="36" spans="2:32" x14ac:dyDescent="0.25">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13</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1200CD7C0A00000000000E8906051303F50000270F000000000000</v>
      </c>
    </row>
    <row r="37" spans="2:32" x14ac:dyDescent="0.25">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BC</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13</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1200CD7C0A0000000000000000FF6464BC0F8906051303F5000000</v>
      </c>
    </row>
    <row r="38" spans="2:32" x14ac:dyDescent="0.25">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BC</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1200CD7C0A0000000000270F0000000000000000FF6464BC108900</v>
      </c>
    </row>
    <row r="39" spans="2:32" x14ac:dyDescent="0.25">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13</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1200CD7C0A000000000006051303F50000270F0000000000000000</v>
      </c>
    </row>
    <row r="40" spans="2:32" x14ac:dyDescent="0.25">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BC</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13</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1200CD7C0A000000000000FF6464BC118906051303F50000270F00</v>
      </c>
    </row>
    <row r="41" spans="2:32" ht="15.75" thickBot="1" x14ac:dyDescent="0.3">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BC</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1200CD7C0A00000000000000000000000000FF6464BC1280000000</v>
      </c>
    </row>
    <row r="42" spans="2:32" x14ac:dyDescent="0.25">
      <c r="B42" s="86">
        <f>'EEPROM-Contents'!B115</f>
        <v>111</v>
      </c>
      <c r="C42" s="76">
        <f t="shared" si="4"/>
        <v>0</v>
      </c>
      <c r="D42" s="77" t="str">
        <f t="shared" si="5"/>
        <v>00</v>
      </c>
      <c r="E42" s="67" t="str">
        <f>'EEPROM-Contents'!L115</f>
        <v>Voltage H Cal 3.1V</v>
      </c>
      <c r="F42" s="68"/>
      <c r="G42" s="69"/>
    </row>
    <row r="43" spans="2:32" x14ac:dyDescent="0.25">
      <c r="B43" s="86">
        <f>'EEPROM-Contents'!B116</f>
        <v>112</v>
      </c>
      <c r="C43" s="76">
        <f t="shared" si="4"/>
        <v>0</v>
      </c>
      <c r="D43" s="77" t="str">
        <f t="shared" si="5"/>
        <v>00</v>
      </c>
      <c r="E43" s="67" t="str">
        <f>'EEPROM-Contents'!L116</f>
        <v>Voltage L Cal 3.1V</v>
      </c>
      <c r="F43" s="68"/>
      <c r="G43" s="69"/>
    </row>
    <row r="44" spans="2:32" x14ac:dyDescent="0.25">
      <c r="B44" s="86">
        <f>'EEPROM-Contents'!B117</f>
        <v>113</v>
      </c>
      <c r="C44" s="76">
        <f>HEX2DEC(D44)</f>
        <v>255</v>
      </c>
      <c r="D44" s="76" t="str">
        <f>F4</f>
        <v>FF</v>
      </c>
      <c r="E44" s="67" t="str">
        <f>'EEPROM-Contents'!L117</f>
        <v>Operating Side</v>
      </c>
      <c r="F44" s="68"/>
      <c r="G44" s="69"/>
    </row>
    <row r="45" spans="2:32" x14ac:dyDescent="0.25">
      <c r="B45" s="86">
        <f>'EEPROM-Contents'!B118</f>
        <v>114</v>
      </c>
      <c r="C45" s="76">
        <f t="shared" si="4"/>
        <v>100</v>
      </c>
      <c r="D45" s="76" t="str">
        <f>J5</f>
        <v>64</v>
      </c>
      <c r="E45" s="67" t="str">
        <f>'EEPROM-Contents'!L118</f>
        <v>Cal Factor for CondyleA</v>
      </c>
      <c r="F45" s="68"/>
      <c r="G45" s="69"/>
    </row>
    <row r="46" spans="2:32" x14ac:dyDescent="0.25">
      <c r="B46" s="86">
        <f>'EEPROM-Contents'!B119</f>
        <v>115</v>
      </c>
      <c r="C46" s="76">
        <f t="shared" si="4"/>
        <v>100</v>
      </c>
      <c r="D46" s="76" t="str">
        <f>K5</f>
        <v>64</v>
      </c>
      <c r="E46" s="67" t="str">
        <f>'EEPROM-Contents'!L119</f>
        <v>Cal Factor for CondyleB</v>
      </c>
      <c r="F46" s="68"/>
      <c r="G46" s="69"/>
    </row>
    <row r="47" spans="2:32" x14ac:dyDescent="0.25">
      <c r="B47" s="86">
        <f>'EEPROM-Contents'!B120</f>
        <v>116</v>
      </c>
      <c r="C47" s="76">
        <f ca="1">255-HEX2DEC(RIGHT(DEC2HEX(SUM(C22:C46)),2))</f>
        <v>188</v>
      </c>
      <c r="D47" s="76" t="str">
        <f ca="1">DEC2HEX($C$47,2)</f>
        <v>BC</v>
      </c>
      <c r="E47" s="67" t="str">
        <f>'EEPROM-Contents'!L120</f>
        <v>Checksum</v>
      </c>
      <c r="F47" s="68"/>
      <c r="G47" s="69"/>
    </row>
    <row r="49" spans="2:12" x14ac:dyDescent="0.25">
      <c r="B49" s="357" t="s">
        <v>404</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37">
        <v>0</v>
      </c>
      <c r="C51" s="24"/>
      <c r="D51" s="24"/>
      <c r="E51" s="24"/>
      <c r="F51" s="24"/>
      <c r="G51" s="24"/>
      <c r="H51" s="24"/>
      <c r="I51" s="24"/>
      <c r="J51" s="24"/>
    </row>
    <row r="53" spans="2:12" x14ac:dyDescent="0.25">
      <c r="B53" s="354" t="s">
        <v>405</v>
      </c>
      <c r="C53" s="355"/>
      <c r="D53" s="355"/>
      <c r="E53" s="355"/>
      <c r="F53" s="355"/>
      <c r="G53" s="113" t="s">
        <v>410</v>
      </c>
      <c r="H53" s="113">
        <f>'FTS-Initialization'!$AE$27</f>
        <v>33000</v>
      </c>
      <c r="I53" s="113" t="s">
        <v>411</v>
      </c>
      <c r="J53" s="113">
        <f>'FTS-Initialization'!$AE$26</f>
        <v>52000</v>
      </c>
      <c r="L53" s="91" t="s">
        <v>414</v>
      </c>
    </row>
    <row r="54" spans="2:12" x14ac:dyDescent="0.25">
      <c r="B54" s="111" t="s">
        <v>231</v>
      </c>
      <c r="C54" s="111">
        <f>J51</f>
        <v>0</v>
      </c>
      <c r="I54" s="111" t="s">
        <v>407</v>
      </c>
      <c r="J54" s="111" t="b">
        <f>IF(AND(C54&gt;=H53,C54&lt;=J53),TRUE,FALSE)</f>
        <v>0</v>
      </c>
      <c r="L54" s="91">
        <f>IF(J54,0,IF(C54&lt;H53,'FTS-Initialization'!N72,IF(C54&gt;J53,'FTS-Initialization'!N73,0)))</f>
        <v>35</v>
      </c>
    </row>
    <row r="56" spans="2:12" x14ac:dyDescent="0.25">
      <c r="B56" s="354" t="s">
        <v>406</v>
      </c>
      <c r="C56" s="355"/>
      <c r="D56" s="355"/>
      <c r="E56" s="355"/>
      <c r="F56" s="355"/>
      <c r="G56" s="355"/>
      <c r="H56" s="355"/>
      <c r="I56" s="126" t="s">
        <v>206</v>
      </c>
      <c r="J56" s="126">
        <f>'FTS-Initialization'!$AE$28</f>
        <v>60000</v>
      </c>
      <c r="L56" s="91" t="s">
        <v>414</v>
      </c>
    </row>
    <row r="57" spans="2:12" x14ac:dyDescent="0.25">
      <c r="B57" s="125" t="s">
        <v>412</v>
      </c>
      <c r="C57" s="125">
        <f>MAX($C$51:$I$51)</f>
        <v>0</v>
      </c>
      <c r="I57" s="125" t="s">
        <v>407</v>
      </c>
      <c r="J57" s="125" t="b">
        <f>IF($C$57&lt;=$J$56,TRUE,FALSE)</f>
        <v>1</v>
      </c>
      <c r="L57" s="91">
        <f>IF(J57,0,'FTS-Initialization'!$N$75)</f>
        <v>0</v>
      </c>
    </row>
    <row r="60" spans="2:12" x14ac:dyDescent="0.25">
      <c r="B60" s="354"/>
      <c r="C60" s="355"/>
      <c r="D60" s="355"/>
      <c r="E60" s="355"/>
      <c r="F60" s="355"/>
      <c r="G60" s="355"/>
      <c r="H60" s="355"/>
      <c r="I60" s="113"/>
      <c r="J60" s="90"/>
    </row>
    <row r="61" spans="2:12" x14ac:dyDescent="0.25">
      <c r="B61" s="111"/>
      <c r="C61" s="111"/>
      <c r="D61" s="111"/>
      <c r="E61" s="111"/>
      <c r="F61" s="111"/>
      <c r="G61" s="111"/>
      <c r="H61" s="111"/>
      <c r="I61" s="111"/>
      <c r="J61" s="111"/>
      <c r="L61" s="91"/>
    </row>
    <row r="62" spans="2:12" x14ac:dyDescent="0.25">
      <c r="B62" s="87"/>
      <c r="C62" s="88"/>
      <c r="D62" s="88"/>
      <c r="E62" s="88"/>
      <c r="F62" s="88"/>
      <c r="G62" s="88"/>
      <c r="H62" s="88"/>
      <c r="I62" s="88"/>
      <c r="J62" s="111"/>
      <c r="L62" s="91"/>
    </row>
    <row r="64" spans="2:12" x14ac:dyDescent="0.25">
      <c r="B64" s="354"/>
      <c r="C64" s="355"/>
      <c r="D64" s="355"/>
      <c r="E64" s="355"/>
      <c r="F64" s="355"/>
      <c r="G64" s="355"/>
      <c r="H64" s="355"/>
      <c r="I64" s="355"/>
      <c r="J64" s="356"/>
    </row>
    <row r="65" spans="2:12" x14ac:dyDescent="0.25">
      <c r="B65" s="111"/>
      <c r="C65" s="113"/>
      <c r="D65" s="111"/>
      <c r="I65" s="111"/>
      <c r="J65" s="111"/>
    </row>
    <row r="66" spans="2:12" x14ac:dyDescent="0.25">
      <c r="B66" s="111"/>
      <c r="C66" s="94"/>
      <c r="D66" s="111"/>
      <c r="I66" s="98"/>
      <c r="J66" s="99"/>
    </row>
    <row r="68" spans="2:12" x14ac:dyDescent="0.25">
      <c r="B68" s="354"/>
      <c r="C68" s="355"/>
      <c r="D68" s="355"/>
      <c r="E68" s="355"/>
      <c r="F68" s="355"/>
      <c r="G68" s="355"/>
      <c r="H68" s="355"/>
      <c r="I68" s="355"/>
      <c r="J68" s="356"/>
    </row>
    <row r="69" spans="2:12" x14ac:dyDescent="0.25">
      <c r="B69" s="113"/>
      <c r="C69" s="111"/>
      <c r="D69" s="111"/>
      <c r="E69" s="111"/>
      <c r="F69" s="111"/>
      <c r="G69" s="111"/>
      <c r="H69" s="111"/>
      <c r="I69" s="111"/>
      <c r="J69" s="111"/>
      <c r="L69" s="91"/>
    </row>
    <row r="70" spans="2:12" x14ac:dyDescent="0.25">
      <c r="B70" s="94"/>
      <c r="C70" s="100"/>
      <c r="D70" s="100"/>
      <c r="E70" s="100"/>
      <c r="F70" s="100"/>
      <c r="G70" s="100"/>
      <c r="H70" s="100"/>
      <c r="I70" s="100"/>
      <c r="J70" s="111"/>
      <c r="L70" s="91"/>
    </row>
    <row r="73" spans="2:12" x14ac:dyDescent="0.25">
      <c r="B73" s="354"/>
      <c r="C73" s="355"/>
      <c r="D73" s="355"/>
      <c r="E73" s="355"/>
      <c r="F73" s="355"/>
      <c r="G73" s="355"/>
      <c r="H73" s="355"/>
      <c r="I73" s="113"/>
      <c r="J73" s="90"/>
    </row>
    <row r="74" spans="2:12" x14ac:dyDescent="0.25">
      <c r="B74" s="111"/>
      <c r="C74" s="111"/>
      <c r="D74" s="111"/>
      <c r="E74" s="111"/>
      <c r="F74" s="111"/>
      <c r="J74" s="111"/>
      <c r="L74" s="91"/>
    </row>
    <row r="75" spans="2:12" x14ac:dyDescent="0.25">
      <c r="B75" s="87"/>
      <c r="C75" s="88"/>
      <c r="D75" s="88"/>
      <c r="E75" s="88"/>
      <c r="F75" s="88"/>
      <c r="J75" s="111"/>
      <c r="L75" s="91"/>
    </row>
    <row r="77" spans="2:12" x14ac:dyDescent="0.25">
      <c r="B77" s="354"/>
      <c r="C77" s="355"/>
      <c r="D77" s="355"/>
      <c r="E77" s="355"/>
      <c r="F77" s="355"/>
      <c r="G77" s="355"/>
      <c r="H77" s="355"/>
      <c r="I77" s="355"/>
      <c r="J77" s="356"/>
    </row>
    <row r="78" spans="2:12" x14ac:dyDescent="0.25">
      <c r="B78" s="111"/>
      <c r="C78" s="113"/>
      <c r="D78" s="111"/>
      <c r="I78" s="111"/>
      <c r="J78" s="111"/>
    </row>
    <row r="79" spans="2:12" x14ac:dyDescent="0.25">
      <c r="B79" s="111"/>
      <c r="C79" s="94"/>
      <c r="D79" s="111"/>
      <c r="I79" s="98"/>
      <c r="J79" s="99"/>
    </row>
    <row r="81" spans="2:12" x14ac:dyDescent="0.25">
      <c r="B81" s="354"/>
      <c r="C81" s="355"/>
      <c r="D81" s="355"/>
      <c r="E81" s="355"/>
      <c r="F81" s="355"/>
      <c r="G81" s="355"/>
      <c r="H81" s="355"/>
      <c r="I81" s="355"/>
      <c r="J81" s="356"/>
    </row>
    <row r="82" spans="2:12" x14ac:dyDescent="0.25">
      <c r="B82" s="113"/>
      <c r="C82" s="111"/>
      <c r="D82" s="111"/>
      <c r="E82" s="111"/>
      <c r="F82" s="111"/>
      <c r="J82" s="111"/>
      <c r="L82" s="91"/>
    </row>
    <row r="83" spans="2:12" x14ac:dyDescent="0.25">
      <c r="B83" s="94"/>
      <c r="C83" s="100"/>
      <c r="D83" s="100"/>
      <c r="E83" s="100"/>
      <c r="F83" s="100"/>
      <c r="J83" s="111"/>
      <c r="L83" s="91"/>
    </row>
    <row r="88" spans="2:12" x14ac:dyDescent="0.25">
      <c r="B88" s="353" t="s">
        <v>415</v>
      </c>
      <c r="C88" s="353"/>
      <c r="D88" s="353"/>
      <c r="E88" s="353"/>
    </row>
    <row r="89" spans="2:12" x14ac:dyDescent="0.25">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2016-05-19T17:52:51Z</dcterms:modified>
</cp:coreProperties>
</file>