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sgor\Desktop\GWU Boot Camp\Analysis Projects\Crowdfunding Analysis\"/>
    </mc:Choice>
  </mc:AlternateContent>
  <xr:revisionPtr revIDLastSave="0" documentId="13_ncr:1_{737BACCA-37CF-45BA-A9D4-77E47C9101AA}" xr6:coauthVersionLast="47" xr6:coauthVersionMax="47" xr10:uidLastSave="{00000000-0000-0000-0000-000000000000}"/>
  <bookViews>
    <workbookView xWindow="-120" yWindow="-120" windowWidth="19440" windowHeight="14880" firstSheet="3" activeTab="5" xr2:uid="{00000000-000D-0000-FFFF-FFFF00000000}"/>
  </bookViews>
  <sheets>
    <sheet name="Crowdfunding" sheetId="1" r:id="rId1"/>
    <sheet name="Category Analysis" sheetId="2" r:id="rId2"/>
    <sheet name="Sub-Category Analysis" sheetId="3" r:id="rId3"/>
    <sheet name="Date Analysis" sheetId="6" r:id="rId4"/>
    <sheet name="Goal Amount Analysis" sheetId="4" r:id="rId5"/>
    <sheet name="Number of Backers Analysis" sheetId="5" r:id="rId6"/>
  </sheets>
  <definedNames>
    <definedName name="_xlnm._FilterDatabase" localSheetId="0" hidden="1">Crowdfunding!$A$1:$T$1001</definedName>
    <definedName name="backers_failed">'Number of Backers Analysis'!$E$2:$E$365</definedName>
    <definedName name="backers_succesful">'Number of Backers Analysis'!$B$2:$B$566</definedName>
    <definedName name="goal">Crowdfunding!$D$2:$D$1001</definedName>
    <definedName name="outcome">Crowdfunding!$G$2:$G$1001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5" l="1"/>
  <c r="I6" i="5"/>
  <c r="H6" i="5"/>
  <c r="H7" i="5"/>
  <c r="F2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/>
  <c r="S351" i="1" a="1"/>
  <c r="S351" i="1" s="1"/>
  <c r="S352" i="1" a="1"/>
  <c r="S352" i="1" s="1"/>
  <c r="S353" i="1" a="1"/>
  <c r="S353" i="1"/>
  <c r="S354" i="1" a="1"/>
  <c r="S354" i="1" s="1"/>
  <c r="S355" i="1" a="1"/>
  <c r="S355" i="1" s="1"/>
  <c r="S356" i="1" a="1"/>
  <c r="S356" i="1" s="1"/>
  <c r="S357" i="1" a="1"/>
  <c r="S357" i="1"/>
  <c r="S358" i="1" a="1"/>
  <c r="S358" i="1"/>
  <c r="S359" i="1" a="1"/>
  <c r="S359" i="1" s="1"/>
  <c r="S360" i="1" a="1"/>
  <c r="S360" i="1" s="1"/>
  <c r="S361" i="1" a="1"/>
  <c r="S361" i="1"/>
  <c r="S362" i="1" a="1"/>
  <c r="S362" i="1"/>
  <c r="S363" i="1" a="1"/>
  <c r="S363" i="1" s="1"/>
  <c r="S364" i="1" a="1"/>
  <c r="S364" i="1" s="1"/>
  <c r="S365" i="1" a="1"/>
  <c r="S365" i="1" s="1"/>
  <c r="S366" i="1" a="1"/>
  <c r="S366" i="1"/>
  <c r="S367" i="1" a="1"/>
  <c r="S367" i="1" s="1"/>
  <c r="S368" i="1" a="1"/>
  <c r="S368" i="1" s="1"/>
  <c r="S369" i="1" a="1"/>
  <c r="S369" i="1"/>
  <c r="S370" i="1" a="1"/>
  <c r="S370" i="1" s="1"/>
  <c r="S371" i="1" a="1"/>
  <c r="S371" i="1" s="1"/>
  <c r="S372" i="1" a="1"/>
  <c r="S372" i="1" s="1"/>
  <c r="S373" i="1" a="1"/>
  <c r="S373" i="1"/>
  <c r="S374" i="1" a="1"/>
  <c r="S374" i="1"/>
  <c r="S375" i="1" a="1"/>
  <c r="S375" i="1" s="1"/>
  <c r="S376" i="1" a="1"/>
  <c r="S376" i="1" s="1"/>
  <c r="S377" i="1" a="1"/>
  <c r="S377" i="1"/>
  <c r="S378" i="1" a="1"/>
  <c r="S378" i="1"/>
  <c r="S379" i="1" a="1"/>
  <c r="S379" i="1" s="1"/>
  <c r="S380" i="1" a="1"/>
  <c r="S380" i="1" s="1"/>
  <c r="S381" i="1" a="1"/>
  <c r="S381" i="1" s="1"/>
  <c r="S382" i="1" a="1"/>
  <c r="S382" i="1"/>
  <c r="S383" i="1" a="1"/>
  <c r="S383" i="1" s="1"/>
  <c r="S384" i="1" a="1"/>
  <c r="S384" i="1" s="1"/>
  <c r="S385" i="1" a="1"/>
  <c r="S385" i="1"/>
  <c r="S386" i="1" a="1"/>
  <c r="S386" i="1" s="1"/>
  <c r="S387" i="1" a="1"/>
  <c r="S387" i="1" s="1"/>
  <c r="S388" i="1" a="1"/>
  <c r="S388" i="1" s="1"/>
  <c r="S389" i="1" a="1"/>
  <c r="S389" i="1"/>
  <c r="S390" i="1" a="1"/>
  <c r="S390" i="1"/>
  <c r="S391" i="1" a="1"/>
  <c r="S391" i="1" s="1"/>
  <c r="S392" i="1" a="1"/>
  <c r="S392" i="1" s="1"/>
  <c r="S393" i="1" a="1"/>
  <c r="S393" i="1"/>
  <c r="S394" i="1" a="1"/>
  <c r="S394" i="1"/>
  <c r="S395" i="1" a="1"/>
  <c r="S395" i="1" s="1"/>
  <c r="S396" i="1" a="1"/>
  <c r="S396" i="1" s="1"/>
  <c r="S397" i="1" a="1"/>
  <c r="S397" i="1" s="1"/>
  <c r="S398" i="1" a="1"/>
  <c r="S398" i="1"/>
  <c r="S399" i="1" a="1"/>
  <c r="S399" i="1" s="1"/>
  <c r="S400" i="1" a="1"/>
  <c r="S400" i="1" s="1"/>
  <c r="S401" i="1" a="1"/>
  <c r="S401" i="1"/>
  <c r="S402" i="1" a="1"/>
  <c r="S402" i="1" s="1"/>
  <c r="S403" i="1" a="1"/>
  <c r="S403" i="1" s="1"/>
  <c r="S404" i="1" a="1"/>
  <c r="S404" i="1" s="1"/>
  <c r="S405" i="1" a="1"/>
  <c r="S405" i="1"/>
  <c r="S406" i="1" a="1"/>
  <c r="S406" i="1"/>
  <c r="S407" i="1" a="1"/>
  <c r="S407" i="1" s="1"/>
  <c r="S408" i="1" a="1"/>
  <c r="S408" i="1" s="1"/>
  <c r="S409" i="1" a="1"/>
  <c r="S409" i="1"/>
  <c r="S410" i="1" a="1"/>
  <c r="S410" i="1"/>
  <c r="S411" i="1" a="1"/>
  <c r="S411" i="1" s="1"/>
  <c r="S412" i="1" a="1"/>
  <c r="S412" i="1" s="1"/>
  <c r="S413" i="1" a="1"/>
  <c r="S413" i="1" s="1"/>
  <c r="S414" i="1" a="1"/>
  <c r="S414" i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/>
  <c r="S443" i="1" a="1"/>
  <c r="S443" i="1" s="1"/>
  <c r="S444" i="1" a="1"/>
  <c r="S444" i="1" s="1"/>
  <c r="S445" i="1" a="1"/>
  <c r="S445" i="1" s="1"/>
  <c r="S446" i="1" a="1"/>
  <c r="S446" i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/>
  <c r="S455" i="1" a="1"/>
  <c r="S455" i="1" s="1"/>
  <c r="S456" i="1" a="1"/>
  <c r="S456" i="1" s="1"/>
  <c r="S457" i="1" a="1"/>
  <c r="S457" i="1" s="1"/>
  <c r="S458" i="1" a="1"/>
  <c r="S458" i="1"/>
  <c r="S459" i="1" a="1"/>
  <c r="S459" i="1" s="1"/>
  <c r="S460" i="1" a="1"/>
  <c r="S460" i="1" s="1"/>
  <c r="S461" i="1" a="1"/>
  <c r="S461" i="1" s="1"/>
  <c r="S462" i="1" a="1"/>
  <c r="S462" i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/>
  <c r="S475" i="1" a="1"/>
  <c r="S475" i="1" s="1"/>
  <c r="S476" i="1" a="1"/>
  <c r="S476" i="1" s="1"/>
  <c r="S477" i="1" a="1"/>
  <c r="S477" i="1" s="1"/>
  <c r="S478" i="1" a="1"/>
  <c r="S478" i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/>
  <c r="S537" i="1" a="1"/>
  <c r="S537" i="1" s="1"/>
  <c r="S538" i="1" a="1"/>
  <c r="S538" i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/>
  <c r="S577" i="1" a="1"/>
  <c r="S577" i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/>
  <c r="S599" i="1" a="1"/>
  <c r="S599" i="1" s="1"/>
  <c r="S600" i="1" a="1"/>
  <c r="S600" i="1"/>
  <c r="S601" i="1" a="1"/>
  <c r="S601" i="1" s="1"/>
  <c r="S602" i="1" a="1"/>
  <c r="S602" i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/>
  <c r="S847" i="1" a="1"/>
  <c r="S847" i="1" s="1"/>
  <c r="S848" i="1" a="1"/>
  <c r="S848" i="1" s="1"/>
  <c r="S849" i="1" a="1"/>
  <c r="S849" i="1" s="1"/>
  <c r="S850" i="1" a="1"/>
  <c r="S850" i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/>
  <c r="S863" i="1" a="1"/>
  <c r="S863" i="1" s="1"/>
  <c r="S864" i="1" a="1"/>
  <c r="S864" i="1" s="1"/>
  <c r="S865" i="1" a="1"/>
  <c r="S865" i="1" s="1"/>
  <c r="S866" i="1" a="1"/>
  <c r="S866" i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/>
  <c r="S875" i="1" a="1"/>
  <c r="S875" i="1" s="1"/>
  <c r="S876" i="1" a="1"/>
  <c r="S876" i="1" s="1"/>
  <c r="S877" i="1" a="1"/>
  <c r="S877" i="1" s="1"/>
  <c r="S878" i="1" a="1"/>
  <c r="S878" i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/>
  <c r="S911" i="1" a="1"/>
  <c r="S911" i="1" s="1"/>
  <c r="S912" i="1" a="1"/>
  <c r="S912" i="1" s="1"/>
  <c r="S913" i="1" a="1"/>
  <c r="S913" i="1" s="1"/>
  <c r="S914" i="1" a="1"/>
  <c r="S914" i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/>
  <c r="S927" i="1" a="1"/>
  <c r="S927" i="1" s="1"/>
  <c r="S928" i="1" a="1"/>
  <c r="S928" i="1" s="1"/>
  <c r="S929" i="1" a="1"/>
  <c r="S929" i="1" s="1"/>
  <c r="S930" i="1" a="1"/>
  <c r="S930" i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/>
  <c r="S939" i="1" a="1"/>
  <c r="S939" i="1" s="1"/>
  <c r="S940" i="1" a="1"/>
  <c r="S940" i="1" s="1"/>
  <c r="S941" i="1" a="1"/>
  <c r="S941" i="1" s="1"/>
  <c r="S942" i="1" a="1"/>
  <c r="S942" i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/>
  <c r="S959" i="1" a="1"/>
  <c r="S959" i="1" s="1"/>
  <c r="S960" i="1" a="1"/>
  <c r="S960" i="1" s="1"/>
  <c r="S961" i="1" a="1"/>
  <c r="S961" i="1" s="1"/>
  <c r="S962" i="1" a="1"/>
  <c r="S962" i="1"/>
  <c r="S963" i="1" a="1"/>
  <c r="S963" i="1" s="1"/>
  <c r="S964" i="1" a="1"/>
  <c r="S964" i="1" s="1"/>
  <c r="S965" i="1" a="1"/>
  <c r="S965" i="1" s="1"/>
  <c r="S966" i="1" a="1"/>
  <c r="S966" i="1" s="1"/>
  <c r="S967" i="1" a="1"/>
  <c r="S967" i="1"/>
  <c r="S968" i="1" a="1"/>
  <c r="S968" i="1" s="1"/>
  <c r="S969" i="1" a="1"/>
  <c r="S969" i="1" s="1"/>
  <c r="S970" i="1" a="1"/>
  <c r="S970" i="1"/>
  <c r="S971" i="1" a="1"/>
  <c r="S971" i="1" s="1"/>
  <c r="S972" i="1" a="1"/>
  <c r="S972" i="1" s="1"/>
  <c r="S973" i="1" a="1"/>
  <c r="S973" i="1" s="1"/>
  <c r="S974" i="1" a="1"/>
  <c r="S974" i="1" s="1"/>
  <c r="S975" i="1" a="1"/>
  <c r="S975" i="1"/>
  <c r="S976" i="1" a="1"/>
  <c r="S976" i="1" s="1"/>
  <c r="S977" i="1" a="1"/>
  <c r="S977" i="1" s="1"/>
  <c r="S978" i="1" a="1"/>
  <c r="S978" i="1"/>
  <c r="S979" i="1" a="1"/>
  <c r="S979" i="1" s="1"/>
  <c r="S980" i="1" a="1"/>
  <c r="S980" i="1" s="1"/>
  <c r="S981" i="1" a="1"/>
  <c r="S981" i="1" s="1"/>
  <c r="S982" i="1" a="1"/>
  <c r="S982" i="1" s="1"/>
  <c r="S983" i="1" a="1"/>
  <c r="S983" i="1"/>
  <c r="S984" i="1" a="1"/>
  <c r="S984" i="1" s="1"/>
  <c r="S985" i="1" a="1"/>
  <c r="S985" i="1" s="1"/>
  <c r="S986" i="1" a="1"/>
  <c r="S986" i="1"/>
  <c r="S987" i="1" a="1"/>
  <c r="S987" i="1" s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/>
  <c r="S995" i="1" a="1"/>
  <c r="S995" i="1" s="1"/>
  <c r="S996" i="1" a="1"/>
  <c r="S996" i="1" s="1"/>
  <c r="S997" i="1" a="1"/>
  <c r="S997" i="1" s="1"/>
  <c r="S998" i="1" a="1"/>
  <c r="S998" i="1" s="1"/>
  <c r="S999" i="1" a="1"/>
  <c r="S999" i="1"/>
  <c r="S1000" i="1" a="1"/>
  <c r="S1000" i="1" s="1"/>
  <c r="S1001" i="1" a="1"/>
  <c r="S1001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3" i="1" a="1"/>
  <c r="S3" i="1" s="1"/>
  <c r="S2" i="1" a="1"/>
  <c r="S2" i="1" s="1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D3" i="4"/>
  <c r="C3" i="4"/>
  <c r="B3" i="4"/>
  <c r="D2" i="4"/>
  <c r="C2" i="4"/>
  <c r="B2" i="4"/>
  <c r="I5" i="5"/>
  <c r="I4" i="5"/>
  <c r="I3" i="5"/>
  <c r="I2" i="5"/>
  <c r="H5" i="5"/>
  <c r="H4" i="5"/>
  <c r="H3" i="5"/>
  <c r="H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8" i="4" l="1"/>
  <c r="H8" i="4" s="1"/>
  <c r="E4" i="4"/>
  <c r="G4" i="4" s="1"/>
  <c r="E13" i="4"/>
  <c r="H13" i="4" s="1"/>
  <c r="E5" i="4"/>
  <c r="F5" i="4" s="1"/>
  <c r="E9" i="4"/>
  <c r="E11" i="4"/>
  <c r="F11" i="4" s="1"/>
  <c r="E7" i="4"/>
  <c r="F7" i="4" s="1"/>
  <c r="E6" i="4"/>
  <c r="G6" i="4" s="1"/>
  <c r="E12" i="4"/>
  <c r="G12" i="4" s="1"/>
  <c r="E10" i="4"/>
  <c r="H10" i="4" s="1"/>
  <c r="E3" i="4"/>
  <c r="F3" i="4" s="1"/>
  <c r="E2" i="4"/>
  <c r="H2" i="4" s="1"/>
  <c r="G11" i="4" l="1"/>
  <c r="F12" i="4"/>
  <c r="F4" i="4"/>
  <c r="H11" i="4"/>
  <c r="H6" i="4"/>
  <c r="H12" i="4"/>
  <c r="G13" i="4"/>
  <c r="G5" i="4"/>
  <c r="G10" i="4"/>
  <c r="H4" i="4"/>
  <c r="G3" i="4"/>
  <c r="F13" i="4"/>
  <c r="G8" i="4"/>
  <c r="F2" i="4"/>
  <c r="H7" i="4"/>
  <c r="G2" i="4"/>
  <c r="F10" i="4"/>
  <c r="F8" i="4"/>
  <c r="G7" i="4"/>
  <c r="H9" i="4"/>
  <c r="F9" i="4"/>
  <c r="H5" i="4"/>
  <c r="H3" i="4"/>
  <c r="G9" i="4"/>
  <c r="F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<sst xmlns="http://schemas.openxmlformats.org/spreadsheetml/2006/main" count="7063" uniqueCount="2117">
  <si>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</si>
  <si>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</si>
  <si>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</si>
  <si>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</si>
  <si>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</si>
  <si>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</si>
  <si>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</si>
  <si>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</si>
  <si>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</si>
  <si>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</si>
  <si>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</si>
  <si>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</si>
  <si>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</si>
  <si>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</si>
  <si>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</si>
  <si>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</si>
  <si>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</si>
  <si>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</si>
  <si>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</si>
  <si>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</si>
  <si>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</si>
  <si>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</si>
  <si>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</si>
  <si>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</si>
  <si>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</si>
  <si>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</si>
  <si>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</si>
  <si>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</si>
  <si>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</si>
  <si>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</si>
  <si>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</si>
  <si>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</si>
  <si>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</si>
  <si>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</si>
  <si>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</si>
  <si>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</si>
  <si>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</si>
  <si>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</si>
  <si>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</si>
  <si>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</si>
  <si>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</si>
  <si>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</si>
  <si>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</si>
  <si>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</si>
  <si>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</si>
  <si>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</si>
  <si>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</si>
  <si>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</si>
  <si>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</si>
  <si>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</si>
  <si>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</si>
  <si>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</si>
  <si>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</si>
  <si>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</si>
  <si>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</si>
  <si>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</si>
  <si>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</si>
  <si>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</si>
  <si>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</si>
  <si>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</si>
  <si>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</si>
  <si>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</si>
  <si>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</si>
  <si>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</si>
  <si>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</si>
  <si>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</si>
  <si>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</si>
  <si>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</si>
  <si>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</si>
  <si>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</si>
  <si>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</si>
  <si>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</si>
  <si>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</si>
  <si>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</si>
  <si>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</si>
  <si>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</si>
  <si>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</si>
  <si>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</si>
  <si>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</si>
  <si>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</si>
  <si>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</si>
  <si>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</si>
  <si>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</si>
  <si>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</si>
  <si>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</si>
  <si>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</si>
  <si>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</si>
  <si>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</si>
  <si>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</si>
  <si>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</si>
  <si>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</si>
  <si>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</si>
  <si>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</si>
  <si>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</si>
  <si>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</si>
  <si>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</si>
  <si>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</si>
  <si>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</si>
  <si>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</si>
  <si>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</si>
  <si>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</si>
  <si>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</si>
  <si>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</si>
  <si>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</si>
  <si>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</si>
  <si>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</si>
  <si>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</si>
  <si>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</si>
  <si>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</si>
  <si>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</si>
  <si>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</si>
  <si>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</si>
  <si>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</si>
  <si>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</si>
  <si>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</si>
  <si>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</si>
  <si>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</si>
  <si>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</si>
  <si>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</si>
  <si>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</si>
  <si>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</si>
  <si>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</si>
  <si>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</si>
  <si>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</si>
  <si>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</si>
  <si>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</si>
  <si>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</si>
  <si>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</si>
  <si>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</si>
  <si>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</si>
  <si>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</si>
  <si>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</si>
  <si>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</si>
  <si>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</si>
  <si>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</si>
  <si>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</si>
  <si>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</si>
  <si>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</si>
  <si>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</si>
  <si>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</si>
  <si>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</si>
  <si>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</si>
  <si>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</si>
  <si>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</si>
  <si>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</si>
  <si>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</si>
  <si>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</si>
  <si>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</si>
  <si>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</si>
  <si>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</si>
  <si>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</si>
  <si>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</si>
  <si>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</si>
  <si>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</si>
  <si>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</si>
  <si>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</si>
  <si>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</si>
  <si>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</si>
  <si>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</si>
  <si>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</si>
  <si>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</si>
  <si>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</si>
  <si>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</si>
  <si>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</si>
  <si>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</si>
  <si>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</si>
  <si>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</si>
  <si>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</si>
  <si>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</si>
  <si>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</si>
  <si>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</si>
  <si>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</si>
  <si>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</si>
  <si>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</si>
  <si>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</si>
  <si>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</si>
  <si>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</si>
  <si>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</si>
  <si>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</si>
  <si>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</si>
  <si>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</si>
  <si>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</si>
  <si>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</si>
  <si>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</si>
  <si>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</si>
  <si>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</si>
  <si>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</si>
  <si>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</si>
  <si>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</si>
  <si>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</si>
  <si>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</si>
  <si>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</si>
  <si>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</si>
  <si>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</si>
  <si>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</si>
  <si>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</si>
  <si>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</si>
  <si>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</si>
  <si>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</si>
  <si>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</si>
  <si>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</si>
  <si>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</si>
  <si>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</si>
  <si>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</si>
  <si>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</si>
  <si>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</si>
  <si>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</si>
  <si>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</si>
  <si>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</si>
  <si>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</si>
  <si>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</si>
  <si>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</si>
  <si>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</si>
  <si>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</si>
  <si>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</si>
  <si>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</si>
  <si>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</si>
  <si>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</si>
  <si>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</si>
  <si>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</si>
  <si>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</si>
  <si>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</si>
  <si>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</si>
  <si>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</si>
  <si>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</si>
  <si>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</si>
  <si>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</si>
  <si>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</si>
  <si>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</si>
  <si>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</si>
  <si>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</si>
  <si>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</si>
  <si>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</si>
  <si>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</si>
  <si>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</si>
  <si>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</si>
  <si>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</si>
  <si>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</si>
  <si>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</si>
  <si>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</si>
  <si>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</si>
  <si>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</si>
  <si>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</si>
  <si>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</si>
  <si>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</si>
  <si>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</si>
  <si>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</si>
  <si>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</si>
  <si>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</si>
  <si>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</si>
  <si>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</si>
  <si>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</si>
  <si>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</si>
  <si>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</si>
  <si>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</si>
  <si>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</si>
  <si>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</si>
  <si>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</si>
  <si>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</si>
  <si>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</si>
  <si>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</si>
  <si>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</si>
  <si>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</si>
  <si>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</si>
  <si>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</si>
  <si>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</si>
  <si>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</si>
  <si>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</si>
  <si>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</si>
  <si>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</si>
  <si>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</si>
  <si>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</si>
  <si>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</si>
  <si>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</si>
  <si>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</si>
  <si>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</si>
  <si>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</si>
  <si>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</si>
  <si>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</si>
  <si>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</si>
  <si>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</si>
  <si>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</si>
  <si>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</si>
  <si>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</si>
  <si>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</si>
  <si>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</si>
  <si>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</si>
  <si>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</si>
  <si>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</si>
  <si>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</si>
  <si>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</si>
  <si>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</si>
  <si>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</si>
  <si>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</si>
  <si>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</si>
  <si>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</si>
  <si>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</si>
  <si>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</si>
  <si>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</si>
  <si>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</si>
  <si>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</si>
  <si>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</si>
  <si>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</si>
  <si>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</si>
  <si>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</si>
  <si>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</si>
  <si>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</si>
  <si>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</si>
  <si>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</si>
  <si>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</si>
  <si>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</si>
  <si>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</si>
  <si>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</si>
  <si>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</si>
  <si>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</si>
  <si>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</si>
  <si>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</si>
  <si>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</si>
  <si>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</si>
  <si>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</si>
  <si>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</si>
  <si>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</si>
  <si>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</si>
  <si>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</si>
  <si>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</si>
  <si>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</si>
  <si>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</si>
  <si>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</si>
  <si>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</si>
  <si>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</si>
  <si>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</si>
  <si>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</si>
  <si>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</si>
  <si>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</si>
  <si>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</si>
  <si>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</si>
  <si>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</si>
  <si>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</si>
  <si>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</si>
  <si>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</si>
  <si>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</si>
  <si>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</si>
  <si>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</si>
  <si>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</si>
  <si>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</si>
  <si>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</si>
  <si>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</si>
  <si>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</si>
  <si>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</si>
  <si>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</si>
  <si>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</si>
  <si>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</si>
  <si>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</si>
  <si>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</si>
  <si>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</si>
  <si>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</si>
  <si>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</si>
  <si>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</si>
  <si>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</si>
  <si>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</si>
  <si>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</si>
  <si>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</si>
  <si>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</si>
  <si>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</si>
  <si>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</si>
  <si>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</si>
  <si>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</si>
  <si>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</si>
  <si>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</si>
  <si>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</si>
  <si>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</si>
  <si>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</si>
  <si>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</si>
  <si>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</si>
  <si>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</si>
  <si>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</si>
  <si>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</si>
  <si>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</si>
  <si>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</si>
  <si>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</si>
  <si>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</si>
  <si>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</si>
  <si>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</si>
  <si>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</si>
  <si>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</si>
  <si>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</si>
  <si>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</si>
  <si>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</si>
  <si>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</si>
  <si>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</si>
  <si>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</si>
  <si>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</si>
  <si>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</si>
  <si>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</si>
  <si>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</si>
  <si>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</si>
  <si>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</si>
  <si>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</si>
  <si>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</si>
  <si>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</si>
  <si>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</si>
  <si>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</si>
  <si>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</si>
  <si>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</si>
  <si>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</si>
  <si>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</si>
  <si>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</si>
  <si>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</si>
  <si>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</si>
  <si>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</si>
  <si>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</si>
  <si>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</si>
  <si>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</si>
  <si>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</si>
  <si>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</si>
  <si>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</si>
  <si>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</si>
  <si>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</si>
  <si>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</si>
  <si>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</si>
  <si>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</si>
  <si>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</si>
  <si>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</si>
  <si>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</si>
  <si>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</si>
  <si>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</si>
  <si>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</si>
  <si>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</si>
  <si>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</si>
  <si>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</si>
  <si>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</si>
  <si>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</si>
  <si>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</si>
  <si>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</si>
  <si>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</si>
  <si>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</si>
  <si>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</si>
  <si>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</si>
  <si>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</si>
  <si>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</si>
  <si>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</si>
  <si>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</si>
  <si>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</si>
  <si>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</si>
  <si>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</si>
  <si>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</si>
  <si>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</si>
  <si>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</si>
  <si>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</si>
  <si>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</si>
  <si>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</si>
  <si>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</si>
  <si>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</si>
  <si>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</si>
  <si>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</si>
  <si>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</si>
  <si>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</si>
  <si>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</si>
  <si>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</si>
  <si>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</si>
  <si>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</si>
  <si>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</si>
  <si>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</si>
  <si>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</si>
  <si>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</si>
  <si>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</si>
  <si>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</si>
  <si>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</si>
  <si>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</si>
  <si>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</si>
  <si>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</si>
  <si>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</si>
  <si>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</si>
  <si>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</si>
  <si>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</si>
  <si>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</si>
  <si>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</si>
  <si>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</si>
  <si>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</si>
  <si>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</si>
  <si>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</si>
  <si>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</si>
  <si>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</si>
  <si>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</si>
  <si>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</si>
  <si>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</si>
  <si>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</si>
  <si>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</si>
  <si>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</si>
  <si>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</si>
  <si>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</si>
  <si>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</si>
  <si>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</si>
  <si>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</si>
  <si>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</si>
  <si>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</si>
  <si>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</si>
  <si>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</si>
  <si>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</si>
  <si>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</si>
  <si>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</si>
  <si>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</si>
  <si>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</si>
  <si>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</si>
  <si>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</si>
  <si>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</si>
  <si>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</si>
  <si>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</si>
  <si>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</si>
  <si>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</si>
  <si>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</si>
  <si>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</si>
  <si>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</si>
  <si>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</si>
  <si>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</si>
  <si>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</si>
  <si>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</si>
  <si>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</si>
  <si>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</si>
  <si>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</si>
  <si>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</si>
  <si>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</si>
  <si>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</si>
  <si>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</si>
  <si>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</si>
  <si>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</si>
  <si>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</si>
  <si>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</si>
  <si>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</si>
  <si>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</si>
  <si>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</si>
  <si>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</si>
  <si>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</si>
  <si>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</si>
  <si>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</si>
  <si>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</si>
  <si>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</si>
  <si>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</si>
  <si>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</si>
  <si>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</si>
  <si>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</si>
  <si>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</si>
  <si>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</si>
  <si>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</si>
  <si>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</si>
  <si>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</si>
  <si>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</si>
  <si>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</si>
  <si>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</si>
  <si>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</si>
  <si>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</si>
  <si>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</si>
  <si>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</si>
  <si>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</si>
  <si>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</si>
  <si>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</si>
  <si>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</si>
  <si>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</si>
  <si>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</si>
  <si>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</si>
  <si>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</si>
  <si>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</si>
  <si>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</si>
  <si>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</si>
  <si>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</si>
  <si>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</si>
  <si>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</si>
  <si>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</si>
  <si>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</si>
  <si>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</si>
  <si>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</si>
  <si>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</si>
  <si>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</si>
  <si>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</si>
  <si>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</si>
  <si>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</si>
  <si>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</si>
  <si>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</si>
  <si>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</si>
  <si>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</si>
  <si>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</si>
  <si>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</si>
  <si>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</si>
  <si>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</si>
  <si>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</si>
  <si>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</si>
  <si>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</si>
  <si>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</si>
  <si>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</si>
  <si>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</si>
  <si>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</si>
  <si>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</si>
  <si>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</si>
  <si>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</si>
  <si>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</si>
  <si>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</si>
  <si>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</si>
  <si>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</si>
  <si>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</si>
  <si>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</si>
  <si>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</si>
  <si>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</si>
  <si>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</si>
  <si>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</si>
  <si>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</si>
  <si>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</si>
  <si>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</si>
  <si>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</si>
  <si>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</si>
  <si>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</si>
  <si>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</si>
  <si>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</si>
  <si>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</si>
  <si>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</si>
  <si>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</si>
  <si>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</si>
  <si>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</si>
  <si>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</si>
  <si>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</si>
  <si>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</si>
  <si>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</si>
  <si>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</si>
  <si>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</si>
  <si>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</si>
  <si>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</si>
  <si>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</si>
  <si>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</si>
  <si>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</si>
  <si>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</si>
  <si>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</si>
  <si>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</si>
  <si>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</si>
  <si>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</si>
  <si>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</si>
  <si>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</si>
  <si>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</si>
  <si>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</si>
  <si>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</si>
  <si>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</si>
  <si>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</si>
  <si>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</si>
  <si>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</si>
  <si>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</si>
  <si>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</si>
  <si>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</si>
  <si>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</si>
  <si>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</si>
  <si>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</si>
  <si>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</si>
  <si>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</si>
  <si>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</si>
  <si>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</si>
  <si>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</si>
  <si>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</si>
  <si>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</si>
  <si>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</si>
  <si>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</si>
  <si>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</si>
  <si>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</si>
  <si>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</si>
  <si>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</si>
  <si>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</si>
  <si>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</si>
  <si>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</si>
  <si>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</si>
  <si>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</si>
  <si>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</si>
  <si>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</si>
  <si>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</si>
  <si>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</si>
  <si>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</si>
  <si>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</si>
  <si>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</si>
  <si>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</si>
  <si>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</si>
  <si>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</si>
  <si>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</si>
  <si>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</si>
  <si>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</si>
  <si>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</si>
  <si>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</si>
  <si>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</si>
  <si>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</si>
  <si>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</si>
  <si>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</si>
  <si>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</si>
  <si>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</si>
  <si>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</si>
  <si>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</si>
  <si>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</si>
  <si>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</si>
  <si>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</si>
  <si>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</si>
  <si>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</si>
  <si>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</si>
  <si>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</si>
  <si>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</si>
  <si>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</si>
  <si>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</si>
  <si>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</si>
  <si>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</si>
  <si>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</si>
  <si>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</si>
  <si>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</si>
  <si>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</si>
  <si>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</si>
  <si>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</si>
  <si>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</si>
  <si>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</si>
  <si>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</si>
  <si>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</si>
  <si>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</si>
  <si>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</si>
  <si>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</si>
  <si>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</si>
  <si>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</si>
  <si>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</si>
  <si>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</si>
  <si>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</si>
  <si>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</si>
  <si>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</si>
  <si>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</si>
  <si>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</si>
  <si>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</si>
  <si>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</si>
  <si>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</si>
  <si>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</si>
  <si>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</si>
  <si>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</si>
  <si>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</si>
  <si>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</si>
  <si>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</si>
  <si>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</si>
  <si>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</si>
  <si>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</si>
  <si>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</si>
  <si>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</si>
  <si>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</si>
  <si>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</si>
  <si>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</si>
  <si>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</si>
  <si>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</si>
  <si>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</si>
  <si>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</si>
  <si>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</si>
  <si>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</si>
  <si>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</si>
  <si>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</si>
  <si>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</si>
  <si>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</si>
  <si>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</si>
  <si>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</si>
  <si>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</si>
  <si>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</si>
  <si>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</si>
  <si>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</si>
  <si>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</si>
  <si>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</si>
  <si>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</si>
  <si>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</si>
  <si>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</si>
  <si>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</si>
  <si>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</si>
  <si>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</si>
  <si>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</si>
  <si>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</si>
  <si>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</si>
  <si>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</si>
  <si>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</si>
  <si>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</si>
  <si>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</si>
  <si>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</si>
  <si>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</si>
  <si>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</si>
  <si>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</si>
  <si>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</si>
  <si>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</si>
  <si>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</si>
  <si>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</si>
  <si>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</si>
  <si>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</si>
  <si>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</si>
  <si>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</si>
  <si>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</si>
  <si>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</si>
  <si>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</si>
  <si>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</si>
  <si>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</si>
  <si>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</si>
  <si>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</si>
  <si>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</si>
  <si>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</si>
  <si>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</si>
  <si>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</si>
  <si>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</si>
  <si>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</si>
  <si>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</si>
  <si>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</si>
  <si>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</si>
  <si>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</si>
  <si>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</si>
  <si>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</si>
  <si>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</si>
  <si>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</si>
  <si>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</si>
  <si>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</si>
  <si>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</si>
  <si>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</si>
  <si>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</si>
  <si>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</si>
  <si>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</si>
  <si>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</si>
  <si>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</si>
  <si>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</si>
  <si>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</si>
  <si>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</si>
  <si>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</si>
  <si>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</si>
  <si>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</si>
  <si>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</si>
  <si>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</si>
  <si>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</si>
  <si>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</si>
  <si>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</si>
  <si>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</si>
  <si>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</si>
  <si>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</si>
  <si>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</si>
  <si>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</si>
  <si>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</si>
  <si>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</si>
  <si>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</si>
  <si>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</si>
  <si>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</si>
  <si>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</si>
  <si>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</si>
  <si>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</si>
  <si>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</si>
  <si>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</si>
  <si>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</si>
  <si>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</si>
  <si>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</si>
  <si>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</si>
  <si>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</si>
  <si>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</si>
  <si>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</si>
  <si>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</si>
  <si>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</si>
  <si>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</si>
  <si>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</si>
  <si>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</si>
  <si>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</si>
  <si>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</si>
  <si>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</si>
  <si>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</si>
  <si>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</si>
  <si>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</si>
  <si>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</si>
  <si>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</si>
  <si>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</si>
  <si>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</si>
  <si>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</si>
  <si>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</si>
  <si>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</si>
  <si>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</si>
  <si>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</si>
  <si>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</si>
  <si>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</si>
  <si>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</si>
  <si>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</si>
  <si>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</si>
  <si>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</si>
  <si>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</si>
  <si>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</si>
  <si>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</si>
  <si>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</si>
  <si>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</si>
  <si>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</si>
  <si>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</si>
  <si>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</si>
  <si>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</si>
  <si>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</si>
  <si>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</si>
  <si>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</si>
  <si>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</si>
  <si>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</si>
  <si>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</si>
  <si>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</si>
  <si>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</si>
  <si>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</si>
  <si>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</si>
  <si>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</si>
  <si>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</si>
  <si>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</si>
  <si>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</si>
  <si>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</si>
  <si>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</si>
  <si>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</si>
  <si>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</si>
  <si>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</si>
  <si>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</si>
  <si>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</si>
  <si>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</si>
  <si>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</si>
  <si>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</si>
  <si>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</si>
  <si>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</si>
  <si>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</si>
  <si>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</si>
  <si>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</si>
  <si>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</si>
  <si>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</si>
  <si>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</si>
  <si>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</si>
  <si>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</si>
  <si>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</si>
  <si>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</si>
  <si>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</si>
  <si>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</si>
  <si>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</si>
  <si>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</si>
  <si>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</si>
  <si>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</si>
  <si>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</si>
  <si>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</si>
  <si>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</si>
  <si>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</si>
  <si>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</si>
  <si>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</si>
  <si>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</si>
  <si>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</si>
  <si>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</si>
  <si>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</si>
  <si>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</si>
  <si>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</si>
  <si>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</si>
  <si>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</si>
  <si>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</si>
  <si>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</si>
  <si>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</si>
  <si>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</si>
  <si>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</si>
  <si>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</si>
  <si>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</si>
  <si>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</si>
  <si>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</si>
  <si>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</si>
  <si>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</si>
  <si>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</si>
  <si>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</si>
  <si>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</si>
  <si>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</si>
  <si>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</si>
  <si>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</si>
  <si>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</si>
  <si>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</si>
  <si>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</si>
  <si>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</si>
  <si>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</si>
  <si>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</si>
  <si>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</si>
  <si>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</si>
  <si>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</si>
  <si>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</si>
  <si>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</si>
  <si>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</si>
  <si>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</si>
  <si>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</si>
  <si>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</si>
  <si>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</si>
  <si>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</si>
  <si>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</si>
  <si>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</si>
  <si>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</si>
  <si>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</si>
  <si>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</si>
  <si>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</si>
  <si>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</si>
  <si>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</si>
  <si>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</si>
  <si>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</si>
  <si>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</si>
  <si>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</si>
  <si>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</si>
  <si>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</si>
  <si>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</si>
  <si>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</si>
  <si>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</si>
  <si>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</si>
  <si>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</si>
  <si>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</si>
  <si>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</si>
  <si>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</si>
  <si>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</si>
  <si>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</si>
  <si>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</si>
  <si>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</si>
  <si>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</si>
  <si>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</si>
  <si>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</si>
  <si>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</si>
  <si>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</si>
  <si>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</si>
  <si>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</si>
  <si>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</si>
  <si>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</si>
  <si>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</si>
  <si>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</si>
  <si>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</si>
  <si>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</si>
  <si>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</si>
  <si>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</si>
  <si>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</si>
  <si>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</si>
  <si>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</si>
  <si>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</si>
  <si>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</si>
  <si>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</si>
  <si>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</si>
  <si>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</si>
  <si>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</si>
  <si>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</si>
  <si>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</si>
  <si>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</si>
  <si>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</si>
  <si>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</si>
  <si>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</si>
  <si>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</si>
  <si>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</si>
  <si>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</si>
  <si>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</si>
  <si>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</si>
  <si>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</si>
  <si>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</si>
  <si>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</si>
  <si>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</si>
  <si>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</si>
  <si>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</si>
  <si>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</si>
  <si>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</si>
  <si>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</si>
  <si>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</si>
  <si>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</si>
  <si>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</si>
  <si>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</si>
  <si>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</si>
  <si>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</si>
  <si>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</si>
  <si>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</si>
  <si>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</si>
  <si>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</si>
  <si>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</si>
  <si>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</si>
  <si>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</si>
  <si>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</si>
  <si>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</si>
  <si>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</si>
  <si>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</si>
  <si>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</si>
  <si>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</si>
  <si>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</si>
  <si>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</si>
  <si>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</si>
  <si>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</si>
  <si>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</si>
  <si>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</si>
  <si>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</si>
  <si>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</si>
  <si>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</si>
  <si>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</si>
  <si>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</si>
  <si>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</si>
  <si>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</si>
  <si>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</si>
  <si>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</si>
  <si>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</si>
  <si>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</si>
  <si>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</si>
  <si>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</si>
  <si>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</si>
  <si>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</si>
  <si>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</si>
  <si>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</si>
  <si>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</si>
  <si>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</si>
  <si>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</si>
  <si>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</si>
  <si>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</si>
  <si>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</si>
  <si>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</si>
  <si>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</si>
  <si>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</si>
  <si>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</si>
  <si>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</si>
  <si>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</si>
  <si>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</si>
  <si>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</si>
  <si>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</si>
  <si>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</si>
  <si>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</si>
  <si>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</si>
  <si>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</si>
  <si>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</si>
  <si>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</si>
  <si>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</si>
  <si>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</si>
  <si>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</si>
  <si>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</si>
  <si>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</si>
  <si>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</si>
  <si>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</si>
  <si>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</si>
  <si>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</si>
  <si>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</si>
  <si>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</si>
  <si>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</si>
  <si>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</si>
  <si>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</si>
  <si>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</si>
  <si>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</si>
  <si>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</si>
  <si>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</si>
  <si>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</si>
  <si>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</si>
  <si>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</si>
  <si>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</si>
  <si>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</si>
  <si>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</si>
  <si>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</si>
  <si>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</si>
  <si>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</si>
  <si>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</si>
  <si>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</si>
  <si>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</si>
  <si>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</si>
  <si>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</si>
  <si>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</si>
  <si>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</si>
  <si>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</si>
  <si>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</si>
  <si>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</si>
  <si>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</si>
  <si>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</si>
  <si>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</si>
  <si>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</si>
  <si>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</si>
  <si>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</si>
  <si>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</si>
  <si>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</si>
  <si>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</si>
  <si>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</si>
  <si>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</si>
  <si>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</si>
  <si>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</si>
  <si>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</si>
  <si>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</si>
  <si>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</si>
  <si>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</si>
  <si>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</si>
  <si>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</si>
  <si>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</si>
  <si>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</si>
  <si>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</si>
  <si>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</si>
  <si>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</si>
  <si>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</si>
  <si>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</si>
  <si>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</si>
  <si>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</si>
  <si>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</si>
  <si>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</si>
  <si>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</si>
  <si>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</si>
  <si>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</si>
  <si>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</si>
  <si>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</si>
  <si>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</si>
  <si>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</si>
  <si>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</si>
  <si>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</si>
  <si>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</si>
  <si>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</si>
  <si>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</si>
  <si>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</si>
  <si>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</si>
  <si>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</si>
  <si>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</si>
  <si>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</si>
  <si>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</si>
  <si>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</si>
  <si>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</si>
  <si>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</si>
  <si>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</si>
  <si>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</si>
  <si>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</si>
  <si>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</si>
  <si>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</si>
  <si>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</si>
  <si>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</si>
  <si>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</si>
  <si>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</si>
  <si>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</si>
  <si>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</si>
  <si>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</si>
  <si>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</si>
  <si>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</si>
  <si>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</si>
  <si>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</si>
  <si>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</si>
  <si>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</si>
  <si>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</si>
  <si>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</si>
  <si>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</si>
  <si>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</si>
  <si>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</si>
  <si>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</si>
  <si>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</si>
  <si>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</si>
  <si>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</si>
  <si>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</si>
  <si>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</si>
  <si>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</si>
  <si>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</si>
  <si>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</si>
  <si>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</si>
  <si>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</si>
  <si>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</si>
  <si>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</si>
  <si>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</si>
  <si>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</si>
  <si>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</si>
  <si>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</si>
  <si>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</si>
  <si>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</si>
  <si>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</si>
  <si>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</si>
  <si>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</si>
  <si>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</si>
  <si>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</si>
  <si>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</si>
  <si>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</si>
  <si>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</si>
  <si>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</si>
  <si>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</si>
  <si>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</si>
  <si>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</si>
  <si>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</si>
  <si>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</si>
  <si>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</si>
  <si>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</si>
  <si>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</si>
  <si>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</si>
  <si>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</si>
  <si>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</si>
  <si>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</si>
  <si>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</si>
  <si>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</si>
  <si>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</si>
  <si>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</si>
  <si>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</si>
  <si>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</si>
  <si>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</si>
  <si>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</si>
  <si>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</si>
  <si>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</si>
  <si>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</si>
  <si>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</si>
  <si>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</si>
  <si>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</si>
  <si>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</si>
  <si>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</si>
  <si>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</si>
  <si>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</si>
  <si>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</si>
  <si>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</si>
  <si>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</si>
  <si>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</si>
  <si>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</si>
  <si>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</si>
  <si>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</si>
  <si>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</si>
  <si>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</si>
  <si>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</si>
  <si>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</si>
  <si>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</si>
  <si>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</si>
  <si>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</si>
  <si>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</si>
  <si>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</si>
  <si>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</si>
  <si>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</si>
  <si>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</si>
  <si>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</si>
  <si>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</si>
  <si>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</si>
  <si>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</si>
  <si>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</si>
  <si>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</si>
  <si>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</si>
  <si>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</si>
  <si>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</si>
  <si>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</si>
  <si>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</si>
  <si>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</si>
  <si>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</si>
  <si>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</si>
  <si>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</si>
  <si>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</si>
  <si>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</si>
  <si>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</si>
  <si>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</si>
  <si>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</si>
  <si>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</si>
  <si>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</si>
  <si>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</si>
  <si>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</si>
  <si>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</si>
  <si>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</si>
  <si>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</si>
  <si>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</si>
  <si>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</si>
  <si>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</si>
  <si>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</si>
  <si>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</si>
  <si>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</si>
  <si>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</si>
  <si>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</si>
  <si>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</si>
  <si>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</si>
  <si>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</si>
  <si>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</si>
  <si>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</si>
  <si>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</si>
  <si>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</si>
  <si>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</si>
  <si>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</si>
  <si>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</si>
  <si>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</si>
  <si>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</si>
  <si>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</si>
  <si>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</si>
  <si>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</si>
  <si>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</si>
  <si>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</si>
  <si>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</si>
  <si>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</si>
  <si>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</si>
  <si>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</si>
  <si>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</si>
  <si>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</si>
  <si>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</si>
  <si>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</si>
  <si>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</si>
  <si>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</si>
  <si>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</si>
  <si>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</si>
  <si>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</si>
  <si>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</si>
  <si>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</si>
  <si>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</si>
  <si>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</si>
  <si>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</si>
  <si>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</si>
  <si>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</si>
  <si>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</si>
  <si>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</si>
  <si>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</si>
  <si>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</si>
  <si>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</si>
  <si>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</si>
  <si>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</si>
  <si>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</si>
  <si>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</si>
  <si>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</si>
  <si>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</si>
  <si>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</si>
  <si>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</si>
  <si>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</si>
  <si>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</si>
  <si>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</si>
  <si>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</si>
  <si>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</si>
  <si>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</si>
  <si>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</si>
  <si>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</si>
  <si>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</si>
  <si>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</si>
  <si>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</si>
  <si>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</si>
  <si>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</si>
  <si>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</si>
  <si>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</si>
  <si>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</si>
  <si>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</si>
  <si>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</si>
  <si>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</si>
  <si>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</si>
  <si>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</si>
  <si>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</si>
  <si>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</si>
  <si>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</si>
  <si>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</si>
  <si>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</si>
  <si>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</si>
  <si>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</si>
  <si>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</si>
  <si>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</si>
  <si>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</si>
  <si>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</si>
  <si>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</si>
  <si>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</si>
  <si>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</si>
  <si>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</si>
  <si>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</si>
  <si>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</si>
  <si>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</si>
  <si>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</si>
  <si>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</si>
  <si>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</si>
  <si>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</si>
  <si>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</si>
  <si>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</si>
  <si>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</si>
  <si>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</si>
  <si>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</si>
  <si>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</si>
  <si>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</si>
  <si>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</si>
  <si>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</si>
  <si>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</si>
  <si>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</si>
  <si>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</si>
  <si>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</si>
  <si>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</si>
  <si>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</si>
  <si>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</si>
  <si>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</si>
  <si>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</si>
  <si>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</si>
  <si>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</si>
  <si>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</si>
  <si>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</si>
  <si>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</si>
  <si>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</si>
  <si>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</si>
  <si>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</si>
  <si>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</si>
  <si>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</si>
  <si>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</si>
  <si>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</si>
  <si>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</si>
  <si>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</si>
  <si>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</si>
  <si>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</si>
  <si>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</si>
  <si>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</si>
  <si>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</si>
  <si>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</si>
  <si>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</si>
  <si>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</si>
  <si>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</si>
  <si>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</si>
  <si>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</si>
  <si>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</si>
  <si>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</si>
  <si>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</si>
  <si>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</si>
  <si>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</si>
  <si>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</si>
  <si>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</si>
  <si>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</si>
  <si>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</si>
  <si>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</si>
  <si>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</si>
  <si>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</si>
  <si>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</si>
  <si>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</si>
  <si>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</si>
  <si>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</si>
  <si>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</si>
  <si>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</si>
  <si>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</si>
  <si>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</si>
  <si>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</si>
  <si>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</si>
  <si>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</si>
  <si>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</si>
  <si>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</si>
  <si>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</si>
  <si>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</si>
  <si>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</si>
  <si>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</si>
  <si>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</si>
  <si>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</si>
  <si>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</si>
  <si>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</si>
  <si>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</si>
  <si>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</si>
  <si>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</si>
  <si>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</si>
  <si>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</si>
  <si>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</si>
  <si>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</si>
  <si>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</si>
  <si>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</si>
  <si>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</si>
  <si>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</si>
  <si>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</si>
  <si>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</si>
  <si>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</si>
  <si>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</si>
  <si>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</si>
  <si>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</si>
  <si>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</si>
  <si>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</si>
  <si>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</si>
  <si>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</si>
  <si>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</si>
  <si>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</si>
  <si>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</si>
  <si>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</si>
  <si>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</si>
  <si>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</si>
  <si>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</si>
  <si>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</si>
  <si>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</si>
  <si>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</si>
  <si>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</si>
  <si>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</si>
  <si>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</si>
  <si>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</si>
  <si>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</si>
  <si>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</si>
  <si>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</si>
  <si>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</si>
  <si>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</si>
  <si>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</si>
  <si>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</si>
  <si>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</si>
  <si>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</si>
  <si>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</si>
  <si>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</si>
  <si>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</si>
  <si>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</si>
  <si>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</si>
  <si>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</si>
  <si>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</si>
  <si>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</si>
  <si>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</si>
  <si>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</si>
  <si>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</si>
  <si>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</si>
  <si>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</si>
  <si>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</si>
  <si>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</si>
  <si>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</si>
  <si>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</si>
  <si>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</si>
  <si>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</si>
  <si>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</si>
  <si>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</si>
  <si>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</si>
  <si>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</si>
  <si>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</si>
  <si>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</si>
  <si>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</si>
  <si>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</si>
  <si>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</si>
  <si>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</si>
  <si>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</si>
  <si>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</si>
  <si>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</si>
  <si>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</si>
  <si>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</si>
  <si>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</si>
  <si>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</si>
  <si>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</si>
  <si>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</si>
  <si>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</si>
  <si>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</si>
  <si>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</si>
  <si>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</si>
  <si>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</si>
  <si>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</si>
  <si>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</si>
  <si>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</si>
  <si>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</si>
  <si>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</si>
  <si>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</si>
  <si>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</si>
  <si>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</si>
  <si>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</si>
  <si>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</si>
  <si>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</si>
  <si>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</si>
  <si>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</si>
  <si>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</si>
  <si>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</si>
  <si>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</si>
  <si>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</si>
  <si>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</si>
  <si>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</si>
  <si>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</si>
  <si>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</si>
  <si>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</si>
  <si>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</si>
  <si>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</si>
  <si>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</si>
  <si>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</si>
  <si>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</si>
  <si>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</si>
  <si>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</si>
  <si>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</si>
  <si>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</si>
  <si>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</si>
  <si>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</si>
  <si>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</si>
  <si>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</si>
  <si>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</si>
  <si>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</si>
  <si>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</si>
  <si>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</si>
  <si>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</si>
  <si>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</si>
  <si>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</si>
  <si>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</si>
  <si>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</si>
  <si>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</si>
  <si>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</si>
  <si>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</si>
  <si>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</si>
  <si>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</si>
  <si>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</si>
  <si>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</si>
  <si>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</si>
  <si>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</si>
  <si>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</si>
  <si>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</si>
  <si>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</si>
  <si>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</si>
  <si>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</si>
  <si>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</si>
  <si>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</si>
  <si>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</si>
  <si>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</si>
  <si>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</si>
  <si>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</si>
  <si>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</si>
  <si>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</si>
  <si>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</si>
  <si>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</si>
  <si>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</si>
  <si>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</si>
  <si>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</si>
  <si>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</si>
  <si>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</si>
  <si>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</si>
  <si>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</si>
  <si>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</si>
  <si>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</si>
  <si>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</si>
  <si>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</si>
  <si>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</si>
  <si>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</si>
  <si>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</si>
  <si>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</si>
  <si>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</si>
  <si>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</si>
  <si>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</si>
  <si>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</si>
  <si>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</si>
  <si>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</si>
  <si>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</si>
  <si>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</si>
  <si>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</si>
  <si>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</si>
  <si>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</si>
  <si>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</si>
  <si>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</si>
  <si>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</si>
  <si>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</si>
  <si>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</si>
  <si>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</si>
  <si>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</si>
  <si>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</si>
  <si>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</si>
  <si>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</si>
  <si>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</si>
  <si>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</si>
  <si>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</si>
  <si>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</si>
  <si>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</si>
  <si>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</si>
  <si>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</si>
  <si>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</si>
  <si>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</si>
  <si>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</si>
  <si>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</si>
  <si>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</si>
  <si>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</si>
  <si>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</si>
  <si>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</si>
  <si>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</si>
  <si>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</si>
  <si>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</si>
  <si>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</si>
  <si>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</si>
  <si>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</si>
  <si>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</si>
  <si>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</si>
  <si>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</si>
  <si>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</si>
  <si>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</si>
  <si>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</si>
  <si>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</si>
  <si>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</si>
  <si>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</si>
  <si>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</si>
  <si>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</si>
  <si>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</si>
  <si>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</si>
  <si>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</si>
  <si>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</si>
  <si>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</si>
  <si>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</si>
  <si>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</si>
  <si>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</si>
  <si>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</si>
  <si>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</si>
  <si>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</si>
  <si>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</si>
  <si>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</si>
  <si>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</si>
  <si>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</si>
  <si>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</si>
  <si>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</si>
  <si>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</si>
  <si>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</si>
  <si>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</si>
  <si>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</si>
  <si>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</si>
  <si>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</si>
  <si>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</si>
  <si>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</si>
  <si>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</si>
  <si>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</si>
  <si>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</si>
  <si>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</si>
  <si>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</si>
  <si>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</si>
  <si>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</si>
  <si>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</si>
  <si>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</si>
  <si>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</si>
  <si>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</si>
  <si>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</si>
  <si>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</si>
  <si>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</si>
  <si>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</si>
  <si>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</si>
  <si>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</si>
  <si>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</si>
  <si>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</si>
  <si>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</si>
  <si>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</si>
  <si>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</si>
  <si>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</si>
  <si>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</si>
  <si>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</si>
  <si>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</si>
  <si>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</si>
  <si>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</si>
  <si>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</si>
  <si>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</si>
  <si>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</si>
  <si>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</si>
  <si>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</si>
  <si>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</si>
  <si>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</si>
  <si>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</si>
  <si>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</si>
  <si>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</si>
  <si>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</si>
  <si>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</si>
  <si>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</si>
  <si>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</si>
  <si>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</si>
  <si>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</si>
  <si>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</si>
  <si>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</si>
  <si>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</si>
  <si>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</si>
  <si>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</si>
  <si>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</si>
  <si>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</si>
  <si>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</si>
  <si>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</si>
  <si>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</si>
  <si>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</si>
  <si>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</si>
  <si>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</si>
  <si>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</si>
  <si>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</si>
  <si>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</si>
  <si>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</si>
  <si>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</si>
  <si>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</si>
  <si>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</si>
  <si>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</si>
  <si>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</si>
  <si>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</si>
  <si>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</si>
  <si>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</si>
  <si>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</si>
  <si>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</si>
  <si>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</si>
  <si>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</si>
  <si>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</si>
  <si>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</si>
  <si>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</si>
  <si>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</si>
  <si>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</si>
  <si>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</si>
  <si>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</si>
  <si>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</si>
  <si>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</si>
  <si>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</si>
  <si>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</si>
  <si>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</si>
  <si>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</si>
  <si>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</si>
  <si>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</si>
  <si>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</si>
  <si>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</si>
  <si>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</si>
  <si>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</si>
  <si>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</si>
  <si>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</si>
  <si>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</si>
  <si>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</si>
  <si>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</si>
  <si>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</si>
  <si>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</si>
  <si>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</si>
  <si>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</si>
  <si>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</si>
  <si>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</si>
  <si>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</si>
  <si>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</si>
  <si>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</si>
  <si>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</si>
  <si>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</si>
  <si>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</si>
  <si>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</si>
  <si>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</si>
  <si>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</si>
  <si>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</si>
  <si>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</si>
  <si>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</si>
  <si>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</si>
  <si>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</si>
  <si>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</si>
  <si>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</si>
  <si>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</si>
  <si>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</si>
  <si>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</si>
  <si>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</si>
  <si>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</si>
  <si>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</si>
  <si>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</si>
  <si>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</si>
  <si>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</si>
  <si>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</si>
  <si>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</si>
  <si>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</si>
  <si>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</si>
  <si>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</si>
  <si>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</si>
  <si>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</si>
  <si>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</si>
  <si>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</si>
  <si>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</si>
  <si>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</si>
  <si>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</si>
  <si>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</si>
  <si>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</si>
  <si>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</si>
  <si>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</si>
  <si>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</si>
  <si>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</si>
  <si>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</si>
  <si>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</si>
  <si>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</si>
  <si>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</si>
  <si>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</si>
  <si>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</si>
  <si>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</si>
  <si>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</si>
  <si>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</si>
  <si>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</si>
  <si>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</si>
  <si>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</si>
  <si>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</si>
  <si>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</si>
  <si>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</si>
  <si>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</si>
  <si>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</si>
  <si>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</si>
  <si>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</si>
  <si>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</si>
  <si>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</si>
  <si>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</si>
  <si>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</si>
  <si>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</si>
  <si>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</si>
  <si>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</si>
  <si>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</si>
  <si>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</si>
  <si>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</si>
  <si>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</si>
  <si>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</si>
  <si>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</si>
  <si>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</si>
  <si>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</si>
  <si>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</si>
  <si>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</si>
  <si>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</si>
  <si>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</si>
  <si>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</si>
  <si>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</si>
  <si>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</si>
  <si>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</si>
  <si>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</si>
  <si>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</si>
  <si>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</si>
  <si>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</si>
  <si>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</si>
  <si>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</si>
  <si>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</si>
  <si>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</si>
  <si>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</si>
  <si>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</si>
  <si>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</si>
  <si>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</si>
  <si>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</si>
  <si>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</si>
  <si>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</si>
  <si>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</si>
  <si>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</si>
  <si>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</si>
  <si>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</si>
  <si>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</si>
  <si>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</si>
  <si>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</si>
  <si>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</si>
  <si>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</si>
  <si>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</si>
  <si>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</si>
  <si>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</si>
  <si>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</si>
  <si>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</si>
  <si>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</si>
  <si>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</si>
  <si>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</si>
  <si>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</si>
  <si>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</si>
  <si>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</si>
  <si>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</si>
  <si>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</si>
  <si>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</si>
  <si>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</si>
  <si>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</si>
  <si>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</si>
  <si>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</si>
  <si>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</si>
  <si>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</si>
  <si>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</si>
  <si>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</si>
  <si>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</si>
  <si>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</si>
  <si>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</si>
  <si>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</si>
  <si>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</si>
  <si>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</si>
  <si>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</si>
  <si>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</si>
  <si>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</si>
  <si>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</si>
  <si>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</si>
  <si>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</si>
  <si>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</si>
  <si>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</si>
  <si>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</si>
  <si>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</si>
  <si>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</si>
  <si>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</si>
  <si>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</si>
  <si>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</si>
  <si>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</si>
  <si>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</si>
  <si>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</si>
  <si>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</si>
  <si>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</si>
  <si>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</si>
  <si>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</si>
  <si>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</si>
  <si>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</si>
  <si>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</si>
  <si>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</si>
  <si>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</si>
  <si>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</si>
  <si>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</si>
  <si>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</si>
  <si>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</si>
  <si>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</si>
  <si>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</si>
  <si>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</si>
  <si>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</si>
  <si>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</si>
  <si>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</si>
  <si>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</si>
  <si>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</si>
  <si>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</si>
  <si>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</si>
  <si>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</si>
  <si>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</si>
  <si>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</si>
  <si>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</si>
  <si>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</si>
  <si>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</si>
  <si>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</si>
  <si>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</si>
  <si>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</si>
  <si>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</si>
  <si>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</si>
  <si>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</si>
  <si>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</si>
  <si>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</si>
  <si>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</si>
  <si>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</si>
  <si>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</si>
  <si>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</si>
  <si>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</si>
  <si>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</si>
  <si>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</si>
  <si>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</si>
  <si>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</si>
  <si>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</si>
  <si>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</si>
  <si>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</si>
  <si>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</si>
  <si>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</si>
  <si>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</si>
  <si>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</si>
  <si>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</si>
  <si>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Outcome</t>
  </si>
  <si>
    <t>Number of Backers</t>
  </si>
  <si>
    <t>Failed Outcome</t>
  </si>
  <si>
    <t>Backers of Successful Campaign</t>
  </si>
  <si>
    <t>Backers of Failed Campaigns</t>
  </si>
  <si>
    <t>Mean</t>
  </si>
  <si>
    <t>Minimum</t>
  </si>
  <si>
    <t>Maxmium</t>
  </si>
  <si>
    <t>Variance</t>
  </si>
  <si>
    <t>Standard Deviation</t>
  </si>
  <si>
    <t>Median</t>
  </si>
  <si>
    <t>Row Labels</t>
  </si>
  <si>
    <t>Grand Total</t>
  </si>
  <si>
    <t>food</t>
  </si>
  <si>
    <t>music</t>
  </si>
  <si>
    <t>theater</t>
  </si>
  <si>
    <t>film &amp; video</t>
  </si>
  <si>
    <t>photography</t>
  </si>
  <si>
    <t>games</t>
  </si>
  <si>
    <t>publishing</t>
  </si>
  <si>
    <t>technology</t>
  </si>
  <si>
    <t>journalism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</si>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</sst>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" fontId="0" fillId="0" borderId="0" xfId="0" applyNumberFormat="1"/>
    <xf numFmtId="164" fontId="0" fillId="0" borderId="0" xfId="0" applyNumberForma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Gorin.xlsx]Category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0F-4BF4-B071-35D47A3BF1A3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0F-4BF4-B071-35D47A3BF1A3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0F-4BF4-B071-35D47A3BF1A3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0F-4BF4-B071-35D47A3BF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081752"/>
        <c:axId val="350082080"/>
      </c:barChart>
      <c:catAx>
        <c:axId val="35008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82080"/>
        <c:crosses val="autoZero"/>
        <c:auto val="1"/>
        <c:lblAlgn val="ctr"/>
        <c:lblOffset val="100"/>
        <c:noMultiLvlLbl val="0"/>
      </c:catAx>
      <c:valAx>
        <c:axId val="3500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8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Gorin.xlsx]Sub-Category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Analysis'!$B$6:$B$30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C-4914-971B-6E79812DB452}"/>
            </c:ext>
          </c:extLst>
        </c:ser>
        <c:ser>
          <c:idx val="1"/>
          <c:order val="1"/>
          <c:tx>
            <c:strRef>
              <c:f>'Sub-Category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C-4914-971B-6E79812DB452}"/>
            </c:ext>
          </c:extLst>
        </c:ser>
        <c:ser>
          <c:idx val="2"/>
          <c:order val="2"/>
          <c:tx>
            <c:strRef>
              <c:f>'Sub-Category Analysis'!$D$4:$D$5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Analysis'!$D$6:$D$30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4C-4914-971B-6E79812DB452}"/>
            </c:ext>
          </c:extLst>
        </c:ser>
        <c:ser>
          <c:idx val="3"/>
          <c:order val="3"/>
          <c:tx>
            <c:strRef>
              <c:f>'Sub-Category Analysis'!$E$4:$E$5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4C-4914-971B-6E79812DB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241008"/>
        <c:axId val="543236744"/>
      </c:barChart>
      <c:catAx>
        <c:axId val="54324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36744"/>
        <c:crosses val="autoZero"/>
        <c:auto val="1"/>
        <c:lblAlgn val="ctr"/>
        <c:lblOffset val="100"/>
        <c:noMultiLvlLbl val="0"/>
      </c:catAx>
      <c:valAx>
        <c:axId val="54323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Gorin.xlsx]Date Analysis!PivotTable4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Analysis'!$B$4:$B$5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Analysis'!$B$6:$B$18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1-4429-8CB2-B6459F14653F}"/>
            </c:ext>
          </c:extLst>
        </c:ser>
        <c:ser>
          <c:idx val="1"/>
          <c:order val="1"/>
          <c:tx>
            <c:strRef>
              <c:f>'Date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1-4429-8CB2-B6459F14653F}"/>
            </c:ext>
          </c:extLst>
        </c:ser>
        <c:ser>
          <c:idx val="2"/>
          <c:order val="2"/>
          <c:tx>
            <c:strRef>
              <c:f>'Date Analysis'!$D$4:$D$5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Analysis'!$D$6:$D$18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1-4429-8CB2-B6459F14653F}"/>
            </c:ext>
          </c:extLst>
        </c:ser>
        <c:ser>
          <c:idx val="3"/>
          <c:order val="3"/>
          <c:tx>
            <c:strRef>
              <c:f>'Date Analysis'!$E$4:$E$5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Analysis'!$E$6:$E$18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2-4274-B0A8-EE37BAC97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254128"/>
        <c:axId val="543253800"/>
      </c:lineChart>
      <c:catAx>
        <c:axId val="5432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53800"/>
        <c:crosses val="autoZero"/>
        <c:auto val="1"/>
        <c:lblAlgn val="ctr"/>
        <c:lblOffset val="100"/>
        <c:noMultiLvlLbl val="0"/>
      </c:catAx>
      <c:valAx>
        <c:axId val="5432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Amount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1-48CF-9756-5DC6804D4EC5}"/>
            </c:ext>
          </c:extLst>
        </c:ser>
        <c:ser>
          <c:idx val="1"/>
          <c:order val="1"/>
          <c:tx>
            <c:strRef>
              <c:f>'Goal Amount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Amount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1-48CF-9756-5DC6804D4EC5}"/>
            </c:ext>
          </c:extLst>
        </c:ser>
        <c:ser>
          <c:idx val="2"/>
          <c:order val="2"/>
          <c:tx>
            <c:strRef>
              <c:f>'Goal Amount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Amount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31-48CF-9756-5DC6804D4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02200"/>
        <c:axId val="552899248"/>
      </c:lineChart>
      <c:catAx>
        <c:axId val="55290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99248"/>
        <c:crosses val="autoZero"/>
        <c:auto val="1"/>
        <c:lblAlgn val="ctr"/>
        <c:lblOffset val="100"/>
        <c:noMultiLvlLbl val="0"/>
      </c:catAx>
      <c:valAx>
        <c:axId val="5528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1</xdr:row>
      <xdr:rowOff>95250</xdr:rowOff>
    </xdr:from>
    <xdr:to>
      <xdr:col>15</xdr:col>
      <xdr:colOff>685799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312CE-E1BC-8B29-EFF9-0990BB094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2</xdr:row>
      <xdr:rowOff>190499</xdr:rowOff>
    </xdr:from>
    <xdr:to>
      <xdr:col>15</xdr:col>
      <xdr:colOff>400050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3D97E-9438-617D-778E-0ECFB3115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3</xdr:row>
      <xdr:rowOff>171450</xdr:rowOff>
    </xdr:from>
    <xdr:to>
      <xdr:col>13</xdr:col>
      <xdr:colOff>595312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95A43-DCEA-9263-CF7A-07EAFA50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280986</xdr:colOff>
      <xdr:row>14</xdr:row>
      <xdr:rowOff>28575</xdr:rowOff>
    </xdr:from>
    <xdr:to>
      <xdr:col>7</xdr:col>
      <xdr:colOff>1114424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97354-92CD-25F5-F023-6AB738AE5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natan Gorin" refreshedDate="44909.600953935187" createdVersion="8" refreshedVersion="8" minRefreshableVersion="3" recordCount="1000" xr:uid="{EB494302-1808-4EF3-AF5E-51D8895E5717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4D0ED-3F85-487B-B728-17BD03A208F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567DA-4336-4AE3-9C45-8F079AFF146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F3317-B2AF-4291-8033-F43C9409BF8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I11" sqref="I11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3.5" bestFit="1" customWidth="1"/>
    <col min="9" max="9" width="16.5" bestFit="1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22.3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ROUND(E2/D2*100,0)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ROUND(E3/D3*100,0)</f>
        <v>1040</v>
      </c>
      <c r="G3" t="s">
        <v>20</v>
      </c>
      <c r="H3">
        <v>158</v>
      </c>
      <c r="I3">
        <f t="shared" ref="I3:I66" si="1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(((L3/60)/60)/24)+DATE(1970,1,1)</f>
        <v>41870.208333333336</v>
      </c>
      <c r="O3" s="6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ROUND(E67/D67*100,0)</f>
        <v>236</v>
      </c>
      <c r="G67" t="s">
        <v>20</v>
      </c>
      <c r="H67">
        <v>236</v>
      </c>
      <c r="I67">
        <f t="shared" ref="I67:I130" si="5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ROUND(E131/D131*100,0)</f>
        <v>3</v>
      </c>
      <c r="G131" t="s">
        <v>74</v>
      </c>
      <c r="H131">
        <v>55</v>
      </c>
      <c r="I131">
        <f t="shared" ref="I131:I194" si="9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ROUND(E195/D195*100,0)</f>
        <v>46</v>
      </c>
      <c r="G195" t="s">
        <v>14</v>
      </c>
      <c r="H195">
        <v>65</v>
      </c>
      <c r="I195">
        <f t="shared" ref="I195:I258" si="13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ROUND(E259/D259*100,0)</f>
        <v>146</v>
      </c>
      <c r="G259" t="s">
        <v>20</v>
      </c>
      <c r="H259">
        <v>92</v>
      </c>
      <c r="I259">
        <f t="shared" ref="I259:I322" si="17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ROUND(E323/D323*100,0)</f>
        <v>94</v>
      </c>
      <c r="G323" t="s">
        <v>14</v>
      </c>
      <c r="H323">
        <v>2468</v>
      </c>
      <c r="I323">
        <f t="shared" ref="I323:I386" si="21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ROUND(E387/D387*100,0)</f>
        <v>146</v>
      </c>
      <c r="G387" t="s">
        <v>20</v>
      </c>
      <c r="H387">
        <v>1137</v>
      </c>
      <c r="I387">
        <f t="shared" ref="I387:I450" si="25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ROUND(E451/D451*100,0)</f>
        <v>967</v>
      </c>
      <c r="G451" t="s">
        <v>20</v>
      </c>
      <c r="H451">
        <v>86</v>
      </c>
      <c r="I451">
        <f t="shared" ref="I451:I514" si="29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ROUND(E515/D515*100,0)</f>
        <v>39</v>
      </c>
      <c r="G515" t="s">
        <v>74</v>
      </c>
      <c r="H515">
        <v>35</v>
      </c>
      <c r="I515">
        <f t="shared" ref="I515:I578" si="33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ROUND(E579/D579*100,0)</f>
        <v>19</v>
      </c>
      <c r="G579" t="s">
        <v>74</v>
      </c>
      <c r="H579">
        <v>37</v>
      </c>
      <c r="I579">
        <f t="shared" ref="I579:I642" si="37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ROUND(E643/D643*100,0)</f>
        <v>120</v>
      </c>
      <c r="G643" t="s">
        <v>20</v>
      </c>
      <c r="H643">
        <v>194</v>
      </c>
      <c r="I643">
        <f t="shared" ref="I643:I706" si="41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ROUND(E707/D707*100,0)</f>
        <v>99</v>
      </c>
      <c r="G707" t="s">
        <v>14</v>
      </c>
      <c r="H707">
        <v>2025</v>
      </c>
      <c r="I707">
        <f t="shared" ref="I707:I770" si="45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ROUND(E771/D771*100,0)</f>
        <v>87</v>
      </c>
      <c r="G771" t="s">
        <v>14</v>
      </c>
      <c r="H771">
        <v>3410</v>
      </c>
      <c r="I771">
        <f t="shared" ref="I771:I834" si="49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ROUND(E835/D835*100,0)</f>
        <v>158</v>
      </c>
      <c r="G835" t="s">
        <v>20</v>
      </c>
      <c r="H835">
        <v>165</v>
      </c>
      <c r="I835">
        <f t="shared" ref="I835:I898" si="53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ROUND(E899/D899*100,0)</f>
        <v>28</v>
      </c>
      <c r="G899" t="s">
        <v>14</v>
      </c>
      <c r="H899">
        <v>27</v>
      </c>
      <c r="I899">
        <f t="shared" ref="I899:I962" si="57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ROUND(E963/D963*100,0)</f>
        <v>119</v>
      </c>
      <c r="G963" t="s">
        <v>20</v>
      </c>
      <c r="H963">
        <v>155</v>
      </c>
      <c r="I963">
        <f t="shared" ref="I963:I1001" si="61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915D-809E-4AA7-94F0-9C94A33530DB}">
  <sheetPr codeName="Sheet2"/>
  <dimension ref="A1:F14"/>
  <sheetViews>
    <sheetView workbookViewId="0">
      <selection activeCell="D7" sqref="D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8.375" bestFit="1" customWidth="1"/>
    <col min="5" max="5" width="3.875" bestFit="1" customWidth="1"/>
    <col min="6" max="6" width="11" bestFit="1" customWidth="1"/>
    <col min="7" max="7" width="16.5" bestFit="1" customWidth="1"/>
    <col min="8" max="8" width="10.375" bestFit="1" customWidth="1"/>
    <col min="9" max="9" width="16.5" bestFit="1" customWidth="1"/>
    <col min="10" max="10" width="15.375" bestFit="1" customWidth="1"/>
    <col min="11" max="11" width="21.625" bestFit="1" customWidth="1"/>
  </cols>
  <sheetData>
    <row r="1" spans="1:6" x14ac:dyDescent="0.25">
      <c r="A1" s="8" t="s">
        <v>6</v>
      </c>
      <c r="B1" t="s">
        <v>2077</v>
      </c>
    </row>
    <row r="3" spans="1:6" x14ac:dyDescent="0.25">
      <c r="A3" s="8" t="s">
        <v>2116</v>
      </c>
      <c r="B3" s="8" t="s">
        <v>2078</v>
      </c>
    </row>
    <row r="4" spans="1:6" x14ac:dyDescent="0.25">
      <c r="A4" s="8" t="s">
        <v>2066</v>
      </c>
      <c r="B4" t="s">
        <v>20</v>
      </c>
      <c r="C4" t="s">
        <v>14</v>
      </c>
      <c r="D4" t="s">
        <v>74</v>
      </c>
      <c r="E4" t="s">
        <v>47</v>
      </c>
      <c r="F4" t="s">
        <v>2067</v>
      </c>
    </row>
    <row r="5" spans="1:6" x14ac:dyDescent="0.25">
      <c r="A5" s="9" t="s">
        <v>2071</v>
      </c>
      <c r="B5">
        <v>102</v>
      </c>
      <c r="C5">
        <v>60</v>
      </c>
      <c r="D5">
        <v>11</v>
      </c>
      <c r="E5">
        <v>5</v>
      </c>
      <c r="F5">
        <v>178</v>
      </c>
    </row>
    <row r="6" spans="1:6" x14ac:dyDescent="0.25">
      <c r="A6" s="9" t="s">
        <v>2068</v>
      </c>
      <c r="B6">
        <v>22</v>
      </c>
      <c r="C6">
        <v>20</v>
      </c>
      <c r="D6">
        <v>4</v>
      </c>
      <c r="F6">
        <v>46</v>
      </c>
    </row>
    <row r="7" spans="1:6" x14ac:dyDescent="0.25">
      <c r="A7" s="9" t="s">
        <v>2073</v>
      </c>
      <c r="B7">
        <v>21</v>
      </c>
      <c r="C7">
        <v>23</v>
      </c>
      <c r="D7">
        <v>1</v>
      </c>
      <c r="E7">
        <v>3</v>
      </c>
      <c r="F7">
        <v>48</v>
      </c>
    </row>
    <row r="8" spans="1:6" x14ac:dyDescent="0.25">
      <c r="A8" s="9" t="s">
        <v>2076</v>
      </c>
      <c r="B8">
        <v>4</v>
      </c>
      <c r="F8">
        <v>4</v>
      </c>
    </row>
    <row r="9" spans="1:6" x14ac:dyDescent="0.25">
      <c r="A9" s="9" t="s">
        <v>2069</v>
      </c>
      <c r="B9">
        <v>99</v>
      </c>
      <c r="C9">
        <v>66</v>
      </c>
      <c r="D9">
        <v>10</v>
      </c>
      <c r="F9">
        <v>175</v>
      </c>
    </row>
    <row r="10" spans="1:6" x14ac:dyDescent="0.25">
      <c r="A10" s="9" t="s">
        <v>2072</v>
      </c>
      <c r="B10">
        <v>26</v>
      </c>
      <c r="C10">
        <v>11</v>
      </c>
      <c r="D10">
        <v>4</v>
      </c>
      <c r="E10">
        <v>1</v>
      </c>
      <c r="F10">
        <v>42</v>
      </c>
    </row>
    <row r="11" spans="1:6" x14ac:dyDescent="0.25">
      <c r="A11" s="9" t="s">
        <v>2074</v>
      </c>
      <c r="B11">
        <v>40</v>
      </c>
      <c r="C11">
        <v>24</v>
      </c>
      <c r="D11">
        <v>2</v>
      </c>
      <c r="E11">
        <v>1</v>
      </c>
      <c r="F11">
        <v>67</v>
      </c>
    </row>
    <row r="12" spans="1:6" x14ac:dyDescent="0.25">
      <c r="A12" s="9" t="s">
        <v>2075</v>
      </c>
      <c r="B12">
        <v>64</v>
      </c>
      <c r="C12">
        <v>28</v>
      </c>
      <c r="D12">
        <v>2</v>
      </c>
      <c r="E12">
        <v>2</v>
      </c>
      <c r="F12">
        <v>96</v>
      </c>
    </row>
    <row r="13" spans="1:6" x14ac:dyDescent="0.25">
      <c r="A13" s="9" t="s">
        <v>2070</v>
      </c>
      <c r="B13">
        <v>187</v>
      </c>
      <c r="C13">
        <v>132</v>
      </c>
      <c r="D13">
        <v>23</v>
      </c>
      <c r="E13">
        <v>2</v>
      </c>
      <c r="F13">
        <v>344</v>
      </c>
    </row>
    <row r="14" spans="1:6" x14ac:dyDescent="0.25">
      <c r="A14" s="9" t="s">
        <v>2067</v>
      </c>
      <c r="B14">
        <v>565</v>
      </c>
      <c r="C14">
        <v>364</v>
      </c>
      <c r="D14">
        <v>57</v>
      </c>
      <c r="E14">
        <v>14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103D-D652-4802-9FE7-85EEF0BD0372}">
  <sheetPr codeName="Sheet3"/>
  <dimension ref="A1:F30"/>
  <sheetViews>
    <sheetView workbookViewId="0">
      <selection activeCell="A21" sqref="A6:A29"/>
      <pivotSelection pane="bottomRight" showHeader="1" axis="axisRow" activeRow="20" previousRow="20" click="1" r:id="rId1">
        <pivotArea dataOnly="0" labelOnly="1" fieldPosition="0">
          <references count="1">
            <reference field="19" count="0"/>
          </references>
        </pivotArea>
      </pivotSelection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8.375" bestFit="1" customWidth="1"/>
    <col min="5" max="5" width="3.875" bestFit="1" customWidth="1"/>
    <col min="6" max="6" width="11" bestFit="1" customWidth="1"/>
  </cols>
  <sheetData>
    <row r="1" spans="1:6" x14ac:dyDescent="0.25">
      <c r="A1" s="8" t="s">
        <v>6</v>
      </c>
      <c r="B1" t="s">
        <v>2077</v>
      </c>
    </row>
    <row r="2" spans="1:6" x14ac:dyDescent="0.25">
      <c r="A2" s="8" t="s">
        <v>2031</v>
      </c>
      <c r="B2" t="s">
        <v>2077</v>
      </c>
    </row>
    <row r="4" spans="1:6" x14ac:dyDescent="0.25">
      <c r="A4" s="8" t="s">
        <v>2116</v>
      </c>
      <c r="B4" s="8" t="s">
        <v>2078</v>
      </c>
    </row>
    <row r="5" spans="1:6" x14ac:dyDescent="0.25">
      <c r="A5" s="8" t="s">
        <v>2066</v>
      </c>
      <c r="B5" t="s">
        <v>20</v>
      </c>
      <c r="C5" t="s">
        <v>14</v>
      </c>
      <c r="D5" t="s">
        <v>74</v>
      </c>
      <c r="E5" t="s">
        <v>47</v>
      </c>
      <c r="F5" t="s">
        <v>2067</v>
      </c>
    </row>
    <row r="6" spans="1:6" x14ac:dyDescent="0.25">
      <c r="A6" s="9" t="s">
        <v>2079</v>
      </c>
      <c r="B6">
        <v>21</v>
      </c>
      <c r="C6">
        <v>10</v>
      </c>
      <c r="D6">
        <v>1</v>
      </c>
      <c r="E6">
        <v>2</v>
      </c>
      <c r="F6">
        <v>34</v>
      </c>
    </row>
    <row r="7" spans="1:6" x14ac:dyDescent="0.25">
      <c r="A7" s="9" t="s">
        <v>2080</v>
      </c>
      <c r="B7">
        <v>4</v>
      </c>
      <c r="F7">
        <v>4</v>
      </c>
    </row>
    <row r="8" spans="1:6" x14ac:dyDescent="0.25">
      <c r="A8" s="9" t="s">
        <v>2081</v>
      </c>
      <c r="B8">
        <v>34</v>
      </c>
      <c r="C8">
        <v>21</v>
      </c>
      <c r="D8">
        <v>4</v>
      </c>
      <c r="E8">
        <v>1</v>
      </c>
      <c r="F8">
        <v>60</v>
      </c>
    </row>
    <row r="9" spans="1:6" x14ac:dyDescent="0.25">
      <c r="A9" s="9" t="s">
        <v>2082</v>
      </c>
      <c r="B9">
        <v>22</v>
      </c>
      <c r="C9">
        <v>12</v>
      </c>
      <c r="D9">
        <v>2</v>
      </c>
      <c r="E9">
        <v>1</v>
      </c>
      <c r="F9">
        <v>37</v>
      </c>
    </row>
    <row r="10" spans="1:6" x14ac:dyDescent="0.25">
      <c r="A10" s="9" t="s">
        <v>2083</v>
      </c>
      <c r="B10">
        <v>10</v>
      </c>
      <c r="C10">
        <v>8</v>
      </c>
      <c r="F10">
        <v>18</v>
      </c>
    </row>
    <row r="11" spans="1:6" x14ac:dyDescent="0.25">
      <c r="A11" s="9" t="s">
        <v>2084</v>
      </c>
      <c r="B11">
        <v>9</v>
      </c>
      <c r="C11">
        <v>7</v>
      </c>
      <c r="D11">
        <v>1</v>
      </c>
      <c r="F11">
        <v>17</v>
      </c>
    </row>
    <row r="12" spans="1:6" x14ac:dyDescent="0.25">
      <c r="A12" s="9" t="s">
        <v>2085</v>
      </c>
      <c r="B12">
        <v>22</v>
      </c>
      <c r="C12">
        <v>20</v>
      </c>
      <c r="D12">
        <v>4</v>
      </c>
      <c r="F12">
        <v>46</v>
      </c>
    </row>
    <row r="13" spans="1:6" x14ac:dyDescent="0.25">
      <c r="A13" s="9" t="s">
        <v>2086</v>
      </c>
      <c r="B13">
        <v>23</v>
      </c>
      <c r="C13">
        <v>19</v>
      </c>
      <c r="D13">
        <v>3</v>
      </c>
      <c r="F13">
        <v>45</v>
      </c>
    </row>
    <row r="14" spans="1:6" x14ac:dyDescent="0.25">
      <c r="A14" s="9" t="s">
        <v>2087</v>
      </c>
      <c r="B14">
        <v>10</v>
      </c>
      <c r="C14">
        <v>6</v>
      </c>
      <c r="D14">
        <v>1</v>
      </c>
      <c r="F14">
        <v>17</v>
      </c>
    </row>
    <row r="15" spans="1:6" x14ac:dyDescent="0.25">
      <c r="A15" s="9" t="s">
        <v>2088</v>
      </c>
      <c r="B15">
        <v>4</v>
      </c>
      <c r="C15">
        <v>3</v>
      </c>
      <c r="F15">
        <v>7</v>
      </c>
    </row>
    <row r="16" spans="1:6" x14ac:dyDescent="0.25">
      <c r="A16" s="9" t="s">
        <v>2089</v>
      </c>
      <c r="B16">
        <v>4</v>
      </c>
      <c r="C16">
        <v>8</v>
      </c>
      <c r="E16">
        <v>1</v>
      </c>
      <c r="F16">
        <v>13</v>
      </c>
    </row>
    <row r="17" spans="1:6" x14ac:dyDescent="0.25">
      <c r="A17" s="9" t="s">
        <v>2090</v>
      </c>
      <c r="B17">
        <v>13</v>
      </c>
      <c r="C17">
        <v>6</v>
      </c>
      <c r="D17">
        <v>1</v>
      </c>
      <c r="E17">
        <v>1</v>
      </c>
      <c r="F17">
        <v>21</v>
      </c>
    </row>
    <row r="18" spans="1:6" x14ac:dyDescent="0.25">
      <c r="A18" s="9" t="s">
        <v>2091</v>
      </c>
      <c r="B18">
        <v>26</v>
      </c>
      <c r="C18">
        <v>11</v>
      </c>
      <c r="D18">
        <v>4</v>
      </c>
      <c r="E18">
        <v>1</v>
      </c>
      <c r="F18">
        <v>42</v>
      </c>
    </row>
    <row r="19" spans="1:6" x14ac:dyDescent="0.25">
      <c r="A19" s="9" t="s">
        <v>2092</v>
      </c>
      <c r="B19">
        <v>187</v>
      </c>
      <c r="C19">
        <v>132</v>
      </c>
      <c r="D19">
        <v>23</v>
      </c>
      <c r="E19">
        <v>2</v>
      </c>
      <c r="F19">
        <v>344</v>
      </c>
    </row>
    <row r="20" spans="1:6" x14ac:dyDescent="0.25">
      <c r="A20" s="9" t="s">
        <v>2093</v>
      </c>
      <c r="B20">
        <v>4</v>
      </c>
      <c r="C20">
        <v>4</v>
      </c>
      <c r="F20">
        <v>8</v>
      </c>
    </row>
    <row r="21" spans="1:6" x14ac:dyDescent="0.25">
      <c r="A21" s="9" t="s">
        <v>2094</v>
      </c>
      <c r="B21">
        <v>49</v>
      </c>
      <c r="C21">
        <v>30</v>
      </c>
      <c r="D21">
        <v>6</v>
      </c>
      <c r="F21">
        <v>85</v>
      </c>
    </row>
    <row r="22" spans="1:6" x14ac:dyDescent="0.25">
      <c r="A22" s="9" t="s">
        <v>2095</v>
      </c>
      <c r="B22">
        <v>5</v>
      </c>
      <c r="C22">
        <v>9</v>
      </c>
      <c r="F22">
        <v>14</v>
      </c>
    </row>
    <row r="23" spans="1:6" x14ac:dyDescent="0.25">
      <c r="A23" s="9" t="s">
        <v>2096</v>
      </c>
      <c r="B23">
        <v>9</v>
      </c>
      <c r="C23">
        <v>5</v>
      </c>
      <c r="D23">
        <v>1</v>
      </c>
      <c r="E23">
        <v>1</v>
      </c>
      <c r="F23">
        <v>16</v>
      </c>
    </row>
    <row r="24" spans="1:6" x14ac:dyDescent="0.25">
      <c r="A24" s="9" t="s">
        <v>2097</v>
      </c>
      <c r="B24">
        <v>11</v>
      </c>
      <c r="C24">
        <v>3</v>
      </c>
      <c r="D24">
        <v>3</v>
      </c>
      <c r="F24">
        <v>17</v>
      </c>
    </row>
    <row r="25" spans="1:6" x14ac:dyDescent="0.25">
      <c r="A25" s="9" t="s">
        <v>2098</v>
      </c>
      <c r="B25">
        <v>14</v>
      </c>
      <c r="C25">
        <v>7</v>
      </c>
      <c r="F25">
        <v>21</v>
      </c>
    </row>
    <row r="26" spans="1:6" x14ac:dyDescent="0.25">
      <c r="A26" s="9" t="s">
        <v>2099</v>
      </c>
      <c r="B26">
        <v>17</v>
      </c>
      <c r="C26">
        <v>15</v>
      </c>
      <c r="D26">
        <v>1</v>
      </c>
      <c r="E26">
        <v>2</v>
      </c>
      <c r="F26">
        <v>35</v>
      </c>
    </row>
    <row r="27" spans="1:6" x14ac:dyDescent="0.25">
      <c r="A27" s="9" t="s">
        <v>2100</v>
      </c>
      <c r="B27">
        <v>28</v>
      </c>
      <c r="C27">
        <v>16</v>
      </c>
      <c r="E27">
        <v>1</v>
      </c>
      <c r="F27">
        <v>45</v>
      </c>
    </row>
    <row r="28" spans="1:6" x14ac:dyDescent="0.25">
      <c r="A28" s="9" t="s">
        <v>2101</v>
      </c>
      <c r="B28">
        <v>36</v>
      </c>
      <c r="C28">
        <v>12</v>
      </c>
      <c r="D28">
        <v>2</v>
      </c>
      <c r="E28">
        <v>1</v>
      </c>
      <c r="F28">
        <v>51</v>
      </c>
    </row>
    <row r="29" spans="1:6" x14ac:dyDescent="0.25">
      <c r="A29" s="9" t="s">
        <v>2102</v>
      </c>
      <c r="B29">
        <v>3</v>
      </c>
      <c r="F29">
        <v>3</v>
      </c>
    </row>
    <row r="30" spans="1:6" x14ac:dyDescent="0.25">
      <c r="A30" s="9" t="s">
        <v>2067</v>
      </c>
      <c r="B30">
        <v>565</v>
      </c>
      <c r="C30">
        <v>364</v>
      </c>
      <c r="D30">
        <v>57</v>
      </c>
      <c r="E30">
        <v>14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D79-F74F-40B0-BAC7-FD7D4F12C9D0}">
  <sheetPr codeName="Sheet4"/>
  <dimension ref="A1:F18"/>
  <sheetViews>
    <sheetView workbookViewId="0">
      <selection activeCell="D5" sqref="D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8.375" bestFit="1" customWidth="1"/>
    <col min="5" max="5" width="3.875" bestFit="1" customWidth="1"/>
    <col min="6" max="6" width="11" bestFit="1" customWidth="1"/>
  </cols>
  <sheetData>
    <row r="1" spans="1:6" x14ac:dyDescent="0.25">
      <c r="A1" s="8" t="s">
        <v>2031</v>
      </c>
      <c r="B1" t="s">
        <v>2077</v>
      </c>
    </row>
    <row r="2" spans="1:6" x14ac:dyDescent="0.25">
      <c r="A2" s="8" t="s">
        <v>2115</v>
      </c>
      <c r="B2" t="s">
        <v>2077</v>
      </c>
    </row>
    <row r="4" spans="1:6" x14ac:dyDescent="0.25">
      <c r="A4" s="8" t="s">
        <v>2116</v>
      </c>
      <c r="B4" s="8" t="s">
        <v>2078</v>
      </c>
    </row>
    <row r="5" spans="1:6" x14ac:dyDescent="0.25">
      <c r="A5" s="8" t="s">
        <v>2066</v>
      </c>
      <c r="B5" t="s">
        <v>20</v>
      </c>
      <c r="C5" t="s">
        <v>14</v>
      </c>
      <c r="D5" t="s">
        <v>74</v>
      </c>
      <c r="E5" t="s">
        <v>47</v>
      </c>
      <c r="F5" t="s">
        <v>2067</v>
      </c>
    </row>
    <row r="6" spans="1:6" x14ac:dyDescent="0.25">
      <c r="A6" s="10" t="s">
        <v>2103</v>
      </c>
      <c r="B6">
        <v>49</v>
      </c>
      <c r="C6">
        <v>36</v>
      </c>
      <c r="D6">
        <v>6</v>
      </c>
      <c r="E6">
        <v>1</v>
      </c>
      <c r="F6">
        <v>92</v>
      </c>
    </row>
    <row r="7" spans="1:6" x14ac:dyDescent="0.25">
      <c r="A7" s="10" t="s">
        <v>2104</v>
      </c>
      <c r="B7">
        <v>44</v>
      </c>
      <c r="C7">
        <v>28</v>
      </c>
      <c r="D7">
        <v>7</v>
      </c>
      <c r="F7">
        <v>79</v>
      </c>
    </row>
    <row r="8" spans="1:6" x14ac:dyDescent="0.25">
      <c r="A8" s="10" t="s">
        <v>2105</v>
      </c>
      <c r="B8">
        <v>49</v>
      </c>
      <c r="C8">
        <v>33</v>
      </c>
      <c r="D8">
        <v>4</v>
      </c>
      <c r="F8">
        <v>86</v>
      </c>
    </row>
    <row r="9" spans="1:6" x14ac:dyDescent="0.25">
      <c r="A9" s="10" t="s">
        <v>2106</v>
      </c>
      <c r="B9">
        <v>46</v>
      </c>
      <c r="C9">
        <v>30</v>
      </c>
      <c r="D9">
        <v>1</v>
      </c>
      <c r="E9">
        <v>1</v>
      </c>
      <c r="F9">
        <v>78</v>
      </c>
    </row>
    <row r="10" spans="1:6" x14ac:dyDescent="0.25">
      <c r="A10" s="10" t="s">
        <v>2107</v>
      </c>
      <c r="B10">
        <v>46</v>
      </c>
      <c r="C10">
        <v>35</v>
      </c>
      <c r="D10">
        <v>3</v>
      </c>
      <c r="E10">
        <v>2</v>
      </c>
      <c r="F10">
        <v>86</v>
      </c>
    </row>
    <row r="11" spans="1:6" x14ac:dyDescent="0.25">
      <c r="A11" s="10" t="s">
        <v>2108</v>
      </c>
      <c r="B11">
        <v>55</v>
      </c>
      <c r="C11">
        <v>28</v>
      </c>
      <c r="D11">
        <v>3</v>
      </c>
      <c r="E11">
        <v>1</v>
      </c>
      <c r="F11">
        <v>87</v>
      </c>
    </row>
    <row r="12" spans="1:6" x14ac:dyDescent="0.25">
      <c r="A12" s="10" t="s">
        <v>2109</v>
      </c>
      <c r="B12">
        <v>58</v>
      </c>
      <c r="C12">
        <v>31</v>
      </c>
      <c r="D12">
        <v>4</v>
      </c>
      <c r="E12">
        <v>1</v>
      </c>
      <c r="F12">
        <v>94</v>
      </c>
    </row>
    <row r="13" spans="1:6" x14ac:dyDescent="0.25">
      <c r="A13" s="10" t="s">
        <v>2110</v>
      </c>
      <c r="B13">
        <v>41</v>
      </c>
      <c r="C13">
        <v>35</v>
      </c>
      <c r="D13">
        <v>8</v>
      </c>
      <c r="E13">
        <v>1</v>
      </c>
      <c r="F13">
        <v>85</v>
      </c>
    </row>
    <row r="14" spans="1:6" x14ac:dyDescent="0.25">
      <c r="A14" s="10" t="s">
        <v>2111</v>
      </c>
      <c r="B14">
        <v>45</v>
      </c>
      <c r="C14">
        <v>23</v>
      </c>
      <c r="D14">
        <v>5</v>
      </c>
      <c r="F14">
        <v>73</v>
      </c>
    </row>
    <row r="15" spans="1:6" x14ac:dyDescent="0.25">
      <c r="A15" s="10" t="s">
        <v>2112</v>
      </c>
      <c r="B15">
        <v>45</v>
      </c>
      <c r="C15">
        <v>26</v>
      </c>
      <c r="D15">
        <v>6</v>
      </c>
      <c r="E15">
        <v>1</v>
      </c>
      <c r="F15">
        <v>78</v>
      </c>
    </row>
    <row r="16" spans="1:6" x14ac:dyDescent="0.25">
      <c r="A16" s="10" t="s">
        <v>2113</v>
      </c>
      <c r="B16">
        <v>45</v>
      </c>
      <c r="C16">
        <v>27</v>
      </c>
      <c r="D16">
        <v>3</v>
      </c>
      <c r="E16">
        <v>3</v>
      </c>
      <c r="F16">
        <v>78</v>
      </c>
    </row>
    <row r="17" spans="1:6" x14ac:dyDescent="0.25">
      <c r="A17" s="10" t="s">
        <v>2114</v>
      </c>
      <c r="B17">
        <v>42</v>
      </c>
      <c r="C17">
        <v>32</v>
      </c>
      <c r="D17">
        <v>7</v>
      </c>
      <c r="E17">
        <v>3</v>
      </c>
      <c r="F17">
        <v>84</v>
      </c>
    </row>
    <row r="18" spans="1:6" x14ac:dyDescent="0.25">
      <c r="A18" s="10" t="s">
        <v>2067</v>
      </c>
      <c r="B18">
        <v>565</v>
      </c>
      <c r="C18">
        <v>364</v>
      </c>
      <c r="D18">
        <v>57</v>
      </c>
      <c r="E18">
        <v>14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1727-62FE-4777-8923-418A868C75CC}">
  <sheetPr codeName="Sheet5"/>
  <dimension ref="A1:H13"/>
  <sheetViews>
    <sheetView workbookViewId="0">
      <selection activeCell="E13" sqref="E13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s="4" customFormat="1" x14ac:dyDescent="0.25">
      <c r="A1" s="4" t="s">
        <v>2035</v>
      </c>
      <c r="B1" s="4" t="s">
        <v>2036</v>
      </c>
      <c r="C1" s="4" t="s">
        <v>2037</v>
      </c>
      <c r="D1" s="4" t="s">
        <v>2038</v>
      </c>
      <c r="E1" s="4" t="s">
        <v>2039</v>
      </c>
      <c r="F1" s="4" t="s">
        <v>2040</v>
      </c>
      <c r="G1" s="4" t="s">
        <v>2041</v>
      </c>
      <c r="H1" s="4" t="s">
        <v>2042</v>
      </c>
    </row>
    <row r="2" spans="1:8" x14ac:dyDescent="0.25">
      <c r="A2" t="s">
        <v>2043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7">
        <f>(B2/E2)</f>
        <v>0.58823529411764708</v>
      </c>
      <c r="G2" s="7">
        <f>(C2/E2)</f>
        <v>0.39215686274509803</v>
      </c>
      <c r="H2" s="7">
        <f>(D2/E2)</f>
        <v>1.9607843137254902E-2</v>
      </c>
    </row>
    <row r="3" spans="1:8" x14ac:dyDescent="0.25">
      <c r="A3" t="s">
        <v>2044</v>
      </c>
      <c r="B3">
        <f>COUNTIFS(goal,"&gt;=1000",goal,"&lt;=4999",outcome,"successful")</f>
        <v>191</v>
      </c>
      <c r="C3">
        <f>COUNTIFS(goal,"&gt;=1000",goal,"&lt;=4999",outcome,"failed")</f>
        <v>38</v>
      </c>
      <c r="D3">
        <f>COUNTIFS(goal,"&gt;=1000",goal,"&lt;=4999",outcome,"canceled")</f>
        <v>2</v>
      </c>
      <c r="E3">
        <f>SUM(B3:D3)</f>
        <v>231</v>
      </c>
      <c r="F3" s="7">
        <f t="shared" ref="F3:F13" si="0">(B3/E3)</f>
        <v>0.82683982683982682</v>
      </c>
      <c r="G3" s="7">
        <f t="shared" ref="G3:G13" si="1">(C3/E3)</f>
        <v>0.16450216450216451</v>
      </c>
      <c r="H3" s="7">
        <f t="shared" ref="H3:H13" si="2">(D3/E3)</f>
        <v>8.658008658008658E-3</v>
      </c>
    </row>
    <row r="4" spans="1:8" x14ac:dyDescent="0.25">
      <c r="A4" t="s">
        <v>2045</v>
      </c>
      <c r="B4">
        <f>COUNTIFS(goal,"&gt;=5000",goal,"&lt;=9999",outcome,"successful")</f>
        <v>164</v>
      </c>
      <c r="C4">
        <f>COUNTIFS(goal,"&gt;=5000",goal,"&lt;=9999",outcome,"failed")</f>
        <v>126</v>
      </c>
      <c r="D4">
        <f>COUNTIFS(goal,"&gt;=5000",goal,"&lt;=9999",outcome,"canceled")</f>
        <v>25</v>
      </c>
      <c r="E4">
        <f>SUM(B4:D4)</f>
        <v>315</v>
      </c>
      <c r="F4" s="7">
        <f t="shared" si="0"/>
        <v>0.52063492063492067</v>
      </c>
      <c r="G4" s="7">
        <f t="shared" si="1"/>
        <v>0.4</v>
      </c>
      <c r="H4" s="7">
        <f t="shared" si="2"/>
        <v>7.9365079365079361E-2</v>
      </c>
    </row>
    <row r="5" spans="1:8" x14ac:dyDescent="0.25">
      <c r="A5" t="s">
        <v>2046</v>
      </c>
      <c r="B5">
        <f>COUNTIFS(goal,"&gt;=10000",goal,"&lt;=14999",outcome,"successful")</f>
        <v>4</v>
      </c>
      <c r="C5">
        <f>COUNTIFS(goal,"&gt;=10000",goal,"&lt;=14999",outcome,"failed")</f>
        <v>5</v>
      </c>
      <c r="D5">
        <f>COUNTIFS(goal,"&gt;=10000",goal,"&lt;=14999",outcome,"canceled")</f>
        <v>0</v>
      </c>
      <c r="E5">
        <f t="shared" ref="E5:E13" si="3">SUM(B5:D5)</f>
        <v>9</v>
      </c>
      <c r="F5" s="7">
        <f t="shared" si="0"/>
        <v>0.44444444444444442</v>
      </c>
      <c r="G5" s="7">
        <f t="shared" si="1"/>
        <v>0.55555555555555558</v>
      </c>
      <c r="H5" s="7">
        <f t="shared" si="2"/>
        <v>0</v>
      </c>
    </row>
    <row r="6" spans="1:8" x14ac:dyDescent="0.25">
      <c r="A6" t="s">
        <v>2047</v>
      </c>
      <c r="B6">
        <f>COUNTIFS(goal,"&gt;=15000",goal,"&lt;=19999",outcome,"successful")</f>
        <v>10</v>
      </c>
      <c r="C6">
        <f>COUNTIFS(goal,"&gt;=15000",goal,"&lt;=19999",outcome,"failed")</f>
        <v>0</v>
      </c>
      <c r="D6">
        <f>COUNTIFS(goal,"&gt;=15000",goal,"&lt;=19999",outcome,"canceled")</f>
        <v>0</v>
      </c>
      <c r="E6">
        <f t="shared" si="3"/>
        <v>10</v>
      </c>
      <c r="F6" s="7">
        <f t="shared" si="0"/>
        <v>1</v>
      </c>
      <c r="G6" s="7">
        <f t="shared" si="1"/>
        <v>0</v>
      </c>
      <c r="H6" s="7">
        <f t="shared" si="2"/>
        <v>0</v>
      </c>
    </row>
    <row r="7" spans="1:8" x14ac:dyDescent="0.25">
      <c r="A7" t="s">
        <v>2048</v>
      </c>
      <c r="B7">
        <f>COUNTIFS(goal,"&gt;=20000",goal,"&lt;=24999",outcome,"successful")</f>
        <v>7</v>
      </c>
      <c r="C7">
        <f>COUNTIFS(goal,"&gt;=20000",goal,"&lt;=24999",outcome,"failed")</f>
        <v>0</v>
      </c>
      <c r="D7">
        <f>COUNTIFS(goal,"&gt;=20000",goal,"&lt;=24999",outcome,"canceled")</f>
        <v>0</v>
      </c>
      <c r="E7">
        <f t="shared" si="3"/>
        <v>7</v>
      </c>
      <c r="F7" s="7">
        <f t="shared" si="0"/>
        <v>1</v>
      </c>
      <c r="G7" s="7">
        <f t="shared" si="1"/>
        <v>0</v>
      </c>
      <c r="H7" s="7">
        <f t="shared" si="2"/>
        <v>0</v>
      </c>
    </row>
    <row r="8" spans="1:8" x14ac:dyDescent="0.25">
      <c r="A8" t="s">
        <v>2049</v>
      </c>
      <c r="B8">
        <f>COUNTIFS(goal,"&gt;=25000",goal,"&lt;=29999",outcome,"successful")</f>
        <v>11</v>
      </c>
      <c r="C8">
        <f>COUNTIFS(goal,"&gt;=25000",goal,"&lt;=29999",outcome,"failed")</f>
        <v>3</v>
      </c>
      <c r="D8">
        <f>COUNTIFS(goal,"&gt;=25000",goal,"&lt;=29999",outcome,"canceled")</f>
        <v>0</v>
      </c>
      <c r="E8">
        <f t="shared" si="3"/>
        <v>14</v>
      </c>
      <c r="F8" s="7">
        <f t="shared" si="0"/>
        <v>0.7857142857142857</v>
      </c>
      <c r="G8" s="7">
        <f t="shared" si="1"/>
        <v>0.21428571428571427</v>
      </c>
      <c r="H8" s="7">
        <f t="shared" si="2"/>
        <v>0</v>
      </c>
    </row>
    <row r="9" spans="1:8" x14ac:dyDescent="0.25">
      <c r="A9" t="s">
        <v>2050</v>
      </c>
      <c r="B9">
        <f>COUNTIFS(goal,"&gt;=30000",goal,"&lt;=34999",outcome,"successful")</f>
        <v>7</v>
      </c>
      <c r="C9">
        <f>COUNTIFS(goal,"&gt;=30000",goal,"&lt;=34999",outcome,"failed")</f>
        <v>0</v>
      </c>
      <c r="D9">
        <f>COUNTIFS(goal,"&gt;=30000",goal,"&lt;=34999",outcome,"canceled")</f>
        <v>0</v>
      </c>
      <c r="E9">
        <f t="shared" si="3"/>
        <v>7</v>
      </c>
      <c r="F9" s="7">
        <f t="shared" si="0"/>
        <v>1</v>
      </c>
      <c r="G9" s="7">
        <f t="shared" si="1"/>
        <v>0</v>
      </c>
      <c r="H9" s="7">
        <f t="shared" si="2"/>
        <v>0</v>
      </c>
    </row>
    <row r="10" spans="1:8" x14ac:dyDescent="0.25">
      <c r="A10" t="s">
        <v>2051</v>
      </c>
      <c r="B10">
        <f>COUNTIFS(goal,"&gt;=35000",goal,"&lt;=39999",outcome,"successful")</f>
        <v>8</v>
      </c>
      <c r="C10">
        <f>COUNTIFS(goal,"&gt;=35000",goal,"&lt;=39999",outcome,"failed")</f>
        <v>3</v>
      </c>
      <c r="D10">
        <f>COUNTIFS(goal,"&gt;=35000",goal,"&lt;=39999",outcome,"canceled")</f>
        <v>1</v>
      </c>
      <c r="E10">
        <f t="shared" si="3"/>
        <v>12</v>
      </c>
      <c r="F10" s="7">
        <f t="shared" si="0"/>
        <v>0.66666666666666663</v>
      </c>
      <c r="G10" s="7">
        <f t="shared" si="1"/>
        <v>0.25</v>
      </c>
      <c r="H10" s="7">
        <f t="shared" si="2"/>
        <v>8.3333333333333329E-2</v>
      </c>
    </row>
    <row r="11" spans="1:8" x14ac:dyDescent="0.25">
      <c r="A11" t="s">
        <v>2052</v>
      </c>
      <c r="B11">
        <f>COUNTIFS(goal,"&gt;=40000",goal,"&lt;=44999",outcome,"successful")</f>
        <v>11</v>
      </c>
      <c r="C11">
        <f>COUNTIFS(goal,"&gt;=40000",goal,"&lt;=44999",outcome,"failed")</f>
        <v>3</v>
      </c>
      <c r="D11">
        <f>COUNTIFS(goal,"&gt;=40000",goal,"&lt;=44999",outcome,"canceled")</f>
        <v>0</v>
      </c>
      <c r="E11">
        <f t="shared" si="3"/>
        <v>14</v>
      </c>
      <c r="F11" s="7">
        <f t="shared" si="0"/>
        <v>0.7857142857142857</v>
      </c>
      <c r="G11" s="7">
        <f t="shared" si="1"/>
        <v>0.21428571428571427</v>
      </c>
      <c r="H11" s="7">
        <f t="shared" si="2"/>
        <v>0</v>
      </c>
    </row>
    <row r="12" spans="1:8" x14ac:dyDescent="0.25">
      <c r="A12" t="s">
        <v>2053</v>
      </c>
      <c r="B12">
        <f>COUNTIFS(goal,"&gt;=45000",goal,"&lt;=49999",outcome,"successful")</f>
        <v>8</v>
      </c>
      <c r="C12">
        <f>COUNTIFS(goal,"&gt;=45000",goal,"&lt;=49999",outcome,"failed")</f>
        <v>3</v>
      </c>
      <c r="D12">
        <f>COUNTIFS(goal,"&gt;=45000",goal,"&lt;=49999",outcome,"canceled")</f>
        <v>0</v>
      </c>
      <c r="E12">
        <f t="shared" si="3"/>
        <v>11</v>
      </c>
      <c r="F12" s="7">
        <f t="shared" si="0"/>
        <v>0.72727272727272729</v>
      </c>
      <c r="G12" s="7">
        <f t="shared" si="1"/>
        <v>0.27272727272727271</v>
      </c>
      <c r="H12" s="7">
        <f t="shared" si="2"/>
        <v>0</v>
      </c>
    </row>
    <row r="13" spans="1:8" x14ac:dyDescent="0.25">
      <c r="A13" t="s">
        <v>2054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3"/>
        <v>305</v>
      </c>
      <c r="F13" s="7">
        <f t="shared" si="0"/>
        <v>0.3737704918032787</v>
      </c>
      <c r="G13" s="7">
        <f t="shared" si="1"/>
        <v>0.53442622950819674</v>
      </c>
      <c r="H13" s="7">
        <f t="shared" si="2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36F9-AA05-43EC-BC0E-61D25744F21A}">
  <sheetPr codeName="Sheet6"/>
  <dimension ref="A1:I566"/>
  <sheetViews>
    <sheetView tabSelected="1" workbookViewId="0">
      <selection activeCell="H6" sqref="H6"/>
    </sheetView>
  </sheetViews>
  <sheetFormatPr defaultRowHeight="15.75" x14ac:dyDescent="0.25"/>
  <cols>
    <col min="1" max="1" width="18.125" bestFit="1" customWidth="1"/>
    <col min="2" max="2" width="17.375" bestFit="1" customWidth="1"/>
    <col min="4" max="4" width="14.375" bestFit="1" customWidth="1"/>
    <col min="5" max="5" width="17.375" bestFit="1" customWidth="1"/>
    <col min="7" max="7" width="16.375" bestFit="1" customWidth="1"/>
    <col min="8" max="8" width="27.5" bestFit="1" customWidth="1"/>
    <col min="9" max="10" width="24.625" bestFit="1" customWidth="1"/>
  </cols>
  <sheetData>
    <row r="1" spans="1:9" x14ac:dyDescent="0.25">
      <c r="A1" s="4" t="s">
        <v>2055</v>
      </c>
      <c r="B1" s="4" t="s">
        <v>2056</v>
      </c>
      <c r="C1" s="4"/>
      <c r="D1" s="4" t="s">
        <v>2057</v>
      </c>
      <c r="E1" s="4" t="s">
        <v>2056</v>
      </c>
      <c r="H1" s="4" t="s">
        <v>2058</v>
      </c>
      <c r="I1" s="4" t="s">
        <v>2059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s="4" t="s">
        <v>2060</v>
      </c>
      <c r="H2">
        <f>AVERAGE(backers_succesful)</f>
        <v>851.14690265486729</v>
      </c>
      <c r="I2">
        <f>AVERAGE(backers_failed)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s="4" t="s">
        <v>2065</v>
      </c>
      <c r="H3">
        <f>MEDIAN(backers_succesful)</f>
        <v>201</v>
      </c>
      <c r="I3">
        <f>MEDIAN(backers_failed)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s="4" t="s">
        <v>2061</v>
      </c>
      <c r="H4">
        <f>MIN(backers_succesful)</f>
        <v>16</v>
      </c>
      <c r="I4">
        <f>MIN(backers_failed)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s="4" t="s">
        <v>2062</v>
      </c>
      <c r="H5">
        <f>MAX(backers_succesful)</f>
        <v>7295</v>
      </c>
      <c r="I5">
        <f>MAX(backers_failed)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s="4" t="s">
        <v>2063</v>
      </c>
      <c r="H6">
        <f>_xlfn.VAR.P(backers_succesful)</f>
        <v>1603373.7324019109</v>
      </c>
      <c r="I6">
        <f>_xlfn.VAR.P(backers_failed)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s="4" t="s">
        <v>2064</v>
      </c>
      <c r="H7">
        <f>_xlfn.STDEV.P(backers_succesful)</f>
        <v>1266.2439466397898</v>
      </c>
      <c r="I7">
        <f>_xlfn.STDEV.P(backers_failed)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  <c r="G13" s="4"/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Category Analysis</vt:lpstr>
      <vt:lpstr>Sub-Category Analysis</vt:lpstr>
      <vt:lpstr>Date Analysis</vt:lpstr>
      <vt:lpstr>Goal Amount Analysis</vt:lpstr>
      <vt:lpstr>Number of Backers Analysis</vt:lpstr>
      <vt:lpstr>backers_failed</vt:lpstr>
      <vt:lpstr>backers_succesful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Yonatan Gorin</cp:lastModifiedBy>
  <dcterms:created xsi:type="dcterms:W3CDTF">2021-09-29T18:52:28Z</dcterms:created>
  <dcterms:modified xsi:type="dcterms:W3CDTF">2023-01-06T03:15:26Z</dcterms:modified>
</cp:coreProperties>
</file>