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03effba4c4b906/"/>
    </mc:Choice>
  </mc:AlternateContent>
  <xr:revisionPtr revIDLastSave="1" documentId="13_ncr:40009_{17A5FCB5-4486-4FBC-B300-0A06E869C1A5}" xr6:coauthVersionLast="47" xr6:coauthVersionMax="47" xr10:uidLastSave="{66DBD298-54A4-4299-8360-916575249832}"/>
  <bookViews>
    <workbookView xWindow="-108" yWindow="-108" windowWidth="23256" windowHeight="12456" activeTab="1" xr2:uid="{00000000-000D-0000-FFFF-FFFF00000000}"/>
  </bookViews>
  <sheets>
    <sheet name="Impact of technology on crim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L12" i="2"/>
  <c r="J12" i="2"/>
  <c r="J10" i="2"/>
  <c r="I10" i="2"/>
  <c r="I9" i="2"/>
  <c r="J9" i="2"/>
  <c r="X116" i="1"/>
  <c r="X115" i="1"/>
  <c r="V149" i="1"/>
  <c r="V148" i="1"/>
  <c r="V147" i="1"/>
  <c r="Q149" i="1"/>
  <c r="O149" i="1"/>
  <c r="K149" i="1"/>
  <c r="P148" i="1"/>
  <c r="P147" i="1"/>
  <c r="I148" i="1"/>
  <c r="I147" i="1"/>
  <c r="I149" i="1" s="1"/>
  <c r="J148" i="1"/>
  <c r="J147" i="1"/>
  <c r="C120" i="1"/>
  <c r="F120" i="1" s="1"/>
  <c r="B120" i="1"/>
  <c r="E120" i="1" s="1"/>
  <c r="B119" i="1"/>
  <c r="E119" i="1" s="1"/>
  <c r="C147" i="1"/>
  <c r="B147" i="1"/>
  <c r="E147" i="1" s="1"/>
  <c r="F147" i="1" s="1"/>
  <c r="C146" i="1"/>
  <c r="B146" i="1"/>
  <c r="E146" i="1" s="1"/>
  <c r="F146" i="1" s="1"/>
  <c r="Q140" i="1"/>
  <c r="P140" i="1"/>
  <c r="Q139" i="1"/>
  <c r="P139" i="1"/>
  <c r="J142" i="1"/>
  <c r="I142" i="1"/>
  <c r="L142" i="1" s="1"/>
  <c r="M142" i="1" s="1"/>
  <c r="J141" i="1"/>
  <c r="I141" i="1"/>
  <c r="L141" i="1" s="1"/>
  <c r="M141" i="1" s="1"/>
  <c r="J140" i="1"/>
  <c r="I140" i="1"/>
  <c r="L140" i="1" s="1"/>
  <c r="M140" i="1" s="1"/>
  <c r="J139" i="1"/>
  <c r="I139" i="1"/>
  <c r="L139" i="1" s="1"/>
  <c r="M139" i="1" s="1"/>
  <c r="C139" i="1"/>
  <c r="C142" i="1"/>
  <c r="Q134" i="1"/>
  <c r="C141" i="1"/>
  <c r="Q133" i="1"/>
  <c r="C140" i="1"/>
  <c r="Q132" i="1"/>
  <c r="Q131" i="1"/>
  <c r="B142" i="1"/>
  <c r="E142" i="1" s="1"/>
  <c r="F142" i="1" s="1"/>
  <c r="P134" i="1"/>
  <c r="B141" i="1"/>
  <c r="E141" i="1" s="1"/>
  <c r="F141" i="1" s="1"/>
  <c r="P133" i="1"/>
  <c r="B140" i="1"/>
  <c r="E140" i="1" s="1"/>
  <c r="F140" i="1" s="1"/>
  <c r="P132" i="1"/>
  <c r="B139" i="1"/>
  <c r="E139" i="1" s="1"/>
  <c r="F139" i="1" s="1"/>
  <c r="P131" i="1"/>
  <c r="J134" i="1"/>
  <c r="I134" i="1"/>
  <c r="L134" i="1" s="1"/>
  <c r="M134" i="1" s="1"/>
  <c r="J133" i="1"/>
  <c r="I133" i="1"/>
  <c r="L133" i="1" s="1"/>
  <c r="M133" i="1" s="1"/>
  <c r="J132" i="1"/>
  <c r="J131" i="1"/>
  <c r="I132" i="1"/>
  <c r="L132" i="1" s="1"/>
  <c r="M132" i="1" s="1"/>
  <c r="I131" i="1"/>
  <c r="L131" i="1" s="1"/>
  <c r="M131" i="1" s="1"/>
  <c r="C135" i="1"/>
  <c r="B135" i="1"/>
  <c r="E135" i="1" s="1"/>
  <c r="F135" i="1" s="1"/>
  <c r="C134" i="1"/>
  <c r="B134" i="1"/>
  <c r="E134" i="1" s="1"/>
  <c r="F134" i="1" s="1"/>
  <c r="C133" i="1"/>
  <c r="B133" i="1"/>
  <c r="E133" i="1" s="1"/>
  <c r="F133" i="1" s="1"/>
  <c r="C132" i="1"/>
  <c r="B132" i="1"/>
  <c r="E132" i="1" s="1"/>
  <c r="F132" i="1" s="1"/>
  <c r="C131" i="1"/>
  <c r="B131" i="1"/>
  <c r="E131" i="1" s="1"/>
  <c r="F131" i="1" s="1"/>
  <c r="Q127" i="1"/>
  <c r="P127" i="1"/>
  <c r="Q126" i="1"/>
  <c r="P126" i="1"/>
  <c r="Q125" i="1"/>
  <c r="P125" i="1"/>
  <c r="Q124" i="1"/>
  <c r="P124" i="1"/>
  <c r="Q123" i="1"/>
  <c r="P123" i="1"/>
  <c r="J125" i="1"/>
  <c r="I125" i="1"/>
  <c r="L125" i="1" s="1"/>
  <c r="M125" i="1" s="1"/>
  <c r="J124" i="1"/>
  <c r="I124" i="1"/>
  <c r="L124" i="1" s="1"/>
  <c r="M124" i="1" s="1"/>
  <c r="J123" i="1"/>
  <c r="I123" i="1"/>
  <c r="L123" i="1" s="1"/>
  <c r="M123" i="1" s="1"/>
  <c r="C127" i="1"/>
  <c r="C126" i="1"/>
  <c r="B127" i="1"/>
  <c r="E127" i="1" s="1"/>
  <c r="F127" i="1" s="1"/>
  <c r="B126" i="1"/>
  <c r="E126" i="1" s="1"/>
  <c r="F126" i="1" s="1"/>
  <c r="C125" i="1"/>
  <c r="B125" i="1"/>
  <c r="E125" i="1" s="1"/>
  <c r="F125" i="1" s="1"/>
  <c r="C124" i="1"/>
  <c r="B124" i="1"/>
  <c r="E124" i="1" s="1"/>
  <c r="F124" i="1" s="1"/>
  <c r="C123" i="1"/>
  <c r="B123" i="1"/>
  <c r="E123" i="1" s="1"/>
  <c r="F123" i="1" s="1"/>
  <c r="Q118" i="1"/>
  <c r="P118" i="1"/>
  <c r="S118" i="1" s="1"/>
  <c r="T118" i="1" s="1"/>
  <c r="Q117" i="1"/>
  <c r="P117" i="1"/>
  <c r="S117" i="1" s="1"/>
  <c r="T117" i="1" s="1"/>
  <c r="Q116" i="1"/>
  <c r="P116" i="1"/>
  <c r="S116" i="1" s="1"/>
  <c r="T116" i="1" s="1"/>
  <c r="Q115" i="1"/>
  <c r="P115" i="1"/>
  <c r="S115" i="1" s="1"/>
  <c r="T115" i="1" s="1"/>
  <c r="J119" i="1"/>
  <c r="I119" i="1"/>
  <c r="L119" i="1" s="1"/>
  <c r="M119" i="1" s="1"/>
  <c r="J118" i="1"/>
  <c r="I118" i="1"/>
  <c r="L118" i="1" s="1"/>
  <c r="M118" i="1" s="1"/>
  <c r="J117" i="1"/>
  <c r="I117" i="1"/>
  <c r="L117" i="1" s="1"/>
  <c r="M117" i="1" s="1"/>
  <c r="J116" i="1"/>
  <c r="J115" i="1"/>
  <c r="I116" i="1"/>
  <c r="L116" i="1" s="1"/>
  <c r="M116" i="1" s="1"/>
  <c r="I115" i="1"/>
  <c r="L115" i="1" s="1"/>
  <c r="M115" i="1" s="1"/>
  <c r="C119" i="1"/>
  <c r="F119" i="1" s="1"/>
  <c r="C118" i="1"/>
  <c r="F118" i="1" s="1"/>
  <c r="B118" i="1"/>
  <c r="E118" i="1" s="1"/>
  <c r="C117" i="1"/>
  <c r="F117" i="1" s="1"/>
  <c r="B117" i="1"/>
  <c r="E117" i="1" s="1"/>
  <c r="C116" i="1"/>
  <c r="F116" i="1" s="1"/>
  <c r="B116" i="1"/>
  <c r="E116" i="1" s="1"/>
  <c r="B115" i="1"/>
  <c r="E115" i="1" s="1"/>
  <c r="C115" i="1"/>
  <c r="F115" i="1" s="1"/>
  <c r="P149" i="1" l="1"/>
  <c r="J149" i="1"/>
  <c r="R123" i="1"/>
  <c r="S123" i="1" s="1"/>
  <c r="T123" i="1" s="1"/>
  <c r="R131" i="1"/>
  <c r="R127" i="1"/>
  <c r="S127" i="1" s="1"/>
  <c r="T127" i="1" s="1"/>
  <c r="R134" i="1"/>
  <c r="S134" i="1" s="1"/>
  <c r="T134" i="1" s="1"/>
  <c r="R126" i="1"/>
  <c r="S126" i="1" s="1"/>
  <c r="T126" i="1" s="1"/>
  <c r="R140" i="1"/>
  <c r="S140" i="1" s="1"/>
  <c r="T140" i="1" s="1"/>
  <c r="R133" i="1"/>
  <c r="S133" i="1" s="1"/>
  <c r="T133" i="1" s="1"/>
  <c r="R132" i="1"/>
  <c r="S132" i="1" s="1"/>
  <c r="T132" i="1" s="1"/>
  <c r="R139" i="1"/>
  <c r="S139" i="1" s="1"/>
  <c r="T139" i="1" s="1"/>
  <c r="R125" i="1"/>
  <c r="S125" i="1" s="1"/>
  <c r="T125" i="1" s="1"/>
  <c r="S131" i="1"/>
  <c r="T131" i="1" s="1"/>
  <c r="R124" i="1"/>
  <c r="S124" i="1" s="1"/>
  <c r="T124" i="1" s="1"/>
</calcChain>
</file>

<file path=xl/sharedStrings.xml><?xml version="1.0" encoding="utf-8"?>
<sst xmlns="http://schemas.openxmlformats.org/spreadsheetml/2006/main" count="2278" uniqueCount="360">
  <si>
    <t>Timestamp</t>
  </si>
  <si>
    <t>Username</t>
  </si>
  <si>
    <t>What is your age (in years) ?</t>
  </si>
  <si>
    <t>What is your gender ?</t>
  </si>
  <si>
    <t xml:space="preserve">What is your occupation ?
</t>
  </si>
  <si>
    <t>Where do you currently live ?</t>
  </si>
  <si>
    <t>Have you noticed an increase or decrease in crime rates in your community over the past few years ?</t>
  </si>
  <si>
    <t>Has the use of technology made it easier for criminals to commit crimes ?</t>
  </si>
  <si>
    <t>Have you seen any surveillance cameras or other types of technology used in your community to prevent crime ?</t>
  </si>
  <si>
    <t>Do you believe that the use of surveillance cameras or other types of technology in your community is effective at preventing crime ?</t>
  </si>
  <si>
    <t>Have you ever been the victim of a crime that was captured on a surveillance camera or otherwise involved the use of technology ?</t>
  </si>
  <si>
    <t>Do you feel that the use of facial recognition software by law enforcement is an invasion of privacy ?</t>
  </si>
  <si>
    <t>Do you think that predictive policing algorithms are a useful tool for law enforcement to prevent crime, or do they unfairly target certain communities or individuals ?</t>
  </si>
  <si>
    <t>Do you think that there should be limits or regulations on the use of surveillance cameras, facial recognition software, or other types of technology by law enforcement ?</t>
  </si>
  <si>
    <t>How do you think that the use of technology in law enforcement affects community-police relations ?</t>
  </si>
  <si>
    <t>Do you think that the use of technology in law enforcement has had a positive or negative impact on crime rates in your community ?</t>
  </si>
  <si>
    <t>Would you support the use of more or less technology in law enforcement in your community ?</t>
  </si>
  <si>
    <t>Has technology led to a decrease or increase in traditional crimes like theft and burglary ?</t>
  </si>
  <si>
    <t>Has the use of technology led to an increase or decrease in cybercrimes ?</t>
  </si>
  <si>
    <t>2023/02/25 2:41:02 AM GMT+5:30</t>
  </si>
  <si>
    <t>shubhamfc1609@gmail.com</t>
  </si>
  <si>
    <t>18-24</t>
  </si>
  <si>
    <t>Male</t>
  </si>
  <si>
    <t>Student</t>
  </si>
  <si>
    <t>Slight decrease</t>
  </si>
  <si>
    <t>Agree</t>
  </si>
  <si>
    <t>Yes, occasionally</t>
  </si>
  <si>
    <t>Yes, very effective</t>
  </si>
  <si>
    <t>No</t>
  </si>
  <si>
    <t>Yes, somewhat agree</t>
  </si>
  <si>
    <t>Somewhat useful</t>
  </si>
  <si>
    <t>Yes, some limits or regulations</t>
  </si>
  <si>
    <t>Not sure</t>
  </si>
  <si>
    <t>Positive impact</t>
  </si>
  <si>
    <t>More technology</t>
  </si>
  <si>
    <t>Decrease due to the use of security systems and home automation technology</t>
  </si>
  <si>
    <t>Increase due to ease of committing crimes online and difficulty of tracking down perpetrators</t>
  </si>
  <si>
    <t>2023/02/25 10:20:13 AM GMT+5:30</t>
  </si>
  <si>
    <t>ts128937@gmail.com</t>
  </si>
  <si>
    <t xml:space="preserve">Punjab </t>
  </si>
  <si>
    <t>Slight increase</t>
  </si>
  <si>
    <t>No, never</t>
  </si>
  <si>
    <t>Yes, somewhat effective</t>
  </si>
  <si>
    <t>No, somewhat disagree</t>
  </si>
  <si>
    <t>No impact</t>
  </si>
  <si>
    <t>Increase due to criminals using technology to surveil potential targets and bypass security systems</t>
  </si>
  <si>
    <t>2023/02/25 4:40:15 PM GMT+5:30</t>
  </si>
  <si>
    <t>samnijin562@gmail.com</t>
  </si>
  <si>
    <t>Kanyakumari, Tamil Nadu</t>
  </si>
  <si>
    <t>No change</t>
  </si>
  <si>
    <t>2023/02/25 4:45:57 PM GMT+5:30</t>
  </si>
  <si>
    <t>bhumakishore00@gmail.com</t>
  </si>
  <si>
    <t>Ongole</t>
  </si>
  <si>
    <t>Neutral</t>
  </si>
  <si>
    <t>Yes, frequently</t>
  </si>
  <si>
    <t>Yes, strongly agree</t>
  </si>
  <si>
    <t>Decrease due to improved security measures and increased awareness of online safety</t>
  </si>
  <si>
    <t>2023/02/25 4:50:01 PM GMT+5:30</t>
  </si>
  <si>
    <t>nazneenbegum16022004@gmail.com</t>
  </si>
  <si>
    <t>Female</t>
  </si>
  <si>
    <t xml:space="preserve">Tatanagar, Jharkhand </t>
  </si>
  <si>
    <t>Significant increase</t>
  </si>
  <si>
    <t>No, no limits or regulations</t>
  </si>
  <si>
    <t>2023/02/25 4:53:56 PM GMT+5:30</t>
  </si>
  <si>
    <t>amamgupta19319@gmail.com</t>
  </si>
  <si>
    <t>25-34</t>
  </si>
  <si>
    <t>Employed part-time</t>
  </si>
  <si>
    <t>Kalyan, Maharashtra</t>
  </si>
  <si>
    <t>2023/02/25 5:03:02 PM GMT+5:30</t>
  </si>
  <si>
    <t>kvsgovindsingh@gmail.com</t>
  </si>
  <si>
    <t>No, not very effective</t>
  </si>
  <si>
    <t>Yes</t>
  </si>
  <si>
    <t>Somewhat unfair</t>
  </si>
  <si>
    <t>2023/02/25 5:27:26 PM GMT+5:30</t>
  </si>
  <si>
    <t>prajwalkhade2001@gmail.com</t>
  </si>
  <si>
    <t xml:space="preserve">Mumbai </t>
  </si>
  <si>
    <t>Less technology</t>
  </si>
  <si>
    <t>2023/02/25 6:16:32 PM GMT+5:30</t>
  </si>
  <si>
    <t>rutujaankaram14@gmail.com</t>
  </si>
  <si>
    <t xml:space="preserve">Solapur, Maharashtra </t>
  </si>
  <si>
    <t>Strongly agree</t>
  </si>
  <si>
    <t>2023/02/25 7:01:23 PM GMT+5:30</t>
  </si>
  <si>
    <t>siddiquiazhan100@gmail.com</t>
  </si>
  <si>
    <t>Maybe</t>
  </si>
  <si>
    <t>Yes, strong limits or regulations</t>
  </si>
  <si>
    <t>2023/02/25 7:07:04 PM GMT+5:30</t>
  </si>
  <si>
    <t>jaiswalsangeeta579@gmail.com</t>
  </si>
  <si>
    <t>Mumbai, Maharashtra</t>
  </si>
  <si>
    <t>Disagree</t>
  </si>
  <si>
    <t>Very useful</t>
  </si>
  <si>
    <t>2023/02/25 8:39:18 PM GMT+5:30</t>
  </si>
  <si>
    <t>dhirajsubhashpatil2001@gmail.com</t>
  </si>
  <si>
    <t xml:space="preserve">Bhusawal </t>
  </si>
  <si>
    <t>Negative impact</t>
  </si>
  <si>
    <t>2023/03/04 10:11:16 PM GMT+5:30</t>
  </si>
  <si>
    <t>anweshangoswami@gmail.com</t>
  </si>
  <si>
    <t>2023/03/07 10:22:47 PM GMT+5:30</t>
  </si>
  <si>
    <t>yakshi.goel11@gmail.com</t>
  </si>
  <si>
    <t>Delhi</t>
  </si>
  <si>
    <t>2023/03/23 5:08:28 PM GMT+5:30</t>
  </si>
  <si>
    <t>pandeyrajat035@gmail.com</t>
  </si>
  <si>
    <t>2023/03/23 5:43:38 PM GMT+5:30</t>
  </si>
  <si>
    <t>nk430948@gmail.com</t>
  </si>
  <si>
    <t>Under 18</t>
  </si>
  <si>
    <t>2023/03/23 5:59:03 PM GMT+5:30</t>
  </si>
  <si>
    <t>harshdlw2003@gmail.com</t>
  </si>
  <si>
    <t>2023/03/23 6:34:44 PM GMT+5:30</t>
  </si>
  <si>
    <t>rohitsingh123456789asdf@gmail.com</t>
  </si>
  <si>
    <t>2023/03/23 6:57:42 PM GMT+5:30</t>
  </si>
  <si>
    <t>little29112002@gmail.com</t>
  </si>
  <si>
    <t>2023/03/23 8:13:40 PM GMT+5:30</t>
  </si>
  <si>
    <t>mishranaveen518@gmail.com</t>
  </si>
  <si>
    <t>Indore,MP</t>
  </si>
  <si>
    <t>No, strongly disagree</t>
  </si>
  <si>
    <t>2023/03/24 7:12:14 PM GMT+5:30</t>
  </si>
  <si>
    <t>kumar.suraj963suraj@gmail.com</t>
  </si>
  <si>
    <t>2023/03/24 7:20:01 PM GMT+5:30</t>
  </si>
  <si>
    <t>mauryaankit443@gmail.com</t>
  </si>
  <si>
    <t>2023/03/24 7:28:45 PM GMT+5:30</t>
  </si>
  <si>
    <t>harshrock929@gmail.com</t>
  </si>
  <si>
    <t>2023/03/24 8:03:03 PM GMT+5:30</t>
  </si>
  <si>
    <t>hariomgpt2003@gmail.com</t>
  </si>
  <si>
    <t>2023/03/24 8:03:27 PM GMT+5:30</t>
  </si>
  <si>
    <t>ankityadav2003ram@gmail.com</t>
  </si>
  <si>
    <t>2023/03/24 8:34:30 PM GMT+5:30</t>
  </si>
  <si>
    <t>prince11pinkesh2003@gmail.com</t>
  </si>
  <si>
    <t>2023/03/24 9:15:59 PM GMT+5:30</t>
  </si>
  <si>
    <t>amitg76765@gmail.com</t>
  </si>
  <si>
    <t>2023/03/24 9:18:02 PM GMT+5:30</t>
  </si>
  <si>
    <t>rajsinghsuryavanshi58@gmail.com</t>
  </si>
  <si>
    <t>2023/03/24 9:23:09 PM GMT+5:30</t>
  </si>
  <si>
    <t>gm205991@gmail.com</t>
  </si>
  <si>
    <t>2023/03/24 9:35:15 PM GMT+5:30</t>
  </si>
  <si>
    <t>jipallavi46@gmail.com</t>
  </si>
  <si>
    <t>Strongly disagree</t>
  </si>
  <si>
    <t>2023/03/24 9:51:22 PM GMT+5:30</t>
  </si>
  <si>
    <t>sonamsheela2003@gmail.com</t>
  </si>
  <si>
    <t>2023/03/24 11:09:52 PM GMT+5:30</t>
  </si>
  <si>
    <t>ramadharbhu.yadav@gmail.com</t>
  </si>
  <si>
    <t>55-64</t>
  </si>
  <si>
    <t>Employed full-time</t>
  </si>
  <si>
    <t>2023/03/24 11:30:43 PM GMT+5:30</t>
  </si>
  <si>
    <t>allinonegamerpoint@gmail.com</t>
  </si>
  <si>
    <t>No, not at all effective</t>
  </si>
  <si>
    <t>2023/03/25 7:41:55 AM GMT+5:30</t>
  </si>
  <si>
    <t>satyanandsinghvns@gmail.com</t>
  </si>
  <si>
    <t>Significant decrease</t>
  </si>
  <si>
    <t>2023/03/25 10:25:34 AM GMT+5:30</t>
  </si>
  <si>
    <t>navsingh0718@gmail.com</t>
  </si>
  <si>
    <t>2023/03/25 3:32:37 PM GMT+5:30</t>
  </si>
  <si>
    <t>himanshuyaduvanshi08@gmail.com</t>
  </si>
  <si>
    <t>2023/03/26 9:41:42 AM GMT+5:30</t>
  </si>
  <si>
    <t>vabsayushikaushik@gmail.com</t>
  </si>
  <si>
    <t>2023/03/28 11:03:12 AM GMT+5:30</t>
  </si>
  <si>
    <t>surabhyasahityam@gmail.com</t>
  </si>
  <si>
    <t>2023/03/28 3:40:08 PM GMT+5:30</t>
  </si>
  <si>
    <t>bbnayak0309@gmail.com</t>
  </si>
  <si>
    <t>2023/03/29 6:44:20 AM GMT+5:30</t>
  </si>
  <si>
    <t>sanyashukla4@gmail.com</t>
  </si>
  <si>
    <t>2023/03/30 8:28:36 AM GMT+5:30</t>
  </si>
  <si>
    <t>omkaryadav9473@gmail.com</t>
  </si>
  <si>
    <t>2023/03/30 8:37:18 AM GMT+5:30</t>
  </si>
  <si>
    <t>rvraj2525@gmail.com</t>
  </si>
  <si>
    <t>2023/03/30 8:51:46 AM GMT+5:30</t>
  </si>
  <si>
    <t>rhtk062@gmail.com</t>
  </si>
  <si>
    <t>2023/03/30 9:27:04 AM GMT+5:30</t>
  </si>
  <si>
    <t>kuchbhi@gmail.com</t>
  </si>
  <si>
    <t>Very unfair</t>
  </si>
  <si>
    <t>2023/03/30 11:52:45 AM GMT+5:30</t>
  </si>
  <si>
    <t>anantprakashsingh76@gmail.com</t>
  </si>
  <si>
    <t>2023/03/30 2:38:01 PM GMT+5:30</t>
  </si>
  <si>
    <t>shivamas904@gmail.com</t>
  </si>
  <si>
    <t>2023/03/30 5:17:50 PM GMT+5:30</t>
  </si>
  <si>
    <t>shivamattitude123@gmail.com</t>
  </si>
  <si>
    <t>2023/04/02 11:40:39 AM GMT+5:30</t>
  </si>
  <si>
    <t>sarvem007@gmail.com</t>
  </si>
  <si>
    <t>2023/04/05 12:17:30 AM GMT+5:30</t>
  </si>
  <si>
    <t>shuklamohit932@gmail.com</t>
  </si>
  <si>
    <t>2023/04/08 12:29:45 PM GMT+5:30</t>
  </si>
  <si>
    <t>amany.bhu@gmail.com</t>
  </si>
  <si>
    <t>2023/04/08 12:30:36 PM GMT+5:30</t>
  </si>
  <si>
    <t>sandy345yadav@gmail.com</t>
  </si>
  <si>
    <t>2023/04/08 12:31:02 PM GMT+5:30</t>
  </si>
  <si>
    <t>abhijeetpal573@gmail.com</t>
  </si>
  <si>
    <t>2023/04/10 8:11:53 AM GMT+5:30</t>
  </si>
  <si>
    <t>vishwakarmadhananjay275@gmail.com</t>
  </si>
  <si>
    <t>2023/04/21 5:30:23 PM GMT+5:30</t>
  </si>
  <si>
    <t>itskshamamishra227@gmail.com</t>
  </si>
  <si>
    <t>2023/04/21 5:34:15 PM GMT+5:30</t>
  </si>
  <si>
    <t>anooppatel782001@gmail.com</t>
  </si>
  <si>
    <t>2023/04/21 5:37:55 PM GMT+5:30</t>
  </si>
  <si>
    <t>snehil4425@gmail.com</t>
  </si>
  <si>
    <t>2023/04/21 5:38:04 PM GMT+5:30</t>
  </si>
  <si>
    <t>210111008@hbtu.ac.in</t>
  </si>
  <si>
    <t>2023/04/21 5:38:31 PM GMT+5:30</t>
  </si>
  <si>
    <t>shubhampatel49468@gmail.com</t>
  </si>
  <si>
    <t>2023/04/21 5:38:41 PM GMT+5:30</t>
  </si>
  <si>
    <t>parmanandn8081@gmail.com</t>
  </si>
  <si>
    <t>2023/04/21 5:47:59 PM GMT+5:30</t>
  </si>
  <si>
    <t>aakashyadav0726@gmail.com</t>
  </si>
  <si>
    <t>2023/04/21 5:49:31 PM GMT+5:30</t>
  </si>
  <si>
    <t>rku89173@gmail.com</t>
  </si>
  <si>
    <t>2023/04/21 5:51:08 PM GMT+5:30</t>
  </si>
  <si>
    <t>murlimaurya731736@gmail.com</t>
  </si>
  <si>
    <t>2023/04/21 5:52:58 PM GMT+5:30</t>
  </si>
  <si>
    <t>upadhyaykuldeep277@gmail.com</t>
  </si>
  <si>
    <t>Bhagalpur</t>
  </si>
  <si>
    <t>2023/04/21 6:03:38 PM GMT+5:30</t>
  </si>
  <si>
    <t>rgapv1121319@gmail.com</t>
  </si>
  <si>
    <t>2023/04/21 6:10:29 PM GMT+5:30</t>
  </si>
  <si>
    <t>avanishjnv52@gmail.com</t>
  </si>
  <si>
    <t>2023/04/21 6:19:10 PM GMT+5:30</t>
  </si>
  <si>
    <t>sapna959696@gmail.com</t>
  </si>
  <si>
    <t>2023/04/21 6:34:04 PM GMT+5:30</t>
  </si>
  <si>
    <t>aviralsoni136@gmail.com</t>
  </si>
  <si>
    <t>2023/04/21 6:34:10 PM GMT+5:30</t>
  </si>
  <si>
    <t>210106020@hbtu.ac.in</t>
  </si>
  <si>
    <t>2023/04/21 6:38:58 PM GMT+5:30</t>
  </si>
  <si>
    <t>anumaurya780@gmail.com</t>
  </si>
  <si>
    <t>2023/04/21 7:27:44 PM GMT+5:30</t>
  </si>
  <si>
    <t>chayanigan2000@gmail.com</t>
  </si>
  <si>
    <t>2023/04/21 7:37:08 PM GMT+5:30</t>
  </si>
  <si>
    <t>sandeepyadav272152@gmail.com</t>
  </si>
  <si>
    <t xml:space="preserve">Kota Rajasthan </t>
  </si>
  <si>
    <t>2023/04/21 8:01:31 PM GMT+5:30</t>
  </si>
  <si>
    <t>abhinavmishra598@gmail.com</t>
  </si>
  <si>
    <t>2023/04/21 8:09:44 PM GMT+5:30</t>
  </si>
  <si>
    <t>deepikamaurya798@gmail.com</t>
  </si>
  <si>
    <t xml:space="preserve">Delhi </t>
  </si>
  <si>
    <t>2023/04/22 7:27:03 AM GMT+5:30</t>
  </si>
  <si>
    <t>shivamvns797@gmail.com</t>
  </si>
  <si>
    <t>2023/04/22 4:23:53 PM GMT+5:30</t>
  </si>
  <si>
    <t>hrithikraj266@gmail.com</t>
  </si>
  <si>
    <t>2023/04/26 1:37:44 AM GMT+5:30</t>
  </si>
  <si>
    <t>gracysingh571@gmail.com</t>
  </si>
  <si>
    <t>2023/05/02 7:36:41 PM GMT+5:30</t>
  </si>
  <si>
    <t>9026301396om@gmail.com</t>
  </si>
  <si>
    <t>2023/05/03 3:15:49 PM GMT+5:30</t>
  </si>
  <si>
    <t>ay7880949568@gmail.com</t>
  </si>
  <si>
    <t>2023/05/03 3:21:08 PM GMT+5:30</t>
  </si>
  <si>
    <t>heyitsme98979@gmail.com</t>
  </si>
  <si>
    <t xml:space="preserve">Hyderabad </t>
  </si>
  <si>
    <t>2023/05/03 3:46:13 PM GMT+5:30</t>
  </si>
  <si>
    <t>jain66906@gmail.com</t>
  </si>
  <si>
    <t>2023/05/03 4:09:44 PM GMT+5:30</t>
  </si>
  <si>
    <t>debajyotirakshit@gmail.com</t>
  </si>
  <si>
    <t xml:space="preserve">Kolkata </t>
  </si>
  <si>
    <t>2023/05/03 5:23:15 PM GMT+5:30</t>
  </si>
  <si>
    <t>preetisinghsns@gmail.com</t>
  </si>
  <si>
    <t>2023/05/03 5:33:06 PM GMT+5:30</t>
  </si>
  <si>
    <t>kumarritesh2003@gmail.com</t>
  </si>
  <si>
    <t>Unemployed</t>
  </si>
  <si>
    <t>2023/05/03 7:52:20 PM GMT+5:30</t>
  </si>
  <si>
    <t>yakuyadav19@gmail.com</t>
  </si>
  <si>
    <t>2023/05/03 10:16:45 PM GMT+5:30</t>
  </si>
  <si>
    <t>adityasagarpandey001@gmail.com</t>
  </si>
  <si>
    <t>2023/05/04 2:07:09 PM GMT+5:30</t>
  </si>
  <si>
    <t>12abhay2313305@gmail.com</t>
  </si>
  <si>
    <t>2023/05/04 2:16:34 PM GMT+5:30</t>
  </si>
  <si>
    <t>gsm30feb@gmail.com</t>
  </si>
  <si>
    <t>2023/05/04 2:19:49 PM GMT+5:30</t>
  </si>
  <si>
    <t>parmanandbastiup@gmail.com</t>
  </si>
  <si>
    <t>2023/05/04 2:34:53 PM GMT+5:30</t>
  </si>
  <si>
    <t>dineshmauryasdr123@gmail.com</t>
  </si>
  <si>
    <t>2023/05/04 2:40:36 PM GMT+5:30</t>
  </si>
  <si>
    <t>priyamaurya708035@gmail.com</t>
  </si>
  <si>
    <t>2023/05/04 3:00:46 PM GMT+5:30</t>
  </si>
  <si>
    <t>goldykumari02@gmail.com</t>
  </si>
  <si>
    <t xml:space="preserve">Patna , Bihar </t>
  </si>
  <si>
    <t>2023/05/04 3:14:22 PM GMT+5:30</t>
  </si>
  <si>
    <t>laxmi241219@gmail.com</t>
  </si>
  <si>
    <t>2023/05/04 3:20:48 PM GMT+5:30</t>
  </si>
  <si>
    <t>shashirai21@gmail.com</t>
  </si>
  <si>
    <t xml:space="preserve">Jammu </t>
  </si>
  <si>
    <t>2023/05/04 3:22:38 PM GMT+5:30</t>
  </si>
  <si>
    <t>sumitjnvsn@gmail.com</t>
  </si>
  <si>
    <t>UP</t>
  </si>
  <si>
    <t>2023/05/04 4:02:48 PM GMT+5:30</t>
  </si>
  <si>
    <t>surendra09064@gmail.com</t>
  </si>
  <si>
    <t>2023/05/04 4:14:03 PM GMT+5:30</t>
  </si>
  <si>
    <t>shalinissingh222@gmail.com</t>
  </si>
  <si>
    <t>2023/05/04 4:14:34 PM GMT+5:30</t>
  </si>
  <si>
    <t>vikask33202@gmail.com</t>
  </si>
  <si>
    <t>2023/05/04 4:34:19 PM GMT+5:30</t>
  </si>
  <si>
    <t>rrakeshshaw12345@gmail.com</t>
  </si>
  <si>
    <t>2023/05/04 4:37:04 PM GMT+5:30</t>
  </si>
  <si>
    <t>sakshigupta221208@gmail.com</t>
  </si>
  <si>
    <t>2023/05/04 4:37:13 PM GMT+5:30</t>
  </si>
  <si>
    <t>s30sarvesha@gmail.com</t>
  </si>
  <si>
    <t>2023/05/04 4:38:23 PM GMT+5:30</t>
  </si>
  <si>
    <t>anju014maurya@gmail.com</t>
  </si>
  <si>
    <t>2023/05/04 4:39:26 PM GMT+5:30</t>
  </si>
  <si>
    <t>s62995maurya@gmail.com</t>
  </si>
  <si>
    <t>2023/05/04 4:41:08 PM GMT+5:30</t>
  </si>
  <si>
    <t>rupeshshaw57@gmail.com</t>
  </si>
  <si>
    <t>2023/05/04 4:41:42 PM GMT+5:30</t>
  </si>
  <si>
    <t>golgapiiiii005@gmail.com</t>
  </si>
  <si>
    <t xml:space="preserve">Bihar </t>
  </si>
  <si>
    <t>2023/05/04 4:49:30 PM GMT+5:30</t>
  </si>
  <si>
    <t>shalnipandey97@gmail.com</t>
  </si>
  <si>
    <t>2023/05/04 5:17:14 PM GMT+5:30</t>
  </si>
  <si>
    <t>poojapatel79155@gmail.com</t>
  </si>
  <si>
    <t>2023/05/04 6:27:22 PM GMT+5:30</t>
  </si>
  <si>
    <t>aartigupta9889@gmail.com</t>
  </si>
  <si>
    <t>2023/05/04 8:04:35 PM GMT+5:30</t>
  </si>
  <si>
    <t>saizalsingh23@gmail.com</t>
  </si>
  <si>
    <t>2023/05/05 12:28:30 AM GMT+5:30</t>
  </si>
  <si>
    <t>guptaishika1217@gmail.com</t>
  </si>
  <si>
    <t>Ques 1</t>
  </si>
  <si>
    <t>No Change</t>
  </si>
  <si>
    <t>Ques 2</t>
  </si>
  <si>
    <t>Strongly Disagree</t>
  </si>
  <si>
    <t>Ques 3</t>
  </si>
  <si>
    <t>not sure</t>
  </si>
  <si>
    <t>Ques 4</t>
  </si>
  <si>
    <t>Ques 5</t>
  </si>
  <si>
    <t xml:space="preserve">No </t>
  </si>
  <si>
    <t>Ques 6</t>
  </si>
  <si>
    <t>Ques 7</t>
  </si>
  <si>
    <t>Ques 8</t>
  </si>
  <si>
    <t>Strong limits</t>
  </si>
  <si>
    <t>some limits</t>
  </si>
  <si>
    <t>no limits</t>
  </si>
  <si>
    <t>Ques 9</t>
  </si>
  <si>
    <t>Ques 10</t>
  </si>
  <si>
    <t>Ques 11</t>
  </si>
  <si>
    <t>Ques 12</t>
  </si>
  <si>
    <t>Decrease</t>
  </si>
  <si>
    <t>Increase</t>
  </si>
  <si>
    <t>Ques 13</t>
  </si>
  <si>
    <t>Male %</t>
  </si>
  <si>
    <t>Female %</t>
  </si>
  <si>
    <t>Total</t>
  </si>
  <si>
    <t>Significant Increase</t>
  </si>
  <si>
    <t>Slight Increase</t>
  </si>
  <si>
    <t>Strongly Agree</t>
  </si>
  <si>
    <t>Yes,  occasionaly</t>
  </si>
  <si>
    <t>No never</t>
  </si>
  <si>
    <t>Somewhat agree</t>
  </si>
  <si>
    <t>Somewhat disagree</t>
  </si>
  <si>
    <t>Somewhat effective</t>
  </si>
  <si>
    <t>Very effective</t>
  </si>
  <si>
    <t>Not very effective</t>
  </si>
  <si>
    <t>Not at all effective</t>
  </si>
  <si>
    <t>Not Sure</t>
  </si>
  <si>
    <t>Non-UP</t>
  </si>
  <si>
    <t>Resident</t>
  </si>
  <si>
    <t>Opinion on crime rate</t>
  </si>
  <si>
    <t>Count</t>
  </si>
  <si>
    <t>Use of surveillance cameras</t>
  </si>
  <si>
    <t>Gender</t>
  </si>
  <si>
    <t>Use of technology</t>
  </si>
  <si>
    <t>chi-square table</t>
  </si>
  <si>
    <t>d.f.</t>
  </si>
  <si>
    <t>Calculated</t>
  </si>
  <si>
    <t>Alpha</t>
  </si>
  <si>
    <t>Tabulated</t>
  </si>
  <si>
    <t>Re</t>
  </si>
  <si>
    <t>Positive Impact</t>
  </si>
  <si>
    <t>Negative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</si>
</sst>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20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4"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14:F120" totalsRowShown="0" headerRowDxfId="103" dataDxfId="102">
  <autoFilter ref="A114:F120" xr:uid="{00000000-0009-0000-0100-000002000000}"/>
  <tableColumns count="6">
    <tableColumn id="1" xr3:uid="{00000000-0010-0000-0000-000001000000}" name="Ques 1" dataDxfId="101"/>
    <tableColumn id="2" xr3:uid="{00000000-0010-0000-0000-000002000000}" name="Male" dataDxfId="100"/>
    <tableColumn id="3" xr3:uid="{00000000-0010-0000-0000-000003000000}" name="Female" dataDxfId="99"/>
    <tableColumn id="4" xr3:uid="{00000000-0010-0000-0000-000004000000}" name="Total" dataDxfId="98"/>
    <tableColumn id="5" xr3:uid="{00000000-0010-0000-0000-000005000000}" name="Male %" dataDxfId="97">
      <calculatedColumnFormula>(B115*100)/D115</calculatedColumnFormula>
    </tableColumn>
    <tableColumn id="6" xr3:uid="{00000000-0010-0000-0000-000006000000}" name="Female %" dataDxfId="96">
      <calculatedColumnFormula>(C115*100)/D115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" displayName="Table11" ref="A138:F142" totalsRowShown="0" headerRowDxfId="31" dataDxfId="30">
  <autoFilter ref="A138:F142" xr:uid="{00000000-0009-0000-0100-00000B000000}"/>
  <tableColumns count="6">
    <tableColumn id="1" xr3:uid="{00000000-0010-0000-0900-000001000000}" name="Ques 9" dataDxfId="29"/>
    <tableColumn id="2" xr3:uid="{00000000-0010-0000-0900-000002000000}" name="Male" dataDxfId="28"/>
    <tableColumn id="3" xr3:uid="{00000000-0010-0000-0900-000003000000}" name="Female" dataDxfId="27"/>
    <tableColumn id="4" xr3:uid="{00000000-0010-0000-0900-000004000000}" name="Total" dataDxfId="26"/>
    <tableColumn id="5" xr3:uid="{00000000-0010-0000-0900-000005000000}" name="Male %" dataDxfId="25">
      <calculatedColumnFormula>B139*100/D139</calculatedColumnFormula>
    </tableColumn>
    <tableColumn id="6" xr3:uid="{00000000-0010-0000-0900-000006000000}" name="Female %" dataDxfId="24">
      <calculatedColumnFormula>100-E139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2" displayName="Table12" ref="H138:M142" totalsRowShown="0" headerRowDxfId="23" dataDxfId="22">
  <autoFilter ref="H138:M142" xr:uid="{00000000-0009-0000-0100-00000C000000}"/>
  <tableColumns count="6">
    <tableColumn id="1" xr3:uid="{00000000-0010-0000-0A00-000001000000}" name="Ques 11" dataDxfId="21"/>
    <tableColumn id="2" xr3:uid="{00000000-0010-0000-0A00-000002000000}" name="Male" dataDxfId="20"/>
    <tableColumn id="3" xr3:uid="{00000000-0010-0000-0A00-000003000000}" name="Female" dataDxfId="19"/>
    <tableColumn id="4" xr3:uid="{00000000-0010-0000-0A00-000004000000}" name="Total" dataDxfId="18"/>
    <tableColumn id="5" xr3:uid="{00000000-0010-0000-0A00-000005000000}" name="Male %" dataDxfId="17">
      <calculatedColumnFormula>I139*100/K139</calculatedColumnFormula>
    </tableColumn>
    <tableColumn id="6" xr3:uid="{00000000-0010-0000-0A00-000006000000}" name="Female %" dataDxfId="16">
      <calculatedColumnFormula>100-L139</calculatedColumnFormula>
    </tableColumn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13" displayName="Table13" ref="O138:T140" totalsRowShown="0" headerRowDxfId="15" dataDxfId="14">
  <autoFilter ref="O138:T140" xr:uid="{00000000-0009-0000-0100-00000D000000}"/>
  <tableColumns count="6">
    <tableColumn id="1" xr3:uid="{00000000-0010-0000-0B00-000001000000}" name="Ques 12" dataDxfId="13"/>
    <tableColumn id="2" xr3:uid="{00000000-0010-0000-0B00-000002000000}" name="Male" dataDxfId="12">
      <calculatedColumnFormula>COUNTIFS(R1:R109,"Increase due to criminals using technology to surveil potential targets and bypass security systems",D1:D109,"Male")</calculatedColumnFormula>
    </tableColumn>
    <tableColumn id="3" xr3:uid="{00000000-0010-0000-0B00-000003000000}" name="Female" dataDxfId="11">
      <calculatedColumnFormula>COUNTIFS(R1:R109,"Increase due to criminals using technology to surveil potential targets and bypass security systems",D1:D109,"Female")</calculatedColumnFormula>
    </tableColumn>
    <tableColumn id="4" xr3:uid="{00000000-0010-0000-0B00-000004000000}" name="Total" dataDxfId="10">
      <calculatedColumnFormula>SUM(P139:Q139)</calculatedColumnFormula>
    </tableColumn>
    <tableColumn id="5" xr3:uid="{00000000-0010-0000-0B00-000005000000}" name="Male %" dataDxfId="9">
      <calculatedColumnFormula>P139*100/R139</calculatedColumnFormula>
    </tableColumn>
    <tableColumn id="6" xr3:uid="{00000000-0010-0000-0B00-000006000000}" name="Female %" dataDxfId="8">
      <calculatedColumnFormula>100-S139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e14" displayName="Table14" ref="A145:F147" totalsRowShown="0" headerRowDxfId="7" dataDxfId="6">
  <autoFilter ref="A145:F147" xr:uid="{00000000-0009-0000-0100-00000E000000}"/>
  <tableColumns count="6">
    <tableColumn id="1" xr3:uid="{00000000-0010-0000-0C00-000001000000}" name="Ques 13" dataDxfId="5"/>
    <tableColumn id="2" xr3:uid="{00000000-0010-0000-0C00-000002000000}" name="Male" dataDxfId="4">
      <calculatedColumnFormula>COUNTIFS(S1:S109,"Decrease due to improved security measures and increased awareness of online safety",D1:D109,"Male")</calculatedColumnFormula>
    </tableColumn>
    <tableColumn id="3" xr3:uid="{00000000-0010-0000-0C00-000003000000}" name="Female" dataDxfId="3">
      <calculatedColumnFormula>COUNTIFS(S1:S109,"Decrease due to improved security measures and increased awareness of online safety",D1:D109,"Female")</calculatedColumnFormula>
    </tableColumn>
    <tableColumn id="4" xr3:uid="{00000000-0010-0000-0C00-000004000000}" name="Total" dataDxfId="2"/>
    <tableColumn id="5" xr3:uid="{00000000-0010-0000-0C00-000005000000}" name="Male %" dataDxfId="1">
      <calculatedColumnFormula>B146*100/D146</calculatedColumnFormula>
    </tableColumn>
    <tableColumn id="6" xr3:uid="{00000000-0010-0000-0C00-000006000000}" name="Female %" dataDxfId="0">
      <calculatedColumnFormula>100-E146</calculatedColumnFormula>
    </tableColumn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H114:M119" totalsRowShown="0" headerRowDxfId="95" dataDxfId="94">
  <autoFilter ref="H114:M119" xr:uid="{00000000-0009-0000-0100-000003000000}"/>
  <tableColumns count="6">
    <tableColumn id="1" xr3:uid="{00000000-0010-0000-0100-000001000000}" name="Ques 2" dataDxfId="93"/>
    <tableColumn id="2" xr3:uid="{00000000-0010-0000-0100-000002000000}" name="Male" dataDxfId="92"/>
    <tableColumn id="3" xr3:uid="{00000000-0010-0000-0100-000003000000}" name="Female" dataDxfId="91"/>
    <tableColumn id="4" xr3:uid="{00000000-0010-0000-0100-000004000000}" name="Total" dataDxfId="90"/>
    <tableColumn id="5" xr3:uid="{00000000-0010-0000-0100-000005000000}" name="Male %" dataDxfId="89">
      <calculatedColumnFormula>(I115*100)/K115</calculatedColumnFormula>
    </tableColumn>
    <tableColumn id="6" xr3:uid="{00000000-0010-0000-0100-000006000000}" name="Female %" dataDxfId="88">
      <calculatedColumnFormula>100-L115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O114:T118" totalsRowShown="0" headerRowDxfId="87" dataDxfId="86">
  <autoFilter ref="O114:T118" xr:uid="{00000000-0009-0000-0100-000004000000}"/>
  <tableColumns count="6">
    <tableColumn id="1" xr3:uid="{00000000-0010-0000-0200-000001000000}" name="Ques 3" dataDxfId="85"/>
    <tableColumn id="2" xr3:uid="{00000000-0010-0000-0200-000002000000}" name="Male" dataDxfId="84"/>
    <tableColumn id="3" xr3:uid="{00000000-0010-0000-0200-000003000000}" name="Female" dataDxfId="83"/>
    <tableColumn id="4" xr3:uid="{00000000-0010-0000-0200-000004000000}" name="Total" dataDxfId="82"/>
    <tableColumn id="5" xr3:uid="{00000000-0010-0000-0200-000005000000}" name="Male %" dataDxfId="81">
      <calculatedColumnFormula>(P115*100)/R115</calculatedColumnFormula>
    </tableColumn>
    <tableColumn id="6" xr3:uid="{00000000-0010-0000-0200-000006000000}" name="Female %" dataDxfId="80">
      <calculatedColumnFormula>100-S115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22:F127" totalsRowShown="0" headerRowDxfId="79" dataDxfId="78">
  <autoFilter ref="A122:F127" xr:uid="{00000000-0009-0000-0100-000005000000}"/>
  <tableColumns count="6">
    <tableColumn id="1" xr3:uid="{00000000-0010-0000-0300-000001000000}" name="Ques 4" dataDxfId="77"/>
    <tableColumn id="2" xr3:uid="{00000000-0010-0000-0300-000002000000}" name="Male" dataDxfId="76"/>
    <tableColumn id="3" xr3:uid="{00000000-0010-0000-0300-000003000000}" name="Female" dataDxfId="75"/>
    <tableColumn id="4" xr3:uid="{00000000-0010-0000-0300-000004000000}" name="Total" dataDxfId="74"/>
    <tableColumn id="5" xr3:uid="{00000000-0010-0000-0300-000005000000}" name="Male %" dataDxfId="73">
      <calculatedColumnFormula>B123*100/D123</calculatedColumnFormula>
    </tableColumn>
    <tableColumn id="6" xr3:uid="{00000000-0010-0000-0300-000006000000}" name="Female %" dataDxfId="72">
      <calculatedColumnFormula>100-E123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H122:M125" totalsRowShown="0" headerRowDxfId="71" dataDxfId="70">
  <autoFilter ref="H122:M125" xr:uid="{00000000-0009-0000-0100-000006000000}"/>
  <tableColumns count="6">
    <tableColumn id="1" xr3:uid="{00000000-0010-0000-0400-000001000000}" name="Ques 5" dataDxfId="69"/>
    <tableColumn id="2" xr3:uid="{00000000-0010-0000-0400-000002000000}" name="Male" dataDxfId="68"/>
    <tableColumn id="3" xr3:uid="{00000000-0010-0000-0400-000003000000}" name="Female" dataDxfId="67"/>
    <tableColumn id="4" xr3:uid="{00000000-0010-0000-0400-000004000000}" name="Total" dataDxfId="66"/>
    <tableColumn id="5" xr3:uid="{00000000-0010-0000-0400-000005000000}" name="Male %" dataDxfId="65">
      <calculatedColumnFormula>I123*100/K123</calculatedColumnFormula>
    </tableColumn>
    <tableColumn id="6" xr3:uid="{00000000-0010-0000-0400-000006000000}" name="Female %" dataDxfId="64">
      <calculatedColumnFormula>100-L123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O122:T127" totalsRowShown="0" headerRowDxfId="63" dataDxfId="62">
  <autoFilter ref="O122:T127" xr:uid="{00000000-0009-0000-0100-000007000000}"/>
  <tableColumns count="6">
    <tableColumn id="1" xr3:uid="{00000000-0010-0000-0500-000001000000}" name="Ques 6" dataDxfId="61"/>
    <tableColumn id="2" xr3:uid="{00000000-0010-0000-0500-000002000000}" name="Male" dataDxfId="60"/>
    <tableColumn id="3" xr3:uid="{00000000-0010-0000-0500-000003000000}" name="Female" dataDxfId="59"/>
    <tableColumn id="4" xr3:uid="{00000000-0010-0000-0500-000004000000}" name="Total" dataDxfId="58">
      <calculatedColumnFormula>SUM(P123:Q123)</calculatedColumnFormula>
    </tableColumn>
    <tableColumn id="5" xr3:uid="{00000000-0010-0000-0500-000005000000}" name="Male %" dataDxfId="57">
      <calculatedColumnFormula>P123*100/R123</calculatedColumnFormula>
    </tableColumn>
    <tableColumn id="6" xr3:uid="{00000000-0010-0000-0500-000006000000}" name="Female %" dataDxfId="56">
      <calculatedColumnFormula>100-S123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30:F135" totalsRowShown="0" headerRowDxfId="55" dataDxfId="54">
  <autoFilter ref="A130:F135" xr:uid="{00000000-0009-0000-0100-000008000000}"/>
  <tableColumns count="6">
    <tableColumn id="1" xr3:uid="{00000000-0010-0000-0600-000001000000}" name="Ques 7" dataDxfId="53"/>
    <tableColumn id="2" xr3:uid="{00000000-0010-0000-0600-000002000000}" name="Male" dataDxfId="52"/>
    <tableColumn id="3" xr3:uid="{00000000-0010-0000-0600-000003000000}" name="Female" dataDxfId="51"/>
    <tableColumn id="4" xr3:uid="{00000000-0010-0000-0600-000004000000}" name="Total" dataDxfId="50"/>
    <tableColumn id="5" xr3:uid="{00000000-0010-0000-0600-000005000000}" name="Male %" dataDxfId="49">
      <calculatedColumnFormula>B131*100/D131</calculatedColumnFormula>
    </tableColumn>
    <tableColumn id="6" xr3:uid="{00000000-0010-0000-0600-000006000000}" name="Female %" dataDxfId="48">
      <calculatedColumnFormula>100-E131</calculatedColumnFormula>
    </tableColumn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H130:M134" totalsRowShown="0" headerRowDxfId="47" dataDxfId="46">
  <autoFilter ref="H130:M134" xr:uid="{00000000-0009-0000-0100-000009000000}"/>
  <tableColumns count="6">
    <tableColumn id="1" xr3:uid="{00000000-0010-0000-0700-000001000000}" name="Ques 8" dataDxfId="45"/>
    <tableColumn id="2" xr3:uid="{00000000-0010-0000-0700-000002000000}" name="Male" dataDxfId="44"/>
    <tableColumn id="3" xr3:uid="{00000000-0010-0000-0700-000003000000}" name="Female" dataDxfId="43"/>
    <tableColumn id="4" xr3:uid="{00000000-0010-0000-0700-000004000000}" name="Total" dataDxfId="42"/>
    <tableColumn id="5" xr3:uid="{00000000-0010-0000-0700-000005000000}" name="Male %" dataDxfId="41">
      <calculatedColumnFormula>I131*100/K131</calculatedColumnFormula>
    </tableColumn>
    <tableColumn id="6" xr3:uid="{00000000-0010-0000-0700-000006000000}" name="Female %" dataDxfId="40">
      <calculatedColumnFormula>100-L131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O130:T134" totalsRowShown="0" headerRowDxfId="39" dataDxfId="38">
  <autoFilter ref="O130:T134" xr:uid="{00000000-0009-0000-0100-00000A000000}"/>
  <tableColumns count="6">
    <tableColumn id="1" xr3:uid="{00000000-0010-0000-0800-000001000000}" name="Ques 10" dataDxfId="37"/>
    <tableColumn id="2" xr3:uid="{00000000-0010-0000-0800-000002000000}" name="Male" dataDxfId="36"/>
    <tableColumn id="3" xr3:uid="{00000000-0010-0000-0800-000003000000}" name="Female" dataDxfId="35"/>
    <tableColumn id="4" xr3:uid="{00000000-0010-0000-0800-000004000000}" name="Total" dataDxfId="34">
      <calculatedColumnFormula>SUM(P131:Q131)</calculatedColumnFormula>
    </tableColumn>
    <tableColumn id="5" xr3:uid="{00000000-0010-0000-0800-000005000000}" name="Male %" dataDxfId="33">
      <calculatedColumnFormula>P131*100/R131</calculatedColumnFormula>
    </tableColumn>
    <tableColumn id="6" xr3:uid="{00000000-0010-0000-0800-000006000000}" name="Female %" dataDxfId="32">
      <calculatedColumnFormula>100-S131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7"/>
  <sheetViews>
    <sheetView topLeftCell="D84" zoomScale="107" workbookViewId="0">
      <selection activeCell="Y115" sqref="Y115"/>
    </sheetView>
  </sheetViews>
  <sheetFormatPr defaultColWidth="14.5546875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276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1:19" x14ac:dyDescent="0.3">
      <c r="A3" t="s">
        <v>37</v>
      </c>
      <c r="B3" t="s">
        <v>38</v>
      </c>
      <c r="C3" t="s">
        <v>21</v>
      </c>
      <c r="D3" t="s">
        <v>22</v>
      </c>
      <c r="E3" t="s">
        <v>23</v>
      </c>
      <c r="F3" t="s">
        <v>39</v>
      </c>
      <c r="G3" t="s">
        <v>40</v>
      </c>
      <c r="H3" t="s">
        <v>25</v>
      </c>
      <c r="I3" t="s">
        <v>41</v>
      </c>
      <c r="J3" t="s">
        <v>42</v>
      </c>
      <c r="K3" t="s">
        <v>28</v>
      </c>
      <c r="L3" t="s">
        <v>43</v>
      </c>
      <c r="M3" t="s">
        <v>32</v>
      </c>
      <c r="N3" t="s">
        <v>31</v>
      </c>
      <c r="O3" t="s">
        <v>33</v>
      </c>
      <c r="P3" t="s">
        <v>44</v>
      </c>
      <c r="Q3" t="s">
        <v>34</v>
      </c>
      <c r="R3" t="s">
        <v>45</v>
      </c>
      <c r="S3" t="s">
        <v>36</v>
      </c>
    </row>
    <row r="4" spans="1:19" x14ac:dyDescent="0.3">
      <c r="A4" t="s">
        <v>46</v>
      </c>
      <c r="B4" t="s">
        <v>47</v>
      </c>
      <c r="C4" t="s">
        <v>21</v>
      </c>
      <c r="D4" t="s">
        <v>22</v>
      </c>
      <c r="E4" t="s">
        <v>23</v>
      </c>
      <c r="F4" t="s">
        <v>48</v>
      </c>
      <c r="G4" t="s">
        <v>49</v>
      </c>
      <c r="H4" t="s">
        <v>25</v>
      </c>
      <c r="I4" t="s">
        <v>26</v>
      </c>
      <c r="J4" t="s">
        <v>27</v>
      </c>
      <c r="K4" t="s">
        <v>28</v>
      </c>
      <c r="L4" t="s">
        <v>32</v>
      </c>
      <c r="M4" t="s">
        <v>32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</row>
    <row r="5" spans="1:19" x14ac:dyDescent="0.3">
      <c r="A5" t="s">
        <v>50</v>
      </c>
      <c r="B5" t="s">
        <v>51</v>
      </c>
      <c r="C5" t="s">
        <v>21</v>
      </c>
      <c r="D5" t="s">
        <v>22</v>
      </c>
      <c r="E5" t="s">
        <v>23</v>
      </c>
      <c r="F5" t="s">
        <v>52</v>
      </c>
      <c r="G5" t="s">
        <v>40</v>
      </c>
      <c r="H5" t="s">
        <v>53</v>
      </c>
      <c r="I5" t="s">
        <v>54</v>
      </c>
      <c r="J5" t="s">
        <v>27</v>
      </c>
      <c r="K5" t="s">
        <v>28</v>
      </c>
      <c r="L5" t="s">
        <v>55</v>
      </c>
      <c r="M5" t="s">
        <v>30</v>
      </c>
      <c r="N5" t="s">
        <v>31</v>
      </c>
      <c r="O5" t="s">
        <v>33</v>
      </c>
      <c r="P5" t="s">
        <v>33</v>
      </c>
      <c r="Q5" t="s">
        <v>34</v>
      </c>
      <c r="R5" t="s">
        <v>35</v>
      </c>
      <c r="S5" t="s">
        <v>56</v>
      </c>
    </row>
    <row r="6" spans="1:19" x14ac:dyDescent="0.3">
      <c r="A6" t="s">
        <v>57</v>
      </c>
      <c r="B6" t="s">
        <v>58</v>
      </c>
      <c r="C6" t="s">
        <v>21</v>
      </c>
      <c r="D6" t="s">
        <v>59</v>
      </c>
      <c r="E6" t="s">
        <v>23</v>
      </c>
      <c r="F6" t="s">
        <v>60</v>
      </c>
      <c r="G6" t="s">
        <v>61</v>
      </c>
      <c r="H6" t="s">
        <v>25</v>
      </c>
      <c r="I6" t="s">
        <v>54</v>
      </c>
      <c r="J6" t="s">
        <v>42</v>
      </c>
      <c r="K6" t="s">
        <v>28</v>
      </c>
      <c r="L6" t="s">
        <v>29</v>
      </c>
      <c r="M6" t="s">
        <v>32</v>
      </c>
      <c r="N6" t="s">
        <v>62</v>
      </c>
      <c r="O6" t="s">
        <v>32</v>
      </c>
      <c r="P6" t="s">
        <v>33</v>
      </c>
      <c r="Q6" t="s">
        <v>34</v>
      </c>
      <c r="R6" t="s">
        <v>35</v>
      </c>
      <c r="S6" t="s">
        <v>36</v>
      </c>
    </row>
    <row r="7" spans="1:19" x14ac:dyDescent="0.3">
      <c r="A7" t="s">
        <v>63</v>
      </c>
      <c r="B7" t="s">
        <v>64</v>
      </c>
      <c r="C7" t="s">
        <v>65</v>
      </c>
      <c r="D7" t="s">
        <v>22</v>
      </c>
      <c r="E7" t="s">
        <v>66</v>
      </c>
      <c r="F7" t="s">
        <v>67</v>
      </c>
      <c r="G7" t="s">
        <v>24</v>
      </c>
      <c r="H7" t="s">
        <v>25</v>
      </c>
      <c r="I7" t="s">
        <v>26</v>
      </c>
      <c r="J7" t="s">
        <v>42</v>
      </c>
      <c r="K7" t="s">
        <v>28</v>
      </c>
      <c r="L7" t="s">
        <v>29</v>
      </c>
      <c r="M7" t="s">
        <v>30</v>
      </c>
      <c r="N7" t="s">
        <v>31</v>
      </c>
      <c r="O7" t="s">
        <v>33</v>
      </c>
      <c r="P7" t="s">
        <v>33</v>
      </c>
      <c r="Q7" t="s">
        <v>32</v>
      </c>
      <c r="R7" t="s">
        <v>35</v>
      </c>
      <c r="S7" t="s">
        <v>36</v>
      </c>
    </row>
    <row r="8" spans="1:19" x14ac:dyDescent="0.3">
      <c r="A8" t="s">
        <v>68</v>
      </c>
      <c r="B8" t="s">
        <v>69</v>
      </c>
      <c r="C8" t="s">
        <v>21</v>
      </c>
      <c r="D8" t="s">
        <v>22</v>
      </c>
      <c r="E8" t="s">
        <v>23</v>
      </c>
      <c r="F8" t="s">
        <v>276</v>
      </c>
      <c r="G8" t="s">
        <v>61</v>
      </c>
      <c r="H8" t="s">
        <v>53</v>
      </c>
      <c r="I8" t="s">
        <v>26</v>
      </c>
      <c r="J8" t="s">
        <v>70</v>
      </c>
      <c r="K8" t="s">
        <v>71</v>
      </c>
      <c r="L8" t="s">
        <v>29</v>
      </c>
      <c r="M8" t="s">
        <v>72</v>
      </c>
      <c r="N8" t="s">
        <v>31</v>
      </c>
      <c r="O8" t="s">
        <v>32</v>
      </c>
      <c r="P8" t="s">
        <v>44</v>
      </c>
      <c r="Q8" t="s">
        <v>34</v>
      </c>
      <c r="R8" t="s">
        <v>45</v>
      </c>
      <c r="S8" t="s">
        <v>36</v>
      </c>
    </row>
    <row r="9" spans="1:19" x14ac:dyDescent="0.3">
      <c r="A9" t="s">
        <v>73</v>
      </c>
      <c r="B9" t="s">
        <v>74</v>
      </c>
      <c r="C9" t="s">
        <v>21</v>
      </c>
      <c r="D9" t="s">
        <v>22</v>
      </c>
      <c r="E9" t="s">
        <v>23</v>
      </c>
      <c r="F9" t="s">
        <v>75</v>
      </c>
      <c r="G9" t="s">
        <v>24</v>
      </c>
      <c r="H9" t="s">
        <v>53</v>
      </c>
      <c r="I9" t="s">
        <v>54</v>
      </c>
      <c r="J9" t="s">
        <v>42</v>
      </c>
      <c r="K9" t="s">
        <v>28</v>
      </c>
      <c r="L9" t="s">
        <v>32</v>
      </c>
      <c r="M9" t="s">
        <v>32</v>
      </c>
      <c r="N9" t="s">
        <v>31</v>
      </c>
      <c r="O9" t="s">
        <v>33</v>
      </c>
      <c r="P9" t="s">
        <v>33</v>
      </c>
      <c r="Q9" t="s">
        <v>76</v>
      </c>
      <c r="R9" t="s">
        <v>35</v>
      </c>
      <c r="S9" t="s">
        <v>56</v>
      </c>
    </row>
    <row r="10" spans="1:19" x14ac:dyDescent="0.3">
      <c r="A10" t="s">
        <v>77</v>
      </c>
      <c r="B10" t="s">
        <v>78</v>
      </c>
      <c r="C10" t="s">
        <v>21</v>
      </c>
      <c r="D10" t="s">
        <v>59</v>
      </c>
      <c r="E10" t="s">
        <v>23</v>
      </c>
      <c r="F10" t="s">
        <v>79</v>
      </c>
      <c r="G10" t="s">
        <v>40</v>
      </c>
      <c r="H10" t="s">
        <v>80</v>
      </c>
      <c r="I10" t="s">
        <v>54</v>
      </c>
      <c r="J10" t="s">
        <v>42</v>
      </c>
      <c r="K10" t="s">
        <v>71</v>
      </c>
      <c r="L10" t="s">
        <v>29</v>
      </c>
      <c r="M10" t="s">
        <v>32</v>
      </c>
      <c r="N10" t="s">
        <v>31</v>
      </c>
      <c r="O10" t="s">
        <v>33</v>
      </c>
      <c r="P10" t="s">
        <v>32</v>
      </c>
      <c r="Q10" t="s">
        <v>76</v>
      </c>
      <c r="R10" t="s">
        <v>45</v>
      </c>
      <c r="S10" t="s">
        <v>36</v>
      </c>
    </row>
    <row r="11" spans="1:19" x14ac:dyDescent="0.3">
      <c r="A11" t="s">
        <v>81</v>
      </c>
      <c r="B11" t="s">
        <v>82</v>
      </c>
      <c r="C11" t="s">
        <v>21</v>
      </c>
      <c r="D11" t="s">
        <v>22</v>
      </c>
      <c r="E11" t="s">
        <v>23</v>
      </c>
      <c r="F11" t="s">
        <v>276</v>
      </c>
      <c r="G11" t="s">
        <v>24</v>
      </c>
      <c r="H11" t="s">
        <v>80</v>
      </c>
      <c r="I11" t="s">
        <v>54</v>
      </c>
      <c r="J11" t="s">
        <v>27</v>
      </c>
      <c r="K11" t="s">
        <v>83</v>
      </c>
      <c r="L11" t="s">
        <v>55</v>
      </c>
      <c r="M11" t="s">
        <v>30</v>
      </c>
      <c r="N11" t="s">
        <v>84</v>
      </c>
      <c r="O11" t="s">
        <v>33</v>
      </c>
      <c r="P11" t="s">
        <v>33</v>
      </c>
      <c r="Q11" t="s">
        <v>34</v>
      </c>
      <c r="R11" t="s">
        <v>35</v>
      </c>
      <c r="S11" t="s">
        <v>56</v>
      </c>
    </row>
    <row r="12" spans="1:19" x14ac:dyDescent="0.3">
      <c r="A12" t="s">
        <v>85</v>
      </c>
      <c r="B12" t="s">
        <v>86</v>
      </c>
      <c r="C12" t="s">
        <v>21</v>
      </c>
      <c r="D12" t="s">
        <v>22</v>
      </c>
      <c r="E12" t="s">
        <v>23</v>
      </c>
      <c r="F12" t="s">
        <v>87</v>
      </c>
      <c r="G12" t="s">
        <v>40</v>
      </c>
      <c r="H12" t="s">
        <v>88</v>
      </c>
      <c r="I12" t="s">
        <v>54</v>
      </c>
      <c r="J12" t="s">
        <v>27</v>
      </c>
      <c r="K12" t="s">
        <v>28</v>
      </c>
      <c r="L12" t="s">
        <v>55</v>
      </c>
      <c r="M12" t="s">
        <v>89</v>
      </c>
      <c r="N12" t="s">
        <v>31</v>
      </c>
      <c r="O12" t="s">
        <v>33</v>
      </c>
      <c r="P12" t="s">
        <v>33</v>
      </c>
      <c r="Q12" t="s">
        <v>34</v>
      </c>
      <c r="R12" t="s">
        <v>45</v>
      </c>
      <c r="S12" t="s">
        <v>36</v>
      </c>
    </row>
    <row r="13" spans="1:19" x14ac:dyDescent="0.3">
      <c r="A13" t="s">
        <v>90</v>
      </c>
      <c r="B13" t="s">
        <v>91</v>
      </c>
      <c r="C13" t="s">
        <v>21</v>
      </c>
      <c r="D13" t="s">
        <v>22</v>
      </c>
      <c r="E13" t="s">
        <v>23</v>
      </c>
      <c r="F13" t="s">
        <v>92</v>
      </c>
      <c r="G13" t="s">
        <v>40</v>
      </c>
      <c r="H13" t="s">
        <v>25</v>
      </c>
      <c r="I13" t="s">
        <v>41</v>
      </c>
      <c r="J13" t="s">
        <v>42</v>
      </c>
      <c r="K13" t="s">
        <v>83</v>
      </c>
      <c r="L13" t="s">
        <v>29</v>
      </c>
      <c r="M13" t="s">
        <v>72</v>
      </c>
      <c r="N13" t="s">
        <v>31</v>
      </c>
      <c r="O13" t="s">
        <v>93</v>
      </c>
      <c r="P13" t="s">
        <v>33</v>
      </c>
      <c r="Q13" t="s">
        <v>76</v>
      </c>
      <c r="R13" t="s">
        <v>35</v>
      </c>
      <c r="S13" t="s">
        <v>36</v>
      </c>
    </row>
    <row r="14" spans="1:19" x14ac:dyDescent="0.3">
      <c r="A14" t="s">
        <v>94</v>
      </c>
      <c r="B14" t="s">
        <v>95</v>
      </c>
      <c r="C14" t="s">
        <v>21</v>
      </c>
      <c r="D14" t="s">
        <v>22</v>
      </c>
      <c r="E14" t="s">
        <v>23</v>
      </c>
      <c r="F14" t="s">
        <v>276</v>
      </c>
      <c r="G14" t="s">
        <v>40</v>
      </c>
      <c r="H14" t="s">
        <v>25</v>
      </c>
      <c r="I14" t="s">
        <v>54</v>
      </c>
      <c r="J14" t="s">
        <v>70</v>
      </c>
      <c r="K14" t="s">
        <v>28</v>
      </c>
      <c r="L14" t="s">
        <v>43</v>
      </c>
      <c r="M14" t="s">
        <v>30</v>
      </c>
      <c r="N14" t="s">
        <v>31</v>
      </c>
      <c r="O14" t="s">
        <v>32</v>
      </c>
      <c r="P14" t="s">
        <v>44</v>
      </c>
      <c r="Q14" t="s">
        <v>34</v>
      </c>
      <c r="R14" t="s">
        <v>45</v>
      </c>
      <c r="S14" t="s">
        <v>36</v>
      </c>
    </row>
    <row r="15" spans="1:19" x14ac:dyDescent="0.3">
      <c r="A15" t="s">
        <v>96</v>
      </c>
      <c r="B15" t="s">
        <v>97</v>
      </c>
      <c r="C15" t="s">
        <v>21</v>
      </c>
      <c r="D15" t="s">
        <v>59</v>
      </c>
      <c r="E15" t="s">
        <v>23</v>
      </c>
      <c r="F15" t="s">
        <v>98</v>
      </c>
      <c r="G15" t="s">
        <v>61</v>
      </c>
      <c r="H15" t="s">
        <v>25</v>
      </c>
      <c r="I15" t="s">
        <v>54</v>
      </c>
      <c r="J15" t="s">
        <v>70</v>
      </c>
      <c r="K15" t="s">
        <v>28</v>
      </c>
      <c r="L15" t="s">
        <v>32</v>
      </c>
      <c r="M15" t="s">
        <v>30</v>
      </c>
      <c r="N15" t="s">
        <v>31</v>
      </c>
      <c r="O15" t="s">
        <v>33</v>
      </c>
      <c r="P15" t="s">
        <v>32</v>
      </c>
      <c r="Q15" t="s">
        <v>32</v>
      </c>
      <c r="R15" t="s">
        <v>45</v>
      </c>
      <c r="S15" t="s">
        <v>36</v>
      </c>
    </row>
    <row r="16" spans="1:19" x14ac:dyDescent="0.3">
      <c r="A16" t="s">
        <v>99</v>
      </c>
      <c r="B16" t="s">
        <v>100</v>
      </c>
      <c r="C16" t="s">
        <v>21</v>
      </c>
      <c r="D16" t="s">
        <v>22</v>
      </c>
      <c r="E16" t="s">
        <v>23</v>
      </c>
      <c r="F16" t="s">
        <v>276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43</v>
      </c>
      <c r="M16" t="s">
        <v>30</v>
      </c>
      <c r="N16" t="s">
        <v>31</v>
      </c>
      <c r="O16" t="s">
        <v>33</v>
      </c>
      <c r="P16" t="s">
        <v>93</v>
      </c>
      <c r="Q16" t="s">
        <v>34</v>
      </c>
      <c r="R16" t="s">
        <v>45</v>
      </c>
      <c r="S16" t="s">
        <v>36</v>
      </c>
    </row>
    <row r="17" spans="1:19" x14ac:dyDescent="0.3">
      <c r="A17" t="s">
        <v>101</v>
      </c>
      <c r="B17" t="s">
        <v>102</v>
      </c>
      <c r="C17" t="s">
        <v>103</v>
      </c>
      <c r="D17" t="s">
        <v>22</v>
      </c>
      <c r="E17" t="s">
        <v>23</v>
      </c>
      <c r="F17" t="s">
        <v>276</v>
      </c>
      <c r="G17" t="s">
        <v>40</v>
      </c>
      <c r="H17" t="s">
        <v>25</v>
      </c>
      <c r="I17" t="s">
        <v>26</v>
      </c>
      <c r="J17" t="s">
        <v>42</v>
      </c>
      <c r="K17" t="s">
        <v>71</v>
      </c>
      <c r="L17" t="s">
        <v>29</v>
      </c>
      <c r="M17" t="s">
        <v>30</v>
      </c>
      <c r="N17" t="s">
        <v>31</v>
      </c>
      <c r="O17" t="s">
        <v>44</v>
      </c>
      <c r="P17" t="s">
        <v>93</v>
      </c>
      <c r="Q17" t="s">
        <v>34</v>
      </c>
      <c r="R17" t="s">
        <v>45</v>
      </c>
      <c r="S17" t="s">
        <v>36</v>
      </c>
    </row>
    <row r="18" spans="1:19" x14ac:dyDescent="0.3">
      <c r="A18" t="s">
        <v>104</v>
      </c>
      <c r="B18" t="s">
        <v>105</v>
      </c>
      <c r="C18" t="s">
        <v>21</v>
      </c>
      <c r="D18" t="s">
        <v>22</v>
      </c>
      <c r="E18" t="s">
        <v>23</v>
      </c>
      <c r="F18" t="s">
        <v>276</v>
      </c>
      <c r="G18" t="s">
        <v>40</v>
      </c>
      <c r="H18" t="s">
        <v>53</v>
      </c>
      <c r="I18" t="s">
        <v>54</v>
      </c>
      <c r="J18" t="s">
        <v>42</v>
      </c>
      <c r="K18" t="s">
        <v>71</v>
      </c>
      <c r="L18" t="s">
        <v>43</v>
      </c>
      <c r="M18" t="s">
        <v>32</v>
      </c>
      <c r="N18" t="s">
        <v>31</v>
      </c>
      <c r="O18" t="s">
        <v>33</v>
      </c>
      <c r="P18" t="s">
        <v>33</v>
      </c>
      <c r="Q18" t="s">
        <v>34</v>
      </c>
      <c r="R18" t="s">
        <v>35</v>
      </c>
      <c r="S18" t="s">
        <v>36</v>
      </c>
    </row>
    <row r="19" spans="1:19" x14ac:dyDescent="0.3">
      <c r="A19" t="s">
        <v>106</v>
      </c>
      <c r="B19" t="s">
        <v>107</v>
      </c>
      <c r="C19" t="s">
        <v>21</v>
      </c>
      <c r="D19" t="s">
        <v>22</v>
      </c>
      <c r="E19" t="s">
        <v>23</v>
      </c>
      <c r="F19" t="s">
        <v>276</v>
      </c>
      <c r="G19" t="s">
        <v>40</v>
      </c>
      <c r="H19" t="s">
        <v>88</v>
      </c>
      <c r="I19" t="s">
        <v>26</v>
      </c>
      <c r="J19" t="s">
        <v>42</v>
      </c>
      <c r="K19" t="s">
        <v>28</v>
      </c>
      <c r="L19" t="s">
        <v>29</v>
      </c>
      <c r="M19" t="s">
        <v>89</v>
      </c>
      <c r="N19" t="s">
        <v>31</v>
      </c>
      <c r="O19" t="s">
        <v>33</v>
      </c>
      <c r="P19" t="s">
        <v>33</v>
      </c>
      <c r="Q19" t="s">
        <v>34</v>
      </c>
      <c r="R19" t="s">
        <v>35</v>
      </c>
      <c r="S19" t="s">
        <v>36</v>
      </c>
    </row>
    <row r="20" spans="1:19" x14ac:dyDescent="0.3">
      <c r="A20" t="s">
        <v>108</v>
      </c>
      <c r="B20" t="s">
        <v>109</v>
      </c>
      <c r="C20" t="s">
        <v>21</v>
      </c>
      <c r="D20" t="s">
        <v>22</v>
      </c>
      <c r="E20" t="s">
        <v>23</v>
      </c>
      <c r="F20" t="s">
        <v>276</v>
      </c>
      <c r="G20" t="s">
        <v>40</v>
      </c>
      <c r="H20" t="s">
        <v>25</v>
      </c>
      <c r="I20" t="s">
        <v>26</v>
      </c>
      <c r="J20" t="s">
        <v>27</v>
      </c>
      <c r="K20" t="s">
        <v>28</v>
      </c>
      <c r="L20" t="s">
        <v>55</v>
      </c>
      <c r="M20" t="s">
        <v>30</v>
      </c>
      <c r="N20" t="s">
        <v>31</v>
      </c>
      <c r="O20" t="s">
        <v>93</v>
      </c>
      <c r="P20" t="s">
        <v>44</v>
      </c>
      <c r="Q20" t="s">
        <v>32</v>
      </c>
      <c r="R20" t="s">
        <v>35</v>
      </c>
      <c r="S20" t="s">
        <v>36</v>
      </c>
    </row>
    <row r="21" spans="1:19" x14ac:dyDescent="0.3">
      <c r="A21" t="s">
        <v>110</v>
      </c>
      <c r="B21" t="s">
        <v>111</v>
      </c>
      <c r="C21" t="s">
        <v>21</v>
      </c>
      <c r="D21" t="s">
        <v>22</v>
      </c>
      <c r="E21" t="s">
        <v>23</v>
      </c>
      <c r="F21" t="s">
        <v>112</v>
      </c>
      <c r="G21" t="s">
        <v>40</v>
      </c>
      <c r="H21" t="s">
        <v>25</v>
      </c>
      <c r="I21" t="s">
        <v>41</v>
      </c>
      <c r="J21" t="s">
        <v>42</v>
      </c>
      <c r="K21" t="s">
        <v>71</v>
      </c>
      <c r="L21" t="s">
        <v>113</v>
      </c>
      <c r="M21" t="s">
        <v>89</v>
      </c>
      <c r="N21" t="s">
        <v>31</v>
      </c>
      <c r="O21" t="s">
        <v>33</v>
      </c>
      <c r="P21" t="s">
        <v>33</v>
      </c>
      <c r="Q21" t="s">
        <v>34</v>
      </c>
      <c r="R21" t="s">
        <v>35</v>
      </c>
      <c r="S21" t="s">
        <v>36</v>
      </c>
    </row>
    <row r="22" spans="1:19" x14ac:dyDescent="0.3">
      <c r="A22" t="s">
        <v>114</v>
      </c>
      <c r="B22" t="s">
        <v>115</v>
      </c>
      <c r="C22" t="s">
        <v>21</v>
      </c>
      <c r="D22" t="s">
        <v>22</v>
      </c>
      <c r="E22" t="s">
        <v>23</v>
      </c>
      <c r="F22" t="s">
        <v>276</v>
      </c>
      <c r="G22" t="s">
        <v>61</v>
      </c>
      <c r="H22" t="s">
        <v>53</v>
      </c>
      <c r="I22" t="s">
        <v>26</v>
      </c>
      <c r="J22" t="s">
        <v>27</v>
      </c>
      <c r="K22" t="s">
        <v>71</v>
      </c>
      <c r="L22" t="s">
        <v>55</v>
      </c>
      <c r="M22" t="s">
        <v>89</v>
      </c>
      <c r="N22" t="s">
        <v>84</v>
      </c>
      <c r="O22" t="s">
        <v>33</v>
      </c>
      <c r="P22" t="s">
        <v>33</v>
      </c>
      <c r="Q22" t="s">
        <v>34</v>
      </c>
      <c r="R22" t="s">
        <v>35</v>
      </c>
      <c r="S22" t="s">
        <v>36</v>
      </c>
    </row>
    <row r="23" spans="1:19" x14ac:dyDescent="0.3">
      <c r="A23" t="s">
        <v>116</v>
      </c>
      <c r="B23" t="s">
        <v>117</v>
      </c>
      <c r="C23" t="s">
        <v>21</v>
      </c>
      <c r="D23" t="s">
        <v>22</v>
      </c>
      <c r="E23" t="s">
        <v>23</v>
      </c>
      <c r="F23" t="s">
        <v>276</v>
      </c>
      <c r="G23" t="s">
        <v>32</v>
      </c>
      <c r="H23" t="s">
        <v>25</v>
      </c>
      <c r="I23" t="s">
        <v>26</v>
      </c>
      <c r="J23" t="s">
        <v>42</v>
      </c>
      <c r="K23" t="s">
        <v>28</v>
      </c>
      <c r="L23" t="s">
        <v>29</v>
      </c>
      <c r="M23" t="s">
        <v>30</v>
      </c>
      <c r="N23" t="s">
        <v>31</v>
      </c>
      <c r="O23" t="s">
        <v>33</v>
      </c>
      <c r="P23" t="s">
        <v>33</v>
      </c>
      <c r="Q23" t="s">
        <v>34</v>
      </c>
      <c r="R23" t="s">
        <v>35</v>
      </c>
      <c r="S23" t="s">
        <v>36</v>
      </c>
    </row>
    <row r="24" spans="1:19" x14ac:dyDescent="0.3">
      <c r="A24" t="s">
        <v>118</v>
      </c>
      <c r="B24" t="s">
        <v>119</v>
      </c>
      <c r="C24" t="s">
        <v>21</v>
      </c>
      <c r="D24" t="s">
        <v>22</v>
      </c>
      <c r="E24" t="s">
        <v>23</v>
      </c>
      <c r="F24" t="s">
        <v>276</v>
      </c>
      <c r="G24" t="s">
        <v>24</v>
      </c>
      <c r="H24" t="s">
        <v>25</v>
      </c>
      <c r="I24" t="s">
        <v>54</v>
      </c>
      <c r="J24" t="s">
        <v>70</v>
      </c>
      <c r="K24" t="s">
        <v>28</v>
      </c>
      <c r="L24" t="s">
        <v>43</v>
      </c>
      <c r="M24" t="s">
        <v>30</v>
      </c>
      <c r="N24" t="s">
        <v>84</v>
      </c>
      <c r="O24" t="s">
        <v>32</v>
      </c>
      <c r="P24" t="s">
        <v>33</v>
      </c>
      <c r="Q24" t="s">
        <v>49</v>
      </c>
      <c r="R24" t="s">
        <v>35</v>
      </c>
      <c r="S24" t="s">
        <v>36</v>
      </c>
    </row>
    <row r="25" spans="1:19" x14ac:dyDescent="0.3">
      <c r="A25" t="s">
        <v>120</v>
      </c>
      <c r="B25" t="s">
        <v>121</v>
      </c>
      <c r="C25" t="s">
        <v>21</v>
      </c>
      <c r="D25" t="s">
        <v>22</v>
      </c>
      <c r="E25" t="s">
        <v>23</v>
      </c>
      <c r="F25" t="s">
        <v>276</v>
      </c>
      <c r="G25" t="s">
        <v>24</v>
      </c>
      <c r="H25" t="s">
        <v>25</v>
      </c>
      <c r="I25" t="s">
        <v>26</v>
      </c>
      <c r="J25" t="s">
        <v>27</v>
      </c>
      <c r="K25" t="s">
        <v>83</v>
      </c>
      <c r="L25" t="s">
        <v>43</v>
      </c>
      <c r="M25" t="s">
        <v>89</v>
      </c>
      <c r="N25" t="s">
        <v>31</v>
      </c>
      <c r="O25" t="s">
        <v>33</v>
      </c>
      <c r="P25" t="s">
        <v>33</v>
      </c>
      <c r="Q25" t="s">
        <v>34</v>
      </c>
      <c r="R25" t="s">
        <v>35</v>
      </c>
      <c r="S25" t="s">
        <v>36</v>
      </c>
    </row>
    <row r="26" spans="1:19" x14ac:dyDescent="0.3">
      <c r="A26" t="s">
        <v>122</v>
      </c>
      <c r="B26" t="s">
        <v>123</v>
      </c>
      <c r="C26" t="s">
        <v>21</v>
      </c>
      <c r="D26" t="s">
        <v>22</v>
      </c>
      <c r="E26" t="s">
        <v>23</v>
      </c>
      <c r="F26" t="s">
        <v>276</v>
      </c>
      <c r="G26" t="s">
        <v>61</v>
      </c>
      <c r="H26" t="s">
        <v>25</v>
      </c>
      <c r="I26" t="s">
        <v>26</v>
      </c>
      <c r="J26" t="s">
        <v>42</v>
      </c>
      <c r="K26" t="s">
        <v>28</v>
      </c>
      <c r="L26" t="s">
        <v>113</v>
      </c>
      <c r="M26" t="s">
        <v>72</v>
      </c>
      <c r="N26" t="s">
        <v>31</v>
      </c>
      <c r="O26" t="s">
        <v>33</v>
      </c>
      <c r="P26" t="s">
        <v>93</v>
      </c>
      <c r="Q26" t="s">
        <v>34</v>
      </c>
      <c r="R26" t="s">
        <v>45</v>
      </c>
      <c r="S26" t="s">
        <v>36</v>
      </c>
    </row>
    <row r="27" spans="1:19" x14ac:dyDescent="0.3">
      <c r="A27" t="s">
        <v>124</v>
      </c>
      <c r="B27" t="s">
        <v>125</v>
      </c>
      <c r="C27" t="s">
        <v>21</v>
      </c>
      <c r="D27" t="s">
        <v>22</v>
      </c>
      <c r="E27" t="s">
        <v>23</v>
      </c>
      <c r="F27" t="s">
        <v>276</v>
      </c>
      <c r="G27" t="s">
        <v>40</v>
      </c>
      <c r="H27" t="s">
        <v>25</v>
      </c>
      <c r="I27" t="s">
        <v>54</v>
      </c>
      <c r="J27" t="s">
        <v>42</v>
      </c>
      <c r="K27" t="s">
        <v>28</v>
      </c>
      <c r="L27" t="s">
        <v>32</v>
      </c>
      <c r="M27" t="s">
        <v>32</v>
      </c>
      <c r="N27" t="s">
        <v>62</v>
      </c>
      <c r="O27" t="s">
        <v>33</v>
      </c>
      <c r="P27" t="s">
        <v>33</v>
      </c>
      <c r="Q27" t="s">
        <v>32</v>
      </c>
      <c r="R27" t="s">
        <v>45</v>
      </c>
      <c r="S27" t="s">
        <v>36</v>
      </c>
    </row>
    <row r="28" spans="1:19" x14ac:dyDescent="0.3">
      <c r="A28" t="s">
        <v>126</v>
      </c>
      <c r="B28" t="s">
        <v>127</v>
      </c>
      <c r="C28" t="s">
        <v>21</v>
      </c>
      <c r="D28" t="s">
        <v>22</v>
      </c>
      <c r="E28" t="s">
        <v>23</v>
      </c>
      <c r="F28" t="s">
        <v>276</v>
      </c>
      <c r="G28" t="s">
        <v>40</v>
      </c>
      <c r="H28" t="s">
        <v>25</v>
      </c>
      <c r="I28" t="s">
        <v>54</v>
      </c>
      <c r="J28" t="s">
        <v>42</v>
      </c>
      <c r="K28" t="s">
        <v>28</v>
      </c>
      <c r="L28" t="s">
        <v>29</v>
      </c>
      <c r="M28" t="s">
        <v>72</v>
      </c>
      <c r="N28" t="s">
        <v>62</v>
      </c>
      <c r="O28" t="s">
        <v>33</v>
      </c>
      <c r="P28" t="s">
        <v>33</v>
      </c>
      <c r="Q28" t="s">
        <v>34</v>
      </c>
      <c r="R28" t="s">
        <v>45</v>
      </c>
      <c r="S28" t="s">
        <v>36</v>
      </c>
    </row>
    <row r="29" spans="1:19" x14ac:dyDescent="0.3">
      <c r="A29" t="s">
        <v>128</v>
      </c>
      <c r="B29" t="s">
        <v>129</v>
      </c>
      <c r="C29" t="s">
        <v>21</v>
      </c>
      <c r="D29" t="s">
        <v>22</v>
      </c>
      <c r="E29" t="s">
        <v>23</v>
      </c>
      <c r="F29" t="s">
        <v>276</v>
      </c>
      <c r="G29" t="s">
        <v>40</v>
      </c>
      <c r="H29" t="s">
        <v>25</v>
      </c>
      <c r="I29" t="s">
        <v>54</v>
      </c>
      <c r="J29" t="s">
        <v>70</v>
      </c>
      <c r="K29" t="s">
        <v>28</v>
      </c>
      <c r="L29" t="s">
        <v>29</v>
      </c>
      <c r="M29" t="s">
        <v>89</v>
      </c>
      <c r="N29" t="s">
        <v>31</v>
      </c>
      <c r="O29" t="s">
        <v>33</v>
      </c>
      <c r="P29" t="s">
        <v>33</v>
      </c>
      <c r="Q29" t="s">
        <v>76</v>
      </c>
      <c r="R29" t="s">
        <v>45</v>
      </c>
      <c r="S29" t="s">
        <v>36</v>
      </c>
    </row>
    <row r="30" spans="1:19" x14ac:dyDescent="0.3">
      <c r="A30" t="s">
        <v>130</v>
      </c>
      <c r="B30" t="s">
        <v>131</v>
      </c>
      <c r="C30" t="s">
        <v>21</v>
      </c>
      <c r="D30" t="s">
        <v>22</v>
      </c>
      <c r="E30" t="s">
        <v>23</v>
      </c>
      <c r="F30" t="s">
        <v>276</v>
      </c>
      <c r="G30" t="s">
        <v>40</v>
      </c>
      <c r="H30" t="s">
        <v>25</v>
      </c>
      <c r="I30" t="s">
        <v>54</v>
      </c>
      <c r="J30" t="s">
        <v>42</v>
      </c>
      <c r="K30" t="s">
        <v>28</v>
      </c>
      <c r="L30" t="s">
        <v>29</v>
      </c>
      <c r="M30" t="s">
        <v>32</v>
      </c>
      <c r="N30" t="s">
        <v>62</v>
      </c>
      <c r="O30" t="s">
        <v>33</v>
      </c>
      <c r="P30" t="s">
        <v>33</v>
      </c>
      <c r="Q30" t="s">
        <v>34</v>
      </c>
      <c r="R30" t="s">
        <v>35</v>
      </c>
      <c r="S30" t="s">
        <v>36</v>
      </c>
    </row>
    <row r="31" spans="1:19" x14ac:dyDescent="0.3">
      <c r="A31" t="s">
        <v>132</v>
      </c>
      <c r="B31" t="s">
        <v>133</v>
      </c>
      <c r="C31" t="s">
        <v>21</v>
      </c>
      <c r="D31" t="s">
        <v>22</v>
      </c>
      <c r="E31" t="s">
        <v>23</v>
      </c>
      <c r="F31" t="s">
        <v>276</v>
      </c>
      <c r="G31" t="s">
        <v>40</v>
      </c>
      <c r="H31" t="s">
        <v>134</v>
      </c>
      <c r="I31" t="s">
        <v>26</v>
      </c>
      <c r="J31" t="s">
        <v>42</v>
      </c>
      <c r="K31" t="s">
        <v>28</v>
      </c>
      <c r="L31" t="s">
        <v>29</v>
      </c>
      <c r="M31" t="s">
        <v>72</v>
      </c>
      <c r="N31" t="s">
        <v>31</v>
      </c>
      <c r="O31" t="s">
        <v>93</v>
      </c>
      <c r="P31" t="s">
        <v>93</v>
      </c>
      <c r="Q31" t="s">
        <v>34</v>
      </c>
      <c r="R31" t="s">
        <v>35</v>
      </c>
      <c r="S31" t="s">
        <v>36</v>
      </c>
    </row>
    <row r="32" spans="1:19" x14ac:dyDescent="0.3">
      <c r="A32" t="s">
        <v>135</v>
      </c>
      <c r="B32" t="s">
        <v>136</v>
      </c>
      <c r="C32" t="s">
        <v>21</v>
      </c>
      <c r="D32" t="s">
        <v>59</v>
      </c>
      <c r="E32" t="s">
        <v>23</v>
      </c>
      <c r="F32" t="s">
        <v>276</v>
      </c>
      <c r="G32" t="s">
        <v>40</v>
      </c>
      <c r="H32" t="s">
        <v>25</v>
      </c>
      <c r="I32" t="s">
        <v>54</v>
      </c>
      <c r="J32" t="s">
        <v>42</v>
      </c>
      <c r="K32" t="s">
        <v>28</v>
      </c>
      <c r="L32" t="s">
        <v>43</v>
      </c>
      <c r="M32" t="s">
        <v>30</v>
      </c>
      <c r="N32" t="s">
        <v>62</v>
      </c>
      <c r="O32" t="s">
        <v>33</v>
      </c>
      <c r="P32" t="s">
        <v>33</v>
      </c>
      <c r="Q32" t="s">
        <v>34</v>
      </c>
      <c r="R32" t="s">
        <v>35</v>
      </c>
      <c r="S32" t="s">
        <v>36</v>
      </c>
    </row>
    <row r="33" spans="1:19" x14ac:dyDescent="0.3">
      <c r="A33" t="s">
        <v>137</v>
      </c>
      <c r="B33" t="s">
        <v>138</v>
      </c>
      <c r="C33" t="s">
        <v>139</v>
      </c>
      <c r="D33" t="s">
        <v>22</v>
      </c>
      <c r="E33" t="s">
        <v>140</v>
      </c>
      <c r="F33" t="s">
        <v>276</v>
      </c>
      <c r="G33" t="s">
        <v>24</v>
      </c>
      <c r="H33" t="s">
        <v>25</v>
      </c>
      <c r="I33" t="s">
        <v>26</v>
      </c>
      <c r="J33" t="s">
        <v>42</v>
      </c>
      <c r="K33" t="s">
        <v>28</v>
      </c>
      <c r="L33" t="s">
        <v>29</v>
      </c>
      <c r="M33" t="s">
        <v>89</v>
      </c>
      <c r="N33" t="s">
        <v>31</v>
      </c>
      <c r="O33" t="s">
        <v>33</v>
      </c>
      <c r="P33" t="s">
        <v>33</v>
      </c>
      <c r="Q33" t="s">
        <v>34</v>
      </c>
      <c r="R33" t="s">
        <v>35</v>
      </c>
      <c r="S33" t="s">
        <v>36</v>
      </c>
    </row>
    <row r="34" spans="1:19" x14ac:dyDescent="0.3">
      <c r="A34" t="s">
        <v>141</v>
      </c>
      <c r="B34" t="s">
        <v>142</v>
      </c>
      <c r="C34" t="s">
        <v>21</v>
      </c>
      <c r="D34" t="s">
        <v>22</v>
      </c>
      <c r="E34" t="s">
        <v>23</v>
      </c>
      <c r="F34" t="s">
        <v>276</v>
      </c>
      <c r="G34" t="s">
        <v>40</v>
      </c>
      <c r="H34" t="s">
        <v>88</v>
      </c>
      <c r="I34" t="s">
        <v>32</v>
      </c>
      <c r="J34" t="s">
        <v>143</v>
      </c>
      <c r="K34" t="s">
        <v>28</v>
      </c>
      <c r="L34" t="s">
        <v>32</v>
      </c>
      <c r="M34" t="s">
        <v>30</v>
      </c>
      <c r="N34" t="s">
        <v>31</v>
      </c>
      <c r="O34" t="s">
        <v>33</v>
      </c>
      <c r="P34" t="s">
        <v>44</v>
      </c>
      <c r="Q34" t="s">
        <v>34</v>
      </c>
      <c r="R34" t="s">
        <v>45</v>
      </c>
      <c r="S34" t="s">
        <v>36</v>
      </c>
    </row>
    <row r="35" spans="1:19" x14ac:dyDescent="0.3">
      <c r="A35" t="s">
        <v>144</v>
      </c>
      <c r="B35" t="s">
        <v>145</v>
      </c>
      <c r="C35" t="s">
        <v>21</v>
      </c>
      <c r="D35" t="s">
        <v>22</v>
      </c>
      <c r="E35" t="s">
        <v>23</v>
      </c>
      <c r="F35" t="s">
        <v>276</v>
      </c>
      <c r="G35" t="s">
        <v>146</v>
      </c>
      <c r="H35" t="s">
        <v>25</v>
      </c>
      <c r="I35" t="s">
        <v>54</v>
      </c>
      <c r="J35" t="s">
        <v>42</v>
      </c>
      <c r="K35" t="s">
        <v>71</v>
      </c>
      <c r="L35" t="s">
        <v>29</v>
      </c>
      <c r="M35" t="s">
        <v>30</v>
      </c>
      <c r="N35" t="s">
        <v>31</v>
      </c>
      <c r="O35" t="s">
        <v>33</v>
      </c>
      <c r="P35" t="s">
        <v>33</v>
      </c>
      <c r="Q35" t="s">
        <v>34</v>
      </c>
      <c r="R35" t="s">
        <v>45</v>
      </c>
      <c r="S35" t="s">
        <v>36</v>
      </c>
    </row>
    <row r="36" spans="1:19" x14ac:dyDescent="0.3">
      <c r="A36" t="s">
        <v>147</v>
      </c>
      <c r="B36" t="s">
        <v>148</v>
      </c>
      <c r="C36" t="s">
        <v>21</v>
      </c>
      <c r="D36" t="s">
        <v>22</v>
      </c>
      <c r="E36" t="s">
        <v>23</v>
      </c>
      <c r="F36" t="s">
        <v>276</v>
      </c>
      <c r="G36" t="s">
        <v>146</v>
      </c>
      <c r="H36" t="s">
        <v>53</v>
      </c>
      <c r="I36" t="s">
        <v>54</v>
      </c>
      <c r="J36" t="s">
        <v>27</v>
      </c>
      <c r="K36" t="s">
        <v>28</v>
      </c>
      <c r="L36" t="s">
        <v>32</v>
      </c>
      <c r="M36" t="s">
        <v>32</v>
      </c>
      <c r="N36" t="s">
        <v>31</v>
      </c>
      <c r="O36" t="s">
        <v>44</v>
      </c>
      <c r="P36" t="s">
        <v>32</v>
      </c>
      <c r="Q36" t="s">
        <v>34</v>
      </c>
      <c r="R36" t="s">
        <v>35</v>
      </c>
      <c r="S36" t="s">
        <v>56</v>
      </c>
    </row>
    <row r="37" spans="1:19" x14ac:dyDescent="0.3">
      <c r="A37" t="s">
        <v>149</v>
      </c>
      <c r="B37" t="s">
        <v>150</v>
      </c>
      <c r="C37" t="s">
        <v>21</v>
      </c>
      <c r="D37" t="s">
        <v>22</v>
      </c>
      <c r="E37" t="s">
        <v>23</v>
      </c>
      <c r="F37" t="s">
        <v>276</v>
      </c>
      <c r="G37" t="s">
        <v>24</v>
      </c>
      <c r="H37" t="s">
        <v>80</v>
      </c>
      <c r="I37" t="s">
        <v>26</v>
      </c>
      <c r="J37" t="s">
        <v>42</v>
      </c>
      <c r="K37" t="s">
        <v>28</v>
      </c>
      <c r="L37" t="s">
        <v>29</v>
      </c>
      <c r="M37" t="s">
        <v>30</v>
      </c>
      <c r="N37" t="s">
        <v>31</v>
      </c>
      <c r="O37" t="s">
        <v>44</v>
      </c>
      <c r="P37" t="s">
        <v>33</v>
      </c>
      <c r="Q37" t="s">
        <v>34</v>
      </c>
      <c r="R37" t="s">
        <v>35</v>
      </c>
      <c r="S37" t="s">
        <v>36</v>
      </c>
    </row>
    <row r="38" spans="1:19" x14ac:dyDescent="0.3">
      <c r="A38" t="s">
        <v>151</v>
      </c>
      <c r="B38" t="s">
        <v>152</v>
      </c>
      <c r="C38" t="s">
        <v>103</v>
      </c>
      <c r="D38" t="s">
        <v>59</v>
      </c>
      <c r="E38" t="s">
        <v>23</v>
      </c>
      <c r="F38" t="s">
        <v>276</v>
      </c>
      <c r="G38" t="s">
        <v>24</v>
      </c>
      <c r="H38" t="s">
        <v>25</v>
      </c>
      <c r="I38" t="s">
        <v>54</v>
      </c>
      <c r="J38" t="s">
        <v>27</v>
      </c>
      <c r="K38" t="s">
        <v>28</v>
      </c>
      <c r="L38" t="s">
        <v>43</v>
      </c>
      <c r="M38" t="s">
        <v>30</v>
      </c>
      <c r="N38" t="s">
        <v>31</v>
      </c>
      <c r="O38" t="s">
        <v>33</v>
      </c>
      <c r="P38" t="s">
        <v>33</v>
      </c>
      <c r="Q38" t="s">
        <v>34</v>
      </c>
      <c r="R38" t="s">
        <v>35</v>
      </c>
      <c r="S38" t="s">
        <v>56</v>
      </c>
    </row>
    <row r="39" spans="1:19" x14ac:dyDescent="0.3">
      <c r="A39" t="s">
        <v>153</v>
      </c>
      <c r="B39" t="s">
        <v>154</v>
      </c>
      <c r="C39" t="s">
        <v>21</v>
      </c>
      <c r="D39" t="s">
        <v>22</v>
      </c>
      <c r="E39" t="s">
        <v>23</v>
      </c>
      <c r="F39" t="s">
        <v>276</v>
      </c>
      <c r="G39" t="s">
        <v>40</v>
      </c>
      <c r="H39" t="s">
        <v>25</v>
      </c>
      <c r="I39" t="s">
        <v>54</v>
      </c>
      <c r="J39" t="s">
        <v>70</v>
      </c>
      <c r="K39" t="s">
        <v>28</v>
      </c>
      <c r="L39" t="s">
        <v>29</v>
      </c>
      <c r="M39" t="s">
        <v>30</v>
      </c>
      <c r="N39" t="s">
        <v>31</v>
      </c>
      <c r="O39" t="s">
        <v>33</v>
      </c>
      <c r="P39" t="s">
        <v>33</v>
      </c>
      <c r="Q39" t="s">
        <v>34</v>
      </c>
      <c r="R39" t="s">
        <v>35</v>
      </c>
      <c r="S39" t="s">
        <v>36</v>
      </c>
    </row>
    <row r="40" spans="1:19" x14ac:dyDescent="0.3">
      <c r="A40" t="s">
        <v>155</v>
      </c>
      <c r="B40" t="s">
        <v>156</v>
      </c>
      <c r="C40" t="s">
        <v>21</v>
      </c>
      <c r="D40" t="s">
        <v>22</v>
      </c>
      <c r="E40" t="s">
        <v>23</v>
      </c>
      <c r="F40" t="s">
        <v>276</v>
      </c>
      <c r="G40" t="s">
        <v>40</v>
      </c>
      <c r="H40" t="s">
        <v>25</v>
      </c>
      <c r="I40" t="s">
        <v>26</v>
      </c>
      <c r="J40" t="s">
        <v>42</v>
      </c>
      <c r="K40" t="s">
        <v>28</v>
      </c>
      <c r="L40" t="s">
        <v>113</v>
      </c>
      <c r="M40" t="s">
        <v>30</v>
      </c>
      <c r="N40" t="s">
        <v>31</v>
      </c>
      <c r="O40" t="s">
        <v>33</v>
      </c>
      <c r="P40" t="s">
        <v>33</v>
      </c>
      <c r="Q40" t="s">
        <v>34</v>
      </c>
      <c r="R40" t="s">
        <v>35</v>
      </c>
      <c r="S40" t="s">
        <v>36</v>
      </c>
    </row>
    <row r="41" spans="1:19" x14ac:dyDescent="0.3">
      <c r="A41" t="s">
        <v>157</v>
      </c>
      <c r="B41" t="s">
        <v>158</v>
      </c>
      <c r="C41" t="s">
        <v>21</v>
      </c>
      <c r="D41" t="s">
        <v>59</v>
      </c>
      <c r="E41" t="s">
        <v>23</v>
      </c>
      <c r="F41" t="s">
        <v>276</v>
      </c>
      <c r="G41" t="s">
        <v>40</v>
      </c>
      <c r="H41" t="s">
        <v>25</v>
      </c>
      <c r="I41" t="s">
        <v>26</v>
      </c>
      <c r="J41" t="s">
        <v>42</v>
      </c>
      <c r="K41" t="s">
        <v>28</v>
      </c>
      <c r="L41" t="s">
        <v>113</v>
      </c>
      <c r="M41" t="s">
        <v>30</v>
      </c>
      <c r="N41" t="s">
        <v>62</v>
      </c>
      <c r="O41" t="s">
        <v>33</v>
      </c>
      <c r="P41" t="s">
        <v>33</v>
      </c>
      <c r="Q41" t="s">
        <v>34</v>
      </c>
      <c r="R41" t="s">
        <v>35</v>
      </c>
      <c r="S41" t="s">
        <v>36</v>
      </c>
    </row>
    <row r="42" spans="1:19" x14ac:dyDescent="0.3">
      <c r="A42" t="s">
        <v>159</v>
      </c>
      <c r="B42" t="s">
        <v>160</v>
      </c>
      <c r="C42" t="s">
        <v>21</v>
      </c>
      <c r="D42" t="s">
        <v>22</v>
      </c>
      <c r="E42" t="s">
        <v>23</v>
      </c>
      <c r="F42" t="s">
        <v>276</v>
      </c>
      <c r="G42" t="s">
        <v>24</v>
      </c>
      <c r="H42" t="s">
        <v>53</v>
      </c>
      <c r="I42" t="s">
        <v>32</v>
      </c>
      <c r="J42" t="s">
        <v>27</v>
      </c>
      <c r="K42" t="s">
        <v>83</v>
      </c>
      <c r="L42" t="s">
        <v>32</v>
      </c>
      <c r="M42" t="s">
        <v>89</v>
      </c>
      <c r="N42" t="s">
        <v>32</v>
      </c>
      <c r="O42" t="s">
        <v>32</v>
      </c>
      <c r="P42" t="s">
        <v>44</v>
      </c>
      <c r="Q42" t="s">
        <v>76</v>
      </c>
      <c r="R42" t="s">
        <v>35</v>
      </c>
      <c r="S42" t="s">
        <v>36</v>
      </c>
    </row>
    <row r="43" spans="1:19" x14ac:dyDescent="0.3">
      <c r="A43" t="s">
        <v>161</v>
      </c>
      <c r="B43" t="s">
        <v>162</v>
      </c>
      <c r="C43" t="s">
        <v>21</v>
      </c>
      <c r="D43" t="s">
        <v>22</v>
      </c>
      <c r="E43" t="s">
        <v>23</v>
      </c>
      <c r="F43" t="s">
        <v>276</v>
      </c>
      <c r="G43" t="s">
        <v>61</v>
      </c>
      <c r="H43" t="s">
        <v>53</v>
      </c>
      <c r="I43" t="s">
        <v>32</v>
      </c>
      <c r="J43" t="s">
        <v>42</v>
      </c>
      <c r="K43" t="s">
        <v>83</v>
      </c>
      <c r="L43" t="s">
        <v>43</v>
      </c>
      <c r="M43" t="s">
        <v>30</v>
      </c>
      <c r="N43" t="s">
        <v>84</v>
      </c>
      <c r="O43" t="s">
        <v>33</v>
      </c>
      <c r="P43" t="s">
        <v>32</v>
      </c>
      <c r="Q43" t="s">
        <v>34</v>
      </c>
      <c r="R43" t="s">
        <v>45</v>
      </c>
      <c r="S43" t="s">
        <v>56</v>
      </c>
    </row>
    <row r="44" spans="1:19" x14ac:dyDescent="0.3">
      <c r="A44" t="s">
        <v>163</v>
      </c>
      <c r="B44" t="s">
        <v>164</v>
      </c>
      <c r="C44" t="s">
        <v>21</v>
      </c>
      <c r="D44" t="s">
        <v>22</v>
      </c>
      <c r="E44" t="s">
        <v>23</v>
      </c>
      <c r="F44" t="s">
        <v>276</v>
      </c>
      <c r="G44" t="s">
        <v>24</v>
      </c>
      <c r="H44" t="s">
        <v>88</v>
      </c>
      <c r="I44" t="s">
        <v>41</v>
      </c>
      <c r="J44" t="s">
        <v>27</v>
      </c>
      <c r="K44" t="s">
        <v>28</v>
      </c>
      <c r="L44" t="s">
        <v>29</v>
      </c>
      <c r="M44" t="s">
        <v>89</v>
      </c>
      <c r="N44" t="s">
        <v>31</v>
      </c>
      <c r="O44" t="s">
        <v>33</v>
      </c>
      <c r="P44" t="s">
        <v>33</v>
      </c>
      <c r="Q44" t="s">
        <v>34</v>
      </c>
      <c r="R44" t="s">
        <v>35</v>
      </c>
      <c r="S44" t="s">
        <v>56</v>
      </c>
    </row>
    <row r="45" spans="1:19" x14ac:dyDescent="0.3">
      <c r="A45" t="s">
        <v>165</v>
      </c>
      <c r="B45" t="s">
        <v>166</v>
      </c>
      <c r="C45" t="s">
        <v>21</v>
      </c>
      <c r="D45" t="s">
        <v>59</v>
      </c>
      <c r="E45" t="s">
        <v>66</v>
      </c>
      <c r="F45" t="s">
        <v>276</v>
      </c>
      <c r="G45" t="s">
        <v>61</v>
      </c>
      <c r="H45" t="s">
        <v>134</v>
      </c>
      <c r="I45" t="s">
        <v>41</v>
      </c>
      <c r="J45" t="s">
        <v>32</v>
      </c>
      <c r="K45" t="s">
        <v>28</v>
      </c>
      <c r="L45" t="s">
        <v>113</v>
      </c>
      <c r="M45" t="s">
        <v>167</v>
      </c>
      <c r="N45" t="s">
        <v>62</v>
      </c>
      <c r="O45" t="s">
        <v>33</v>
      </c>
      <c r="P45" t="s">
        <v>44</v>
      </c>
      <c r="Q45" t="s">
        <v>76</v>
      </c>
      <c r="R45" t="s">
        <v>45</v>
      </c>
      <c r="S45" t="s">
        <v>56</v>
      </c>
    </row>
    <row r="46" spans="1:19" x14ac:dyDescent="0.3">
      <c r="A46" t="s">
        <v>168</v>
      </c>
      <c r="B46" t="s">
        <v>169</v>
      </c>
      <c r="C46" t="s">
        <v>21</v>
      </c>
      <c r="D46" t="s">
        <v>22</v>
      </c>
      <c r="E46" t="s">
        <v>23</v>
      </c>
      <c r="F46" t="s">
        <v>276</v>
      </c>
      <c r="G46" t="s">
        <v>49</v>
      </c>
      <c r="H46" t="s">
        <v>88</v>
      </c>
      <c r="I46" t="s">
        <v>41</v>
      </c>
      <c r="J46" t="s">
        <v>42</v>
      </c>
      <c r="K46" t="s">
        <v>28</v>
      </c>
      <c r="L46" t="s">
        <v>32</v>
      </c>
      <c r="M46" t="s">
        <v>30</v>
      </c>
      <c r="N46" t="s">
        <v>62</v>
      </c>
      <c r="O46" t="s">
        <v>32</v>
      </c>
      <c r="P46" t="s">
        <v>44</v>
      </c>
      <c r="Q46" t="s">
        <v>34</v>
      </c>
      <c r="R46" t="s">
        <v>35</v>
      </c>
      <c r="S46" t="s">
        <v>36</v>
      </c>
    </row>
    <row r="47" spans="1:19" x14ac:dyDescent="0.3">
      <c r="A47" t="s">
        <v>170</v>
      </c>
      <c r="B47" t="s">
        <v>171</v>
      </c>
      <c r="C47" t="s">
        <v>21</v>
      </c>
      <c r="D47" t="s">
        <v>22</v>
      </c>
      <c r="E47" t="s">
        <v>23</v>
      </c>
      <c r="F47" t="s">
        <v>276</v>
      </c>
      <c r="G47" t="s">
        <v>146</v>
      </c>
      <c r="H47" t="s">
        <v>25</v>
      </c>
      <c r="I47" t="s">
        <v>54</v>
      </c>
      <c r="J47" t="s">
        <v>42</v>
      </c>
      <c r="K47" t="s">
        <v>28</v>
      </c>
      <c r="L47" t="s">
        <v>43</v>
      </c>
      <c r="M47" t="s">
        <v>89</v>
      </c>
      <c r="N47" t="s">
        <v>31</v>
      </c>
      <c r="O47" t="s">
        <v>33</v>
      </c>
      <c r="P47" t="s">
        <v>33</v>
      </c>
      <c r="Q47" t="s">
        <v>34</v>
      </c>
      <c r="R47" t="s">
        <v>35</v>
      </c>
      <c r="S47" t="s">
        <v>36</v>
      </c>
    </row>
    <row r="48" spans="1:19" x14ac:dyDescent="0.3">
      <c r="A48" t="s">
        <v>172</v>
      </c>
      <c r="B48" t="s">
        <v>173</v>
      </c>
      <c r="C48" t="s">
        <v>21</v>
      </c>
      <c r="D48" t="s">
        <v>22</v>
      </c>
      <c r="E48" t="s">
        <v>23</v>
      </c>
      <c r="F48" t="s">
        <v>276</v>
      </c>
      <c r="G48" t="s">
        <v>146</v>
      </c>
      <c r="H48" t="s">
        <v>80</v>
      </c>
      <c r="I48" t="s">
        <v>26</v>
      </c>
      <c r="J48" t="s">
        <v>42</v>
      </c>
      <c r="K48" t="s">
        <v>71</v>
      </c>
      <c r="L48" t="s">
        <v>43</v>
      </c>
      <c r="M48" t="s">
        <v>30</v>
      </c>
      <c r="N48" t="s">
        <v>31</v>
      </c>
      <c r="O48" t="s">
        <v>33</v>
      </c>
      <c r="P48" t="s">
        <v>33</v>
      </c>
      <c r="Q48" t="s">
        <v>76</v>
      </c>
      <c r="R48" t="s">
        <v>45</v>
      </c>
      <c r="S48" t="s">
        <v>36</v>
      </c>
    </row>
    <row r="49" spans="1:19" x14ac:dyDescent="0.3">
      <c r="A49" t="s">
        <v>174</v>
      </c>
      <c r="B49" t="s">
        <v>175</v>
      </c>
      <c r="C49" t="s">
        <v>21</v>
      </c>
      <c r="D49" t="s">
        <v>22</v>
      </c>
      <c r="E49" t="s">
        <v>23</v>
      </c>
      <c r="F49" t="s">
        <v>276</v>
      </c>
      <c r="G49" t="s">
        <v>61</v>
      </c>
      <c r="H49" t="s">
        <v>25</v>
      </c>
      <c r="I49" t="s">
        <v>54</v>
      </c>
      <c r="J49" t="s">
        <v>42</v>
      </c>
      <c r="K49" t="s">
        <v>28</v>
      </c>
      <c r="L49" t="s">
        <v>55</v>
      </c>
      <c r="M49" t="s">
        <v>30</v>
      </c>
      <c r="N49" t="s">
        <v>31</v>
      </c>
      <c r="O49" t="s">
        <v>93</v>
      </c>
      <c r="P49" t="s">
        <v>44</v>
      </c>
      <c r="Q49" t="s">
        <v>76</v>
      </c>
      <c r="R49" t="s">
        <v>35</v>
      </c>
      <c r="S49" t="s">
        <v>36</v>
      </c>
    </row>
    <row r="50" spans="1:19" x14ac:dyDescent="0.3">
      <c r="A50" t="s">
        <v>176</v>
      </c>
      <c r="B50" t="s">
        <v>177</v>
      </c>
      <c r="C50" t="s">
        <v>21</v>
      </c>
      <c r="D50" t="s">
        <v>22</v>
      </c>
      <c r="E50" t="s">
        <v>23</v>
      </c>
      <c r="F50" t="s">
        <v>276</v>
      </c>
      <c r="G50" t="s">
        <v>40</v>
      </c>
      <c r="H50" t="s">
        <v>25</v>
      </c>
      <c r="I50" t="s">
        <v>54</v>
      </c>
      <c r="J50" t="s">
        <v>42</v>
      </c>
      <c r="K50" t="s">
        <v>28</v>
      </c>
      <c r="L50" t="s">
        <v>29</v>
      </c>
      <c r="M50" t="s">
        <v>89</v>
      </c>
      <c r="N50" t="s">
        <v>31</v>
      </c>
      <c r="O50" t="s">
        <v>33</v>
      </c>
      <c r="P50" t="s">
        <v>33</v>
      </c>
      <c r="Q50" t="s">
        <v>34</v>
      </c>
      <c r="R50" t="s">
        <v>45</v>
      </c>
      <c r="S50" t="s">
        <v>36</v>
      </c>
    </row>
    <row r="51" spans="1:19" x14ac:dyDescent="0.3">
      <c r="A51" t="s">
        <v>178</v>
      </c>
      <c r="B51" t="s">
        <v>179</v>
      </c>
      <c r="C51" t="s">
        <v>21</v>
      </c>
      <c r="D51" t="s">
        <v>22</v>
      </c>
      <c r="E51" t="s">
        <v>23</v>
      </c>
      <c r="F51" t="s">
        <v>276</v>
      </c>
      <c r="G51" t="s">
        <v>32</v>
      </c>
      <c r="H51" t="s">
        <v>25</v>
      </c>
      <c r="I51" t="s">
        <v>26</v>
      </c>
      <c r="J51" t="s">
        <v>27</v>
      </c>
      <c r="K51" t="s">
        <v>71</v>
      </c>
      <c r="L51" t="s">
        <v>29</v>
      </c>
      <c r="M51" t="s">
        <v>30</v>
      </c>
      <c r="N51" t="s">
        <v>31</v>
      </c>
      <c r="O51" t="s">
        <v>32</v>
      </c>
      <c r="P51" t="s">
        <v>33</v>
      </c>
      <c r="Q51" t="s">
        <v>34</v>
      </c>
      <c r="R51" t="s">
        <v>35</v>
      </c>
      <c r="S51" t="s">
        <v>36</v>
      </c>
    </row>
    <row r="52" spans="1:19" x14ac:dyDescent="0.3">
      <c r="A52" t="s">
        <v>180</v>
      </c>
      <c r="B52" t="s">
        <v>181</v>
      </c>
      <c r="C52" t="s">
        <v>21</v>
      </c>
      <c r="D52" t="s">
        <v>22</v>
      </c>
      <c r="E52" t="s">
        <v>23</v>
      </c>
      <c r="F52" t="s">
        <v>276</v>
      </c>
      <c r="G52" t="s">
        <v>61</v>
      </c>
      <c r="H52" t="s">
        <v>134</v>
      </c>
      <c r="I52" t="s">
        <v>26</v>
      </c>
      <c r="J52" t="s">
        <v>42</v>
      </c>
      <c r="K52" t="s">
        <v>28</v>
      </c>
      <c r="L52" t="s">
        <v>29</v>
      </c>
      <c r="M52" t="s">
        <v>30</v>
      </c>
      <c r="N52" t="s">
        <v>31</v>
      </c>
      <c r="O52" t="s">
        <v>33</v>
      </c>
      <c r="P52" t="s">
        <v>33</v>
      </c>
      <c r="Q52" t="s">
        <v>76</v>
      </c>
      <c r="R52" t="s">
        <v>45</v>
      </c>
      <c r="S52" t="s">
        <v>36</v>
      </c>
    </row>
    <row r="53" spans="1:19" x14ac:dyDescent="0.3">
      <c r="A53" t="s">
        <v>182</v>
      </c>
      <c r="B53" t="s">
        <v>183</v>
      </c>
      <c r="C53" t="s">
        <v>21</v>
      </c>
      <c r="D53" t="s">
        <v>22</v>
      </c>
      <c r="E53" t="s">
        <v>23</v>
      </c>
      <c r="F53" t="s">
        <v>276</v>
      </c>
      <c r="G53" t="s">
        <v>40</v>
      </c>
      <c r="H53" t="s">
        <v>80</v>
      </c>
      <c r="I53" t="s">
        <v>26</v>
      </c>
      <c r="J53" t="s">
        <v>27</v>
      </c>
      <c r="K53" t="s">
        <v>28</v>
      </c>
      <c r="L53" t="s">
        <v>43</v>
      </c>
      <c r="M53" t="s">
        <v>32</v>
      </c>
      <c r="N53" t="s">
        <v>62</v>
      </c>
      <c r="O53" t="s">
        <v>33</v>
      </c>
      <c r="P53" t="s">
        <v>33</v>
      </c>
      <c r="Q53" t="s">
        <v>34</v>
      </c>
      <c r="R53" t="s">
        <v>45</v>
      </c>
      <c r="S53" t="s">
        <v>36</v>
      </c>
    </row>
    <row r="54" spans="1:19" x14ac:dyDescent="0.3">
      <c r="A54" t="s">
        <v>184</v>
      </c>
      <c r="B54" t="s">
        <v>185</v>
      </c>
      <c r="C54" t="s">
        <v>21</v>
      </c>
      <c r="D54" t="s">
        <v>22</v>
      </c>
      <c r="E54" t="s">
        <v>23</v>
      </c>
      <c r="F54" t="s">
        <v>276</v>
      </c>
      <c r="G54" t="s">
        <v>24</v>
      </c>
      <c r="H54" t="s">
        <v>25</v>
      </c>
      <c r="I54" t="s">
        <v>54</v>
      </c>
      <c r="J54" t="s">
        <v>42</v>
      </c>
      <c r="K54" t="s">
        <v>28</v>
      </c>
      <c r="L54" t="s">
        <v>43</v>
      </c>
      <c r="M54" t="s">
        <v>167</v>
      </c>
      <c r="N54" t="s">
        <v>62</v>
      </c>
      <c r="O54" t="s">
        <v>93</v>
      </c>
      <c r="P54" t="s">
        <v>33</v>
      </c>
      <c r="Q54" t="s">
        <v>34</v>
      </c>
      <c r="R54" t="s">
        <v>45</v>
      </c>
      <c r="S54" t="s">
        <v>36</v>
      </c>
    </row>
    <row r="55" spans="1:19" x14ac:dyDescent="0.3">
      <c r="A55" t="s">
        <v>186</v>
      </c>
      <c r="B55" t="s">
        <v>187</v>
      </c>
      <c r="C55" t="s">
        <v>21</v>
      </c>
      <c r="D55" t="s">
        <v>59</v>
      </c>
      <c r="E55" t="s">
        <v>23</v>
      </c>
      <c r="F55" t="s">
        <v>276</v>
      </c>
      <c r="G55" t="s">
        <v>61</v>
      </c>
      <c r="H55" t="s">
        <v>134</v>
      </c>
      <c r="I55" t="s">
        <v>26</v>
      </c>
      <c r="J55" t="s">
        <v>42</v>
      </c>
      <c r="K55" t="s">
        <v>28</v>
      </c>
      <c r="L55" t="s">
        <v>32</v>
      </c>
      <c r="M55" t="s">
        <v>32</v>
      </c>
      <c r="N55" t="s">
        <v>31</v>
      </c>
      <c r="O55" t="s">
        <v>33</v>
      </c>
      <c r="P55" t="s">
        <v>33</v>
      </c>
      <c r="Q55" t="s">
        <v>34</v>
      </c>
      <c r="R55" t="s">
        <v>35</v>
      </c>
      <c r="S55" t="s">
        <v>36</v>
      </c>
    </row>
    <row r="56" spans="1:19" x14ac:dyDescent="0.3">
      <c r="A56" t="s">
        <v>188</v>
      </c>
      <c r="B56" t="s">
        <v>189</v>
      </c>
      <c r="C56" t="s">
        <v>21</v>
      </c>
      <c r="D56" t="s">
        <v>22</v>
      </c>
      <c r="E56" t="s">
        <v>23</v>
      </c>
      <c r="F56" t="s">
        <v>276</v>
      </c>
      <c r="G56" t="s">
        <v>24</v>
      </c>
      <c r="H56" t="s">
        <v>25</v>
      </c>
      <c r="I56" t="s">
        <v>26</v>
      </c>
      <c r="J56" t="s">
        <v>42</v>
      </c>
      <c r="K56" t="s">
        <v>71</v>
      </c>
      <c r="L56" t="s">
        <v>29</v>
      </c>
      <c r="M56" t="s">
        <v>89</v>
      </c>
      <c r="N56" t="s">
        <v>84</v>
      </c>
      <c r="O56" t="s">
        <v>33</v>
      </c>
      <c r="P56" t="s">
        <v>33</v>
      </c>
      <c r="Q56" t="s">
        <v>34</v>
      </c>
      <c r="R56" t="s">
        <v>45</v>
      </c>
      <c r="S56" t="s">
        <v>36</v>
      </c>
    </row>
    <row r="57" spans="1:19" x14ac:dyDescent="0.3">
      <c r="A57" t="s">
        <v>190</v>
      </c>
      <c r="B57" t="s">
        <v>191</v>
      </c>
      <c r="C57" t="s">
        <v>21</v>
      </c>
      <c r="D57" t="s">
        <v>22</v>
      </c>
      <c r="E57" t="s">
        <v>23</v>
      </c>
      <c r="F57" t="s">
        <v>98</v>
      </c>
      <c r="G57" t="s">
        <v>146</v>
      </c>
      <c r="H57" t="s">
        <v>88</v>
      </c>
      <c r="I57" t="s">
        <v>54</v>
      </c>
      <c r="J57" t="s">
        <v>42</v>
      </c>
      <c r="K57" t="s">
        <v>83</v>
      </c>
      <c r="L57" t="s">
        <v>29</v>
      </c>
      <c r="M57" t="s">
        <v>30</v>
      </c>
      <c r="N57" t="s">
        <v>31</v>
      </c>
      <c r="O57" t="s">
        <v>93</v>
      </c>
      <c r="P57" t="s">
        <v>33</v>
      </c>
      <c r="Q57" t="s">
        <v>49</v>
      </c>
      <c r="R57" t="s">
        <v>45</v>
      </c>
      <c r="S57" t="s">
        <v>56</v>
      </c>
    </row>
    <row r="58" spans="1:19" x14ac:dyDescent="0.3">
      <c r="A58" t="s">
        <v>192</v>
      </c>
      <c r="B58" t="s">
        <v>193</v>
      </c>
      <c r="C58" t="s">
        <v>21</v>
      </c>
      <c r="D58" t="s">
        <v>22</v>
      </c>
      <c r="E58" t="s">
        <v>23</v>
      </c>
      <c r="F58" t="s">
        <v>276</v>
      </c>
      <c r="G58" t="s">
        <v>61</v>
      </c>
      <c r="H58" t="s">
        <v>25</v>
      </c>
      <c r="I58" t="s">
        <v>54</v>
      </c>
      <c r="J58" t="s">
        <v>27</v>
      </c>
      <c r="K58" t="s">
        <v>28</v>
      </c>
      <c r="L58" t="s">
        <v>29</v>
      </c>
      <c r="M58" t="s">
        <v>89</v>
      </c>
      <c r="N58" t="s">
        <v>31</v>
      </c>
      <c r="O58" t="s">
        <v>33</v>
      </c>
      <c r="P58" t="s">
        <v>33</v>
      </c>
      <c r="Q58" t="s">
        <v>34</v>
      </c>
      <c r="R58" t="s">
        <v>45</v>
      </c>
      <c r="S58" t="s">
        <v>56</v>
      </c>
    </row>
    <row r="59" spans="1:19" x14ac:dyDescent="0.3">
      <c r="A59" t="s">
        <v>194</v>
      </c>
      <c r="B59" t="s">
        <v>195</v>
      </c>
      <c r="C59" t="s">
        <v>21</v>
      </c>
      <c r="D59" t="s">
        <v>22</v>
      </c>
      <c r="E59" t="s">
        <v>23</v>
      </c>
      <c r="F59" t="s">
        <v>276</v>
      </c>
      <c r="G59" t="s">
        <v>49</v>
      </c>
      <c r="H59" t="s">
        <v>134</v>
      </c>
      <c r="I59" t="s">
        <v>54</v>
      </c>
      <c r="J59" t="s">
        <v>27</v>
      </c>
      <c r="K59" t="s">
        <v>71</v>
      </c>
      <c r="L59" t="s">
        <v>55</v>
      </c>
      <c r="M59" t="s">
        <v>89</v>
      </c>
      <c r="N59" t="s">
        <v>62</v>
      </c>
      <c r="O59" t="s">
        <v>44</v>
      </c>
      <c r="P59" t="s">
        <v>33</v>
      </c>
      <c r="Q59" t="s">
        <v>34</v>
      </c>
      <c r="R59" t="s">
        <v>35</v>
      </c>
      <c r="S59" t="s">
        <v>36</v>
      </c>
    </row>
    <row r="60" spans="1:19" x14ac:dyDescent="0.3">
      <c r="A60" t="s">
        <v>196</v>
      </c>
      <c r="B60" t="s">
        <v>197</v>
      </c>
      <c r="C60" t="s">
        <v>21</v>
      </c>
      <c r="D60" t="s">
        <v>22</v>
      </c>
      <c r="E60" t="s">
        <v>23</v>
      </c>
      <c r="F60" t="s">
        <v>276</v>
      </c>
      <c r="G60" t="s">
        <v>61</v>
      </c>
      <c r="H60" t="s">
        <v>80</v>
      </c>
      <c r="I60" t="s">
        <v>41</v>
      </c>
      <c r="J60" t="s">
        <v>70</v>
      </c>
      <c r="K60" t="s">
        <v>28</v>
      </c>
      <c r="L60" t="s">
        <v>43</v>
      </c>
      <c r="M60" t="s">
        <v>30</v>
      </c>
      <c r="N60" t="s">
        <v>31</v>
      </c>
      <c r="O60" t="s">
        <v>33</v>
      </c>
      <c r="P60" t="s">
        <v>33</v>
      </c>
      <c r="Q60" t="s">
        <v>34</v>
      </c>
      <c r="R60" t="s">
        <v>35</v>
      </c>
      <c r="S60" t="s">
        <v>36</v>
      </c>
    </row>
    <row r="61" spans="1:19" x14ac:dyDescent="0.3">
      <c r="A61" t="s">
        <v>198</v>
      </c>
      <c r="B61" t="s">
        <v>199</v>
      </c>
      <c r="C61" t="s">
        <v>21</v>
      </c>
      <c r="D61" t="s">
        <v>22</v>
      </c>
      <c r="E61" t="s">
        <v>23</v>
      </c>
      <c r="F61" t="s">
        <v>276</v>
      </c>
      <c r="G61" t="s">
        <v>61</v>
      </c>
      <c r="H61" t="s">
        <v>25</v>
      </c>
      <c r="I61" t="s">
        <v>54</v>
      </c>
      <c r="J61" t="s">
        <v>42</v>
      </c>
      <c r="K61" t="s">
        <v>71</v>
      </c>
      <c r="L61" t="s">
        <v>113</v>
      </c>
      <c r="M61" t="s">
        <v>89</v>
      </c>
      <c r="N61" t="s">
        <v>31</v>
      </c>
      <c r="O61" t="s">
        <v>33</v>
      </c>
      <c r="P61" t="s">
        <v>33</v>
      </c>
      <c r="Q61" t="s">
        <v>34</v>
      </c>
      <c r="R61" t="s">
        <v>35</v>
      </c>
      <c r="S61" t="s">
        <v>36</v>
      </c>
    </row>
    <row r="62" spans="1:19" x14ac:dyDescent="0.3">
      <c r="A62" t="s">
        <v>200</v>
      </c>
      <c r="B62" t="s">
        <v>201</v>
      </c>
      <c r="C62" t="s">
        <v>21</v>
      </c>
      <c r="D62" t="s">
        <v>22</v>
      </c>
      <c r="E62" t="s">
        <v>23</v>
      </c>
      <c r="F62" t="s">
        <v>276</v>
      </c>
      <c r="G62" t="s">
        <v>146</v>
      </c>
      <c r="H62" t="s">
        <v>25</v>
      </c>
      <c r="I62" t="s">
        <v>54</v>
      </c>
      <c r="J62" t="s">
        <v>70</v>
      </c>
      <c r="K62" t="s">
        <v>28</v>
      </c>
      <c r="L62" t="s">
        <v>55</v>
      </c>
      <c r="M62" t="s">
        <v>89</v>
      </c>
      <c r="N62" t="s">
        <v>62</v>
      </c>
      <c r="O62" t="s">
        <v>33</v>
      </c>
      <c r="P62" t="s">
        <v>33</v>
      </c>
      <c r="Q62" t="s">
        <v>49</v>
      </c>
      <c r="R62" t="s">
        <v>45</v>
      </c>
      <c r="S62" t="s">
        <v>36</v>
      </c>
    </row>
    <row r="63" spans="1:19" x14ac:dyDescent="0.3">
      <c r="A63" t="s">
        <v>202</v>
      </c>
      <c r="B63" t="s">
        <v>203</v>
      </c>
      <c r="C63" t="s">
        <v>65</v>
      </c>
      <c r="D63" t="s">
        <v>22</v>
      </c>
      <c r="E63" t="s">
        <v>23</v>
      </c>
      <c r="F63" t="s">
        <v>276</v>
      </c>
      <c r="G63" t="s">
        <v>24</v>
      </c>
      <c r="H63" t="s">
        <v>25</v>
      </c>
      <c r="I63" t="s">
        <v>54</v>
      </c>
      <c r="J63" t="s">
        <v>27</v>
      </c>
      <c r="K63" t="s">
        <v>71</v>
      </c>
      <c r="L63" t="s">
        <v>55</v>
      </c>
      <c r="M63" t="s">
        <v>89</v>
      </c>
      <c r="N63" t="s">
        <v>84</v>
      </c>
      <c r="O63" t="s">
        <v>33</v>
      </c>
      <c r="P63" t="s">
        <v>33</v>
      </c>
      <c r="Q63" t="s">
        <v>34</v>
      </c>
      <c r="R63" t="s">
        <v>35</v>
      </c>
      <c r="S63" t="s">
        <v>56</v>
      </c>
    </row>
    <row r="64" spans="1:19" x14ac:dyDescent="0.3">
      <c r="A64" t="s">
        <v>204</v>
      </c>
      <c r="B64" t="s">
        <v>205</v>
      </c>
      <c r="C64" t="s">
        <v>21</v>
      </c>
      <c r="D64" t="s">
        <v>22</v>
      </c>
      <c r="E64" t="s">
        <v>23</v>
      </c>
      <c r="F64" t="s">
        <v>206</v>
      </c>
      <c r="G64" t="s">
        <v>32</v>
      </c>
      <c r="H64" t="s">
        <v>53</v>
      </c>
      <c r="I64" t="s">
        <v>54</v>
      </c>
      <c r="J64" t="s">
        <v>27</v>
      </c>
      <c r="K64" t="s">
        <v>71</v>
      </c>
      <c r="L64" t="s">
        <v>32</v>
      </c>
      <c r="M64" t="s">
        <v>32</v>
      </c>
      <c r="N64" t="s">
        <v>32</v>
      </c>
      <c r="O64" t="s">
        <v>32</v>
      </c>
      <c r="P64" t="s">
        <v>32</v>
      </c>
      <c r="Q64" t="s">
        <v>32</v>
      </c>
      <c r="R64" t="s">
        <v>35</v>
      </c>
      <c r="S64" t="s">
        <v>56</v>
      </c>
    </row>
    <row r="65" spans="1:19" x14ac:dyDescent="0.3">
      <c r="A65" t="s">
        <v>207</v>
      </c>
      <c r="B65" t="s">
        <v>208</v>
      </c>
      <c r="C65" t="s">
        <v>21</v>
      </c>
      <c r="D65" t="s">
        <v>22</v>
      </c>
      <c r="E65" t="s">
        <v>23</v>
      </c>
      <c r="F65" t="s">
        <v>276</v>
      </c>
      <c r="G65" t="s">
        <v>40</v>
      </c>
      <c r="H65" t="s">
        <v>80</v>
      </c>
      <c r="I65" t="s">
        <v>54</v>
      </c>
      <c r="J65" t="s">
        <v>42</v>
      </c>
      <c r="K65" t="s">
        <v>28</v>
      </c>
      <c r="L65" t="s">
        <v>43</v>
      </c>
      <c r="M65" t="s">
        <v>30</v>
      </c>
      <c r="N65" t="s">
        <v>31</v>
      </c>
      <c r="O65" t="s">
        <v>44</v>
      </c>
      <c r="P65" t="s">
        <v>33</v>
      </c>
      <c r="Q65" t="s">
        <v>34</v>
      </c>
      <c r="R65" t="s">
        <v>45</v>
      </c>
      <c r="S65" t="s">
        <v>36</v>
      </c>
    </row>
    <row r="66" spans="1:19" x14ac:dyDescent="0.3">
      <c r="A66" t="s">
        <v>209</v>
      </c>
      <c r="B66" t="s">
        <v>210</v>
      </c>
      <c r="C66" t="s">
        <v>21</v>
      </c>
      <c r="D66" t="s">
        <v>22</v>
      </c>
      <c r="E66" t="s">
        <v>23</v>
      </c>
      <c r="F66" t="s">
        <v>276</v>
      </c>
      <c r="G66" t="s">
        <v>40</v>
      </c>
      <c r="H66" t="s">
        <v>53</v>
      </c>
      <c r="I66" t="s">
        <v>54</v>
      </c>
      <c r="J66" t="s">
        <v>27</v>
      </c>
      <c r="K66" t="s">
        <v>83</v>
      </c>
      <c r="L66" t="s">
        <v>55</v>
      </c>
      <c r="M66" t="s">
        <v>72</v>
      </c>
      <c r="N66" t="s">
        <v>31</v>
      </c>
      <c r="O66" t="s">
        <v>93</v>
      </c>
      <c r="P66" t="s">
        <v>33</v>
      </c>
      <c r="Q66" t="s">
        <v>34</v>
      </c>
      <c r="R66" t="s">
        <v>35</v>
      </c>
      <c r="S66" t="s">
        <v>36</v>
      </c>
    </row>
    <row r="67" spans="1:19" x14ac:dyDescent="0.3">
      <c r="A67" t="s">
        <v>211</v>
      </c>
      <c r="B67" t="s">
        <v>212</v>
      </c>
      <c r="C67" t="s">
        <v>21</v>
      </c>
      <c r="D67" t="s">
        <v>59</v>
      </c>
      <c r="E67" t="s">
        <v>23</v>
      </c>
      <c r="F67" t="s">
        <v>276</v>
      </c>
      <c r="G67" t="s">
        <v>49</v>
      </c>
      <c r="H67" t="s">
        <v>25</v>
      </c>
      <c r="I67" t="s">
        <v>41</v>
      </c>
      <c r="J67" t="s">
        <v>27</v>
      </c>
      <c r="K67" t="s">
        <v>28</v>
      </c>
      <c r="L67" t="s">
        <v>29</v>
      </c>
      <c r="M67" t="s">
        <v>89</v>
      </c>
      <c r="N67" t="s">
        <v>62</v>
      </c>
      <c r="O67" t="s">
        <v>33</v>
      </c>
      <c r="P67" t="s">
        <v>33</v>
      </c>
      <c r="Q67" t="s">
        <v>34</v>
      </c>
      <c r="R67" t="s">
        <v>35</v>
      </c>
      <c r="S67" t="s">
        <v>36</v>
      </c>
    </row>
    <row r="68" spans="1:19" x14ac:dyDescent="0.3">
      <c r="A68" t="s">
        <v>213</v>
      </c>
      <c r="B68" t="s">
        <v>214</v>
      </c>
      <c r="C68" t="s">
        <v>21</v>
      </c>
      <c r="D68" t="s">
        <v>22</v>
      </c>
      <c r="E68" t="s">
        <v>23</v>
      </c>
      <c r="F68" t="s">
        <v>98</v>
      </c>
      <c r="G68" t="s">
        <v>61</v>
      </c>
      <c r="H68" t="s">
        <v>80</v>
      </c>
      <c r="I68" t="s">
        <v>26</v>
      </c>
      <c r="J68" t="s">
        <v>42</v>
      </c>
      <c r="K68" t="s">
        <v>28</v>
      </c>
      <c r="L68" t="s">
        <v>29</v>
      </c>
      <c r="M68" t="s">
        <v>30</v>
      </c>
      <c r="N68" t="s">
        <v>31</v>
      </c>
      <c r="O68" t="s">
        <v>33</v>
      </c>
      <c r="P68" t="s">
        <v>44</v>
      </c>
      <c r="Q68" t="s">
        <v>34</v>
      </c>
      <c r="R68" t="s">
        <v>35</v>
      </c>
      <c r="S68" t="s">
        <v>36</v>
      </c>
    </row>
    <row r="69" spans="1:19" x14ac:dyDescent="0.3">
      <c r="A69" t="s">
        <v>215</v>
      </c>
      <c r="B69" t="s">
        <v>216</v>
      </c>
      <c r="C69" t="s">
        <v>21</v>
      </c>
      <c r="D69" t="s">
        <v>22</v>
      </c>
      <c r="E69" t="s">
        <v>23</v>
      </c>
      <c r="F69" t="s">
        <v>276</v>
      </c>
      <c r="G69" t="s">
        <v>24</v>
      </c>
      <c r="H69" t="s">
        <v>53</v>
      </c>
      <c r="I69" t="s">
        <v>32</v>
      </c>
      <c r="J69" t="s">
        <v>70</v>
      </c>
      <c r="K69" t="s">
        <v>28</v>
      </c>
      <c r="L69" t="s">
        <v>29</v>
      </c>
      <c r="M69" t="s">
        <v>32</v>
      </c>
      <c r="N69" t="s">
        <v>31</v>
      </c>
      <c r="O69" t="s">
        <v>32</v>
      </c>
      <c r="P69" t="s">
        <v>32</v>
      </c>
      <c r="Q69" t="s">
        <v>32</v>
      </c>
      <c r="R69" t="s">
        <v>35</v>
      </c>
      <c r="S69" t="s">
        <v>36</v>
      </c>
    </row>
    <row r="70" spans="1:19" x14ac:dyDescent="0.3">
      <c r="A70" t="s">
        <v>217</v>
      </c>
      <c r="B70" t="s">
        <v>218</v>
      </c>
      <c r="C70" t="s">
        <v>21</v>
      </c>
      <c r="D70" t="s">
        <v>59</v>
      </c>
      <c r="E70" t="s">
        <v>23</v>
      </c>
      <c r="F70" t="s">
        <v>98</v>
      </c>
      <c r="G70" t="s">
        <v>32</v>
      </c>
      <c r="H70" t="s">
        <v>25</v>
      </c>
      <c r="I70" t="s">
        <v>26</v>
      </c>
      <c r="J70" t="s">
        <v>42</v>
      </c>
      <c r="K70" t="s">
        <v>28</v>
      </c>
      <c r="L70" t="s">
        <v>32</v>
      </c>
      <c r="M70" t="s">
        <v>32</v>
      </c>
      <c r="N70" t="s">
        <v>32</v>
      </c>
      <c r="O70" t="s">
        <v>32</v>
      </c>
      <c r="P70" t="s">
        <v>32</v>
      </c>
      <c r="Q70" t="s">
        <v>32</v>
      </c>
      <c r="R70" t="s">
        <v>45</v>
      </c>
      <c r="S70" t="s">
        <v>36</v>
      </c>
    </row>
    <row r="71" spans="1:19" x14ac:dyDescent="0.3">
      <c r="A71" t="s">
        <v>219</v>
      </c>
      <c r="B71" t="s">
        <v>220</v>
      </c>
      <c r="C71" t="s">
        <v>21</v>
      </c>
      <c r="D71" t="s">
        <v>59</v>
      </c>
      <c r="E71" t="s">
        <v>23</v>
      </c>
      <c r="F71" t="s">
        <v>276</v>
      </c>
      <c r="G71" t="s">
        <v>32</v>
      </c>
      <c r="H71" t="s">
        <v>25</v>
      </c>
      <c r="I71" t="s">
        <v>26</v>
      </c>
      <c r="J71" t="s">
        <v>42</v>
      </c>
      <c r="K71" t="s">
        <v>83</v>
      </c>
      <c r="L71" t="s">
        <v>32</v>
      </c>
      <c r="M71" t="s">
        <v>30</v>
      </c>
      <c r="N71" t="s">
        <v>32</v>
      </c>
      <c r="O71" t="s">
        <v>33</v>
      </c>
      <c r="P71" t="s">
        <v>33</v>
      </c>
      <c r="Q71" t="s">
        <v>32</v>
      </c>
      <c r="R71" t="s">
        <v>45</v>
      </c>
      <c r="S71" t="s">
        <v>36</v>
      </c>
    </row>
    <row r="72" spans="1:19" x14ac:dyDescent="0.3">
      <c r="A72" t="s">
        <v>221</v>
      </c>
      <c r="B72" t="s">
        <v>222</v>
      </c>
      <c r="C72" t="s">
        <v>21</v>
      </c>
      <c r="D72" t="s">
        <v>22</v>
      </c>
      <c r="E72" t="s">
        <v>23</v>
      </c>
      <c r="F72" t="s">
        <v>223</v>
      </c>
      <c r="G72" t="s">
        <v>61</v>
      </c>
      <c r="H72" t="s">
        <v>25</v>
      </c>
      <c r="I72" t="s">
        <v>26</v>
      </c>
      <c r="J72" t="s">
        <v>42</v>
      </c>
      <c r="K72" t="s">
        <v>28</v>
      </c>
      <c r="L72" t="s">
        <v>29</v>
      </c>
      <c r="M72" t="s">
        <v>32</v>
      </c>
      <c r="N72" t="s">
        <v>84</v>
      </c>
      <c r="O72" t="s">
        <v>33</v>
      </c>
      <c r="P72" t="s">
        <v>33</v>
      </c>
      <c r="Q72" t="s">
        <v>34</v>
      </c>
      <c r="R72" t="s">
        <v>45</v>
      </c>
      <c r="S72" t="s">
        <v>36</v>
      </c>
    </row>
    <row r="73" spans="1:19" x14ac:dyDescent="0.3">
      <c r="A73" t="s">
        <v>224</v>
      </c>
      <c r="B73" t="s">
        <v>225</v>
      </c>
      <c r="C73" t="s">
        <v>21</v>
      </c>
      <c r="D73" t="s">
        <v>22</v>
      </c>
      <c r="E73" t="s">
        <v>23</v>
      </c>
      <c r="F73" t="s">
        <v>276</v>
      </c>
      <c r="G73" t="s">
        <v>24</v>
      </c>
      <c r="H73" t="s">
        <v>25</v>
      </c>
      <c r="I73" t="s">
        <v>26</v>
      </c>
      <c r="J73" t="s">
        <v>27</v>
      </c>
      <c r="K73" t="s">
        <v>28</v>
      </c>
      <c r="L73" t="s">
        <v>29</v>
      </c>
      <c r="M73" t="s">
        <v>30</v>
      </c>
      <c r="N73" t="s">
        <v>31</v>
      </c>
      <c r="O73" t="s">
        <v>33</v>
      </c>
      <c r="P73" t="s">
        <v>33</v>
      </c>
      <c r="Q73" t="s">
        <v>34</v>
      </c>
      <c r="R73" t="s">
        <v>35</v>
      </c>
      <c r="S73" t="s">
        <v>56</v>
      </c>
    </row>
    <row r="74" spans="1:19" x14ac:dyDescent="0.3">
      <c r="A74" t="s">
        <v>226</v>
      </c>
      <c r="B74" t="s">
        <v>227</v>
      </c>
      <c r="C74" t="s">
        <v>21</v>
      </c>
      <c r="D74" t="s">
        <v>59</v>
      </c>
      <c r="E74" t="s">
        <v>23</v>
      </c>
      <c r="F74" t="s">
        <v>228</v>
      </c>
      <c r="G74" t="s">
        <v>24</v>
      </c>
      <c r="H74" t="s">
        <v>53</v>
      </c>
      <c r="I74" t="s">
        <v>54</v>
      </c>
      <c r="J74" t="s">
        <v>42</v>
      </c>
      <c r="K74" t="s">
        <v>71</v>
      </c>
      <c r="L74" t="s">
        <v>43</v>
      </c>
      <c r="M74" t="s">
        <v>72</v>
      </c>
      <c r="N74" t="s">
        <v>31</v>
      </c>
      <c r="O74" t="s">
        <v>32</v>
      </c>
      <c r="P74" t="s">
        <v>32</v>
      </c>
      <c r="Q74" t="s">
        <v>76</v>
      </c>
      <c r="R74" t="s">
        <v>45</v>
      </c>
      <c r="S74" t="s">
        <v>56</v>
      </c>
    </row>
    <row r="75" spans="1:19" x14ac:dyDescent="0.3">
      <c r="A75" t="s">
        <v>229</v>
      </c>
      <c r="B75" t="s">
        <v>230</v>
      </c>
      <c r="C75" t="s">
        <v>21</v>
      </c>
      <c r="D75" t="s">
        <v>22</v>
      </c>
      <c r="E75" t="s">
        <v>23</v>
      </c>
      <c r="F75" t="s">
        <v>276</v>
      </c>
      <c r="G75" t="s">
        <v>40</v>
      </c>
      <c r="H75" t="s">
        <v>25</v>
      </c>
      <c r="I75" t="s">
        <v>26</v>
      </c>
      <c r="J75" t="s">
        <v>70</v>
      </c>
      <c r="K75" t="s">
        <v>28</v>
      </c>
      <c r="L75" t="s">
        <v>32</v>
      </c>
      <c r="M75" t="s">
        <v>32</v>
      </c>
      <c r="N75" t="s">
        <v>31</v>
      </c>
      <c r="O75" t="s">
        <v>33</v>
      </c>
      <c r="P75" t="s">
        <v>93</v>
      </c>
      <c r="Q75" t="s">
        <v>34</v>
      </c>
      <c r="R75" t="s">
        <v>35</v>
      </c>
      <c r="S75" t="s">
        <v>36</v>
      </c>
    </row>
    <row r="76" spans="1:19" x14ac:dyDescent="0.3">
      <c r="A76" t="s">
        <v>231</v>
      </c>
      <c r="B76" t="s">
        <v>232</v>
      </c>
      <c r="C76" t="s">
        <v>21</v>
      </c>
      <c r="D76" t="s">
        <v>22</v>
      </c>
      <c r="E76" t="s">
        <v>23</v>
      </c>
      <c r="F76" t="s">
        <v>276</v>
      </c>
      <c r="G76" t="s">
        <v>40</v>
      </c>
      <c r="H76" t="s">
        <v>88</v>
      </c>
      <c r="I76" t="s">
        <v>41</v>
      </c>
      <c r="J76" t="s">
        <v>42</v>
      </c>
      <c r="K76" t="s">
        <v>28</v>
      </c>
      <c r="L76" t="s">
        <v>29</v>
      </c>
      <c r="M76" t="s">
        <v>72</v>
      </c>
      <c r="N76" t="s">
        <v>62</v>
      </c>
      <c r="O76" t="s">
        <v>33</v>
      </c>
      <c r="P76" t="s">
        <v>33</v>
      </c>
      <c r="Q76" t="s">
        <v>34</v>
      </c>
      <c r="R76" t="s">
        <v>35</v>
      </c>
      <c r="S76" t="s">
        <v>56</v>
      </c>
    </row>
    <row r="77" spans="1:19" x14ac:dyDescent="0.3">
      <c r="A77" t="s">
        <v>233</v>
      </c>
      <c r="B77" t="s">
        <v>234</v>
      </c>
      <c r="C77" t="s">
        <v>21</v>
      </c>
      <c r="D77" t="s">
        <v>59</v>
      </c>
      <c r="E77" t="s">
        <v>23</v>
      </c>
      <c r="F77" t="s">
        <v>276</v>
      </c>
      <c r="G77" t="s">
        <v>24</v>
      </c>
      <c r="H77" t="s">
        <v>53</v>
      </c>
      <c r="I77" t="s">
        <v>26</v>
      </c>
      <c r="J77" t="s">
        <v>42</v>
      </c>
      <c r="K77" t="s">
        <v>28</v>
      </c>
      <c r="L77" t="s">
        <v>43</v>
      </c>
      <c r="M77" t="s">
        <v>30</v>
      </c>
      <c r="N77" t="s">
        <v>31</v>
      </c>
      <c r="O77" t="s">
        <v>33</v>
      </c>
      <c r="P77" t="s">
        <v>33</v>
      </c>
      <c r="Q77" t="s">
        <v>34</v>
      </c>
      <c r="R77" t="s">
        <v>35</v>
      </c>
      <c r="S77" t="s">
        <v>36</v>
      </c>
    </row>
    <row r="78" spans="1:19" x14ac:dyDescent="0.3">
      <c r="A78" t="s">
        <v>235</v>
      </c>
      <c r="B78" t="s">
        <v>236</v>
      </c>
      <c r="C78" t="s">
        <v>21</v>
      </c>
      <c r="D78" t="s">
        <v>22</v>
      </c>
      <c r="E78" t="s">
        <v>23</v>
      </c>
      <c r="F78" t="s">
        <v>276</v>
      </c>
      <c r="G78" t="s">
        <v>24</v>
      </c>
      <c r="H78" t="s">
        <v>25</v>
      </c>
      <c r="I78" t="s">
        <v>26</v>
      </c>
      <c r="J78" t="s">
        <v>42</v>
      </c>
      <c r="K78" t="s">
        <v>28</v>
      </c>
      <c r="L78" t="s">
        <v>29</v>
      </c>
      <c r="M78" t="s">
        <v>72</v>
      </c>
      <c r="N78" t="s">
        <v>84</v>
      </c>
      <c r="O78" t="s">
        <v>93</v>
      </c>
      <c r="P78" t="s">
        <v>33</v>
      </c>
      <c r="Q78" t="s">
        <v>34</v>
      </c>
      <c r="R78" t="s">
        <v>35</v>
      </c>
      <c r="S78" t="s">
        <v>36</v>
      </c>
    </row>
    <row r="79" spans="1:19" x14ac:dyDescent="0.3">
      <c r="A79" t="s">
        <v>237</v>
      </c>
      <c r="B79" t="s">
        <v>238</v>
      </c>
      <c r="C79" t="s">
        <v>21</v>
      </c>
      <c r="D79" t="s">
        <v>22</v>
      </c>
      <c r="E79" t="s">
        <v>23</v>
      </c>
      <c r="F79" t="s">
        <v>276</v>
      </c>
      <c r="G79" t="s">
        <v>40</v>
      </c>
      <c r="H79" t="s">
        <v>25</v>
      </c>
      <c r="I79" t="s">
        <v>32</v>
      </c>
      <c r="J79" t="s">
        <v>27</v>
      </c>
      <c r="K79" t="s">
        <v>71</v>
      </c>
      <c r="L79" t="s">
        <v>55</v>
      </c>
      <c r="M79" t="s">
        <v>89</v>
      </c>
      <c r="N79" t="s">
        <v>84</v>
      </c>
      <c r="O79" t="s">
        <v>33</v>
      </c>
      <c r="P79" t="s">
        <v>33</v>
      </c>
      <c r="Q79" t="s">
        <v>34</v>
      </c>
      <c r="R79" t="s">
        <v>35</v>
      </c>
      <c r="S79" t="s">
        <v>56</v>
      </c>
    </row>
    <row r="80" spans="1:19" x14ac:dyDescent="0.3">
      <c r="A80" t="s">
        <v>239</v>
      </c>
      <c r="B80" t="s">
        <v>240</v>
      </c>
      <c r="C80" t="s">
        <v>21</v>
      </c>
      <c r="D80" t="s">
        <v>22</v>
      </c>
      <c r="E80" t="s">
        <v>23</v>
      </c>
      <c r="F80" t="s">
        <v>241</v>
      </c>
      <c r="G80" t="s">
        <v>146</v>
      </c>
      <c r="H80" t="s">
        <v>80</v>
      </c>
      <c r="I80" t="s">
        <v>26</v>
      </c>
      <c r="J80" t="s">
        <v>42</v>
      </c>
      <c r="K80" t="s">
        <v>28</v>
      </c>
      <c r="L80" t="s">
        <v>29</v>
      </c>
      <c r="M80" t="s">
        <v>167</v>
      </c>
      <c r="N80" t="s">
        <v>84</v>
      </c>
      <c r="O80" t="s">
        <v>93</v>
      </c>
      <c r="P80" t="s">
        <v>93</v>
      </c>
      <c r="Q80" t="s">
        <v>34</v>
      </c>
      <c r="R80" t="s">
        <v>35</v>
      </c>
      <c r="S80" t="s">
        <v>56</v>
      </c>
    </row>
    <row r="81" spans="1:19" x14ac:dyDescent="0.3">
      <c r="A81" t="s">
        <v>242</v>
      </c>
      <c r="B81" t="s">
        <v>243</v>
      </c>
      <c r="C81" t="s">
        <v>21</v>
      </c>
      <c r="D81" t="s">
        <v>59</v>
      </c>
      <c r="E81" t="s">
        <v>23</v>
      </c>
      <c r="F81" t="s">
        <v>98</v>
      </c>
      <c r="G81" t="s">
        <v>49</v>
      </c>
      <c r="H81" t="s">
        <v>25</v>
      </c>
      <c r="I81" t="s">
        <v>54</v>
      </c>
      <c r="J81" t="s">
        <v>27</v>
      </c>
      <c r="K81" t="s">
        <v>28</v>
      </c>
      <c r="L81" t="s">
        <v>43</v>
      </c>
      <c r="M81" t="s">
        <v>89</v>
      </c>
      <c r="N81" t="s">
        <v>84</v>
      </c>
      <c r="O81" t="s">
        <v>33</v>
      </c>
      <c r="P81" t="s">
        <v>33</v>
      </c>
      <c r="Q81" t="s">
        <v>34</v>
      </c>
      <c r="R81" t="s">
        <v>35</v>
      </c>
      <c r="S81" t="s">
        <v>36</v>
      </c>
    </row>
    <row r="82" spans="1:19" x14ac:dyDescent="0.3">
      <c r="A82" t="s">
        <v>244</v>
      </c>
      <c r="B82" t="s">
        <v>245</v>
      </c>
      <c r="C82" t="s">
        <v>21</v>
      </c>
      <c r="D82" t="s">
        <v>22</v>
      </c>
      <c r="E82" t="s">
        <v>23</v>
      </c>
      <c r="F82" t="s">
        <v>246</v>
      </c>
      <c r="G82" t="s">
        <v>40</v>
      </c>
      <c r="H82" t="s">
        <v>80</v>
      </c>
      <c r="I82" t="s">
        <v>54</v>
      </c>
      <c r="J82" t="s">
        <v>42</v>
      </c>
      <c r="K82" t="s">
        <v>28</v>
      </c>
      <c r="L82" t="s">
        <v>29</v>
      </c>
      <c r="M82" t="s">
        <v>30</v>
      </c>
      <c r="N82" t="s">
        <v>31</v>
      </c>
      <c r="O82" t="s">
        <v>44</v>
      </c>
      <c r="P82" t="s">
        <v>33</v>
      </c>
      <c r="Q82" t="s">
        <v>34</v>
      </c>
      <c r="R82" t="s">
        <v>35</v>
      </c>
      <c r="S82" t="s">
        <v>36</v>
      </c>
    </row>
    <row r="83" spans="1:19" x14ac:dyDescent="0.3">
      <c r="A83" t="s">
        <v>247</v>
      </c>
      <c r="B83" t="s">
        <v>248</v>
      </c>
      <c r="C83" t="s">
        <v>21</v>
      </c>
      <c r="D83" t="s">
        <v>59</v>
      </c>
      <c r="E83" t="s">
        <v>23</v>
      </c>
      <c r="F83" t="s">
        <v>276</v>
      </c>
      <c r="G83" t="s">
        <v>32</v>
      </c>
      <c r="H83" t="s">
        <v>53</v>
      </c>
      <c r="I83" t="s">
        <v>32</v>
      </c>
      <c r="J83" t="s">
        <v>42</v>
      </c>
      <c r="K83" t="s">
        <v>28</v>
      </c>
      <c r="L83" t="s">
        <v>43</v>
      </c>
      <c r="M83" t="s">
        <v>32</v>
      </c>
      <c r="N83" t="s">
        <v>62</v>
      </c>
      <c r="O83" t="s">
        <v>32</v>
      </c>
      <c r="P83" t="s">
        <v>32</v>
      </c>
      <c r="Q83" t="s">
        <v>34</v>
      </c>
      <c r="R83" t="s">
        <v>35</v>
      </c>
      <c r="S83" t="s">
        <v>56</v>
      </c>
    </row>
    <row r="84" spans="1:19" x14ac:dyDescent="0.3">
      <c r="A84" t="s">
        <v>249</v>
      </c>
      <c r="B84" t="s">
        <v>250</v>
      </c>
      <c r="C84" t="s">
        <v>21</v>
      </c>
      <c r="D84" t="s">
        <v>22</v>
      </c>
      <c r="E84" t="s">
        <v>251</v>
      </c>
      <c r="F84" t="s">
        <v>276</v>
      </c>
      <c r="G84" t="s">
        <v>40</v>
      </c>
      <c r="H84" t="s">
        <v>25</v>
      </c>
      <c r="I84" t="s">
        <v>41</v>
      </c>
      <c r="J84" t="s">
        <v>27</v>
      </c>
      <c r="K84" t="s">
        <v>83</v>
      </c>
      <c r="L84" t="s">
        <v>55</v>
      </c>
      <c r="M84" t="s">
        <v>72</v>
      </c>
      <c r="N84" t="s">
        <v>31</v>
      </c>
      <c r="O84" t="s">
        <v>33</v>
      </c>
      <c r="P84" t="s">
        <v>33</v>
      </c>
      <c r="Q84" t="s">
        <v>34</v>
      </c>
      <c r="R84" t="s">
        <v>35</v>
      </c>
      <c r="S84" t="s">
        <v>36</v>
      </c>
    </row>
    <row r="85" spans="1:19" x14ac:dyDescent="0.3">
      <c r="A85" t="s">
        <v>252</v>
      </c>
      <c r="B85" t="s">
        <v>253</v>
      </c>
      <c r="C85" t="s">
        <v>21</v>
      </c>
      <c r="D85" t="s">
        <v>22</v>
      </c>
      <c r="E85" t="s">
        <v>23</v>
      </c>
      <c r="F85" t="s">
        <v>276</v>
      </c>
      <c r="G85" t="s">
        <v>61</v>
      </c>
      <c r="H85" t="s">
        <v>80</v>
      </c>
      <c r="I85" t="s">
        <v>41</v>
      </c>
      <c r="J85" t="s">
        <v>27</v>
      </c>
      <c r="K85" t="s">
        <v>28</v>
      </c>
      <c r="L85" t="s">
        <v>43</v>
      </c>
      <c r="M85" t="s">
        <v>89</v>
      </c>
      <c r="N85" t="s">
        <v>31</v>
      </c>
      <c r="O85" t="s">
        <v>33</v>
      </c>
      <c r="P85" t="s">
        <v>33</v>
      </c>
      <c r="Q85" t="s">
        <v>34</v>
      </c>
      <c r="R85" t="s">
        <v>45</v>
      </c>
      <c r="S85" t="s">
        <v>36</v>
      </c>
    </row>
    <row r="86" spans="1:19" x14ac:dyDescent="0.3">
      <c r="A86" t="s">
        <v>254</v>
      </c>
      <c r="B86" t="s">
        <v>255</v>
      </c>
      <c r="C86" t="s">
        <v>21</v>
      </c>
      <c r="D86" t="s">
        <v>22</v>
      </c>
      <c r="E86" t="s">
        <v>23</v>
      </c>
      <c r="F86" t="s">
        <v>276</v>
      </c>
      <c r="G86" t="s">
        <v>146</v>
      </c>
      <c r="H86" t="s">
        <v>88</v>
      </c>
      <c r="I86" t="s">
        <v>32</v>
      </c>
      <c r="J86" t="s">
        <v>27</v>
      </c>
      <c r="K86" t="s">
        <v>28</v>
      </c>
      <c r="L86" t="s">
        <v>43</v>
      </c>
      <c r="M86" t="s">
        <v>89</v>
      </c>
      <c r="N86" t="s">
        <v>84</v>
      </c>
      <c r="O86" t="s">
        <v>33</v>
      </c>
      <c r="P86" t="s">
        <v>33</v>
      </c>
      <c r="Q86" t="s">
        <v>34</v>
      </c>
      <c r="R86" t="s">
        <v>35</v>
      </c>
      <c r="S86" t="s">
        <v>56</v>
      </c>
    </row>
    <row r="87" spans="1:19" x14ac:dyDescent="0.3">
      <c r="A87" t="s">
        <v>256</v>
      </c>
      <c r="B87" t="s">
        <v>257</v>
      </c>
      <c r="C87" t="s">
        <v>21</v>
      </c>
      <c r="D87" t="s">
        <v>22</v>
      </c>
      <c r="E87" t="s">
        <v>23</v>
      </c>
      <c r="F87" t="s">
        <v>276</v>
      </c>
      <c r="G87" t="s">
        <v>40</v>
      </c>
      <c r="H87" t="s">
        <v>25</v>
      </c>
      <c r="I87" t="s">
        <v>54</v>
      </c>
      <c r="J87" t="s">
        <v>27</v>
      </c>
      <c r="K87" t="s">
        <v>71</v>
      </c>
      <c r="L87" t="s">
        <v>55</v>
      </c>
      <c r="M87" t="s">
        <v>89</v>
      </c>
      <c r="N87" t="s">
        <v>31</v>
      </c>
      <c r="O87" t="s">
        <v>33</v>
      </c>
      <c r="P87" t="s">
        <v>33</v>
      </c>
      <c r="Q87" t="s">
        <v>34</v>
      </c>
      <c r="R87" t="s">
        <v>45</v>
      </c>
      <c r="S87" t="s">
        <v>36</v>
      </c>
    </row>
    <row r="88" spans="1:19" x14ac:dyDescent="0.3">
      <c r="A88" t="s">
        <v>258</v>
      </c>
      <c r="B88" t="s">
        <v>259</v>
      </c>
      <c r="C88" t="s">
        <v>65</v>
      </c>
      <c r="D88" t="s">
        <v>22</v>
      </c>
      <c r="E88" t="s">
        <v>23</v>
      </c>
      <c r="F88" t="s">
        <v>98</v>
      </c>
      <c r="G88" t="s">
        <v>40</v>
      </c>
      <c r="H88" t="s">
        <v>25</v>
      </c>
      <c r="I88" t="s">
        <v>26</v>
      </c>
      <c r="J88" t="s">
        <v>42</v>
      </c>
      <c r="K88" t="s">
        <v>28</v>
      </c>
      <c r="L88" t="s">
        <v>43</v>
      </c>
      <c r="M88" t="s">
        <v>30</v>
      </c>
      <c r="N88" t="s">
        <v>31</v>
      </c>
      <c r="O88" t="s">
        <v>33</v>
      </c>
      <c r="P88" t="s">
        <v>33</v>
      </c>
      <c r="Q88" t="s">
        <v>34</v>
      </c>
      <c r="R88" t="s">
        <v>45</v>
      </c>
      <c r="S88" t="s">
        <v>36</v>
      </c>
    </row>
    <row r="89" spans="1:19" x14ac:dyDescent="0.3">
      <c r="A89" t="s">
        <v>260</v>
      </c>
      <c r="B89" t="s">
        <v>261</v>
      </c>
      <c r="C89" t="s">
        <v>21</v>
      </c>
      <c r="D89" t="s">
        <v>22</v>
      </c>
      <c r="E89" t="s">
        <v>23</v>
      </c>
      <c r="F89" t="s">
        <v>276</v>
      </c>
      <c r="G89" t="s">
        <v>61</v>
      </c>
      <c r="H89" t="s">
        <v>80</v>
      </c>
      <c r="I89" t="s">
        <v>26</v>
      </c>
      <c r="J89" t="s">
        <v>70</v>
      </c>
      <c r="K89" t="s">
        <v>28</v>
      </c>
      <c r="L89" t="s">
        <v>43</v>
      </c>
      <c r="M89" t="s">
        <v>30</v>
      </c>
      <c r="N89" t="s">
        <v>31</v>
      </c>
      <c r="O89" t="s">
        <v>33</v>
      </c>
      <c r="P89" t="s">
        <v>33</v>
      </c>
      <c r="Q89" t="s">
        <v>34</v>
      </c>
      <c r="R89" t="s">
        <v>35</v>
      </c>
      <c r="S89" t="s">
        <v>36</v>
      </c>
    </row>
    <row r="90" spans="1:19" x14ac:dyDescent="0.3">
      <c r="A90" t="s">
        <v>262</v>
      </c>
      <c r="B90" t="s">
        <v>263</v>
      </c>
      <c r="C90" t="s">
        <v>21</v>
      </c>
      <c r="D90" t="s">
        <v>22</v>
      </c>
      <c r="E90" t="s">
        <v>23</v>
      </c>
      <c r="F90" t="s">
        <v>276</v>
      </c>
      <c r="G90" t="s">
        <v>61</v>
      </c>
      <c r="H90" t="s">
        <v>25</v>
      </c>
      <c r="I90" t="s">
        <v>54</v>
      </c>
      <c r="J90" t="s">
        <v>42</v>
      </c>
      <c r="K90" t="s">
        <v>71</v>
      </c>
      <c r="L90" t="s">
        <v>29</v>
      </c>
      <c r="M90" t="s">
        <v>89</v>
      </c>
      <c r="N90" t="s">
        <v>31</v>
      </c>
      <c r="O90" t="s">
        <v>33</v>
      </c>
      <c r="P90" t="s">
        <v>33</v>
      </c>
      <c r="Q90" t="s">
        <v>76</v>
      </c>
      <c r="R90" t="s">
        <v>35</v>
      </c>
      <c r="S90" t="s">
        <v>36</v>
      </c>
    </row>
    <row r="91" spans="1:19" x14ac:dyDescent="0.3">
      <c r="A91" t="s">
        <v>264</v>
      </c>
      <c r="B91" t="s">
        <v>265</v>
      </c>
      <c r="C91" t="s">
        <v>21</v>
      </c>
      <c r="D91" t="s">
        <v>59</v>
      </c>
      <c r="E91" t="s">
        <v>23</v>
      </c>
      <c r="F91" t="s">
        <v>276</v>
      </c>
      <c r="G91" t="s">
        <v>40</v>
      </c>
      <c r="H91" t="s">
        <v>25</v>
      </c>
      <c r="I91" t="s">
        <v>54</v>
      </c>
      <c r="J91" t="s">
        <v>42</v>
      </c>
      <c r="K91" t="s">
        <v>71</v>
      </c>
      <c r="L91" t="s">
        <v>55</v>
      </c>
      <c r="M91" t="s">
        <v>30</v>
      </c>
      <c r="N91" t="s">
        <v>31</v>
      </c>
      <c r="O91" t="s">
        <v>33</v>
      </c>
      <c r="P91" t="s">
        <v>33</v>
      </c>
      <c r="Q91" t="s">
        <v>34</v>
      </c>
      <c r="R91" t="s">
        <v>35</v>
      </c>
      <c r="S91" t="s">
        <v>36</v>
      </c>
    </row>
    <row r="92" spans="1:19" x14ac:dyDescent="0.3">
      <c r="A92" t="s">
        <v>266</v>
      </c>
      <c r="B92" t="s">
        <v>267</v>
      </c>
      <c r="C92" t="s">
        <v>21</v>
      </c>
      <c r="D92" t="s">
        <v>59</v>
      </c>
      <c r="E92" t="s">
        <v>23</v>
      </c>
      <c r="F92" t="s">
        <v>268</v>
      </c>
      <c r="G92" t="s">
        <v>61</v>
      </c>
      <c r="H92" t="s">
        <v>25</v>
      </c>
      <c r="I92" t="s">
        <v>26</v>
      </c>
      <c r="J92" t="s">
        <v>42</v>
      </c>
      <c r="K92" t="s">
        <v>28</v>
      </c>
      <c r="L92" t="s">
        <v>29</v>
      </c>
      <c r="M92" t="s">
        <v>30</v>
      </c>
      <c r="N92" t="s">
        <v>31</v>
      </c>
      <c r="O92" t="s">
        <v>33</v>
      </c>
      <c r="P92" t="s">
        <v>32</v>
      </c>
      <c r="Q92" t="s">
        <v>34</v>
      </c>
      <c r="R92" t="s">
        <v>35</v>
      </c>
      <c r="S92" t="s">
        <v>36</v>
      </c>
    </row>
    <row r="93" spans="1:19" x14ac:dyDescent="0.3">
      <c r="A93" t="s">
        <v>269</v>
      </c>
      <c r="B93" t="s">
        <v>270</v>
      </c>
      <c r="C93" t="s">
        <v>21</v>
      </c>
      <c r="D93" t="s">
        <v>59</v>
      </c>
      <c r="E93" t="s">
        <v>23</v>
      </c>
      <c r="F93" t="s">
        <v>276</v>
      </c>
      <c r="G93" t="s">
        <v>32</v>
      </c>
      <c r="H93" t="s">
        <v>88</v>
      </c>
      <c r="I93" t="s">
        <v>54</v>
      </c>
      <c r="J93" t="s">
        <v>27</v>
      </c>
      <c r="K93" t="s">
        <v>28</v>
      </c>
      <c r="L93" t="s">
        <v>55</v>
      </c>
      <c r="M93" t="s">
        <v>89</v>
      </c>
      <c r="N93" t="s">
        <v>84</v>
      </c>
      <c r="O93" t="s">
        <v>33</v>
      </c>
      <c r="P93" t="s">
        <v>33</v>
      </c>
      <c r="Q93" t="s">
        <v>34</v>
      </c>
      <c r="R93" t="s">
        <v>35</v>
      </c>
      <c r="S93" t="s">
        <v>56</v>
      </c>
    </row>
    <row r="94" spans="1:19" x14ac:dyDescent="0.3">
      <c r="A94" t="s">
        <v>271</v>
      </c>
      <c r="B94" t="s">
        <v>272</v>
      </c>
      <c r="C94" t="s">
        <v>65</v>
      </c>
      <c r="D94" t="s">
        <v>22</v>
      </c>
      <c r="E94" t="s">
        <v>140</v>
      </c>
      <c r="F94" t="s">
        <v>273</v>
      </c>
      <c r="G94" t="s">
        <v>40</v>
      </c>
      <c r="H94" t="s">
        <v>53</v>
      </c>
      <c r="I94" t="s">
        <v>26</v>
      </c>
      <c r="J94" t="s">
        <v>27</v>
      </c>
      <c r="K94" t="s">
        <v>28</v>
      </c>
      <c r="L94" t="s">
        <v>113</v>
      </c>
      <c r="M94" t="s">
        <v>89</v>
      </c>
      <c r="N94" t="s">
        <v>31</v>
      </c>
      <c r="O94" t="s">
        <v>33</v>
      </c>
      <c r="P94" t="s">
        <v>33</v>
      </c>
      <c r="Q94" t="s">
        <v>34</v>
      </c>
      <c r="R94" t="s">
        <v>35</v>
      </c>
      <c r="S94" t="s">
        <v>56</v>
      </c>
    </row>
    <row r="95" spans="1:19" x14ac:dyDescent="0.3">
      <c r="A95" t="s">
        <v>274</v>
      </c>
      <c r="B95" t="s">
        <v>275</v>
      </c>
      <c r="C95" t="s">
        <v>21</v>
      </c>
      <c r="D95" t="s">
        <v>22</v>
      </c>
      <c r="E95" t="s">
        <v>23</v>
      </c>
      <c r="F95" t="s">
        <v>276</v>
      </c>
      <c r="G95" t="s">
        <v>24</v>
      </c>
      <c r="H95" t="s">
        <v>25</v>
      </c>
      <c r="I95" t="s">
        <v>54</v>
      </c>
      <c r="J95" t="s">
        <v>27</v>
      </c>
      <c r="K95" t="s">
        <v>71</v>
      </c>
      <c r="L95" t="s">
        <v>55</v>
      </c>
      <c r="M95" t="s">
        <v>89</v>
      </c>
      <c r="N95" t="s">
        <v>84</v>
      </c>
      <c r="O95" t="s">
        <v>33</v>
      </c>
      <c r="P95" t="s">
        <v>33</v>
      </c>
      <c r="Q95" t="s">
        <v>34</v>
      </c>
      <c r="R95" t="s">
        <v>35</v>
      </c>
      <c r="S95" t="s">
        <v>36</v>
      </c>
    </row>
    <row r="96" spans="1:19" x14ac:dyDescent="0.3">
      <c r="A96" t="s">
        <v>277</v>
      </c>
      <c r="B96" t="s">
        <v>278</v>
      </c>
      <c r="C96" t="s">
        <v>65</v>
      </c>
      <c r="D96" t="s">
        <v>22</v>
      </c>
      <c r="E96" t="s">
        <v>140</v>
      </c>
      <c r="F96" t="s">
        <v>98</v>
      </c>
      <c r="G96" t="s">
        <v>146</v>
      </c>
      <c r="H96" t="s">
        <v>25</v>
      </c>
      <c r="I96" t="s">
        <v>54</v>
      </c>
      <c r="J96" t="s">
        <v>27</v>
      </c>
      <c r="K96" t="s">
        <v>71</v>
      </c>
      <c r="L96" t="s">
        <v>29</v>
      </c>
      <c r="M96" t="s">
        <v>89</v>
      </c>
      <c r="N96" t="s">
        <v>31</v>
      </c>
      <c r="O96" t="s">
        <v>33</v>
      </c>
      <c r="P96" t="s">
        <v>33</v>
      </c>
      <c r="Q96" t="s">
        <v>34</v>
      </c>
      <c r="R96" t="s">
        <v>35</v>
      </c>
      <c r="S96" t="s">
        <v>36</v>
      </c>
    </row>
    <row r="97" spans="1:19" x14ac:dyDescent="0.3">
      <c r="A97" t="s">
        <v>279</v>
      </c>
      <c r="B97" t="s">
        <v>280</v>
      </c>
      <c r="C97" t="s">
        <v>21</v>
      </c>
      <c r="D97" t="s">
        <v>59</v>
      </c>
      <c r="E97" t="s">
        <v>23</v>
      </c>
      <c r="F97" t="s">
        <v>276</v>
      </c>
      <c r="G97" t="s">
        <v>32</v>
      </c>
      <c r="H97" t="s">
        <v>53</v>
      </c>
      <c r="I97" t="s">
        <v>32</v>
      </c>
      <c r="J97" t="s">
        <v>70</v>
      </c>
      <c r="K97" t="s">
        <v>28</v>
      </c>
      <c r="L97" t="s">
        <v>43</v>
      </c>
      <c r="M97" t="s">
        <v>30</v>
      </c>
      <c r="N97" t="s">
        <v>31</v>
      </c>
      <c r="O97" t="s">
        <v>44</v>
      </c>
      <c r="P97" t="s">
        <v>32</v>
      </c>
      <c r="Q97" t="s">
        <v>34</v>
      </c>
      <c r="R97" t="s">
        <v>35</v>
      </c>
      <c r="S97" t="s">
        <v>56</v>
      </c>
    </row>
    <row r="98" spans="1:19" x14ac:dyDescent="0.3">
      <c r="A98" t="s">
        <v>281</v>
      </c>
      <c r="B98" t="s">
        <v>282</v>
      </c>
      <c r="C98" t="s">
        <v>21</v>
      </c>
      <c r="D98" t="s">
        <v>22</v>
      </c>
      <c r="E98" t="s">
        <v>23</v>
      </c>
      <c r="F98" t="s">
        <v>276</v>
      </c>
      <c r="G98" t="s">
        <v>61</v>
      </c>
      <c r="H98" t="s">
        <v>80</v>
      </c>
      <c r="I98" t="s">
        <v>54</v>
      </c>
      <c r="J98" t="s">
        <v>27</v>
      </c>
      <c r="K98" t="s">
        <v>83</v>
      </c>
      <c r="L98" t="s">
        <v>113</v>
      </c>
      <c r="M98" t="s">
        <v>72</v>
      </c>
      <c r="N98" t="s">
        <v>31</v>
      </c>
      <c r="O98" t="s">
        <v>93</v>
      </c>
      <c r="P98" t="s">
        <v>44</v>
      </c>
      <c r="Q98" t="s">
        <v>76</v>
      </c>
      <c r="R98" t="s">
        <v>35</v>
      </c>
      <c r="S98" t="s">
        <v>56</v>
      </c>
    </row>
    <row r="99" spans="1:19" x14ac:dyDescent="0.3">
      <c r="A99" t="s">
        <v>283</v>
      </c>
      <c r="B99" t="s">
        <v>284</v>
      </c>
      <c r="C99" t="s">
        <v>21</v>
      </c>
      <c r="D99" t="s">
        <v>22</v>
      </c>
      <c r="E99" t="s">
        <v>23</v>
      </c>
      <c r="F99" t="s">
        <v>276</v>
      </c>
      <c r="G99" t="s">
        <v>24</v>
      </c>
      <c r="H99" t="s">
        <v>25</v>
      </c>
      <c r="I99" t="s">
        <v>54</v>
      </c>
      <c r="J99" t="s">
        <v>27</v>
      </c>
      <c r="K99" t="s">
        <v>71</v>
      </c>
      <c r="L99" t="s">
        <v>113</v>
      </c>
      <c r="M99" t="s">
        <v>89</v>
      </c>
      <c r="N99" t="s">
        <v>84</v>
      </c>
      <c r="O99" t="s">
        <v>33</v>
      </c>
      <c r="P99" t="s">
        <v>33</v>
      </c>
      <c r="Q99" t="s">
        <v>34</v>
      </c>
      <c r="R99" t="s">
        <v>35</v>
      </c>
      <c r="S99" t="s">
        <v>56</v>
      </c>
    </row>
    <row r="100" spans="1:19" x14ac:dyDescent="0.3">
      <c r="A100" t="s">
        <v>285</v>
      </c>
      <c r="B100" t="s">
        <v>286</v>
      </c>
      <c r="C100" t="s">
        <v>103</v>
      </c>
      <c r="D100" t="s">
        <v>59</v>
      </c>
      <c r="E100" t="s">
        <v>23</v>
      </c>
      <c r="F100" t="s">
        <v>276</v>
      </c>
      <c r="G100" t="s">
        <v>40</v>
      </c>
      <c r="H100" t="s">
        <v>88</v>
      </c>
      <c r="I100" t="s">
        <v>26</v>
      </c>
      <c r="J100" t="s">
        <v>42</v>
      </c>
      <c r="K100" t="s">
        <v>28</v>
      </c>
      <c r="L100" t="s">
        <v>29</v>
      </c>
      <c r="M100" t="s">
        <v>30</v>
      </c>
      <c r="N100" t="s">
        <v>31</v>
      </c>
      <c r="O100" t="s">
        <v>33</v>
      </c>
      <c r="P100" t="s">
        <v>33</v>
      </c>
      <c r="Q100" t="s">
        <v>76</v>
      </c>
      <c r="R100" t="s">
        <v>35</v>
      </c>
      <c r="S100" t="s">
        <v>36</v>
      </c>
    </row>
    <row r="101" spans="1:19" x14ac:dyDescent="0.3">
      <c r="A101" t="s">
        <v>287</v>
      </c>
      <c r="B101" t="s">
        <v>288</v>
      </c>
      <c r="C101" t="s">
        <v>21</v>
      </c>
      <c r="D101" t="s">
        <v>59</v>
      </c>
      <c r="E101" t="s">
        <v>23</v>
      </c>
      <c r="F101" t="s">
        <v>276</v>
      </c>
      <c r="G101" t="s">
        <v>40</v>
      </c>
      <c r="H101" t="s">
        <v>53</v>
      </c>
      <c r="I101" t="s">
        <v>26</v>
      </c>
      <c r="J101" t="s">
        <v>42</v>
      </c>
      <c r="K101" t="s">
        <v>28</v>
      </c>
      <c r="L101" t="s">
        <v>29</v>
      </c>
      <c r="M101" t="s">
        <v>72</v>
      </c>
      <c r="N101" t="s">
        <v>31</v>
      </c>
      <c r="O101" t="s">
        <v>44</v>
      </c>
      <c r="P101" t="s">
        <v>93</v>
      </c>
      <c r="Q101" t="s">
        <v>76</v>
      </c>
      <c r="R101" t="s">
        <v>35</v>
      </c>
      <c r="S101" t="s">
        <v>36</v>
      </c>
    </row>
    <row r="102" spans="1:19" x14ac:dyDescent="0.3">
      <c r="A102" t="s">
        <v>289</v>
      </c>
      <c r="B102" t="s">
        <v>290</v>
      </c>
      <c r="C102" t="s">
        <v>103</v>
      </c>
      <c r="D102" t="s">
        <v>59</v>
      </c>
      <c r="E102" t="s">
        <v>23</v>
      </c>
      <c r="F102" t="s">
        <v>276</v>
      </c>
      <c r="G102" t="s">
        <v>40</v>
      </c>
      <c r="H102" t="s">
        <v>53</v>
      </c>
      <c r="I102" t="s">
        <v>32</v>
      </c>
      <c r="J102" t="s">
        <v>70</v>
      </c>
      <c r="K102" t="s">
        <v>28</v>
      </c>
      <c r="L102" t="s">
        <v>43</v>
      </c>
      <c r="M102" t="s">
        <v>30</v>
      </c>
      <c r="N102" t="s">
        <v>31</v>
      </c>
      <c r="O102" t="s">
        <v>93</v>
      </c>
      <c r="P102" t="s">
        <v>93</v>
      </c>
      <c r="Q102" t="s">
        <v>76</v>
      </c>
      <c r="R102" t="s">
        <v>35</v>
      </c>
      <c r="S102" t="s">
        <v>36</v>
      </c>
    </row>
    <row r="103" spans="1:19" x14ac:dyDescent="0.3">
      <c r="A103" t="s">
        <v>291</v>
      </c>
      <c r="B103" t="s">
        <v>292</v>
      </c>
      <c r="C103" t="s">
        <v>21</v>
      </c>
      <c r="D103" t="s">
        <v>59</v>
      </c>
      <c r="E103" t="s">
        <v>23</v>
      </c>
      <c r="F103" t="s">
        <v>276</v>
      </c>
      <c r="G103" t="s">
        <v>40</v>
      </c>
      <c r="H103" t="s">
        <v>53</v>
      </c>
      <c r="I103" t="s">
        <v>26</v>
      </c>
      <c r="J103" t="s">
        <v>70</v>
      </c>
      <c r="K103" t="s">
        <v>28</v>
      </c>
      <c r="L103" t="s">
        <v>43</v>
      </c>
      <c r="M103" t="s">
        <v>30</v>
      </c>
      <c r="N103" t="s">
        <v>31</v>
      </c>
      <c r="O103" t="s">
        <v>93</v>
      </c>
      <c r="P103" t="s">
        <v>44</v>
      </c>
      <c r="Q103" t="s">
        <v>76</v>
      </c>
      <c r="R103" t="s">
        <v>35</v>
      </c>
      <c r="S103" t="s">
        <v>36</v>
      </c>
    </row>
    <row r="104" spans="1:19" x14ac:dyDescent="0.3">
      <c r="A104" t="s">
        <v>293</v>
      </c>
      <c r="B104" t="s">
        <v>294</v>
      </c>
      <c r="C104" t="s">
        <v>21</v>
      </c>
      <c r="D104" t="s">
        <v>22</v>
      </c>
      <c r="E104" t="s">
        <v>23</v>
      </c>
      <c r="F104" t="s">
        <v>276</v>
      </c>
      <c r="G104" t="s">
        <v>24</v>
      </c>
      <c r="H104" t="s">
        <v>88</v>
      </c>
      <c r="I104" t="s">
        <v>26</v>
      </c>
      <c r="J104" t="s">
        <v>27</v>
      </c>
      <c r="K104" t="s">
        <v>71</v>
      </c>
      <c r="L104" t="s">
        <v>55</v>
      </c>
      <c r="M104" t="s">
        <v>89</v>
      </c>
      <c r="N104" t="s">
        <v>31</v>
      </c>
      <c r="O104" t="s">
        <v>33</v>
      </c>
      <c r="P104" t="s">
        <v>33</v>
      </c>
      <c r="Q104" t="s">
        <v>34</v>
      </c>
      <c r="R104" t="s">
        <v>35</v>
      </c>
      <c r="S104" t="s">
        <v>56</v>
      </c>
    </row>
    <row r="105" spans="1:19" x14ac:dyDescent="0.3">
      <c r="A105" t="s">
        <v>295</v>
      </c>
      <c r="B105" t="s">
        <v>296</v>
      </c>
      <c r="C105" t="s">
        <v>21</v>
      </c>
      <c r="D105" t="s">
        <v>59</v>
      </c>
      <c r="E105" t="s">
        <v>23</v>
      </c>
      <c r="F105" t="s">
        <v>297</v>
      </c>
      <c r="G105" t="s">
        <v>40</v>
      </c>
      <c r="H105" t="s">
        <v>25</v>
      </c>
      <c r="I105" t="s">
        <v>26</v>
      </c>
      <c r="J105" t="s">
        <v>143</v>
      </c>
      <c r="K105" t="s">
        <v>28</v>
      </c>
      <c r="L105" t="s">
        <v>43</v>
      </c>
      <c r="M105" t="s">
        <v>30</v>
      </c>
      <c r="N105" t="s">
        <v>84</v>
      </c>
      <c r="O105" t="s">
        <v>93</v>
      </c>
      <c r="P105" t="s">
        <v>33</v>
      </c>
      <c r="Q105" t="s">
        <v>76</v>
      </c>
      <c r="R105" t="s">
        <v>35</v>
      </c>
      <c r="S105" t="s">
        <v>36</v>
      </c>
    </row>
    <row r="106" spans="1:19" x14ac:dyDescent="0.3">
      <c r="A106" t="s">
        <v>298</v>
      </c>
      <c r="B106" t="s">
        <v>299</v>
      </c>
      <c r="C106" t="s">
        <v>21</v>
      </c>
      <c r="D106" t="s">
        <v>59</v>
      </c>
      <c r="E106" t="s">
        <v>23</v>
      </c>
      <c r="F106" t="s">
        <v>276</v>
      </c>
      <c r="G106" t="s">
        <v>146</v>
      </c>
      <c r="H106" t="s">
        <v>25</v>
      </c>
      <c r="I106" t="s">
        <v>54</v>
      </c>
      <c r="J106" t="s">
        <v>27</v>
      </c>
      <c r="K106" t="s">
        <v>83</v>
      </c>
      <c r="L106" t="s">
        <v>113</v>
      </c>
      <c r="M106" t="s">
        <v>30</v>
      </c>
      <c r="N106" t="s">
        <v>31</v>
      </c>
      <c r="O106" t="s">
        <v>93</v>
      </c>
      <c r="P106" t="s">
        <v>33</v>
      </c>
      <c r="Q106" t="s">
        <v>34</v>
      </c>
      <c r="R106" t="s">
        <v>35</v>
      </c>
      <c r="S106" t="s">
        <v>36</v>
      </c>
    </row>
    <row r="107" spans="1:19" x14ac:dyDescent="0.3">
      <c r="A107" t="s">
        <v>300</v>
      </c>
      <c r="B107" t="s">
        <v>301</v>
      </c>
      <c r="C107" t="s">
        <v>21</v>
      </c>
      <c r="D107" t="s">
        <v>59</v>
      </c>
      <c r="E107" t="s">
        <v>23</v>
      </c>
      <c r="F107" t="s">
        <v>276</v>
      </c>
      <c r="G107" t="s">
        <v>24</v>
      </c>
      <c r="H107" t="s">
        <v>88</v>
      </c>
      <c r="I107" t="s">
        <v>26</v>
      </c>
      <c r="J107" t="s">
        <v>27</v>
      </c>
      <c r="K107" t="s">
        <v>71</v>
      </c>
      <c r="L107" t="s">
        <v>55</v>
      </c>
      <c r="M107" t="s">
        <v>89</v>
      </c>
      <c r="N107" t="s">
        <v>31</v>
      </c>
      <c r="O107" t="s">
        <v>33</v>
      </c>
      <c r="P107" t="s">
        <v>33</v>
      </c>
      <c r="Q107" t="s">
        <v>76</v>
      </c>
      <c r="R107" t="s">
        <v>35</v>
      </c>
      <c r="S107" t="s">
        <v>36</v>
      </c>
    </row>
    <row r="108" spans="1:19" x14ac:dyDescent="0.3">
      <c r="A108" t="s">
        <v>302</v>
      </c>
      <c r="B108" t="s">
        <v>303</v>
      </c>
      <c r="C108" t="s">
        <v>21</v>
      </c>
      <c r="D108" t="s">
        <v>59</v>
      </c>
      <c r="E108" t="s">
        <v>23</v>
      </c>
      <c r="F108" t="s">
        <v>276</v>
      </c>
      <c r="G108" t="s">
        <v>61</v>
      </c>
      <c r="H108" t="s">
        <v>80</v>
      </c>
      <c r="I108" t="s">
        <v>26</v>
      </c>
      <c r="J108" t="s">
        <v>42</v>
      </c>
      <c r="K108" t="s">
        <v>28</v>
      </c>
      <c r="L108" t="s">
        <v>29</v>
      </c>
      <c r="M108" t="s">
        <v>30</v>
      </c>
      <c r="N108" t="s">
        <v>31</v>
      </c>
      <c r="O108" t="s">
        <v>32</v>
      </c>
      <c r="P108" t="s">
        <v>32</v>
      </c>
      <c r="Q108" t="s">
        <v>34</v>
      </c>
      <c r="R108" t="s">
        <v>45</v>
      </c>
      <c r="S108" t="s">
        <v>36</v>
      </c>
    </row>
    <row r="109" spans="1:19" x14ac:dyDescent="0.3">
      <c r="A109" t="s">
        <v>304</v>
      </c>
      <c r="B109" t="s">
        <v>305</v>
      </c>
      <c r="C109" t="s">
        <v>21</v>
      </c>
      <c r="D109" t="s">
        <v>59</v>
      </c>
      <c r="E109" t="s">
        <v>23</v>
      </c>
      <c r="F109" t="s">
        <v>276</v>
      </c>
      <c r="G109" t="s">
        <v>49</v>
      </c>
      <c r="H109" t="s">
        <v>80</v>
      </c>
      <c r="I109" t="s">
        <v>26</v>
      </c>
      <c r="J109" t="s">
        <v>42</v>
      </c>
      <c r="K109" t="s">
        <v>28</v>
      </c>
      <c r="L109" t="s">
        <v>29</v>
      </c>
      <c r="M109" t="s">
        <v>30</v>
      </c>
      <c r="N109" t="s">
        <v>62</v>
      </c>
      <c r="O109" t="s">
        <v>32</v>
      </c>
      <c r="P109" t="s">
        <v>33</v>
      </c>
      <c r="Q109" t="s">
        <v>34</v>
      </c>
      <c r="R109" t="s">
        <v>35</v>
      </c>
      <c r="S109" t="s">
        <v>36</v>
      </c>
    </row>
    <row r="110" spans="1:19" x14ac:dyDescent="0.3">
      <c r="A110" t="s">
        <v>306</v>
      </c>
      <c r="B110" t="s">
        <v>307</v>
      </c>
      <c r="C110" t="s">
        <v>21</v>
      </c>
      <c r="D110" t="s">
        <v>59</v>
      </c>
      <c r="E110" t="s">
        <v>23</v>
      </c>
      <c r="F110" t="s">
        <v>98</v>
      </c>
      <c r="G110" t="s">
        <v>61</v>
      </c>
      <c r="H110" t="s">
        <v>25</v>
      </c>
      <c r="I110" t="s">
        <v>54</v>
      </c>
      <c r="J110" t="s">
        <v>42</v>
      </c>
      <c r="K110" t="s">
        <v>71</v>
      </c>
      <c r="L110" t="s">
        <v>43</v>
      </c>
      <c r="M110" t="s">
        <v>32</v>
      </c>
      <c r="N110" t="s">
        <v>31</v>
      </c>
      <c r="O110" t="s">
        <v>33</v>
      </c>
      <c r="P110" t="s">
        <v>33</v>
      </c>
      <c r="Q110" t="s">
        <v>34</v>
      </c>
      <c r="R110" t="s">
        <v>35</v>
      </c>
      <c r="S110" t="s">
        <v>36</v>
      </c>
    </row>
    <row r="113" spans="1:25" ht="62.4" x14ac:dyDescent="0.3">
      <c r="A113" s="3" t="s">
        <v>6</v>
      </c>
      <c r="H113" s="2" t="s">
        <v>7</v>
      </c>
      <c r="O113" s="3" t="s">
        <v>8</v>
      </c>
    </row>
    <row r="114" spans="1:25" x14ac:dyDescent="0.3">
      <c r="A114" s="4" t="s">
        <v>308</v>
      </c>
      <c r="B114" s="4" t="s">
        <v>22</v>
      </c>
      <c r="C114" s="4" t="s">
        <v>59</v>
      </c>
      <c r="D114" s="4" t="s">
        <v>332</v>
      </c>
      <c r="E114" s="4" t="s">
        <v>330</v>
      </c>
      <c r="F114" s="4" t="s">
        <v>331</v>
      </c>
      <c r="G114" s="7"/>
      <c r="H114" s="7" t="s">
        <v>310</v>
      </c>
      <c r="I114" s="7" t="s">
        <v>22</v>
      </c>
      <c r="J114" s="7" t="s">
        <v>59</v>
      </c>
      <c r="K114" s="7" t="s">
        <v>332</v>
      </c>
      <c r="L114" s="7" t="s">
        <v>330</v>
      </c>
      <c r="M114" s="7" t="s">
        <v>331</v>
      </c>
      <c r="N114" s="7"/>
      <c r="O114" s="7" t="s">
        <v>312</v>
      </c>
      <c r="P114" s="7" t="s">
        <v>22</v>
      </c>
      <c r="Q114" s="7" t="s">
        <v>59</v>
      </c>
      <c r="R114" s="7" t="s">
        <v>332</v>
      </c>
      <c r="S114" s="7" t="s">
        <v>330</v>
      </c>
      <c r="T114" s="7" t="s">
        <v>331</v>
      </c>
      <c r="W114" t="s">
        <v>346</v>
      </c>
      <c r="X114" t="s">
        <v>358</v>
      </c>
      <c r="Y114" t="s">
        <v>359</v>
      </c>
    </row>
    <row r="115" spans="1:25" x14ac:dyDescent="0.3">
      <c r="A115" s="5" t="s">
        <v>333</v>
      </c>
      <c r="B115" s="4">
        <f>COUNTIFS(G2:G110,"Significant increase",D2:D110,"Male")</f>
        <v>15</v>
      </c>
      <c r="C115" s="4">
        <f>COUNTIFS(G2:G110,"Significant increase",D2:D110,"Female")</f>
        <v>7</v>
      </c>
      <c r="D115" s="4">
        <v>22</v>
      </c>
      <c r="E115" s="6">
        <f t="shared" ref="E115:E120" si="0">(B115*100)/D115</f>
        <v>68.181818181818187</v>
      </c>
      <c r="F115" s="6">
        <f t="shared" ref="F115:F120" si="1">(C115*100)/D115</f>
        <v>31.818181818181817</v>
      </c>
      <c r="G115" s="7"/>
      <c r="H115" s="8" t="s">
        <v>335</v>
      </c>
      <c r="I115" s="7">
        <f>COUNTIFS(H2:H110,"Strongly agree",D2:D110,"Male")</f>
        <v>12</v>
      </c>
      <c r="J115" s="7">
        <f>COUNTIFS(H2:H110,"Strongly agree",D2:D110,"Female")</f>
        <v>3</v>
      </c>
      <c r="K115" s="7">
        <v>15</v>
      </c>
      <c r="L115" s="9">
        <f>(I115*100)/K115</f>
        <v>80</v>
      </c>
      <c r="M115" s="9">
        <f>100-L115</f>
        <v>20</v>
      </c>
      <c r="N115" s="7"/>
      <c r="O115" s="7" t="s">
        <v>54</v>
      </c>
      <c r="P115" s="7">
        <f>COUNTIFS(I2:I110,"Yes, frequently",D2:D110,"Male")</f>
        <v>34</v>
      </c>
      <c r="Q115" s="7">
        <f>COUNTIFS(I2:I110,"Yes, frequently",D2:D110,"Female")</f>
        <v>11</v>
      </c>
      <c r="R115" s="7">
        <v>45</v>
      </c>
      <c r="S115" s="9">
        <f>(P115*100)/R115</f>
        <v>75.555555555555557</v>
      </c>
      <c r="T115" s="9">
        <f>100-S115</f>
        <v>24.444444444444443</v>
      </c>
      <c r="W115" t="s">
        <v>276</v>
      </c>
      <c r="X115">
        <f>COUNTIFS(F2:F110,"UP",P2:P110,"Positive impact")</f>
        <v>60</v>
      </c>
    </row>
    <row r="116" spans="1:25" x14ac:dyDescent="0.3">
      <c r="A116" s="4" t="s">
        <v>334</v>
      </c>
      <c r="B116" s="4">
        <f>COUNTIFS(G2:G110,"Slight increase",D2:D110,"Male")</f>
        <v>30</v>
      </c>
      <c r="C116" s="4">
        <f>COUNTIFS(G2:G110,"Slight increase",D2:D110,"Female")</f>
        <v>9</v>
      </c>
      <c r="D116" s="4">
        <v>39</v>
      </c>
      <c r="E116" s="6">
        <f t="shared" si="0"/>
        <v>76.92307692307692</v>
      </c>
      <c r="F116" s="6">
        <f t="shared" si="1"/>
        <v>23.076923076923077</v>
      </c>
      <c r="G116" s="7"/>
      <c r="H116" s="7" t="s">
        <v>88</v>
      </c>
      <c r="I116" s="7">
        <f>COUNTIFS(H2:H110,"Disagree",D2:D110,"Male")</f>
        <v>9</v>
      </c>
      <c r="J116" s="7">
        <f>COUNTIFS(H2:H110,"Disagree",D2:D110,"Female")</f>
        <v>3</v>
      </c>
      <c r="K116" s="7">
        <v>12</v>
      </c>
      <c r="L116" s="9">
        <f t="shared" ref="L116:L119" si="2">(I116*100)/K116</f>
        <v>75</v>
      </c>
      <c r="M116" s="9">
        <f t="shared" ref="M116:M119" si="3">100-L116</f>
        <v>25</v>
      </c>
      <c r="N116" s="7"/>
      <c r="O116" s="7" t="s">
        <v>336</v>
      </c>
      <c r="P116" s="7">
        <f>COUNTIFS(I2:I110,"Yes, occasionally",D2:D110,"Male")</f>
        <v>31</v>
      </c>
      <c r="Q116" s="7">
        <f>COUNTIFS(I2:I110,"Yes, occasionally",D2:D110,"Female")</f>
        <v>13</v>
      </c>
      <c r="R116" s="7">
        <v>44</v>
      </c>
      <c r="S116" s="9">
        <f t="shared" ref="S116:S118" si="4">(P116*100)/R116</f>
        <v>70.454545454545453</v>
      </c>
      <c r="T116" s="9">
        <f t="shared" ref="T116:T118" si="5">100-S116</f>
        <v>29.545454545454547</v>
      </c>
      <c r="W116" t="s">
        <v>345</v>
      </c>
      <c r="X116">
        <f>COUNTIFS(F2:F110,"&lt;&gt;UP",P2:P110,"Positive impact")</f>
        <v>17</v>
      </c>
    </row>
    <row r="117" spans="1:25" x14ac:dyDescent="0.3">
      <c r="A117" s="5" t="s">
        <v>309</v>
      </c>
      <c r="B117" s="4">
        <f>COUNTIFS(G2:G110,"No change",D2:D110,"Male")</f>
        <v>3</v>
      </c>
      <c r="C117" s="4">
        <f>COUNTIFS(G2:G110,"No change",D2:D110,"Female")</f>
        <v>3</v>
      </c>
      <c r="D117" s="4">
        <v>6</v>
      </c>
      <c r="E117" s="6">
        <f t="shared" si="0"/>
        <v>50</v>
      </c>
      <c r="F117" s="6">
        <f t="shared" si="1"/>
        <v>50</v>
      </c>
      <c r="G117" s="7"/>
      <c r="H117" s="7" t="s">
        <v>53</v>
      </c>
      <c r="I117" s="7">
        <f>COUNTIFS(H2:H110,"Neutral",D2:D110,"Male")</f>
        <v>12</v>
      </c>
      <c r="J117" s="7">
        <f>COUNTIFS(H2:H110,"Neutral",D2:D110,"Female")</f>
        <v>7</v>
      </c>
      <c r="K117" s="7">
        <v>19</v>
      </c>
      <c r="L117" s="9">
        <f t="shared" si="2"/>
        <v>63.157894736842103</v>
      </c>
      <c r="M117" s="9">
        <f t="shared" si="3"/>
        <v>36.842105263157897</v>
      </c>
      <c r="N117" s="7"/>
      <c r="O117" s="7" t="s">
        <v>337</v>
      </c>
      <c r="P117" s="7">
        <f>COUNTIFS(I2:I110,"No, never",D2:D110,"Male")</f>
        <v>9</v>
      </c>
      <c r="Q117" s="7">
        <f>COUNTIFS(I2:I110,"No, never",D2:D110,"Female")</f>
        <v>2</v>
      </c>
      <c r="R117" s="7">
        <v>11</v>
      </c>
      <c r="S117" s="9">
        <f t="shared" si="4"/>
        <v>81.818181818181813</v>
      </c>
      <c r="T117" s="9">
        <f t="shared" si="5"/>
        <v>18.181818181818187</v>
      </c>
    </row>
    <row r="118" spans="1:25" x14ac:dyDescent="0.3">
      <c r="A118" s="4" t="s">
        <v>24</v>
      </c>
      <c r="B118" s="4">
        <f>COUNTIFS(G2:G110,"Slight decrease",D2:D110,"Male")</f>
        <v>20</v>
      </c>
      <c r="C118" s="4">
        <f>COUNTIFS(G2:G110,"Slight decrease",D2:D110,"Female")</f>
        <v>4</v>
      </c>
      <c r="D118" s="4">
        <v>24</v>
      </c>
      <c r="E118" s="6">
        <f t="shared" si="0"/>
        <v>83.333333333333329</v>
      </c>
      <c r="F118" s="6">
        <f t="shared" si="1"/>
        <v>16.666666666666668</v>
      </c>
      <c r="G118" s="7"/>
      <c r="H118" s="7" t="s">
        <v>25</v>
      </c>
      <c r="I118" s="7">
        <f>COUNTIFS(H2:H110,"Agree",D2:D110,"Male")</f>
        <v>44</v>
      </c>
      <c r="J118" s="7">
        <f>COUNTIFS(H2:H110,"Agree",D2:D110,"Female")</f>
        <v>14</v>
      </c>
      <c r="K118" s="7">
        <v>58</v>
      </c>
      <c r="L118" s="9">
        <f t="shared" si="2"/>
        <v>75.862068965517238</v>
      </c>
      <c r="M118" s="9">
        <f t="shared" si="3"/>
        <v>24.137931034482762</v>
      </c>
      <c r="N118" s="7"/>
      <c r="O118" s="7" t="s">
        <v>32</v>
      </c>
      <c r="P118" s="7">
        <f>COUNTIFS(I2:I110,"Not sure",D2:D110,"Male")</f>
        <v>6</v>
      </c>
      <c r="Q118" s="7">
        <f>COUNTIFS(I2:I110,"Not sure",D2:D110,"Female")</f>
        <v>3</v>
      </c>
      <c r="R118" s="7">
        <v>9</v>
      </c>
      <c r="S118" s="9">
        <f t="shared" si="4"/>
        <v>66.666666666666671</v>
      </c>
      <c r="T118" s="9">
        <f t="shared" si="5"/>
        <v>33.333333333333329</v>
      </c>
    </row>
    <row r="119" spans="1:25" x14ac:dyDescent="0.3">
      <c r="A119" s="5" t="s">
        <v>146</v>
      </c>
      <c r="B119" s="4">
        <f>COUNTIFS(G2:G110,"Significant decrease",D2:D110,"Male")</f>
        <v>9</v>
      </c>
      <c r="C119" s="4">
        <f>COUNTIFS(G2:G110,"Significant decrease",D2:D110,"Female")</f>
        <v>1</v>
      </c>
      <c r="D119" s="4">
        <v>10</v>
      </c>
      <c r="E119" s="6">
        <f t="shared" si="0"/>
        <v>90</v>
      </c>
      <c r="F119" s="6">
        <f t="shared" si="1"/>
        <v>10</v>
      </c>
      <c r="G119" s="7"/>
      <c r="H119" s="8" t="s">
        <v>311</v>
      </c>
      <c r="I119" s="7">
        <f>COUNTIFS(H2:H110,"Strongly disagree",D2:D110,"Male")</f>
        <v>3</v>
      </c>
      <c r="J119" s="7">
        <f>COUNTIFS(H2:H110,"Strongly disagree",D2:D110,"Male")</f>
        <v>3</v>
      </c>
      <c r="K119" s="7">
        <v>6</v>
      </c>
      <c r="L119" s="9">
        <f t="shared" si="2"/>
        <v>50</v>
      </c>
      <c r="M119" s="9">
        <f t="shared" si="3"/>
        <v>50</v>
      </c>
      <c r="N119" s="7"/>
      <c r="O119" s="7"/>
      <c r="P119" s="7"/>
      <c r="Q119" s="7"/>
      <c r="R119" s="7"/>
      <c r="S119" s="9"/>
      <c r="T119" s="9"/>
    </row>
    <row r="120" spans="1:25" x14ac:dyDescent="0.3">
      <c r="A120" s="4" t="s">
        <v>344</v>
      </c>
      <c r="B120" s="4">
        <f>COUNTIFS(G2:G110,"Not sure",D2:D110,"Male")</f>
        <v>3</v>
      </c>
      <c r="C120" s="4">
        <f>COUNTIFS(G2:G110,"Not sure",D2:D110,"Female")</f>
        <v>5</v>
      </c>
      <c r="D120" s="4">
        <v>8</v>
      </c>
      <c r="E120" s="6">
        <f t="shared" si="0"/>
        <v>37.5</v>
      </c>
      <c r="F120" s="6">
        <f t="shared" si="1"/>
        <v>62.5</v>
      </c>
      <c r="G120" s="7"/>
      <c r="H120" s="7"/>
      <c r="I120" s="7"/>
      <c r="J120" s="7"/>
      <c r="K120" s="7"/>
      <c r="L120" s="9"/>
      <c r="M120" s="9"/>
      <c r="N120" s="7"/>
      <c r="O120" s="7"/>
      <c r="P120" s="7"/>
      <c r="Q120" s="7"/>
      <c r="R120" s="7"/>
      <c r="S120" s="7"/>
      <c r="T120" s="7"/>
    </row>
    <row r="121" spans="1:25" ht="72.599999999999994" x14ac:dyDescent="0.3">
      <c r="A121" s="10" t="s">
        <v>9</v>
      </c>
      <c r="B121" s="7"/>
      <c r="C121" s="7"/>
      <c r="D121" s="7"/>
      <c r="E121" s="7"/>
      <c r="F121" s="7"/>
      <c r="G121" s="7"/>
      <c r="H121" s="10" t="s">
        <v>10</v>
      </c>
      <c r="I121" s="7"/>
      <c r="J121" s="7"/>
      <c r="K121" s="7"/>
      <c r="L121" s="7"/>
      <c r="M121" s="7"/>
      <c r="N121" s="7"/>
      <c r="O121" s="10" t="s">
        <v>11</v>
      </c>
      <c r="P121" s="7"/>
      <c r="Q121" s="7"/>
      <c r="R121" s="7"/>
      <c r="S121" s="7"/>
      <c r="T121" s="7"/>
    </row>
    <row r="122" spans="1:25" x14ac:dyDescent="0.3">
      <c r="A122" s="7" t="s">
        <v>314</v>
      </c>
      <c r="B122" s="7" t="s">
        <v>22</v>
      </c>
      <c r="C122" s="7" t="s">
        <v>59</v>
      </c>
      <c r="D122" s="7" t="s">
        <v>332</v>
      </c>
      <c r="E122" s="7" t="s">
        <v>330</v>
      </c>
      <c r="F122" s="7" t="s">
        <v>331</v>
      </c>
      <c r="G122" s="7"/>
      <c r="H122" s="7" t="s">
        <v>315</v>
      </c>
      <c r="I122" s="7" t="s">
        <v>22</v>
      </c>
      <c r="J122" s="7" t="s">
        <v>59</v>
      </c>
      <c r="K122" s="7" t="s">
        <v>332</v>
      </c>
      <c r="L122" s="7" t="s">
        <v>330</v>
      </c>
      <c r="M122" s="7" t="s">
        <v>331</v>
      </c>
      <c r="N122" s="7"/>
      <c r="O122" s="7" t="s">
        <v>317</v>
      </c>
      <c r="P122" s="7" t="s">
        <v>22</v>
      </c>
      <c r="Q122" s="7" t="s">
        <v>59</v>
      </c>
      <c r="R122" s="7" t="s">
        <v>332</v>
      </c>
      <c r="S122" s="7" t="s">
        <v>330</v>
      </c>
      <c r="T122" s="7" t="s">
        <v>331</v>
      </c>
    </row>
    <row r="123" spans="1:25" x14ac:dyDescent="0.3">
      <c r="A123" s="7" t="s">
        <v>341</v>
      </c>
      <c r="B123" s="7">
        <f>COUNTIFS(J2:J110,"Yes, very effective",D2:D110,"Male")</f>
        <v>31</v>
      </c>
      <c r="C123" s="7">
        <f>COUNTIFS(J2:J110,"Yes, very effective",D2:D110,"Female")</f>
        <v>6</v>
      </c>
      <c r="D123" s="7">
        <v>37</v>
      </c>
      <c r="E123" s="9">
        <f>B123*100/D123</f>
        <v>83.78378378378379</v>
      </c>
      <c r="F123" s="9">
        <f>100-E123</f>
        <v>16.21621621621621</v>
      </c>
      <c r="G123" s="7"/>
      <c r="H123" s="7" t="s">
        <v>71</v>
      </c>
      <c r="I123" s="7">
        <f>COUNTIFS(K2:K110,"Yes",D2:D110,"Male")</f>
        <v>20</v>
      </c>
      <c r="J123" s="7">
        <f>COUNTIFS(K2:K110,"Yes",D2:D110,"Female")</f>
        <v>5</v>
      </c>
      <c r="K123" s="7">
        <v>25</v>
      </c>
      <c r="L123" s="9">
        <f>I123*100/K123</f>
        <v>80</v>
      </c>
      <c r="M123" s="9">
        <f>100-L123</f>
        <v>20</v>
      </c>
      <c r="N123" s="7"/>
      <c r="O123" s="8" t="s">
        <v>335</v>
      </c>
      <c r="P123" s="7">
        <f>COUNTIFS(L2:L110,"Yes, strongly agree",D2:D110,"Male")</f>
        <v>15</v>
      </c>
      <c r="Q123" s="7">
        <f>COUNTIFS(L2:L110,"Yes, strongly agree",D2:D110,"Female")</f>
        <v>3</v>
      </c>
      <c r="R123" s="7">
        <f>SUM(P123:Q123)</f>
        <v>18</v>
      </c>
      <c r="S123" s="9">
        <f>P123*100/R123</f>
        <v>83.333333333333329</v>
      </c>
      <c r="T123" s="9">
        <f>100-S123</f>
        <v>16.666666666666671</v>
      </c>
    </row>
    <row r="124" spans="1:25" ht="18.600000000000001" customHeight="1" x14ac:dyDescent="0.3">
      <c r="A124" s="11" t="s">
        <v>340</v>
      </c>
      <c r="B124" s="7">
        <f>COUNTIFS(J2:J110,"Yes, somewhat effective",D2:D110,"Male")</f>
        <v>38</v>
      </c>
      <c r="C124" s="7">
        <f>COUNTIFS(J2:J110,"Yes, somewhat effective",D2:D110,"Female")</f>
        <v>17</v>
      </c>
      <c r="D124" s="7">
        <v>55</v>
      </c>
      <c r="E124" s="9">
        <f t="shared" ref="E124:E127" si="6">B124*100/D124</f>
        <v>69.090909090909093</v>
      </c>
      <c r="F124" s="9">
        <f t="shared" ref="F124:F127" si="7">100-E124</f>
        <v>30.909090909090907</v>
      </c>
      <c r="G124" s="7"/>
      <c r="H124" s="7" t="s">
        <v>316</v>
      </c>
      <c r="I124" s="7">
        <f>COUNTIFS(K2:K110,"No",D2:D110,"Male")</f>
        <v>51</v>
      </c>
      <c r="J124" s="7">
        <f>COUNTIFS(K2:K110,"No",D2:D110,"Female")</f>
        <v>22</v>
      </c>
      <c r="K124" s="7">
        <v>73</v>
      </c>
      <c r="L124" s="9">
        <f t="shared" ref="L124:L125" si="8">I124*100/K124</f>
        <v>69.863013698630141</v>
      </c>
      <c r="M124" s="9">
        <f t="shared" ref="M124:M125" si="9">100-L124</f>
        <v>30.136986301369859</v>
      </c>
      <c r="N124" s="7"/>
      <c r="O124" s="7" t="s">
        <v>338</v>
      </c>
      <c r="P124" s="7">
        <f>COUNTIFS(L2:L110,"Yes, somewhat agree",D2:D110,"Male")</f>
        <v>32</v>
      </c>
      <c r="Q124" s="7">
        <f>COUNTIFS(L2:L110,"Yes, somewhat agree",D2:D110,"Female")</f>
        <v>8</v>
      </c>
      <c r="R124" s="7">
        <f t="shared" ref="R124:R127" si="10">SUM(P124:Q124)</f>
        <v>40</v>
      </c>
      <c r="S124" s="9">
        <f t="shared" ref="S124:S127" si="11">P124*100/R124</f>
        <v>80</v>
      </c>
      <c r="T124" s="9">
        <f t="shared" ref="T124:T127" si="12">100-S124</f>
        <v>20</v>
      </c>
    </row>
    <row r="125" spans="1:25" ht="17.399999999999999" customHeight="1" x14ac:dyDescent="0.3">
      <c r="A125" s="8" t="s">
        <v>342</v>
      </c>
      <c r="B125" s="7">
        <f>COUNTIFS(J2:J110,"No, not very effective",D2:D110,"Male")</f>
        <v>10</v>
      </c>
      <c r="C125" s="7">
        <f>COUNTIFS(J2:J110,"No, not very effective",D2:D110,"Female")</f>
        <v>4</v>
      </c>
      <c r="D125" s="7">
        <v>14</v>
      </c>
      <c r="E125" s="9">
        <f t="shared" si="6"/>
        <v>71.428571428571431</v>
      </c>
      <c r="F125" s="9">
        <f t="shared" si="7"/>
        <v>28.571428571428569</v>
      </c>
      <c r="G125" s="7"/>
      <c r="H125" s="7" t="s">
        <v>83</v>
      </c>
      <c r="I125" s="7">
        <f>COUNTIFS(K2:K110,"Maybe",D2:D110,"Male")</f>
        <v>9</v>
      </c>
      <c r="J125" s="7">
        <f>COUNTIFS(K2:K110,"Maybe",D2:D110,"Female")</f>
        <v>2</v>
      </c>
      <c r="K125" s="7">
        <v>11</v>
      </c>
      <c r="L125" s="9">
        <f t="shared" si="8"/>
        <v>81.818181818181813</v>
      </c>
      <c r="M125" s="9">
        <f t="shared" si="9"/>
        <v>18.181818181818187</v>
      </c>
      <c r="N125" s="7"/>
      <c r="O125" s="12" t="s">
        <v>339</v>
      </c>
      <c r="P125" s="7">
        <f>COUNTIFS(L2:L110,"No, somewhat disagree",D2:D110,"Male")</f>
        <v>17</v>
      </c>
      <c r="Q125" s="7">
        <f>COUNTIFS(L2:L110,"No, somewhat disagree",D2:D110,"Female")</f>
        <v>11</v>
      </c>
      <c r="R125" s="7">
        <f t="shared" si="10"/>
        <v>28</v>
      </c>
      <c r="S125" s="9">
        <f t="shared" si="11"/>
        <v>60.714285714285715</v>
      </c>
      <c r="T125" s="9">
        <f t="shared" si="12"/>
        <v>39.285714285714285</v>
      </c>
    </row>
    <row r="126" spans="1:25" x14ac:dyDescent="0.3">
      <c r="A126" s="11" t="s">
        <v>343</v>
      </c>
      <c r="B126" s="7">
        <f>COUNTIFS(J2:J110,"No, not at all effective",D2:D110,"Male")</f>
        <v>1</v>
      </c>
      <c r="C126" s="7">
        <f>COUNTIFS(J2:J110,"No, not at all effective",D2:D110,"Female")</f>
        <v>1</v>
      </c>
      <c r="D126" s="7">
        <v>2</v>
      </c>
      <c r="E126" s="9">
        <f t="shared" si="6"/>
        <v>50</v>
      </c>
      <c r="F126" s="9">
        <f t="shared" si="7"/>
        <v>50</v>
      </c>
      <c r="G126" s="7"/>
      <c r="H126" s="7"/>
      <c r="I126" s="7"/>
      <c r="J126" s="7"/>
      <c r="K126" s="7"/>
      <c r="L126" s="7"/>
      <c r="M126" s="7"/>
      <c r="N126" s="7"/>
      <c r="O126" s="7" t="s">
        <v>134</v>
      </c>
      <c r="P126" s="7">
        <f>COUNTIFS(L2:L110,"No, strongly disagree",D2:D110,"Male")</f>
        <v>7</v>
      </c>
      <c r="Q126" s="7">
        <f>COUNTIFS(L2:L110,"No, strongly disagree",D2:D110,"Female")</f>
        <v>3</v>
      </c>
      <c r="R126" s="7">
        <f t="shared" si="10"/>
        <v>10</v>
      </c>
      <c r="S126" s="9">
        <f t="shared" si="11"/>
        <v>70</v>
      </c>
      <c r="T126" s="9">
        <f t="shared" si="12"/>
        <v>30</v>
      </c>
    </row>
    <row r="127" spans="1:25" x14ac:dyDescent="0.3">
      <c r="A127" s="7" t="s">
        <v>32</v>
      </c>
      <c r="B127" s="7">
        <f>COUNTIFS(J2:J110,"Not sure",D2:D110,"Male")</f>
        <v>0</v>
      </c>
      <c r="C127" s="7">
        <f>COUNTIFS(J2:J110,"Not sure",D2:D110,"Female")</f>
        <v>1</v>
      </c>
      <c r="D127" s="7">
        <v>1</v>
      </c>
      <c r="E127" s="9">
        <f t="shared" si="6"/>
        <v>0</v>
      </c>
      <c r="F127" s="9">
        <f t="shared" si="7"/>
        <v>100</v>
      </c>
      <c r="G127" s="7"/>
      <c r="H127" s="7"/>
      <c r="I127" s="7"/>
      <c r="J127" s="7"/>
      <c r="K127" s="7"/>
      <c r="L127" s="7"/>
      <c r="M127" s="7"/>
      <c r="N127" s="7"/>
      <c r="O127" s="13" t="s">
        <v>32</v>
      </c>
      <c r="P127" s="7">
        <f>COUNTIFS(L2:L110,"Not sure",D2:D110,"Male")</f>
        <v>9</v>
      </c>
      <c r="Q127" s="7">
        <f>COUNTIFS(L2:L110,"Not sure",D2:D110,"Female")</f>
        <v>4</v>
      </c>
      <c r="R127" s="7">
        <f t="shared" si="10"/>
        <v>13</v>
      </c>
      <c r="S127" s="9">
        <f t="shared" si="11"/>
        <v>69.230769230769226</v>
      </c>
      <c r="T127" s="9">
        <f t="shared" si="12"/>
        <v>30.769230769230774</v>
      </c>
    </row>
    <row r="128" spans="1:25" x14ac:dyDescent="0.3">
      <c r="A128" s="7"/>
      <c r="B128" s="7"/>
      <c r="C128" s="7"/>
      <c r="D128" s="7"/>
      <c r="E128" s="9"/>
      <c r="F128" s="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ht="96.6" x14ac:dyDescent="0.3">
      <c r="A129" s="10" t="s">
        <v>12</v>
      </c>
      <c r="B129" s="7"/>
      <c r="C129" s="7"/>
      <c r="D129" s="7"/>
      <c r="E129" s="7"/>
      <c r="F129" s="7"/>
      <c r="G129" s="7"/>
      <c r="H129" s="10" t="s">
        <v>13</v>
      </c>
      <c r="I129" s="7"/>
      <c r="J129" s="7"/>
      <c r="K129" s="7"/>
      <c r="L129" s="7"/>
      <c r="M129" s="7"/>
      <c r="N129" s="7"/>
      <c r="O129" s="11" t="s">
        <v>15</v>
      </c>
      <c r="P129" s="7"/>
      <c r="Q129" s="7"/>
      <c r="R129" s="7"/>
      <c r="S129" s="7"/>
      <c r="T129" s="7"/>
    </row>
    <row r="130" spans="1:20" x14ac:dyDescent="0.3">
      <c r="A130" s="7" t="s">
        <v>318</v>
      </c>
      <c r="B130" s="7" t="s">
        <v>22</v>
      </c>
      <c r="C130" s="7" t="s">
        <v>59</v>
      </c>
      <c r="D130" s="7" t="s">
        <v>332</v>
      </c>
      <c r="E130" s="7" t="s">
        <v>330</v>
      </c>
      <c r="F130" s="7" t="s">
        <v>331</v>
      </c>
      <c r="G130" s="7"/>
      <c r="H130" s="7" t="s">
        <v>319</v>
      </c>
      <c r="I130" s="7" t="s">
        <v>22</v>
      </c>
      <c r="J130" s="7" t="s">
        <v>59</v>
      </c>
      <c r="K130" s="7" t="s">
        <v>332</v>
      </c>
      <c r="L130" s="7" t="s">
        <v>330</v>
      </c>
      <c r="M130" s="7" t="s">
        <v>331</v>
      </c>
      <c r="N130" s="7"/>
      <c r="O130" s="7" t="s">
        <v>324</v>
      </c>
      <c r="P130" s="7" t="s">
        <v>22</v>
      </c>
      <c r="Q130" s="7" t="s">
        <v>59</v>
      </c>
      <c r="R130" s="7" t="s">
        <v>332</v>
      </c>
      <c r="S130" s="7" t="s">
        <v>330</v>
      </c>
      <c r="T130" s="7" t="s">
        <v>331</v>
      </c>
    </row>
    <row r="131" spans="1:20" x14ac:dyDescent="0.3">
      <c r="A131" s="7" t="s">
        <v>89</v>
      </c>
      <c r="B131" s="7">
        <f>COUNTIFS(M2:M110,"Very useful",D2:D110,"Male")</f>
        <v>27</v>
      </c>
      <c r="C131" s="7">
        <f>COUNTIFS(M2:M110,"Very useful",D2:D110,"Female")</f>
        <v>4</v>
      </c>
      <c r="D131" s="7">
        <v>31</v>
      </c>
      <c r="E131" s="9">
        <f>B131*100/D131</f>
        <v>87.096774193548384</v>
      </c>
      <c r="F131" s="9">
        <f>100-E131</f>
        <v>12.903225806451616</v>
      </c>
      <c r="G131" s="7"/>
      <c r="H131" s="7" t="s">
        <v>320</v>
      </c>
      <c r="I131" s="7">
        <f>COUNTIFS(N2:N110,"Yes, strong limits or regulations",D2:D110,"Male")</f>
        <v>13</v>
      </c>
      <c r="J131" s="7">
        <f>COUNTIFS(N2:N110,"Yes, strong limits or regulations",D2:D110,"Female")</f>
        <v>3</v>
      </c>
      <c r="K131" s="7">
        <v>16</v>
      </c>
      <c r="L131" s="9">
        <f>I131*100/K131</f>
        <v>81.25</v>
      </c>
      <c r="M131" s="9">
        <f>100-L131</f>
        <v>18.75</v>
      </c>
      <c r="N131" s="7"/>
      <c r="O131" s="7" t="s">
        <v>33</v>
      </c>
      <c r="P131" s="7">
        <f>COUNTIFS(P2:P110,"Positive impact",D2:D110,"Male")</f>
        <v>60</v>
      </c>
      <c r="Q131" s="7">
        <f>COUNTIFS(P2:P110,"Positive impact",D2:D110,"Female")</f>
        <v>17</v>
      </c>
      <c r="R131" s="7">
        <f>SUM(P131:Q131)</f>
        <v>77</v>
      </c>
      <c r="S131" s="9">
        <f>P131*100/R131</f>
        <v>77.922077922077918</v>
      </c>
      <c r="T131" s="9">
        <f>100-S131</f>
        <v>22.077922077922082</v>
      </c>
    </row>
    <row r="132" spans="1:20" x14ac:dyDescent="0.3">
      <c r="A132" s="14" t="s">
        <v>30</v>
      </c>
      <c r="B132" s="7">
        <f>COUNTIFS(M2:M110,"Somewhat useful",D2:D110,"Male")</f>
        <v>29</v>
      </c>
      <c r="C132" s="7">
        <f>COUNTIFS(M2:M110,"Somewhat useful",D2:D110,"Female")</f>
        <v>16</v>
      </c>
      <c r="D132" s="7">
        <v>45</v>
      </c>
      <c r="E132" s="9">
        <f t="shared" ref="E132:E135" si="13">B132*100/D132</f>
        <v>64.444444444444443</v>
      </c>
      <c r="F132" s="9">
        <f t="shared" ref="F132:F135" si="14">100-E132</f>
        <v>35.555555555555557</v>
      </c>
      <c r="G132" s="7"/>
      <c r="H132" s="7" t="s">
        <v>321</v>
      </c>
      <c r="I132" s="7">
        <f>COUNTIFS(N2:N110,"Yes, some limits or regulations",D2:D110,"Male")</f>
        <v>56</v>
      </c>
      <c r="J132" s="7">
        <f>COUNTIFS(N2:N110,"Yes, some limits or regulations",D2:D110,"Female")</f>
        <v>17</v>
      </c>
      <c r="K132" s="7">
        <v>73</v>
      </c>
      <c r="L132" s="9">
        <f t="shared" ref="L132:L134" si="15">I132*100/K132</f>
        <v>76.712328767123282</v>
      </c>
      <c r="M132" s="9">
        <f t="shared" ref="M132:M134" si="16">100-L132</f>
        <v>23.287671232876718</v>
      </c>
      <c r="N132" s="7"/>
      <c r="O132" s="7" t="s">
        <v>93</v>
      </c>
      <c r="P132" s="7">
        <f>COUNTIFS(P2:P110,"Negative impact",D2:D110,"Male")</f>
        <v>6</v>
      </c>
      <c r="Q132" s="7">
        <f>COUNTIFS(P2:P110,"Negative impact",D2:D110,"Female")</f>
        <v>2</v>
      </c>
      <c r="R132" s="7">
        <f t="shared" ref="R132:R134" si="17">SUM(P132:Q132)</f>
        <v>8</v>
      </c>
      <c r="S132" s="9">
        <f t="shared" ref="S132:S134" si="18">P132*100/R132</f>
        <v>75</v>
      </c>
      <c r="T132" s="9">
        <f t="shared" ref="T132:T134" si="19">100-S132</f>
        <v>25</v>
      </c>
    </row>
    <row r="133" spans="1:20" x14ac:dyDescent="0.3">
      <c r="A133" s="14" t="s">
        <v>72</v>
      </c>
      <c r="B133" s="7">
        <f>COUNTIFS(M2:M110,"Somewhat unfair",D2:D110,"Male")</f>
        <v>10</v>
      </c>
      <c r="C133" s="7">
        <f>COUNTIFS(M2:M110,"Somewhat unfair",D2:D110,"Female")</f>
        <v>2</v>
      </c>
      <c r="D133" s="7">
        <v>12</v>
      </c>
      <c r="E133" s="9">
        <f t="shared" si="13"/>
        <v>83.333333333333329</v>
      </c>
      <c r="F133" s="9">
        <f t="shared" si="14"/>
        <v>16.666666666666671</v>
      </c>
      <c r="G133" s="7"/>
      <c r="H133" s="7" t="s">
        <v>322</v>
      </c>
      <c r="I133" s="7">
        <f>COUNTIFS(N2:N110,"No, no limits or regulations",D2:D110,"Male")</f>
        <v>9</v>
      </c>
      <c r="J133" s="7">
        <f>COUNTIFS(N2:N110,"No, no limits or regulations",D2:D110,"Female")</f>
        <v>7</v>
      </c>
      <c r="K133" s="7">
        <v>16</v>
      </c>
      <c r="L133" s="9">
        <f t="shared" si="15"/>
        <v>56.25</v>
      </c>
      <c r="M133" s="9">
        <f t="shared" si="16"/>
        <v>43.75</v>
      </c>
      <c r="N133" s="7"/>
      <c r="O133" s="7" t="s">
        <v>44</v>
      </c>
      <c r="P133" s="7">
        <f>COUNTIFS(P2:P110,"No impact",D2:D110,"Male")</f>
        <v>10</v>
      </c>
      <c r="Q133" s="7">
        <f>COUNTIFS(P2:P110,"No impact",D2:D110,"Female")</f>
        <v>2</v>
      </c>
      <c r="R133" s="7">
        <f t="shared" si="17"/>
        <v>12</v>
      </c>
      <c r="S133" s="9">
        <f t="shared" si="18"/>
        <v>83.333333333333329</v>
      </c>
      <c r="T133" s="9">
        <f t="shared" si="19"/>
        <v>16.666666666666671</v>
      </c>
    </row>
    <row r="134" spans="1:20" x14ac:dyDescent="0.3">
      <c r="A134" s="7" t="s">
        <v>167</v>
      </c>
      <c r="B134" s="7">
        <f>COUNTIFS(M2:M110,"Very unfair",D2:D110,"Male")</f>
        <v>2</v>
      </c>
      <c r="C134" s="7">
        <f>COUNTIFS(M2:M110,"Very unfair",D2:D110,"Female")</f>
        <v>1</v>
      </c>
      <c r="D134" s="7">
        <v>3</v>
      </c>
      <c r="E134" s="9">
        <f t="shared" si="13"/>
        <v>66.666666666666671</v>
      </c>
      <c r="F134" s="9">
        <f t="shared" si="14"/>
        <v>33.333333333333329</v>
      </c>
      <c r="G134" s="7"/>
      <c r="H134" s="7" t="s">
        <v>313</v>
      </c>
      <c r="I134" s="7">
        <f>COUNTIFS(N2:N110,"Not sure",D2:D110,"Male")</f>
        <v>2</v>
      </c>
      <c r="J134" s="7">
        <f>COUNTIFS(N2:N110,"Not sure",D2:D110,"Female")</f>
        <v>2</v>
      </c>
      <c r="K134" s="7">
        <v>4</v>
      </c>
      <c r="L134" s="9">
        <f t="shared" si="15"/>
        <v>50</v>
      </c>
      <c r="M134" s="9">
        <f t="shared" si="16"/>
        <v>50</v>
      </c>
      <c r="N134" s="7"/>
      <c r="O134" s="7" t="s">
        <v>32</v>
      </c>
      <c r="P134" s="7">
        <f>COUNTIFS(P2:P110,"Not sure",D2:D110,"Male")</f>
        <v>4</v>
      </c>
      <c r="Q134" s="7">
        <f>COUNTIFS(P2:P110,"Not sure",D2:D110,"Female")</f>
        <v>8</v>
      </c>
      <c r="R134" s="7">
        <f t="shared" si="17"/>
        <v>12</v>
      </c>
      <c r="S134" s="9">
        <f t="shared" si="18"/>
        <v>33.333333333333336</v>
      </c>
      <c r="T134" s="9">
        <f t="shared" si="19"/>
        <v>66.666666666666657</v>
      </c>
    </row>
    <row r="135" spans="1:20" x14ac:dyDescent="0.3">
      <c r="A135" s="7" t="s">
        <v>32</v>
      </c>
      <c r="B135" s="7">
        <f>COUNTIFS(M2:M110,"Not sure",D2:D110,"Male")</f>
        <v>12</v>
      </c>
      <c r="C135" s="7">
        <f>COUNTIFS(M2:M110,"Not sure",D2:D110,"Female")</f>
        <v>6</v>
      </c>
      <c r="D135" s="7">
        <v>18</v>
      </c>
      <c r="E135" s="9">
        <f t="shared" si="13"/>
        <v>66.666666666666671</v>
      </c>
      <c r="F135" s="9">
        <f t="shared" si="14"/>
        <v>33.333333333333329</v>
      </c>
      <c r="G135" s="7"/>
      <c r="H135" s="7"/>
      <c r="I135" s="7"/>
      <c r="J135" s="7"/>
      <c r="K135" s="7"/>
      <c r="L135" s="9"/>
      <c r="M135" s="9"/>
      <c r="N135" s="7"/>
      <c r="O135" s="7"/>
      <c r="P135" s="7"/>
      <c r="Q135" s="7"/>
      <c r="R135" s="7"/>
      <c r="S135" s="7"/>
      <c r="T135" s="7"/>
    </row>
    <row r="136" spans="1:20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  <c r="M136" s="9"/>
      <c r="N136" s="7"/>
      <c r="O136" s="7"/>
      <c r="P136" s="7"/>
      <c r="Q136" s="7"/>
      <c r="R136" s="7"/>
      <c r="S136" s="7"/>
      <c r="T136" s="7"/>
    </row>
    <row r="137" spans="1:20" ht="52.2" x14ac:dyDescent="0.3">
      <c r="A137" s="10" t="s">
        <v>14</v>
      </c>
      <c r="B137" s="7"/>
      <c r="C137" s="7"/>
      <c r="D137" s="7"/>
      <c r="E137" s="7"/>
      <c r="F137" s="7"/>
      <c r="G137" s="7"/>
      <c r="H137" s="10" t="s">
        <v>16</v>
      </c>
      <c r="I137" s="7"/>
      <c r="J137" s="7"/>
      <c r="K137" s="7"/>
      <c r="L137" s="7"/>
      <c r="M137" s="7"/>
      <c r="N137" s="7"/>
      <c r="O137" s="10" t="s">
        <v>17</v>
      </c>
      <c r="P137" s="7"/>
      <c r="Q137" s="7"/>
      <c r="R137" s="7"/>
      <c r="S137" s="7"/>
      <c r="T137" s="7"/>
    </row>
    <row r="138" spans="1:20" x14ac:dyDescent="0.3">
      <c r="A138" s="7" t="s">
        <v>323</v>
      </c>
      <c r="B138" s="7" t="s">
        <v>22</v>
      </c>
      <c r="C138" s="7" t="s">
        <v>59</v>
      </c>
      <c r="D138" s="7" t="s">
        <v>332</v>
      </c>
      <c r="E138" s="7" t="s">
        <v>330</v>
      </c>
      <c r="F138" s="7" t="s">
        <v>331</v>
      </c>
      <c r="G138" s="7"/>
      <c r="H138" s="7" t="s">
        <v>325</v>
      </c>
      <c r="I138" s="7" t="s">
        <v>22</v>
      </c>
      <c r="J138" s="7" t="s">
        <v>59</v>
      </c>
      <c r="K138" s="7" t="s">
        <v>332</v>
      </c>
      <c r="L138" s="7" t="s">
        <v>330</v>
      </c>
      <c r="M138" s="7" t="s">
        <v>331</v>
      </c>
      <c r="N138" s="7"/>
      <c r="O138" s="7" t="s">
        <v>326</v>
      </c>
      <c r="P138" s="7" t="s">
        <v>22</v>
      </c>
      <c r="Q138" s="7" t="s">
        <v>59</v>
      </c>
      <c r="R138" s="7" t="s">
        <v>332</v>
      </c>
      <c r="S138" s="7" t="s">
        <v>330</v>
      </c>
      <c r="T138" s="7" t="s">
        <v>331</v>
      </c>
    </row>
    <row r="139" spans="1:20" x14ac:dyDescent="0.3">
      <c r="A139" s="7" t="s">
        <v>33</v>
      </c>
      <c r="B139" s="7">
        <f>COUNTIFS(O2:O110,"Positive impact",D2:D110,"Male")</f>
        <v>54</v>
      </c>
      <c r="C139" s="7">
        <f>COUNTIFS(O2:O110,"Positive impact",D2:D110,"Female")</f>
        <v>17</v>
      </c>
      <c r="D139" s="7">
        <v>71</v>
      </c>
      <c r="E139" s="9">
        <f>B139*100/D139</f>
        <v>76.056338028169009</v>
      </c>
      <c r="F139" s="9">
        <f>100-E139</f>
        <v>23.943661971830991</v>
      </c>
      <c r="G139" s="7"/>
      <c r="H139" s="14" t="s">
        <v>34</v>
      </c>
      <c r="I139" s="7">
        <f>COUNTIFS(Q2:Q110,"More technology",D2:D110,"Male")</f>
        <v>63</v>
      </c>
      <c r="J139" s="7">
        <f>COUNTIFS(Q2:Q110,"More technology",D2:D110,"Female")</f>
        <v>17</v>
      </c>
      <c r="K139" s="7">
        <v>80</v>
      </c>
      <c r="L139" s="9">
        <f>I139*100/K139</f>
        <v>78.75</v>
      </c>
      <c r="M139" s="9">
        <f>100-L139</f>
        <v>21.25</v>
      </c>
      <c r="N139" s="7"/>
      <c r="O139" s="7" t="s">
        <v>327</v>
      </c>
      <c r="P139" s="7">
        <f>COUNTIFS(R2:R110,"Decrease due to the use of security systems and home automation technology",D2:D110,"Male")</f>
        <v>53</v>
      </c>
      <c r="Q139" s="7">
        <f>COUNTIFS(R2:R110,"Decrease due to the use of security systems and home automation technology",D2:D110,"Female")</f>
        <v>22</v>
      </c>
      <c r="R139" s="7">
        <f>SUM(P139:Q139)</f>
        <v>75</v>
      </c>
      <c r="S139" s="9">
        <f>P139*100/R139</f>
        <v>70.666666666666671</v>
      </c>
      <c r="T139" s="9">
        <f>100-S139</f>
        <v>29.333333333333329</v>
      </c>
    </row>
    <row r="140" spans="1:20" x14ac:dyDescent="0.3">
      <c r="A140" s="7" t="s">
        <v>93</v>
      </c>
      <c r="B140" s="7">
        <f>COUNTIFS(O2:O110,"Negative impact",D2:D110,"Male")</f>
        <v>10</v>
      </c>
      <c r="C140" s="7">
        <f>COUNTIFS(O2:O110,"Negative impact",D2:D110,"Female")</f>
        <v>4</v>
      </c>
      <c r="D140" s="7">
        <v>14</v>
      </c>
      <c r="E140" s="9">
        <f t="shared" ref="E140:E142" si="20">B140*100/D140</f>
        <v>71.428571428571431</v>
      </c>
      <c r="F140" s="9">
        <f t="shared" ref="F140:F142" si="21">100-E140</f>
        <v>28.571428571428569</v>
      </c>
      <c r="G140" s="7"/>
      <c r="H140" s="7" t="s">
        <v>76</v>
      </c>
      <c r="I140" s="7">
        <f>COUNTIFS(Q2:Q110,"Less technology",D2:D110,"Male")</f>
        <v>9</v>
      </c>
      <c r="J140" s="7">
        <f>COUNTIFS(Q2:Q110,"Less technology",D2:D110,"Female")</f>
        <v>9</v>
      </c>
      <c r="K140" s="7">
        <v>18</v>
      </c>
      <c r="L140" s="9">
        <f t="shared" ref="L140:L142" si="22">I140*100/K140</f>
        <v>50</v>
      </c>
      <c r="M140" s="9">
        <f t="shared" ref="M140:M142" si="23">100-L140</f>
        <v>50</v>
      </c>
      <c r="N140" s="7"/>
      <c r="O140" s="7" t="s">
        <v>328</v>
      </c>
      <c r="P140" s="7">
        <f>COUNTIFS(R2:R110,"Increase due to criminals using technology to surveil potential targets and bypass security systems",D2:D110,"Male")</f>
        <v>27</v>
      </c>
      <c r="Q140" s="7">
        <f>COUNTIFS(R2:R110,"Increase due to criminals using technology to surveil potential targets and bypass security systems",D2:D110,"Female")</f>
        <v>7</v>
      </c>
      <c r="R140" s="7">
        <f>SUM(P140:Q140)</f>
        <v>34</v>
      </c>
      <c r="S140" s="9">
        <f>P140*100/R140</f>
        <v>79.411764705882348</v>
      </c>
      <c r="T140" s="9">
        <f>100-S140</f>
        <v>20.588235294117652</v>
      </c>
    </row>
    <row r="141" spans="1:20" x14ac:dyDescent="0.3">
      <c r="A141" s="7" t="s">
        <v>44</v>
      </c>
      <c r="B141" s="7">
        <f>COUNTIFS(O2:O110,"No impact",D2:D110,"Male")</f>
        <v>6</v>
      </c>
      <c r="C141" s="7">
        <f>COUNTIFS(O2:O110,"No impact",D2:D110,"Female")</f>
        <v>2</v>
      </c>
      <c r="D141" s="7">
        <v>8</v>
      </c>
      <c r="E141" s="9">
        <f t="shared" si="20"/>
        <v>75</v>
      </c>
      <c r="F141" s="9">
        <f t="shared" si="21"/>
        <v>25</v>
      </c>
      <c r="G141" s="7"/>
      <c r="H141" s="7" t="s">
        <v>49</v>
      </c>
      <c r="I141" s="7">
        <f>COUNTIFS(Q2:Q110,"No change",D2:D110,"Male")</f>
        <v>3</v>
      </c>
      <c r="J141" s="7">
        <f>COUNTIFS(Q2:Q110,"No change",D2:D110,"Female")</f>
        <v>0</v>
      </c>
      <c r="K141" s="7">
        <v>3</v>
      </c>
      <c r="L141" s="9">
        <f t="shared" si="22"/>
        <v>100</v>
      </c>
      <c r="M141" s="9">
        <f t="shared" si="23"/>
        <v>0</v>
      </c>
      <c r="N141" s="7"/>
      <c r="O141" s="7"/>
      <c r="P141" s="7"/>
      <c r="Q141" s="7"/>
      <c r="R141" s="7"/>
      <c r="S141" s="9"/>
      <c r="T141" s="9"/>
    </row>
    <row r="142" spans="1:20" x14ac:dyDescent="0.3">
      <c r="A142" s="7" t="s">
        <v>32</v>
      </c>
      <c r="B142" s="7">
        <f>COUNTIFS(O2:O110,"Not sure",D2:D110,"Male")</f>
        <v>10</v>
      </c>
      <c r="C142" s="7">
        <f>COUNTIFS(O2:O110,"Not sure",D2:D110,"Female")</f>
        <v>6</v>
      </c>
      <c r="D142" s="7">
        <v>16</v>
      </c>
      <c r="E142" s="9">
        <f t="shared" si="20"/>
        <v>62.5</v>
      </c>
      <c r="F142" s="9">
        <f t="shared" si="21"/>
        <v>37.5</v>
      </c>
      <c r="G142" s="7"/>
      <c r="H142" s="7" t="s">
        <v>32</v>
      </c>
      <c r="I142" s="7">
        <f>COUNTIFS(Q2:Q110,"Not sure",D2:D110,"Male")</f>
        <v>5</v>
      </c>
      <c r="J142" s="7">
        <f>COUNTIFS(Q2:Q110,"Not sure",D2:D110,"Female")</f>
        <v>3</v>
      </c>
      <c r="K142" s="7">
        <v>8</v>
      </c>
      <c r="L142" s="9">
        <f t="shared" si="22"/>
        <v>62.5</v>
      </c>
      <c r="M142" s="9">
        <f t="shared" si="23"/>
        <v>37.5</v>
      </c>
      <c r="N142" s="7"/>
      <c r="O142" s="7"/>
      <c r="P142" s="7"/>
      <c r="Q142" s="7"/>
      <c r="R142" s="7"/>
      <c r="S142" s="9"/>
      <c r="T142" s="9"/>
    </row>
    <row r="143" spans="1:20" x14ac:dyDescent="0.3">
      <c r="A143" s="7"/>
      <c r="B143" s="7"/>
      <c r="C143" s="7"/>
      <c r="D143" s="7"/>
      <c r="E143" s="9"/>
      <c r="F143" s="9"/>
      <c r="G143" s="7"/>
      <c r="H143" s="7"/>
      <c r="I143" s="7"/>
      <c r="J143" s="7"/>
      <c r="K143" s="7"/>
      <c r="L143" s="9"/>
      <c r="M143" s="9"/>
      <c r="N143" s="7"/>
      <c r="O143" s="7"/>
      <c r="P143" s="7"/>
      <c r="Q143" s="7"/>
      <c r="R143" s="7"/>
      <c r="S143" s="9"/>
      <c r="T143" s="9"/>
    </row>
    <row r="144" spans="1:20" ht="69" x14ac:dyDescent="0.3">
      <c r="A144" s="8" t="s">
        <v>18</v>
      </c>
      <c r="B144" s="7"/>
      <c r="C144" s="7"/>
      <c r="D144" s="7"/>
      <c r="E144" s="9"/>
      <c r="F144" s="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2" x14ac:dyDescent="0.3">
      <c r="A145" s="7" t="s">
        <v>329</v>
      </c>
      <c r="B145" s="7" t="s">
        <v>22</v>
      </c>
      <c r="C145" s="7" t="s">
        <v>59</v>
      </c>
      <c r="D145" s="7" t="s">
        <v>332</v>
      </c>
      <c r="E145" s="7" t="s">
        <v>330</v>
      </c>
      <c r="F145" s="7" t="s">
        <v>331</v>
      </c>
      <c r="G145" s="7"/>
      <c r="H145" s="19" t="s">
        <v>346</v>
      </c>
      <c r="I145" s="19" t="s">
        <v>348</v>
      </c>
      <c r="J145" s="20" t="s">
        <v>347</v>
      </c>
      <c r="K145" s="20"/>
      <c r="L145" s="19"/>
      <c r="M145" s="7"/>
      <c r="N145" s="18" t="s">
        <v>346</v>
      </c>
      <c r="O145" s="18" t="s">
        <v>348</v>
      </c>
      <c r="P145" s="21" t="s">
        <v>349</v>
      </c>
      <c r="Q145" s="21"/>
      <c r="R145" s="7"/>
      <c r="S145" s="18" t="s">
        <v>350</v>
      </c>
      <c r="T145" s="18" t="s">
        <v>351</v>
      </c>
      <c r="U145" s="18"/>
      <c r="V145" s="18" t="s">
        <v>332</v>
      </c>
    </row>
    <row r="146" spans="1:22" x14ac:dyDescent="0.3">
      <c r="A146" s="7" t="s">
        <v>328</v>
      </c>
      <c r="B146" s="7">
        <f>COUNTIFS(S2:S110,"Increase due to ease of committing crimes online and difficulty of tracking down perpetrators",D2:D110,"Male")</f>
        <v>61</v>
      </c>
      <c r="C146" s="7">
        <f>COUNTIFS(S2:S110,"Increase due to ease of committing crimes online and difficulty of tracking down perpetrators",D2:D110,"Female")</f>
        <v>23</v>
      </c>
      <c r="D146" s="7">
        <v>84</v>
      </c>
      <c r="E146" s="9">
        <f>B146*100/D146</f>
        <v>72.61904761904762</v>
      </c>
      <c r="F146" s="9">
        <f>100-E146</f>
        <v>27.38095238095238</v>
      </c>
      <c r="G146" s="7"/>
      <c r="H146" s="19"/>
      <c r="I146" s="19"/>
      <c r="J146" s="7" t="s">
        <v>328</v>
      </c>
      <c r="K146" s="7" t="s">
        <v>327</v>
      </c>
      <c r="L146" s="19"/>
      <c r="M146" s="7"/>
      <c r="N146" s="18"/>
      <c r="O146" s="18"/>
      <c r="P146" s="16" t="s">
        <v>71</v>
      </c>
      <c r="Q146" s="16" t="s">
        <v>28</v>
      </c>
      <c r="R146" s="7"/>
      <c r="S146" s="18"/>
      <c r="T146" s="17" t="s">
        <v>34</v>
      </c>
      <c r="U146" s="16" t="s">
        <v>76</v>
      </c>
      <c r="V146" s="18"/>
    </row>
    <row r="147" spans="1:22" x14ac:dyDescent="0.3">
      <c r="A147" s="7" t="s">
        <v>327</v>
      </c>
      <c r="B147" s="7">
        <f>COUNTIFS(S2:S110,"Decrease due to improved security measures and increased awareness of online safety",D2:D110,"Male")</f>
        <v>19</v>
      </c>
      <c r="C147" s="7">
        <f>COUNTIFS(S2:S110,"Decrease due to improved security measures and increased awareness of online safety",D2:D110,"Female")</f>
        <v>6</v>
      </c>
      <c r="D147" s="7">
        <v>25</v>
      </c>
      <c r="E147" s="9">
        <f>B147*100/D147</f>
        <v>76</v>
      </c>
      <c r="F147" s="9">
        <f>100-E147</f>
        <v>24</v>
      </c>
      <c r="G147" s="7"/>
      <c r="H147" s="7" t="s">
        <v>276</v>
      </c>
      <c r="I147" s="7">
        <f>COUNTIFS(F2:F110,"UP")</f>
        <v>83</v>
      </c>
      <c r="J147" s="7">
        <f>COUNTIFS(F2:F110,"UP",G2:G110,"Significant increase")+COUNTIFS(F2:F110,"UP",G2:G110,"Slight increase")</f>
        <v>45</v>
      </c>
      <c r="K147" s="7">
        <v>38</v>
      </c>
      <c r="L147" s="7"/>
      <c r="M147" s="7"/>
      <c r="N147" s="16" t="s">
        <v>276</v>
      </c>
      <c r="O147" s="16">
        <v>83</v>
      </c>
      <c r="P147" s="16">
        <f>COUNTIFS(I2:I110,"Yes, occasionally",F2:F110,"UP")+COUNTIFS(I2:I110,"Yes, frequently",F2:F110,"UP")</f>
        <v>66</v>
      </c>
      <c r="Q147" s="16">
        <v>17</v>
      </c>
      <c r="R147" s="7"/>
      <c r="S147" s="16" t="s">
        <v>22</v>
      </c>
      <c r="T147" s="16">
        <v>63</v>
      </c>
      <c r="U147" s="16">
        <v>17</v>
      </c>
      <c r="V147" s="16">
        <f>SUM(T147:U147)</f>
        <v>80</v>
      </c>
    </row>
    <row r="148" spans="1:22" x14ac:dyDescent="0.3">
      <c r="A148" s="7"/>
      <c r="B148" s="7"/>
      <c r="C148" s="7"/>
      <c r="D148" s="7"/>
      <c r="E148" s="9"/>
      <c r="F148" s="9"/>
      <c r="G148" s="7"/>
      <c r="H148" s="7" t="s">
        <v>345</v>
      </c>
      <c r="I148" s="7">
        <f>COUNTIFS(F2:F110,"&lt;&gt;UP")</f>
        <v>26</v>
      </c>
      <c r="J148" s="7">
        <f>COUNTIFS(F2:F110,"&lt;&gt;UP",G2:G110,"Significant increase")+COUNTIFS(F2:F110,"&lt;&gt;UP",G2:G110,"Slight increase")</f>
        <v>16</v>
      </c>
      <c r="K148" s="7">
        <v>10</v>
      </c>
      <c r="L148" s="7"/>
      <c r="M148" s="7"/>
      <c r="N148" s="16" t="s">
        <v>345</v>
      </c>
      <c r="O148" s="16">
        <v>26</v>
      </c>
      <c r="P148" s="16">
        <f>COUNTIFS(I2:I110,"Yes, occasionally",F2:F110,"&lt;&gt;UP")+COUNTIFS(I2:I110,"Yes, frequently",F2:F110,"&lt;&gt;UP")</f>
        <v>23</v>
      </c>
      <c r="Q148" s="16">
        <v>3</v>
      </c>
      <c r="R148" s="7"/>
      <c r="S148" s="16" t="s">
        <v>59</v>
      </c>
      <c r="T148" s="16">
        <v>17</v>
      </c>
      <c r="U148" s="16">
        <v>12</v>
      </c>
      <c r="V148" s="16">
        <f>SUM(T148:U148)</f>
        <v>29</v>
      </c>
    </row>
    <row r="149" spans="1:22" x14ac:dyDescent="0.3">
      <c r="H149" s="7" t="s">
        <v>332</v>
      </c>
      <c r="I149" s="4">
        <f>SUM(I147:I148)</f>
        <v>109</v>
      </c>
      <c r="J149" s="4">
        <f>SUM(J147:J148)</f>
        <v>61</v>
      </c>
      <c r="K149" s="4">
        <f>SUM(K147:K148)</f>
        <v>48</v>
      </c>
      <c r="N149" s="15" t="s">
        <v>332</v>
      </c>
      <c r="O149" s="15">
        <f>SUM(O147:O148)</f>
        <v>109</v>
      </c>
      <c r="P149" s="15">
        <f>SUM(P147:P148)</f>
        <v>89</v>
      </c>
      <c r="Q149" s="15">
        <f>SUM(Q147:Q148)</f>
        <v>20</v>
      </c>
      <c r="S149" s="16" t="s">
        <v>332</v>
      </c>
      <c r="T149" s="16">
        <v>80</v>
      </c>
      <c r="U149" s="16">
        <v>29</v>
      </c>
      <c r="V149" s="15">
        <f>SUM(T149:U149)</f>
        <v>109</v>
      </c>
    </row>
    <row r="152" spans="1:22" x14ac:dyDescent="0.3">
      <c r="O152" s="18" t="s">
        <v>352</v>
      </c>
      <c r="P152" s="18"/>
      <c r="T152" s="18" t="s">
        <v>357</v>
      </c>
      <c r="U152" s="18"/>
    </row>
    <row r="153" spans="1:22" x14ac:dyDescent="0.3">
      <c r="I153" s="18" t="s">
        <v>352</v>
      </c>
      <c r="J153" s="18"/>
      <c r="O153" s="16" t="s">
        <v>354</v>
      </c>
      <c r="P153" s="16">
        <v>1.0529999999999999</v>
      </c>
      <c r="T153" s="16" t="s">
        <v>354</v>
      </c>
      <c r="U153" s="16">
        <v>4.4169999999999998</v>
      </c>
    </row>
    <row r="154" spans="1:22" x14ac:dyDescent="0.3">
      <c r="I154" s="15" t="s">
        <v>354</v>
      </c>
      <c r="J154" s="15">
        <v>0.43</v>
      </c>
      <c r="O154" s="16" t="s">
        <v>355</v>
      </c>
      <c r="P154" s="16">
        <v>0.05</v>
      </c>
      <c r="T154" s="16" t="s">
        <v>355</v>
      </c>
      <c r="U154" s="16">
        <v>0.05</v>
      </c>
    </row>
    <row r="155" spans="1:22" x14ac:dyDescent="0.3">
      <c r="I155" s="15" t="s">
        <v>355</v>
      </c>
      <c r="J155" s="15">
        <v>0.05</v>
      </c>
      <c r="O155" s="16" t="s">
        <v>353</v>
      </c>
      <c r="P155" s="16">
        <v>1</v>
      </c>
      <c r="T155" s="16" t="s">
        <v>353</v>
      </c>
      <c r="U155" s="16">
        <v>1</v>
      </c>
    </row>
    <row r="156" spans="1:22" x14ac:dyDescent="0.3">
      <c r="I156" s="15" t="s">
        <v>353</v>
      </c>
      <c r="J156" s="15">
        <v>1</v>
      </c>
      <c r="O156" s="16" t="s">
        <v>356</v>
      </c>
      <c r="P156" s="16">
        <v>3.8410000000000002</v>
      </c>
      <c r="T156" s="16" t="s">
        <v>356</v>
      </c>
      <c r="U156" s="16">
        <v>3.8410000000000002</v>
      </c>
    </row>
    <row r="157" spans="1:22" x14ac:dyDescent="0.3">
      <c r="I157" s="15" t="s">
        <v>356</v>
      </c>
      <c r="J157" s="15">
        <v>3.8410000000000002</v>
      </c>
    </row>
  </sheetData>
  <mergeCells count="13">
    <mergeCell ref="H145:H146"/>
    <mergeCell ref="I145:I146"/>
    <mergeCell ref="N145:N146"/>
    <mergeCell ref="O145:O146"/>
    <mergeCell ref="P145:Q145"/>
    <mergeCell ref="S145:S146"/>
    <mergeCell ref="T145:U145"/>
    <mergeCell ref="I153:J153"/>
    <mergeCell ref="L145:L146"/>
    <mergeCell ref="V145:V146"/>
    <mergeCell ref="O152:P152"/>
    <mergeCell ref="T152:U152"/>
    <mergeCell ref="J145:K145"/>
  </mergeCells>
  <pageMargins left="0.7" right="0.7" top="0.75" bottom="0.75" header="0.3" footer="0.3"/>
  <pageSetup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5:L14"/>
  <sheetViews>
    <sheetView tabSelected="1" workbookViewId="0">
      <selection activeCell="K15" sqref="K15"/>
    </sheetView>
  </sheetViews>
  <sheetFormatPr defaultRowHeight="14.4" x14ac:dyDescent="0.3"/>
  <sheetData>
    <row r="5" spans="9:12" x14ac:dyDescent="0.3">
      <c r="I5" s="22">
        <v>60</v>
      </c>
      <c r="J5" s="22">
        <v>23</v>
      </c>
      <c r="K5">
        <v>83</v>
      </c>
    </row>
    <row r="6" spans="9:12" ht="15" thickBot="1" x14ac:dyDescent="0.35">
      <c r="I6" s="23">
        <v>17</v>
      </c>
      <c r="J6" s="23">
        <v>9</v>
      </c>
      <c r="K6">
        <v>26</v>
      </c>
    </row>
    <row r="7" spans="9:12" x14ac:dyDescent="0.3">
      <c r="I7">
        <v>77</v>
      </c>
      <c r="J7">
        <v>32</v>
      </c>
      <c r="K7">
        <v>109</v>
      </c>
    </row>
    <row r="9" spans="9:12" x14ac:dyDescent="0.3">
      <c r="I9">
        <f>I7*K5/K7</f>
        <v>58.633027522935777</v>
      </c>
      <c r="J9">
        <f>J7*K5/K7</f>
        <v>24.36697247706422</v>
      </c>
    </row>
    <row r="10" spans="9:12" x14ac:dyDescent="0.3">
      <c r="I10">
        <f>I7*K6/K7</f>
        <v>18.36697247706422</v>
      </c>
      <c r="J10">
        <f>J7*K6/K7</f>
        <v>7.6330275229357802</v>
      </c>
    </row>
    <row r="12" spans="9:12" x14ac:dyDescent="0.3">
      <c r="J12">
        <f>(I9-I5)^2</f>
        <v>1.8686137530510984</v>
      </c>
      <c r="L12">
        <f>(1/I9)+(1/J9)+(1/I10)+(1/J10)</f>
        <v>0.24354956037937966</v>
      </c>
    </row>
    <row r="14" spans="9:12" x14ac:dyDescent="0.3">
      <c r="K14">
        <f>L12*J12</f>
        <v>0.45510005807445775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Impact of technology on crime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K</cp:lastModifiedBy>
  <dcterms:created xsi:type="dcterms:W3CDTF">2023-05-05T07:34:09Z</dcterms:created>
  <dcterms:modified xsi:type="dcterms:W3CDTF">2023-05-07T09:07:46Z</dcterms:modified>
</cp:coreProperties>
</file>