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4F8F8B21-C2EC-4D1A-8A1B-EB1FF861C650}" xr6:coauthVersionLast="47" xr6:coauthVersionMax="47" xr10:uidLastSave="{00000000-0000-0000-0000-000000000000}"/>
  <bookViews>
    <workbookView xWindow="43680" yWindow="735" windowWidth="35880" windowHeight="19995" activeTab="3" xr2:uid="{00000000-000D-0000-FFFF-FFFF00000000}"/>
  </bookViews>
  <sheets>
    <sheet name="Per Category" sheetId="2" r:id="rId1"/>
    <sheet name="Per Sub-Category" sheetId="3" r:id="rId2"/>
    <sheet name="Crowdfunding" sheetId="1" r:id="rId3"/>
    <sheet name="Bonus, 8 columns" sheetId="10" r:id="rId4"/>
  </sheets>
  <calcPr calcId="191029"/>
  <pivotCaches>
    <pivotCache cacheId="7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0" l="1"/>
  <c r="E12" i="10"/>
  <c r="E11" i="10"/>
  <c r="E10" i="10"/>
  <c r="E9" i="10"/>
  <c r="E8" i="10"/>
  <c r="E7" i="10"/>
  <c r="E6" i="10"/>
  <c r="E5" i="10"/>
  <c r="E4" i="10"/>
  <c r="D13" i="10"/>
  <c r="D12" i="10"/>
  <c r="D11" i="10"/>
  <c r="D10" i="10"/>
  <c r="D9" i="10"/>
  <c r="D8" i="10"/>
  <c r="D7" i="10"/>
  <c r="D6" i="10"/>
  <c r="D5" i="10"/>
  <c r="D4" i="10"/>
  <c r="C13" i="10"/>
  <c r="C12" i="10"/>
  <c r="C11" i="10"/>
  <c r="C10" i="10"/>
  <c r="C9" i="10"/>
  <c r="C8" i="10"/>
  <c r="C7" i="10"/>
  <c r="C6" i="10"/>
  <c r="C5" i="10"/>
  <c r="C4" i="10"/>
  <c r="B10" i="10"/>
  <c r="B9" i="10"/>
  <c r="B8" i="10"/>
  <c r="B7" i="10"/>
  <c r="B6" i="10"/>
  <c r="B5" i="10"/>
  <c r="B4" i="10"/>
  <c r="B11" i="10"/>
  <c r="B12" i="10"/>
  <c r="B13" i="10"/>
  <c r="E3" i="10"/>
  <c r="D3" i="10"/>
  <c r="E2" i="10"/>
  <c r="C3" i="10"/>
  <c r="B3" i="10"/>
  <c r="B2" i="10"/>
  <c r="D2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<sst xmlns="http://schemas.openxmlformats.org/spreadsheetml/2006/main" count="6098" uniqueCount="2094">
  <si>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</si>
  <si>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</si>
  <si>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</si>
  <si>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</si>
  <si>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</si>
  <si>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</si>
  <si>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</si>
  <si>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</si>
  <si>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</si>
  <si>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</si>
  <si>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</si>
  <si>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</si>
  <si>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</si>
  <si>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</si>
  <si>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</si>
  <si>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</si>
  <si>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</si>
  <si>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</si>
  <si>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</si>
  <si>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</si>
  <si>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</si>
  <si>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</si>
  <si>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</si>
  <si>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</si>
  <si>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</si>
  <si>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</si>
  <si>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</si>
  <si>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</si>
  <si>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</si>
  <si>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</si>
  <si>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</si>
  <si>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</si>
  <si>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</si>
  <si>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</si>
  <si>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</si>
  <si>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</si>
  <si>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</si>
  <si>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</si>
  <si>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</si>
  <si>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</si>
  <si>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</si>
  <si>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</si>
  <si>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</si>
  <si>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</si>
  <si>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</si>
  <si>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</si>
  <si>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</si>
  <si>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</si>
  <si>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</si>
  <si>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</si>
  <si>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</si>
  <si>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</si>
  <si>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</si>
  <si>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</si>
  <si>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</si>
  <si>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</si>
  <si>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</si>
  <si>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</si>
  <si>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</si>
  <si>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</si>
  <si>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</si>
  <si>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</si>
  <si>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</si>
  <si>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</si>
  <si>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</si>
  <si>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</si>
  <si>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</si>
  <si>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</si>
  <si>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</si>
  <si>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</si>
  <si>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</si>
  <si>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</si>
  <si>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</si>
  <si>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</si>
  <si>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</si>
  <si>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</si>
  <si>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</si>
  <si>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</si>
  <si>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</si>
  <si>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</si>
  <si>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</si>
  <si>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</si>
  <si>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</si>
  <si>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</si>
  <si>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</si>
  <si>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</si>
  <si>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</si>
  <si>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</si>
  <si>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</si>
  <si>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</si>
  <si>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</si>
  <si>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</si>
  <si>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</si>
  <si>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</si>
  <si>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</si>
  <si>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</si>
  <si>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</si>
  <si>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</si>
  <si>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</si>
  <si>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</si>
  <si>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</si>
  <si>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</si>
  <si>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</si>
  <si>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</si>
  <si>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</si>
  <si>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</si>
  <si>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</si>
  <si>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</si>
  <si>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</si>
  <si>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</si>
  <si>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</si>
  <si>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</si>
  <si>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</si>
  <si>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</si>
  <si>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</si>
  <si>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</si>
  <si>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</si>
  <si>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</si>
  <si>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</si>
  <si>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</si>
  <si>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</si>
  <si>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</si>
  <si>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</si>
  <si>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</si>
  <si>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</si>
  <si>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</si>
  <si>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</si>
  <si>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</si>
  <si>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</si>
  <si>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</si>
  <si>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</si>
  <si>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</si>
  <si>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</si>
  <si>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</si>
  <si>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</si>
  <si>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</si>
  <si>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</si>
  <si>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</si>
  <si>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</si>
  <si>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</si>
  <si>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</si>
  <si>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</si>
  <si>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</si>
  <si>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</si>
  <si>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</si>
  <si>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</si>
  <si>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</si>
  <si>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</si>
  <si>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</si>
  <si>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</si>
  <si>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</si>
  <si>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</si>
  <si>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</si>
  <si>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</si>
  <si>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</si>
  <si>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</si>
  <si>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</si>
  <si>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</si>
  <si>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</si>
  <si>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</si>
  <si>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</si>
  <si>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</si>
  <si>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</si>
  <si>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</si>
  <si>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</si>
  <si>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</si>
  <si>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</si>
  <si>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</si>
  <si>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</si>
  <si>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</si>
  <si>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</si>
  <si>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</si>
  <si>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</si>
  <si>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</si>
  <si>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</si>
  <si>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</si>
  <si>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</si>
  <si>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</si>
  <si>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</si>
  <si>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</si>
  <si>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</si>
  <si>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</si>
  <si>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</si>
  <si>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</si>
  <si>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</si>
  <si>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</si>
  <si>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</si>
  <si>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</si>
  <si>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</si>
  <si>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</si>
  <si>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</si>
  <si>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</si>
  <si>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</si>
  <si>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</si>
  <si>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</si>
  <si>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</si>
  <si>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</si>
  <si>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</si>
  <si>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</si>
  <si>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</si>
  <si>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</si>
  <si>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</si>
  <si>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</si>
  <si>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</si>
  <si>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</si>
  <si>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</si>
  <si>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</si>
  <si>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</si>
  <si>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</si>
  <si>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</si>
  <si>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</si>
  <si>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</si>
  <si>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</si>
  <si>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</si>
  <si>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</si>
  <si>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</si>
  <si>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</si>
  <si>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</si>
  <si>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</si>
  <si>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</si>
  <si>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</si>
  <si>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</si>
  <si>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</si>
  <si>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</si>
  <si>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</si>
  <si>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</si>
  <si>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</si>
  <si>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</si>
  <si>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</si>
  <si>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</si>
  <si>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</si>
  <si>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</si>
  <si>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</si>
  <si>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</si>
  <si>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</si>
  <si>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</si>
  <si>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</si>
  <si>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</si>
  <si>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</si>
  <si>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</si>
  <si>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</si>
  <si>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</si>
  <si>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</si>
  <si>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</si>
  <si>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</si>
  <si>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</si>
  <si>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</si>
  <si>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</si>
  <si>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</si>
  <si>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</si>
  <si>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</si>
  <si>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</si>
  <si>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</si>
  <si>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</si>
  <si>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</si>
  <si>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</si>
  <si>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</si>
  <si>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</si>
  <si>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</si>
  <si>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</si>
  <si>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</si>
  <si>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</si>
  <si>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</si>
  <si>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</si>
  <si>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</si>
  <si>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</si>
  <si>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</si>
  <si>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</si>
  <si>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</si>
  <si>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</si>
  <si>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</si>
  <si>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</si>
  <si>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</si>
  <si>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</si>
  <si>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</si>
  <si>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</si>
  <si>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</si>
  <si>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</si>
  <si>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</si>
  <si>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</si>
  <si>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</si>
  <si>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</si>
  <si>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</si>
  <si>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</si>
  <si>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</si>
  <si>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</si>
  <si>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</si>
  <si>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</si>
  <si>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</si>
  <si>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</si>
  <si>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</si>
  <si>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</si>
  <si>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</si>
  <si>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</si>
  <si>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</si>
  <si>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</si>
  <si>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</si>
  <si>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</si>
  <si>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</si>
  <si>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</si>
  <si>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</si>
  <si>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</si>
  <si>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</si>
  <si>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</si>
  <si>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</si>
  <si>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</si>
  <si>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</si>
  <si>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</si>
  <si>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</si>
  <si>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</si>
  <si>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</si>
  <si>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</si>
  <si>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</si>
  <si>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</si>
  <si>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</si>
  <si>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</si>
  <si>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</si>
  <si>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</si>
  <si>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</si>
  <si>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</si>
  <si>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</si>
  <si>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</si>
  <si>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</si>
  <si>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</si>
  <si>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</si>
  <si>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</si>
  <si>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</si>
  <si>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</si>
  <si>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</si>
  <si>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</si>
  <si>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</si>
  <si>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</si>
  <si>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</si>
  <si>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</si>
  <si>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</si>
  <si>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</si>
  <si>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</si>
  <si>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</si>
  <si>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</si>
  <si>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</si>
  <si>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</si>
  <si>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</si>
  <si>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</si>
  <si>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</si>
  <si>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</si>
  <si>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</si>
  <si>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</si>
  <si>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</si>
  <si>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</si>
  <si>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</si>
  <si>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</si>
  <si>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</si>
  <si>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</si>
  <si>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</si>
  <si>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</si>
  <si>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</si>
  <si>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</si>
  <si>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</si>
  <si>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</si>
  <si>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</si>
  <si>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</si>
  <si>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</si>
  <si>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</si>
  <si>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</si>
  <si>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</si>
  <si>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</si>
  <si>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</si>
  <si>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</si>
  <si>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</si>
  <si>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</si>
  <si>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</si>
  <si>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</si>
  <si>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</si>
  <si>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</si>
  <si>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</si>
  <si>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</si>
  <si>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</si>
  <si>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</si>
  <si>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</si>
  <si>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</si>
  <si>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</si>
  <si>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</si>
  <si>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</si>
  <si>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</si>
  <si>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</si>
  <si>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</si>
  <si>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</si>
  <si>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</si>
  <si>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</si>
  <si>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</si>
  <si>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</si>
  <si>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</si>
  <si>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</si>
  <si>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</si>
  <si>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</si>
  <si>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</si>
  <si>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</si>
  <si>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</si>
  <si>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</si>
  <si>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</si>
  <si>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</si>
  <si>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</si>
  <si>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</si>
  <si>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</si>
  <si>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</si>
  <si>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</si>
  <si>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</si>
  <si>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</si>
  <si>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</si>
  <si>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</si>
  <si>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</si>
  <si>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</si>
  <si>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</si>
  <si>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</si>
  <si>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</si>
  <si>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</si>
  <si>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</si>
  <si>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</si>
  <si>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</si>
  <si>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</si>
  <si>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</si>
  <si>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</si>
  <si>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</si>
  <si>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</si>
  <si>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</si>
  <si>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</si>
  <si>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</si>
  <si>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</si>
  <si>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</si>
  <si>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</si>
  <si>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</si>
  <si>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</si>
  <si>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</si>
  <si>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</si>
  <si>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</si>
  <si>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</si>
  <si>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</si>
  <si>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</si>
  <si>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</si>
  <si>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</si>
  <si>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</si>
  <si>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</si>
  <si>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</si>
  <si>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</si>
  <si>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</si>
  <si>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</si>
  <si>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</si>
  <si>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</si>
  <si>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</si>
  <si>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</si>
  <si>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</si>
  <si>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</si>
  <si>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</si>
  <si>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</si>
  <si>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</si>
  <si>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</si>
  <si>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</si>
  <si>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</si>
  <si>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</si>
  <si>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</si>
  <si>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</si>
  <si>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</si>
  <si>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</si>
  <si>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</si>
  <si>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</si>
  <si>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</si>
  <si>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</si>
  <si>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</si>
  <si>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</si>
  <si>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</si>
  <si>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</si>
  <si>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</si>
  <si>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</si>
  <si>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</si>
  <si>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</si>
  <si>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</si>
  <si>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</si>
  <si>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</si>
  <si>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</si>
  <si>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</si>
  <si>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</si>
  <si>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</si>
  <si>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</si>
  <si>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</si>
  <si>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</si>
  <si>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</si>
  <si>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</si>
  <si>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</si>
  <si>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</si>
  <si>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</si>
  <si>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</si>
  <si>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</si>
  <si>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</si>
  <si>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</si>
  <si>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</si>
  <si>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</si>
  <si>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</si>
  <si>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</si>
  <si>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</si>
  <si>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</si>
  <si>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</si>
  <si>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</si>
  <si>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</si>
  <si>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</si>
  <si>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</si>
  <si>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</si>
  <si>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</si>
  <si>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</si>
  <si>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</si>
  <si>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</si>
  <si>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</si>
  <si>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</si>
  <si>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</si>
  <si>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</si>
  <si>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</si>
  <si>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</si>
  <si>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</si>
  <si>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</si>
  <si>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</si>
  <si>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</si>
  <si>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</si>
  <si>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</si>
  <si>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</si>
  <si>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</si>
  <si>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</si>
  <si>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</si>
  <si>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</si>
  <si>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</si>
  <si>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</si>
  <si>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</si>
  <si>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</si>
  <si>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</si>
  <si>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</si>
  <si>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</si>
  <si>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</si>
  <si>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</si>
  <si>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</si>
  <si>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</si>
  <si>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</si>
  <si>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</si>
  <si>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</si>
  <si>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</si>
  <si>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</si>
  <si>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</si>
  <si>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</si>
  <si>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</si>
  <si>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</si>
  <si>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</si>
  <si>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</si>
  <si>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</si>
  <si>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</si>
  <si>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</si>
  <si>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</si>
  <si>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</si>
  <si>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</si>
  <si>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</si>
  <si>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</si>
  <si>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</si>
  <si>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</si>
  <si>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</si>
  <si>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</si>
  <si>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</si>
  <si>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</si>
  <si>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</si>
  <si>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</si>
  <si>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</si>
  <si>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</si>
  <si>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</si>
  <si>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</si>
  <si>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</si>
  <si>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</si>
  <si>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</si>
  <si>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</si>
  <si>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</si>
  <si>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</si>
  <si>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</si>
  <si>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</si>
  <si>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</si>
  <si>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</si>
  <si>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</si>
  <si>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</si>
  <si>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</si>
  <si>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</si>
  <si>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</si>
  <si>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</si>
  <si>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</si>
  <si>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</si>
  <si>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</si>
  <si>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</si>
  <si>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</si>
  <si>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</si>
  <si>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</si>
  <si>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</si>
  <si>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</si>
  <si>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</si>
  <si>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</si>
  <si>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</si>
  <si>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</si>
  <si>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</si>
  <si>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</si>
  <si>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</si>
  <si>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</si>
  <si>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</si>
  <si>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</si>
  <si>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</si>
  <si>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</si>
  <si>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</si>
  <si>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</si>
  <si>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</si>
  <si>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</si>
  <si>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</si>
  <si>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</si>
  <si>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</si>
  <si>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</si>
  <si>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</si>
  <si>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</si>
  <si>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</si>
  <si>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</si>
  <si>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</si>
  <si>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</si>
  <si>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</si>
  <si>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</si>
  <si>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</si>
  <si>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</si>
  <si>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</si>
  <si>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</si>
  <si>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</si>
  <si>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</si>
  <si>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</si>
  <si>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</si>
  <si>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</si>
  <si>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</si>
  <si>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</si>
  <si>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</si>
  <si>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</si>
  <si>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</si>
  <si>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</si>
  <si>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</si>
  <si>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</si>
  <si>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</si>
  <si>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</si>
  <si>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</si>
  <si>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</si>
  <si>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</si>
  <si>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</si>
  <si>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</si>
  <si>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</si>
  <si>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</si>
  <si>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</si>
  <si>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</si>
  <si>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</si>
  <si>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</si>
  <si>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</si>
  <si>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</si>
  <si>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</si>
  <si>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</si>
  <si>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</si>
  <si>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</si>
  <si>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</si>
  <si>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</si>
  <si>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</si>
  <si>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</si>
  <si>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</si>
  <si>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</si>
  <si>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</si>
  <si>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</si>
  <si>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</si>
  <si>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</si>
  <si>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</si>
  <si>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</si>
  <si>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</si>
  <si>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</si>
  <si>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</si>
  <si>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</si>
  <si>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</si>
  <si>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</si>
  <si>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</si>
  <si>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</si>
  <si>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</si>
  <si>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</si>
  <si>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</si>
  <si>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</si>
  <si>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</si>
  <si>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</si>
  <si>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</si>
  <si>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</si>
  <si>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</si>
  <si>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</si>
  <si>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</si>
  <si>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</si>
  <si>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</si>
  <si>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</si>
  <si>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</si>
  <si>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</si>
  <si>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</si>
  <si>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</si>
  <si>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</si>
  <si>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</si>
  <si>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</si>
  <si>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</si>
  <si>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</si>
  <si>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</si>
  <si>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</si>
  <si>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</si>
  <si>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</si>
  <si>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</si>
  <si>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</si>
  <si>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</si>
  <si>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</si>
  <si>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</si>
  <si>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</si>
  <si>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</si>
  <si>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</si>
  <si>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</si>
  <si>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</si>
  <si>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</si>
  <si>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</si>
  <si>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</si>
  <si>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</si>
  <si>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</si>
  <si>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</si>
  <si>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</si>
  <si>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</si>
  <si>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</si>
  <si>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</si>
  <si>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</si>
  <si>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</si>
  <si>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</si>
  <si>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</si>
  <si>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</si>
  <si>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</si>
  <si>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</si>
  <si>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</si>
  <si>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</si>
  <si>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</si>
  <si>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</si>
  <si>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</si>
  <si>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</si>
  <si>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</si>
  <si>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</si>
  <si>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</si>
  <si>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</si>
  <si>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</si>
  <si>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</si>
  <si>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</si>
  <si>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</si>
  <si>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</si>
  <si>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</si>
  <si>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</si>
  <si>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</si>
  <si>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</si>
  <si>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</si>
  <si>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</si>
  <si>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</si>
  <si>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</si>
  <si>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</si>
  <si>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</si>
  <si>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</si>
  <si>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</si>
  <si>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</si>
  <si>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</si>
  <si>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</si>
  <si>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</si>
  <si>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</si>
  <si>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</si>
  <si>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</si>
  <si>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</si>
  <si>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</si>
  <si>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</si>
  <si>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</si>
  <si>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</si>
  <si>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</si>
  <si>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</si>
  <si>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</si>
  <si>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</si>
  <si>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</si>
  <si>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</si>
  <si>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</si>
  <si>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</si>
  <si>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</si>
  <si>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</si>
  <si>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</si>
  <si>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</si>
  <si>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</si>
  <si>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</si>
  <si>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</si>
  <si>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</si>
  <si>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</si>
  <si>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</si>
  <si>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</si>
  <si>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</si>
  <si>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</si>
  <si>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</si>
  <si>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</si>
  <si>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</si>
  <si>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</si>
  <si>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</si>
  <si>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</si>
  <si>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</si>
  <si>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</si>
  <si>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</si>
  <si>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</si>
  <si>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</si>
  <si>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</si>
  <si>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</si>
  <si>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</si>
  <si>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</si>
  <si>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</si>
  <si>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</si>
  <si>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</si>
  <si>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</si>
  <si>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</si>
  <si>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</si>
  <si>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</si>
  <si>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</si>
  <si>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</si>
  <si>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</si>
  <si>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</si>
  <si>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</si>
  <si>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</si>
  <si>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</si>
  <si>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</si>
  <si>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</si>
  <si>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</si>
  <si>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</si>
  <si>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</si>
  <si>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</si>
  <si>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</si>
  <si>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</si>
  <si>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</si>
  <si>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</si>
  <si>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</si>
  <si>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</si>
  <si>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</si>
  <si>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</si>
  <si>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</si>
  <si>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</si>
  <si>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</si>
  <si>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</si>
  <si>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</si>
  <si>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</si>
  <si>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</si>
  <si>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</si>
  <si>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</si>
  <si>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</si>
  <si>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</si>
  <si>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</si>
  <si>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</si>
  <si>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</si>
  <si>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</si>
  <si>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</si>
  <si>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</si>
  <si>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</si>
  <si>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</si>
  <si>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</si>
  <si>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</si>
  <si>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</si>
  <si>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</si>
  <si>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</si>
  <si>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</si>
  <si>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</si>
  <si>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</si>
  <si>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</si>
  <si>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</si>
  <si>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</si>
  <si>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</si>
  <si>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</si>
  <si>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</si>
  <si>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</si>
  <si>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</si>
  <si>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</si>
  <si>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</si>
  <si>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</si>
  <si>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</si>
  <si>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</si>
  <si>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</si>
  <si>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</si>
  <si>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</si>
  <si>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</si>
  <si>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</si>
  <si>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</si>
  <si>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</si>
  <si>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</si>
  <si>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</si>
  <si>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</si>
  <si>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</si>
  <si>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</si>
  <si>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</si>
  <si>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</si>
  <si>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</si>
  <si>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</si>
  <si>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</si>
  <si>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</si>
  <si>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</si>
  <si>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</si>
  <si>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</si>
  <si>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</si>
  <si>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</si>
  <si>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</si>
  <si>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</si>
  <si>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</si>
  <si>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</si>
  <si>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</si>
  <si>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</si>
  <si>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</si>
  <si>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</si>
  <si>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</si>
  <si>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</si>
  <si>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</si>
  <si>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</si>
  <si>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</si>
  <si>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</si>
  <si>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</si>
  <si>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</si>
  <si>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</si>
  <si>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</si>
  <si>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</si>
  <si>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</si>
  <si>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</si>
  <si>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</si>
  <si>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</si>
  <si>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</si>
  <si>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</si>
  <si>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</si>
  <si>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</si>
  <si>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</si>
  <si>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</si>
  <si>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</si>
  <si>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</si>
  <si>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</si>
  <si>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</si>
  <si>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</si>
  <si>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</si>
  <si>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</si>
  <si>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</si>
  <si>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</si>
  <si>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</si>
  <si>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</si>
  <si>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</si>
  <si>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</si>
  <si>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</si>
  <si>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</si>
  <si>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</si>
  <si>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</si>
  <si>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</si>
  <si>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</si>
  <si>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</si>
  <si>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</si>
  <si>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</si>
  <si>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</si>
  <si>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</si>
  <si>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</si>
  <si>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</si>
  <si>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</si>
  <si>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</si>
  <si>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</si>
  <si>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</si>
  <si>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</si>
  <si>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</si>
  <si>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</si>
  <si>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</si>
  <si>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</si>
  <si>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</si>
  <si>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</si>
  <si>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</si>
  <si>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</si>
  <si>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</si>
  <si>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</si>
  <si>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</si>
  <si>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</si>
  <si>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</si>
  <si>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</si>
  <si>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</si>
  <si>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</si>
  <si>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</si>
  <si>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</si>
  <si>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</si>
  <si>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</si>
  <si>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</si>
  <si>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</si>
  <si>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</si>
  <si>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</si>
  <si>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</si>
  <si>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</si>
  <si>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</si>
  <si>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</si>
  <si>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</si>
  <si>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</si>
  <si>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</si>
  <si>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</si>
  <si>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</si>
  <si>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</si>
  <si>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</si>
  <si>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</si>
  <si>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</si>
  <si>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</si>
  <si>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</si>
  <si>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</si>
  <si>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</si>
  <si>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</si>
  <si>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</si>
  <si>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</si>
  <si>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</si>
  <si>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</si>
  <si>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</si>
  <si>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</si>
  <si>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</si>
  <si>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</si>
  <si>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</si>
  <si>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</si>
  <si>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</si>
  <si>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</si>
  <si>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</si>
  <si>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</si>
  <si>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</si>
  <si>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</si>
  <si>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</si>
  <si>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</si>
  <si>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</si>
  <si>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</si>
  <si>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</si>
  <si>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</si>
  <si>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</si>
  <si>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</si>
  <si>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</si>
  <si>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</si>
  <si>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</si>
  <si>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</si>
  <si>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</si>
  <si>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</si>
  <si>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</si>
  <si>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</si>
  <si>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</si>
  <si>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</si>
  <si>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</si>
  <si>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</si>
  <si>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</si>
  <si>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</si>
  <si>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</si>
  <si>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</si>
  <si>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</si>
  <si>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</si>
  <si>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</si>
  <si>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</si>
  <si>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</si>
  <si>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</si>
  <si>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</si>
  <si>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</si>
  <si>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</si>
  <si>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</si>
  <si>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</si>
  <si>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</si>
  <si>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</si>
  <si>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</si>
  <si>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</si>
  <si>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</si>
  <si>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</si>
  <si>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</si>
  <si>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</si>
  <si>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</si>
  <si>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</si>
  <si>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</si>
  <si>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</si>
  <si>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</si>
  <si>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</si>
  <si>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</si>
  <si>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</si>
  <si>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</si>
  <si>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</si>
  <si>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</si>
  <si>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</si>
  <si>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</si>
  <si>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</si>
  <si>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</si>
  <si>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</si>
  <si>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</si>
  <si>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</si>
  <si>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</si>
  <si>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</si>
  <si>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</si>
  <si>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</si>
  <si>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</si>
  <si>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</si>
  <si>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</si>
  <si>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</si>
  <si>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</si>
  <si>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</si>
  <si>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</si>
  <si>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</si>
  <si>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</si>
  <si>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</si>
  <si>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</si>
  <si>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</si>
  <si>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</si>
  <si>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</si>
  <si>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</si>
  <si>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</si>
  <si>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</si>
  <si>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</si>
  <si>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</si>
  <si>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</si>
  <si>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</si>
  <si>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</si>
  <si>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</si>
  <si>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</si>
  <si>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</si>
  <si>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</si>
  <si>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</si>
  <si>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</si>
  <si>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</si>
  <si>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</si>
  <si>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</si>
  <si>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</si>
  <si>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</si>
  <si>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</si>
  <si>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</si>
  <si>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</si>
  <si>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</si>
  <si>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</si>
  <si>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</si>
  <si>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</si>
  <si>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</si>
  <si>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</si>
  <si>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</si>
  <si>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</si>
  <si>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</si>
  <si>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</si>
  <si>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</si>
  <si>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</si>
  <si>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</si>
  <si>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</si>
  <si>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</si>
  <si>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</si>
  <si>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</si>
  <si>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</si>
  <si>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</si>
  <si>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</si>
  <si>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</si>
  <si>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</si>
  <si>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</si>
  <si>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</si>
  <si>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</si>
  <si>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</si>
  <si>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</si>
  <si>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</si>
  <si>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</si>
  <si>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</si>
  <si>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</si>
  <si>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</si>
  <si>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</si>
  <si>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</si>
  <si>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</si>
  <si>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</si>
  <si>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</si>
  <si>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</si>
  <si>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</si>
  <si>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</si>
  <si>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</si>
  <si>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</si>
  <si>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</si>
  <si>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</si>
  <si>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</si>
  <si>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</si>
  <si>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</si>
  <si>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</si>
  <si>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</si>
  <si>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</si>
  <si>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</si>
  <si>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</si>
  <si>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</si>
  <si>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</si>
  <si>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</si>
  <si>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</si>
  <si>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</si>
  <si>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</si>
  <si>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</si>
  <si>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</si>
  <si>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</si>
  <si>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</si>
  <si>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</si>
  <si>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</si>
  <si>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</si>
  <si>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</si>
  <si>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</si>
  <si>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</si>
  <si>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</si>
  <si>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</si>
  <si>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</si>
  <si>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</si>
  <si>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</si>
  <si>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</si>
  <si>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</si>
  <si>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</si>
  <si>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</si>
  <si>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</si>
  <si>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</si>
  <si>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</si>
  <si>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</si>
  <si>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</si>
  <si>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</si>
  <si>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</si>
  <si>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</si>
  <si>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</si>
  <si>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</si>
  <si>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</si>
  <si>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</si>
  <si>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</si>
  <si>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</si>
  <si>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</si>
  <si>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</si>
  <si>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</si>
  <si>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</si>
  <si>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</si>
  <si>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</si>
  <si>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</si>
  <si>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</si>
  <si>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</si>
  <si>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</si>
  <si>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</si>
  <si>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</si>
  <si>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</si>
  <si>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</si>
  <si>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</si>
  <si>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</si>
  <si>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</si>
  <si>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</si>
  <si>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</si>
  <si>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</si>
  <si>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</si>
  <si>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</si>
  <si>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</si>
  <si>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</si>
  <si>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</si>
  <si>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</si>
  <si>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</si>
  <si>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</si>
  <si>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</si>
  <si>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</si>
  <si>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</si>
  <si>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</si>
  <si>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</si>
  <si>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</si>
  <si>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</si>
  <si>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</si>
  <si>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</si>
  <si>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</si>
  <si>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</si>
  <si>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</si>
  <si>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</si>
  <si>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</si>
  <si>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</si>
  <si>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</si>
  <si>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</si>
  <si>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</si>
  <si>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</si>
  <si>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</si>
  <si>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</si>
  <si>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</si>
  <si>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</si>
  <si>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</si>
  <si>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</si>
  <si>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</si>
  <si>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</si>
  <si>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</si>
  <si>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</si>
  <si>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</si>
  <si>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</si>
  <si>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</si>
  <si>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</si>
  <si>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</si>
  <si>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</si>
  <si>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</si>
  <si>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</si>
  <si>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</si>
  <si>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</si>
  <si>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</si>
  <si>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</si>
  <si>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</si>
  <si>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</si>
  <si>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</si>
  <si>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</si>
  <si>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</si>
  <si>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</si>
  <si>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</si>
  <si>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</si>
  <si>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</si>
  <si>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</si>
  <si>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</si>
  <si>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</si>
  <si>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</si>
  <si>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</si>
  <si>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</si>
  <si>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</si>
  <si>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</si>
  <si>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</si>
  <si>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</si>
  <si>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</si>
  <si>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</si>
  <si>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</si>
  <si>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</si>
  <si>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</si>
  <si>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</si>
  <si>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</si>
  <si>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</si>
  <si>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</si>
  <si>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</si>
  <si>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</si>
  <si>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</si>
  <si>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</si>
  <si>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</si>
  <si>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</si>
  <si>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</si>
  <si>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</si>
  <si>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</si>
  <si>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</si>
  <si>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</si>
  <si>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</si>
  <si>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</si>
  <si>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</si>
  <si>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</si>
  <si>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</si>
  <si>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</si>
  <si>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</si>
  <si>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</si>
  <si>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</si>
  <si>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</si>
  <si>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</si>
  <si>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</si>
  <si>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</si>
  <si>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</si>
  <si>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</si>
  <si>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</si>
  <si>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</si>
  <si>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</si>
  <si>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</si>
  <si>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</si>
  <si>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</si>
  <si>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</si>
  <si>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</si>
  <si>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</si>
  <si>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</si>
  <si>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</si>
  <si>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</si>
  <si>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</si>
  <si>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</si>
  <si>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</si>
  <si>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</si>
  <si>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</si>
  <si>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</si>
  <si>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</si>
  <si>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</si>
  <si>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</si>
  <si>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</si>
  <si>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</si>
  <si>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</si>
  <si>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</si>
  <si>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</si>
  <si>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</si>
  <si>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</si>
  <si>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</si>
  <si>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</si>
  <si>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</si>
  <si>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</si>
  <si>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</si>
  <si>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</si>
  <si>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</si>
  <si>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</si>
  <si>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</si>
  <si>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</si>
  <si>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</si>
  <si>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</si>
  <si>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</si>
  <si>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</si>
  <si>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</si>
  <si>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</si>
  <si>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</si>
  <si>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</si>
  <si>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</si>
  <si>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</si>
  <si>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</si>
  <si>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</si>
  <si>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</si>
  <si>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</si>
  <si>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</si>
  <si>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</si>
  <si>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</si>
  <si>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</si>
  <si>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</si>
  <si>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</si>
  <si>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</si>
  <si>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</si>
  <si>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</si>
  <si>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</si>
  <si>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</si>
  <si>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</si>
  <si>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</si>
  <si>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</si>
  <si>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</si>
  <si>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</si>
  <si>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</si>
  <si>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</si>
  <si>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</si>
  <si>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</si>
  <si>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</si>
  <si>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</si>
  <si>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</si>
  <si>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</si>
  <si>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</si>
  <si>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</si>
  <si>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</si>
  <si>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</si>
  <si>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</si>
  <si>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</si>
  <si>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</si>
  <si>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</si>
  <si>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</si>
  <si>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</si>
  <si>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</si>
  <si>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</si>
  <si>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</si>
  <si>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</si>
  <si>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</si>
  <si>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</si>
  <si>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</si>
  <si>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</si>
  <si>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</si>
  <si>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</si>
  <si>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</si>
  <si>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</si>
  <si>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</si>
  <si>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</si>
  <si>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</si>
  <si>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</si>
  <si>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</si>
  <si>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</si>
  <si>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</si>
  <si>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</si>
  <si>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</si>
  <si>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</si>
  <si>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</si>
  <si>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</si>
  <si>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</si>
  <si>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</si>
  <si>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</si>
  <si>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</si>
  <si>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</si>
  <si>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</si>
  <si>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</si>
  <si>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</si>
  <si>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</si>
  <si>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</si>
  <si>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</si>
  <si>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</si>
  <si>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</si>
  <si>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</si>
  <si>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</si>
  <si>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</si>
  <si>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</si>
  <si>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</si>
  <si>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</si>
  <si>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</si>
  <si>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</si>
  <si>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</si>
  <si>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</si>
  <si>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</si>
  <si>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</si>
  <si>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</si>
  <si>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</si>
  <si>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</si>
  <si>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</si>
  <si>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</si>
  <si>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</si>
  <si>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</si>
  <si>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</si>
  <si>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</si>
  <si>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</si>
  <si>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</si>
  <si>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</si>
  <si>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</si>
  <si>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</si>
  <si>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</si>
  <si>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</si>
  <si>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</si>
  <si>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</si>
  <si>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</si>
  <si>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</si>
  <si>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</si>
  <si>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</si>
  <si>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</si>
  <si>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</si>
  <si>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</si>
  <si>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</si>
  <si>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</si>
  <si>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</si>
  <si>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</si>
  <si>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</si>
  <si>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</si>
  <si>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</si>
  <si>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</si>
  <si>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</si>
  <si>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</si>
  <si>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</si>
  <si>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</si>
  <si>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</si>
  <si>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</si>
  <si>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</si>
  <si>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</si>
  <si>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</si>
  <si>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</si>
  <si>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</si>
  <si>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</si>
  <si>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</si>
  <si>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</si>
  <si>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</si>
  <si>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</si>
  <si>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</si>
  <si>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</si>
  <si>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</si>
  <si>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</si>
  <si>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</si>
  <si>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</si>
  <si>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</si>
  <si>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</si>
  <si>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</si>
  <si>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</si>
  <si>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</si>
  <si>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</si>
  <si>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</si>
  <si>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</si>
  <si>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</si>
  <si>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</si>
  <si>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</si>
  <si>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</si>
  <si>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</si>
  <si>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</si>
  <si>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</si>
  <si>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</si>
  <si>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</si>
  <si>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</si>
  <si>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</si>
  <si>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</si>
  <si>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</si>
  <si>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</si>
  <si>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</si>
  <si>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</si>
  <si>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</si>
  <si>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</si>
  <si>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</si>
  <si>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</si>
  <si>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</si>
  <si>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</si>
  <si>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</si>
  <si>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</si>
  <si>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</si>
  <si>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</si>
  <si>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</si>
  <si>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</si>
  <si>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</si>
  <si>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</si>
  <si>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</si>
  <si>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</si>
  <si>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</si>
  <si>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</si>
  <si>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</si>
  <si>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</si>
  <si>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</si>
  <si>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</si>
  <si>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</si>
  <si>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</si>
  <si>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</si>
  <si>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</si>
  <si>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</si>
  <si>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</si>
  <si>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</si>
  <si>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</si>
  <si>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</si>
  <si>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</si>
  <si>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</si>
  <si>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</si>
  <si>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</si>
  <si>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</si>
  <si>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</si>
  <si>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</si>
  <si>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</si>
  <si>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</si>
  <si>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</si>
  <si>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</si>
  <si>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</si>
  <si>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</si>
  <si>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</si>
  <si>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</si>
  <si>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</si>
  <si>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</si>
  <si>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</si>
  <si>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</si>
  <si>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</si>
  <si>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</si>
  <si>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</si>
  <si>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</si>
  <si>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</si>
  <si>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</si>
  <si>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</si>
  <si>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</si>
  <si>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</si>
  <si>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</si>
  <si>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</si>
  <si>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</si>
  <si>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</si>
  <si>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</si>
  <si>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</si>
  <si>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</si>
  <si>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</si>
  <si>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</si>
  <si>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</si>
  <si>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</si>
  <si>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</si>
  <si>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</si>
  <si>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</si>
  <si>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</si>
  <si>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</si>
  <si>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</si>
  <si>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</si>
  <si>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</si>
  <si>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</si>
  <si>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</si>
  <si>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</si>
  <si>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</si>
  <si>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</si>
  <si>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</si>
  <si>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</si>
  <si>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</si>
  <si>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</si>
  <si>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</si>
  <si>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</si>
  <si>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</si>
  <si>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</si>
  <si>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</si>
  <si>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</si>
  <si>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</si>
  <si>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</si>
  <si>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</si>
  <si>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</si>
  <si>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</si>
  <si>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</si>
  <si>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</si>
  <si>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</si>
  <si>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</si>
  <si>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</si>
  <si>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</si>
  <si>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</si>
  <si>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</si>
  <si>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</si>
  <si>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</si>
  <si>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</si>
  <si>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</si>
  <si>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</si>
  <si>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</si>
  <si>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</si>
  <si>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</si>
  <si>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</si>
  <si>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</si>
  <si>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</si>
  <si>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</si>
  <si>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</si>
  <si>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</si>
  <si>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</si>
  <si>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</si>
  <si>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</si>
  <si>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</si>
  <si>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</si>
  <si>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</si>
  <si>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</si>
  <si>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</si>
  <si>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</si>
  <si>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</si>
  <si>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</si>
  <si>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</si>
  <si>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</si>
  <si>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</si>
  <si>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</si>
  <si>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</si>
  <si>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</si>
  <si>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</si>
  <si>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</si>
  <si>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</si>
  <si>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</si>
  <si>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</si>
  <si>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</si>
  <si>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</si>
  <si>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</si>
  <si>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</si>
  <si>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</si>
  <si>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</si>
  <si>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</si>
  <si>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</si>
  <si>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</si>
  <si>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</si>
  <si>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</si>
  <si>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</si>
  <si>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</si>
  <si>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</si>
  <si>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</si>
  <si>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</si>
  <si>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</si>
  <si>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</si>
  <si>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</si>
  <si>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</si>
  <si>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</si>
  <si>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</si>
  <si>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</si>
  <si>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</si>
  <si>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</si>
  <si>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</si>
  <si>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</si>
  <si>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</si>
  <si>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</si>
  <si>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</si>
  <si>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</si>
  <si>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</si>
  <si>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</si>
  <si>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</si>
  <si>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</si>
  <si>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</si>
  <si>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</si>
  <si>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</si>
  <si>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</si>
  <si>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</si>
  <si>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</si>
  <si>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</si>
  <si>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</si>
  <si>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</si>
  <si>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</si>
  <si>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</si>
  <si>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</si>
  <si>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</si>
  <si>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</si>
  <si>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</si>
  <si>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</si>
  <si>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</si>
  <si>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</si>
  <si>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</si>
  <si>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</si>
  <si>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</si>
  <si>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</si>
  <si>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</si>
  <si>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</si>
  <si>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</si>
  <si>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</si>
  <si>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</si>
  <si>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</si>
  <si>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</si>
  <si>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</si>
  <si>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</si>
  <si>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</si>
  <si>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</si>
  <si>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</si>
  <si>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</si>
  <si>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</si>
  <si>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</si>
  <si>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</si>
  <si>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</si>
  <si>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</si>
  <si>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</si>
  <si>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</si>
  <si>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</si>
  <si>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</si>
  <si>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</si>
  <si>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</si>
  <si>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</si>
  <si>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</si>
  <si>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</si>
  <si>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</si>
  <si>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</si>
  <si>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</si>
  <si>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</si>
  <si>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</si>
  <si>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</si>
  <si>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</si>
  <si>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</si>
  <si>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</si>
  <si>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</si>
  <si>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</si>
  <si>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</si>
  <si>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</si>
  <si>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</si>
  <si>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</si>
  <si>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</si>
  <si>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</si>
  <si>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</si>
  <si>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</si>
  <si>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</si>
  <si>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</si>
  <si>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</si>
  <si>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</si>
  <si>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</si>
  <si>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</si>
  <si>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</si>
  <si>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</si>
  <si>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</si>
  <si>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</si>
  <si>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</si>
  <si>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</si>
  <si>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</si>
  <si>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</si>
  <si>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</si>
  <si>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</si>
  <si>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</si>
  <si>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</si>
  <si>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</si>
  <si>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</si>
  <si>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</si>
  <si>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</si>
  <si>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</si>
  <si>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</si>
  <si>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</si>
  <si>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</si>
  <si>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</si>
  <si>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</si>
  <si>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</si>
  <si>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</si>
  <si>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</si>
  <si>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</si>
  <si>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</si>
  <si>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</si>
  <si>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</si>
  <si>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</si>
  <si>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</si>
  <si>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</si>
  <si>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</si>
  <si>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</si>
  <si>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</si>
  <si>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</si>
  <si>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</si>
  <si>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</si>
  <si>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</si>
  <si>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</si>
  <si>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</si>
  <si>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</si>
  <si>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</si>
  <si>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</si>
  <si>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</si>
  <si>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</si>
  <si>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</si>
  <si>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</si>
  <si>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</si>
  <si>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</si>
  <si>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</si>
  <si>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</si>
  <si>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</si>
  <si>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</si>
  <si>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</si>
  <si>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</si>
  <si>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</si>
  <si>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</si>
  <si>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</si>
  <si>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</si>
  <si>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</si>
  <si>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</si>
  <si>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</si>
  <si>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</si>
  <si>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</si>
  <si>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</si>
  <si>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</si>
  <si>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</si>
  <si>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</si>
  <si>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</si>
  <si>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</si>
  <si>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</si>
  <si>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</si>
  <si>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</si>
  <si>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</si>
  <si>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</si>
  <si>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</si>
  <si>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</si>
  <si>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</si>
  <si>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</si>
  <si>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</si>
  <si>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</si>
  <si>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</si>
  <si>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</si>
  <si>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</si>
  <si>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</si>
  <si>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</si>
  <si>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</si>
  <si>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</si>
  <si>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</si>
  <si>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</si>
  <si>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</si>
  <si>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</si>
  <si>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</si>
  <si>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</si>
  <si>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</si>
  <si>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</si>
  <si>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</si>
  <si>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</si>
  <si>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</si>
  <si>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</si>
  <si>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</si>
  <si>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</si>
  <si>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</si>
  <si>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</si>
  <si>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</si>
  <si>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</si>
  <si>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</si>
  <si>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</si>
  <si>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</si>
  <si>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</si>
  <si>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</si>
  <si>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</si>
  <si>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</si>
  <si>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</si>
  <si>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</si>
  <si>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</si>
  <si>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</si>
  <si>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</si>
  <si>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</si>
  <si>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</si>
  <si>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</si>
  <si>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</si>
  <si>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</si>
  <si>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</si>
  <si>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</si>
  <si>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</si>
  <si>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</si>
  <si>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</si>
  <si>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</si>
  <si>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</si>
  <si>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</si>
  <si>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</si>
  <si>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</si>
  <si>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</si>
  <si>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</si>
  <si>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</si>
  <si>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</si>
  <si>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</si>
  <si>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</si>
  <si>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</si>
  <si>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</si>
  <si>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</si>
  <si>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</si>
  <si>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</si>
  <si>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</si>
  <si>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</si>
  <si>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</si>
  <si>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</si>
  <si>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</si>
  <si>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</si>
  <si>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</si>
  <si>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</si>
  <si>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</si>
  <si>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</si>
  <si>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</si>
  <si>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</si>
  <si>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</si>
  <si>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</si>
  <si>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</si>
  <si>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</si>
  <si>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</si>
  <si>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</si>
  <si>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</si>
  <si>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</si>
  <si>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</si>
  <si>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</si>
  <si>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</si>
  <si>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</si>
  <si>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</si>
  <si>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</si>
  <si>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</si>
  <si>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</si>
  <si>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</si>
  <si>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</si>
  <si>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</si>
  <si>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</si>
  <si>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</si>
  <si>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</si>
  <si>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</si>
  <si>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</si>
  <si>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</si>
  <si>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</si>
  <si>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</si>
  <si>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</si>
  <si>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</si>
  <si>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</si>
  <si>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</si>
  <si>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</si>
  <si>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</si>
  <si>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</si>
  <si>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</si>
  <si>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</si>
  <si>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</si>
  <si>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</si>
  <si>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</si>
  <si>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</si>
  <si>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</si>
  <si>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</si>
  <si>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</si>
  <si>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</si>
  <si>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</si>
  <si>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</si>
  <si>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</si>
  <si>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</si>
  <si>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</si>
  <si>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</si>
  <si>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</si>
  <si>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</si>
  <si>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</si>
  <si>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</si>
  <si>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</si>
  <si>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</si>
  <si>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</si>
  <si>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</si>
  <si>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</si>
  <si>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</si>
  <si>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</si>
  <si>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</si>
  <si>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</si>
  <si>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</si>
  <si>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</si>
  <si>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</si>
  <si>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</si>
  <si>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</si>
  <si>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</si>
  <si>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</si>
  <si>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</si>
  <si>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</si>
  <si>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</si>
  <si>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</si>
  <si>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</si>
  <si>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</si>
  <si>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</si>
  <si>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</si>
  <si>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</si>
  <si>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</si>
  <si>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</si>
  <si>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</si>
  <si>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</si>
  <si>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</si>
  <si>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</si>
  <si>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</si>
  <si>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</si>
  <si>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</si>
  <si>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</si>
  <si>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</si>
  <si>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</si>
  <si>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</si>
  <si>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</si>
  <si>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</si>
  <si>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</si>
  <si>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</si>
  <si>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</si>
  <si>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</si>
  <si>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</si>
  <si>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</si>
  <si>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</si>
  <si>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</si>
  <si>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</si>
  <si>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</si>
  <si>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</si>
  <si>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</si>
  <si>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</si>
  <si>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</si>
  <si>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</si>
  <si>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</si>
  <si>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</si>
  <si>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</si>
  <si>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</si>
  <si>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</si>
  <si>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</si>
  <si>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</si>
  <si>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</si>
  <si>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</si>
  <si>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</si>
  <si>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</si>
  <si>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 xml:space="preserve"> =(((A1/60)/60)/24)+DATE(1970,1,1)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</si>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</sst>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C20-BE60-5A7E7924AD82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C20-BE60-5A7E7924AD82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C20-BE60-5A7E7924AD82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C20-BE60-5A7E792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066384"/>
        <c:axId val="1743956384"/>
      </c:barChart>
      <c:catAx>
        <c:axId val="17430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6384"/>
        <c:crosses val="autoZero"/>
        <c:auto val="1"/>
        <c:lblAlgn val="ctr"/>
        <c:lblOffset val="100"/>
        <c:noMultiLvlLbl val="0"/>
      </c:catAx>
      <c:valAx>
        <c:axId val="1743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1</xdr:row>
      <xdr:rowOff>190500</xdr:rowOff>
    </xdr:from>
    <xdr:to>
      <xdr:col>16</xdr:col>
      <xdr:colOff>276224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8DF2-B2EC-8B49-B4AF-D4E307E7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A70C-146A-4847-AD38-EAE27943C2CC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workbookViewId="0">
      <selection activeCell="I30" sqref="I30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5" t="s">
        <v>2038</v>
      </c>
      <c r="E8">
        <v>4</v>
      </c>
      <c r="F8">
        <v>4</v>
      </c>
    </row>
    <row r="9" spans="1:6" x14ac:dyDescent="0.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45F-F9FE-4DDD-8011-F2143266C2F6}">
  <dimension ref="A1:F30"/>
  <sheetViews>
    <sheetView workbookViewId="0">
      <selection activeCell="D20" sqref="D20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4" t="s">
        <v>6</v>
      </c>
      <c r="B1" t="s">
        <v>2045</v>
      </c>
    </row>
    <row r="2" spans="1:6" x14ac:dyDescent="0.5">
      <c r="A2" s="4" t="s">
        <v>2031</v>
      </c>
      <c r="B2" t="s">
        <v>2045</v>
      </c>
    </row>
    <row r="4" spans="1:6" x14ac:dyDescent="0.5">
      <c r="A4" s="4" t="s">
        <v>2044</v>
      </c>
      <c r="B4" s="4" t="s">
        <v>2046</v>
      </c>
    </row>
    <row r="5" spans="1:6" x14ac:dyDescent="0.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5" t="s">
        <v>2048</v>
      </c>
      <c r="E7">
        <v>4</v>
      </c>
      <c r="F7">
        <v>4</v>
      </c>
    </row>
    <row r="8" spans="1:6" x14ac:dyDescent="0.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5" t="s">
        <v>2051</v>
      </c>
      <c r="C10">
        <v>8</v>
      </c>
      <c r="E10">
        <v>10</v>
      </c>
      <c r="F10">
        <v>18</v>
      </c>
    </row>
    <row r="11" spans="1:6" x14ac:dyDescent="0.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5" t="s">
        <v>2056</v>
      </c>
      <c r="C15">
        <v>3</v>
      </c>
      <c r="E15">
        <v>4</v>
      </c>
      <c r="F15">
        <v>7</v>
      </c>
    </row>
    <row r="16" spans="1:6" x14ac:dyDescent="0.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5" t="s">
        <v>2061</v>
      </c>
      <c r="C20">
        <v>4</v>
      </c>
      <c r="E20">
        <v>4</v>
      </c>
      <c r="F20">
        <v>8</v>
      </c>
    </row>
    <row r="21" spans="1:6" x14ac:dyDescent="0.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5" t="s">
        <v>2063</v>
      </c>
      <c r="C22">
        <v>9</v>
      </c>
      <c r="E22">
        <v>5</v>
      </c>
      <c r="F22">
        <v>14</v>
      </c>
    </row>
    <row r="23" spans="1:6" x14ac:dyDescent="0.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5" t="s">
        <v>2066</v>
      </c>
      <c r="C25">
        <v>7</v>
      </c>
      <c r="E25">
        <v>14</v>
      </c>
      <c r="F25">
        <v>21</v>
      </c>
    </row>
    <row r="26" spans="1:6" x14ac:dyDescent="0.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5" t="s">
        <v>2070</v>
      </c>
      <c r="E29">
        <v>3</v>
      </c>
      <c r="F29">
        <v>3</v>
      </c>
    </row>
    <row r="30" spans="1:6" x14ac:dyDescent="0.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55" zoomScaleNormal="55" workbookViewId="0">
      <selection activeCell="D1" sqref="D1:D1048576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4" max="14" width="29.5625" customWidth="1"/>
    <col min="15" max="15" width="27.4375" customWidth="1"/>
    <col min="18" max="18" width="28" bestFit="1" customWidth="1"/>
    <col min="19" max="19" width="15.125" customWidth="1"/>
    <col min="20" max="20" width="17.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(((L2/60)/60/24)+DATE(1970,1,1))</f>
        <v>42336.25</v>
      </c>
      <c r="O2" s="6">
        <f>((((M2/60)/60)/24)+DATE(1970,1,1))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RIGHT(R2, LEN(R2)-FIND("/", 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(((L3/60)/60/24)+DATE(1970,1,1))</f>
        <v>41870.208333333336</v>
      </c>
      <c r="O3" s="6">
        <f t="shared" ref="O3:O66" si="3">((((M3/60)/60)/24)+DATE(1970,1,1))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>RIGHT(R3, LEN(R3)-FIND("/", 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ref="T4:T67" si="5">RIGHT(R4, LEN(R4)-FIND("/", R4))</f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 0)</f>
        <v>236</v>
      </c>
      <c r="G67" t="s">
        <v>20</v>
      </c>
      <c r="H67">
        <v>236</v>
      </c>
      <c r="I67">
        <f t="shared" ref="I67:I130" si="7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(((L67/60)/60/24)+DATE(1970,1,1))</f>
        <v>40570.25</v>
      </c>
      <c r="O67" s="6">
        <f t="shared" ref="O67:O130" si="9">((((M67/60)/60)/24)+DATE(1970,1,1))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si="5"/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ref="T68:T131" si="11">RIGHT(R68, LEN(R68)-FIND("/", R68))</f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 0)</f>
        <v>3</v>
      </c>
      <c r="G131" t="s">
        <v>74</v>
      </c>
      <c r="H131">
        <v>55</v>
      </c>
      <c r="I131">
        <f t="shared" ref="I131:I194" si="13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(((L131/60)/60/24)+DATE(1970,1,1))</f>
        <v>42038.25</v>
      </c>
      <c r="O131" s="6">
        <f t="shared" ref="O131:O194" si="15">((((M131/60)/60)/24)+DATE(1970,1,1))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si="11"/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ref="T132:T195" si="17">RIGHT(R132, LEN(R132)-FIND("/", R132))</f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 0)</f>
        <v>46</v>
      </c>
      <c r="G195" t="s">
        <v>14</v>
      </c>
      <c r="H195">
        <v>65</v>
      </c>
      <c r="I195">
        <f t="shared" ref="I195:I258" si="19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(((L195/60)/60/24)+DATE(1970,1,1))</f>
        <v>43198.208333333328</v>
      </c>
      <c r="O195" s="6">
        <f t="shared" ref="O195:O258" si="21">((((M195/60)/60)/24)+DATE(1970,1,1))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si="17"/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ref="T196:T259" si="23">RIGHT(R196, LEN(R196)-FIND("/", R196))</f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 0)</f>
        <v>146</v>
      </c>
      <c r="G259" t="s">
        <v>20</v>
      </c>
      <c r="H259">
        <v>92</v>
      </c>
      <c r="I259">
        <f t="shared" ref="I259:I322" si="25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(((L259/60)/60/24)+DATE(1970,1,1))</f>
        <v>41338.25</v>
      </c>
      <c r="O259" s="6">
        <f t="shared" ref="O259:O322" si="27">((((M259/60)/60)/24)+DATE(1970,1,1))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si="23"/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ref="T260:T323" si="29">RIGHT(R260, LEN(R260)-FIND("/", R260))</f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 0)</f>
        <v>94</v>
      </c>
      <c r="G323" t="s">
        <v>14</v>
      </c>
      <c r="H323">
        <v>2468</v>
      </c>
      <c r="I323">
        <f t="shared" ref="I323:I386" si="3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(((L323/60)/60/24)+DATE(1970,1,1))</f>
        <v>40634.208333333336</v>
      </c>
      <c r="O323" s="6">
        <f t="shared" ref="O323:O386" si="33">((((M323/60)/60)/24)+DATE(1970,1,1))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si="29"/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ref="T324:T387" si="35">RIGHT(R324, LEN(R324)-FIND("/", R324))</f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 0)</f>
        <v>146</v>
      </c>
      <c r="G387" t="s">
        <v>20</v>
      </c>
      <c r="H387">
        <v>1137</v>
      </c>
      <c r="I387">
        <f t="shared" ref="I387:I450" si="37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(((L387/60)/60/24)+DATE(1970,1,1))</f>
        <v>43553.208333333328</v>
      </c>
      <c r="O387" s="6">
        <f t="shared" ref="O387:O450" si="39">((((M387/60)/60)/24)+DATE(1970,1,1))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si="35"/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ref="T388:T451" si="41">RIGHT(R388, LEN(R388)-FIND("/", R388))</f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 0)</f>
        <v>967</v>
      </c>
      <c r="G451" t="s">
        <v>20</v>
      </c>
      <c r="H451">
        <v>86</v>
      </c>
      <c r="I451">
        <f t="shared" ref="I451:I514" si="43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(((L451/60)/60/24)+DATE(1970,1,1))</f>
        <v>43530.25</v>
      </c>
      <c r="O451" s="6">
        <f t="shared" ref="O451:O514" si="45">((((M451/60)/60)/24)+DATE(1970,1,1))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si="41"/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ref="T452:T515" si="47">RIGHT(R452, LEN(R452)-FIND("/", R452))</f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 0)</f>
        <v>39</v>
      </c>
      <c r="G515" t="s">
        <v>74</v>
      </c>
      <c r="H515">
        <v>35</v>
      </c>
      <c r="I515">
        <f t="shared" ref="I515:I578" si="49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(((L515/60)/60/24)+DATE(1970,1,1))</f>
        <v>40430.208333333336</v>
      </c>
      <c r="O515" s="6">
        <f t="shared" ref="O515:O578" si="51">((((M515/60)/60)/24)+DATE(1970,1,1))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si="47"/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ref="T516:T579" si="53">RIGHT(R516, LEN(R516)-FIND("/", R516))</f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 0)</f>
        <v>19</v>
      </c>
      <c r="G579" t="s">
        <v>74</v>
      </c>
      <c r="H579">
        <v>37</v>
      </c>
      <c r="I579">
        <f t="shared" ref="I579:I642" si="55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(((L579/60)/60/24)+DATE(1970,1,1))</f>
        <v>40613.25</v>
      </c>
      <c r="O579" s="6">
        <f t="shared" ref="O579:O642" si="57">((((M579/60)/60)/24)+DATE(1970,1,1))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si="53"/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ref="T580:T643" si="59">RIGHT(R580, LEN(R580)-FIND("/", R580))</f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 0)</f>
        <v>120</v>
      </c>
      <c r="G643" t="s">
        <v>20</v>
      </c>
      <c r="H643">
        <v>194</v>
      </c>
      <c r="I643">
        <f t="shared" ref="I643:I706" si="6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(((L643/60)/60/24)+DATE(1970,1,1))</f>
        <v>42786.25</v>
      </c>
      <c r="O643" s="6">
        <f t="shared" ref="O643:O706" si="63">((((M643/60)/60)/24)+DATE(1970,1,1))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si="59"/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ref="T644:T707" si="65">RIGHT(R644, LEN(R644)-FIND("/", R644))</f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 0)</f>
        <v>99</v>
      </c>
      <c r="G707" t="s">
        <v>14</v>
      </c>
      <c r="H707">
        <v>2025</v>
      </c>
      <c r="I707">
        <f t="shared" ref="I707:I770" si="67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(((L707/60)/60/24)+DATE(1970,1,1))</f>
        <v>41619.25</v>
      </c>
      <c r="O707" s="6">
        <f t="shared" ref="O707:O770" si="69">((((M707/60)/60)/24)+DATE(1970,1,1))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si="65"/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ref="T708:T771" si="71">RIGHT(R708, LEN(R708)-FIND("/", R708))</f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 0)</f>
        <v>87</v>
      </c>
      <c r="G771" t="s">
        <v>14</v>
      </c>
      <c r="H771">
        <v>3410</v>
      </c>
      <c r="I771">
        <f t="shared" ref="I771:I834" si="73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(((L771/60)/60/24)+DATE(1970,1,1))</f>
        <v>41501.208333333336</v>
      </c>
      <c r="O771" s="6">
        <f t="shared" ref="O771:O834" si="75">((((M771/60)/60)/24)+DATE(1970,1,1))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si="71"/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ref="T772:T835" si="77">RIGHT(R772, LEN(R772)-FIND("/", R772))</f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 0)</f>
        <v>158</v>
      </c>
      <c r="G835" t="s">
        <v>20</v>
      </c>
      <c r="H835">
        <v>165</v>
      </c>
      <c r="I835">
        <f t="shared" ref="I835:I898" si="79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(((L835/60)/60/24)+DATE(1970,1,1))</f>
        <v>40588.25</v>
      </c>
      <c r="O835" s="6">
        <f t="shared" ref="O835:O898" si="81">((((M835/60)/60)/24)+DATE(1970,1,1))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si="77"/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ref="T836:T899" si="83">RIGHT(R836, LEN(R836)-FIND("/", R836))</f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 0)</f>
        <v>28</v>
      </c>
      <c r="G899" t="s">
        <v>14</v>
      </c>
      <c r="H899">
        <v>27</v>
      </c>
      <c r="I899">
        <f t="shared" ref="I899:I962" si="85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(((L899/60)/60/24)+DATE(1970,1,1))</f>
        <v>43583.208333333328</v>
      </c>
      <c r="O899" s="6">
        <f t="shared" ref="O899:O962" si="87">((((M899/60)/60)/24)+DATE(1970,1,1))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si="83"/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ref="T900:T963" si="89">RIGHT(R900, LEN(R900)-FIND("/", R900))</f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 t="s">
        <v>2073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 0)</f>
        <v>119</v>
      </c>
      <c r="G963" t="s">
        <v>20</v>
      </c>
      <c r="H963">
        <v>155</v>
      </c>
      <c r="I963">
        <f t="shared" ref="I963:I1001" si="9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(((L963/60)/60/24)+DATE(1970,1,1))</f>
        <v>40591.25</v>
      </c>
      <c r="O963" s="6">
        <f t="shared" ref="O963:O1001" si="93">((((M963/60)/60)/24)+DATE(1970,1,1))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si="89"/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ref="T964:T1001" si="95">RIGHT(R964, LEN(R964)-FIND("/", R964))</f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40EC-A447-4BD0-AF05-238C04E6B63F}">
  <dimension ref="A1:H14"/>
  <sheetViews>
    <sheetView tabSelected="1" workbookViewId="0">
      <selection activeCell="E14" sqref="E14"/>
    </sheetView>
  </sheetViews>
  <sheetFormatPr defaultRowHeight="15.75" x14ac:dyDescent="0.5"/>
  <cols>
    <col min="1" max="1" width="32" customWidth="1"/>
    <col min="2" max="2" width="18.375" customWidth="1"/>
    <col min="3" max="3" width="20" customWidth="1"/>
    <col min="4" max="4" width="21.625" customWidth="1"/>
    <col min="5" max="5" width="15.625" customWidth="1"/>
    <col min="6" max="6" width="25.25" customWidth="1"/>
    <col min="7" max="7" width="18" customWidth="1"/>
    <col min="8" max="8" width="22" customWidth="1"/>
  </cols>
  <sheetData>
    <row r="1" spans="1:8" s="1" customFormat="1" x14ac:dyDescent="0.5">
      <c r="A1" s="1" t="s">
        <v>2074</v>
      </c>
      <c r="B1" s="1" t="s">
        <v>2075</v>
      </c>
      <c r="C1" s="1" t="s">
        <v>2076</v>
      </c>
      <c r="D1" s="1" t="s">
        <v>2077</v>
      </c>
      <c r="E1" s="1" t="s">
        <v>2078</v>
      </c>
      <c r="F1" s="1" t="s">
        <v>2079</v>
      </c>
      <c r="G1" s="1" t="s">
        <v>2080</v>
      </c>
      <c r="H1" s="1" t="s">
        <v>2081</v>
      </c>
    </row>
    <row r="2" spans="1:8" x14ac:dyDescent="0.5">
      <c r="A2" s="7" t="s">
        <v>2082</v>
      </c>
      <c r="B2">
        <f>COUNTIFS(Crowdfunding!D2:D1001,"&lt;1000", Crowdfunding!G2:G1001, "successful")</f>
        <v>30</v>
      </c>
      <c r="C2">
        <f>COUNTIFS(Crowdfunding!D2:D1001,"&lt;1000", Crowdfunding!G2:G1001, "failed")</f>
        <v>20</v>
      </c>
      <c r="D2">
        <f>COUNTIFS(Crowdfunding!D2:D1001,"&lt;1000", Crowdfunding!G2:G1001, "canceled")</f>
        <v>1</v>
      </c>
      <c r="E2">
        <f>COUNTIFS(Crowdfunding!D2:D1001,"&lt;1000")-COUNTIFS(Crowdfunding!D2:D1001,"&lt;1000", Crowdfunding!D2:D1001,"live")</f>
        <v>51</v>
      </c>
    </row>
    <row r="3" spans="1:8" x14ac:dyDescent="0.5">
      <c r="A3" s="7" t="s">
        <v>2083</v>
      </c>
      <c r="B3">
        <f>COUNTIFS(Crowdfunding!D2:D1001,"&gt;=1000", Crowdfunding!D2:D1001,"&lt;5000", Crowdfunding!G2:G1001, "successful")</f>
        <v>191</v>
      </c>
      <c r="C3">
        <f>COUNTIFS(Crowdfunding!D2:D1001,"&gt;=1000", Crowdfunding!D2:D1001,"&lt;5000", Crowdfunding!G2:G1001, "failed")</f>
        <v>38</v>
      </c>
      <c r="D3">
        <f>COUNTIFS(Crowdfunding!D2:D1001,"&gt;=1000", Crowdfunding!D2:D1001,"&lt;5000", Crowdfunding!G2:G1001, "canceled")</f>
        <v>2</v>
      </c>
      <c r="E3">
        <f>COUNTIFS(Crowdfunding!D2:D1001,"&gt;=1000", Crowdfunding!D2:D1001,"&lt;5000")-COUNTIFS(Crowdfunding!D2:D1001,"&gt;=1000",Crowdfunding!D2:D1001,"&lt;5000", Crowdfunding!G2:G1001,"live")</f>
        <v>231</v>
      </c>
    </row>
    <row r="4" spans="1:8" x14ac:dyDescent="0.5">
      <c r="A4" s="7" t="s">
        <v>2084</v>
      </c>
      <c r="B4">
        <f>COUNTIFS(Crowdfunding!D2:D1002,"&gt;=5000", Crowdfunding!D2:D1002,"&lt;10000", Crowdfunding!G2:G1002, "successful")</f>
        <v>164</v>
      </c>
      <c r="C4">
        <f>COUNTIFS(Crowdfunding!D2:D1002,"&gt;=5000", Crowdfunding!D2:D1002,"&lt;10000", Crowdfunding!G2:G1002, "failed")</f>
        <v>126</v>
      </c>
      <c r="D4">
        <f>COUNTIFS(Crowdfunding!D2:D1002,"&gt;=5000", Crowdfunding!D2:D1002,"&lt;10000", Crowdfunding!G2:G1002, "canceled")</f>
        <v>25</v>
      </c>
      <c r="E4">
        <f>COUNTIFS(Crowdfunding!D2:D1002,"&gt;=5000", Crowdfunding!D2:D1002,"&lt;10000")-COUNTIFS(Crowdfunding!D2:D1002,"&gt;=5000",Crowdfunding!D2:D1002,"&lt;10000", Crowdfunding!G2:G1002,"live")</f>
        <v>315</v>
      </c>
    </row>
    <row r="5" spans="1:8" x14ac:dyDescent="0.5">
      <c r="A5" s="8" t="s">
        <v>2085</v>
      </c>
      <c r="B5">
        <f>COUNTIFS(Crowdfunding!D2:D1003,"&gt;=10000", Crowdfunding!D2:D1003,"&lt;15000", Crowdfunding!G2:G1003, "successful")</f>
        <v>4</v>
      </c>
      <c r="C5">
        <f>COUNTIFS(Crowdfunding!D2:D1003,"&gt;=10000", Crowdfunding!D2:D1003,"&lt;15000", Crowdfunding!G2:G1003, "failed")</f>
        <v>5</v>
      </c>
      <c r="D5">
        <f>COUNTIFS(Crowdfunding!D2:D1003,"&gt;=10000", Crowdfunding!D2:D1003,"&lt;15000", Crowdfunding!G2:G1003, "canceled")</f>
        <v>0</v>
      </c>
      <c r="E5">
        <f>COUNTIFS(Crowdfunding!D2:D1003,"&gt;=10000", Crowdfunding!D2:D1003,"&lt;15000")-COUNTIFS(Crowdfunding!D2:D1003,"&gt;=10000",Crowdfunding!D2:D1003,"&lt;15000", Crowdfunding!D2:D1003,"live")</f>
        <v>9</v>
      </c>
    </row>
    <row r="6" spans="1:8" x14ac:dyDescent="0.5">
      <c r="A6" s="8" t="s">
        <v>2086</v>
      </c>
      <c r="B6">
        <f>COUNTIFS(Crowdfunding!D2:D1004,"&gt;=15000", Crowdfunding!D2:D1004,"&lt;20000", Crowdfunding!G2:G1004, "successful")</f>
        <v>10</v>
      </c>
      <c r="C6">
        <f>COUNTIFS(Crowdfunding!D2:D1004,"&gt;=15000", Crowdfunding!D2:D1004,"&lt;20000", Crowdfunding!G2:G1004, "failed")</f>
        <v>0</v>
      </c>
      <c r="D6">
        <f>COUNTIFS(Crowdfunding!D2:D1004,"&gt;=15000", Crowdfunding!D2:D1004,"&lt;20000", Crowdfunding!G2:G1004, "canceled")</f>
        <v>0</v>
      </c>
      <c r="E6">
        <f>COUNTIFS(Crowdfunding!D2:D1004,"&gt;=15000", Crowdfunding!D2:D1004,"&lt;20000")-COUNTIFS(Crowdfunding!D2:D1004,"&gt;=15000",Crowdfunding!D2:D1004,"&lt;20000", Crowdfunding!G2:G1004,"live")</f>
        <v>10</v>
      </c>
    </row>
    <row r="7" spans="1:8" x14ac:dyDescent="0.5">
      <c r="A7" s="8" t="s">
        <v>2087</v>
      </c>
      <c r="B7">
        <f>COUNTIFS(Crowdfunding!D2:D1005,"&gt;=20000", Crowdfunding!D2:D1005,"&lt;25000", Crowdfunding!G2:G1005, "successful")</f>
        <v>7</v>
      </c>
      <c r="C7">
        <f>COUNTIFS(Crowdfunding!D2:D1005,"&gt;=20000", Crowdfunding!D2:D1005,"&lt;25000", Crowdfunding!G2:G1005, "failed")</f>
        <v>0</v>
      </c>
      <c r="D7">
        <f>COUNTIFS(Crowdfunding!D2:D1005,"&gt;=20000", Crowdfunding!D2:D1005,"&lt;25000", Crowdfunding!G2:G1005, "canceled")</f>
        <v>0</v>
      </c>
      <c r="E7">
        <f>COUNTIFS(Crowdfunding!D2:D1001,"&gt;=20000", Crowdfunding!D2:D1001,"&lt;25000")-COUNTIFS(Crowdfunding!D2:D1001,"&gt;=20000",Crowdfunding!D2:D1001,"&lt;25000", Crowdfunding!G2:G1001,"live")</f>
        <v>7</v>
      </c>
    </row>
    <row r="8" spans="1:8" x14ac:dyDescent="0.5">
      <c r="A8" s="8" t="s">
        <v>2088</v>
      </c>
      <c r="B8">
        <f>COUNTIFS(Crowdfunding!D2:D1006,"&gt;=25000", Crowdfunding!D2:D1006,"&lt;30000", Crowdfunding!G2:G1006, "successful")</f>
        <v>11</v>
      </c>
      <c r="C8">
        <f>COUNTIFS(Crowdfunding!D2:D1006,"&gt;=25000", Crowdfunding!D2:D1006,"&lt;30000", Crowdfunding!G2:G1006, "failed")</f>
        <v>3</v>
      </c>
      <c r="D8">
        <f>COUNTIFS(Crowdfunding!D2:D1006,"&gt;=25000", Crowdfunding!D2:D1006,"&lt;30000", Crowdfunding!G2:G1006, "canceled")</f>
        <v>0</v>
      </c>
      <c r="E8">
        <f>COUNTIFS(Crowdfunding!D2:D1001,"&gt;=25000", Crowdfunding!D2:D1001,"&lt;30000")-COUNTIFS(Crowdfunding!D2:D1001,"&gt;=25000",Crowdfunding!D2:D1001,"&lt;30000", Crowdfunding!G2:G1001,"live")</f>
        <v>14</v>
      </c>
    </row>
    <row r="9" spans="1:8" x14ac:dyDescent="0.5">
      <c r="A9" s="8" t="s">
        <v>2089</v>
      </c>
      <c r="B9">
        <f>COUNTIFS(Crowdfunding!D2:D1007,"&gt;=30000", Crowdfunding!D2:D1007,"&lt;35000", Crowdfunding!G2:G1007, "successful")</f>
        <v>7</v>
      </c>
      <c r="C9">
        <f>COUNTIFS(Crowdfunding!D2:D1007,"&gt;=30000", Crowdfunding!D2:D1007,"&lt;35000", Crowdfunding!G2:G1007, "failed")</f>
        <v>0</v>
      </c>
      <c r="D9">
        <f>COUNTIFS(Crowdfunding!D2:D1007,"&gt;=30000", Crowdfunding!D2:D1007,"&lt;35000", Crowdfunding!G2:G1007, "canceled")</f>
        <v>0</v>
      </c>
      <c r="E9">
        <f>COUNTIFS(Crowdfunding!D2:D1001,"&gt;=30000", Crowdfunding!D2:D1001,"&lt;35000")-COUNTIFS(Crowdfunding!D2:D1001,"&gt;=30000",Crowdfunding!D2:D1001,"&lt;35000", Crowdfunding!G2:G1001,"live")</f>
        <v>7</v>
      </c>
    </row>
    <row r="10" spans="1:8" x14ac:dyDescent="0.5">
      <c r="A10" s="8" t="s">
        <v>2090</v>
      </c>
      <c r="B10">
        <f>COUNTIFS(Crowdfunding!D2:D1008,"&gt;=35000", Crowdfunding!D2:D1008,"&lt;40000", Crowdfunding!G2:G1008, "successful")</f>
        <v>8</v>
      </c>
      <c r="C10">
        <f>COUNTIFS(Crowdfunding!D2:D1008,"&gt;=35000", Crowdfunding!D2:D1008,"&lt;40000", Crowdfunding!G2:G1008, "failed")</f>
        <v>3</v>
      </c>
      <c r="D10">
        <f>COUNTIFS(Crowdfunding!D2:D1008,"&gt;=35000", Crowdfunding!D2:D1008,"&lt;40000", Crowdfunding!G2:G1008, "canceled")</f>
        <v>1</v>
      </c>
      <c r="E10">
        <f>COUNTIFS(Crowdfunding!D2:D1001,"&gt;=35000", Crowdfunding!D2:D1001,"&lt;40000")-COUNTIFS(Crowdfunding!D2:D1001,"&gt;=35000",Crowdfunding!D2:D1001,"&lt;40000", Crowdfunding!G2:G1001,"live")</f>
        <v>12</v>
      </c>
    </row>
    <row r="11" spans="1:8" x14ac:dyDescent="0.5">
      <c r="A11" s="8" t="s">
        <v>2091</v>
      </c>
      <c r="B11">
        <f>COUNTIFS(Crowdfunding!D2:D1009,"&gt;=40000", Crowdfunding!D2:D1009,"&lt;45000", Crowdfunding!G2:G1009, "successful")</f>
        <v>11</v>
      </c>
      <c r="C11">
        <f>COUNTIFS(Crowdfunding!D2:D1009,"&gt;=40000", Crowdfunding!D2:D1009,"&lt;45000", Crowdfunding!G2:G1009, "failed")</f>
        <v>3</v>
      </c>
      <c r="D11">
        <f>COUNTIFS(Crowdfunding!D2:D1009,"&gt;=40000", Crowdfunding!D2:D1009,"&lt;45000", Crowdfunding!G2:G1009, "canceled")</f>
        <v>0</v>
      </c>
      <c r="E11">
        <f>COUNTIFS(Crowdfunding!D2:D1001,"&gt;=40000", Crowdfunding!D2:D1001,"&lt;45000")-COUNTIFS(Crowdfunding!D2:D1001,"&gt;=40000",Crowdfunding!D2:D1001,"&lt;45000", Crowdfunding!G2:G1001,"live")</f>
        <v>14</v>
      </c>
    </row>
    <row r="12" spans="1:8" x14ac:dyDescent="0.5">
      <c r="A12" s="8" t="s">
        <v>2092</v>
      </c>
      <c r="B12">
        <f>COUNTIFS(Crowdfunding!D2:D1010,"&gt;=45000", Crowdfunding!D2:D1010,"&lt;50000", Crowdfunding!G2:G1010, "successful")</f>
        <v>8</v>
      </c>
      <c r="C12">
        <f>COUNTIFS(Crowdfunding!D2:D1010,"&gt;=45000", Crowdfunding!D2:D1010,"&lt;50000", Crowdfunding!G2:G1010, "failed")</f>
        <v>3</v>
      </c>
      <c r="D12">
        <f>COUNTIFS(Crowdfunding!D2:D1010,"&gt;=45000", Crowdfunding!D2:D1010,"&lt;50000", Crowdfunding!G2:G1010, "canceled")</f>
        <v>0</v>
      </c>
      <c r="E12">
        <f>COUNTIFS(Crowdfunding!D2:D1001,"&gt;=45000", Crowdfunding!D2:D1001,"&lt;50000")-COUNTIFS(Crowdfunding!D2:D1001,"&gt;=45000",Crowdfunding!D2:D1001,"&lt;50000", Crowdfunding!G2:G1001,"live")</f>
        <v>11</v>
      </c>
    </row>
    <row r="13" spans="1:8" x14ac:dyDescent="0.5">
      <c r="A13" s="8" t="s">
        <v>2093</v>
      </c>
      <c r="B13">
        <f>COUNTIFS( Crowdfunding!D2:D1011,"&gt;=50000", Crowdfunding!G2:G1011, "successful")</f>
        <v>114</v>
      </c>
      <c r="C13">
        <f>COUNTIFS(Crowdfunding!D2:D1011,"&gt;=50000", Crowdfunding!G2:G1011, "failed")</f>
        <v>163</v>
      </c>
      <c r="D13">
        <f>COUNTIFS(Crowdfunding!D2:D1011,"&gt;=50000", Crowdfunding!G2:G1011, "canceled")</f>
        <v>28</v>
      </c>
      <c r="E13">
        <f>COUNTIFS(Crowdfunding!D2:D1001,"&gt;=50000")-COUNTIFS(Crowdfunding!D2:D1001,"&gt;=50000",Crowdfunding!G2:G1001,"live")</f>
        <v>305</v>
      </c>
    </row>
    <row r="14" spans="1:8" x14ac:dyDescent="0.5">
      <c r="A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 Category</vt:lpstr>
      <vt:lpstr>Per Sub-Category</vt:lpstr>
      <vt:lpstr>Crowdfunding</vt:lpstr>
      <vt:lpstr>Bonus, 8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2024-08-24T20:04:41Z</dcterms:modified>
</cp:coreProperties>
</file>