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3858ce9be656235/문서/산자부 공모전/"/>
    </mc:Choice>
  </mc:AlternateContent>
  <xr:revisionPtr revIDLastSave="0" documentId="8_{A65AF282-39E7-4CBD-9EE8-A00EB4F6BF9C}" xr6:coauthVersionLast="47" xr6:coauthVersionMax="47" xr10:uidLastSave="{00000000-0000-0000-0000-000000000000}"/>
  <bookViews>
    <workbookView xWindow="-110" yWindow="-110" windowWidth="19420" windowHeight="11020" firstSheet="1" activeTab="3" xr2:uid="{D72DCD61-80C3-4132-B1C4-15A1F74EA64F}"/>
  </bookViews>
  <sheets>
    <sheet name="기존 운영설비비 NPV 계산" sheetId="1" r:id="rId1"/>
    <sheet name="운용설비비(드론)" sheetId="3" r:id="rId2"/>
    <sheet name="건설비" sheetId="4" r:id="rId3"/>
    <sheet name="실제 편익 계산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12" i="6" l="1"/>
  <c r="I11" i="6"/>
  <c r="I10" i="6"/>
  <c r="F10" i="6"/>
  <c r="N11" i="6"/>
  <c r="M11" i="6"/>
  <c r="N10" i="6"/>
  <c r="M10" i="6"/>
  <c r="L7" i="6"/>
  <c r="L4" i="6"/>
  <c r="F42" i="3"/>
  <c r="I42" i="3" s="1"/>
  <c r="Z6" i="3"/>
  <c r="S4" i="3"/>
  <c r="S5" i="3"/>
  <c r="S6" i="3"/>
  <c r="S7" i="3"/>
  <c r="S8" i="3"/>
  <c r="S9" i="3"/>
  <c r="S10" i="3"/>
  <c r="S11" i="3"/>
  <c r="S12" i="3"/>
  <c r="S13" i="3"/>
  <c r="S14" i="3"/>
  <c r="S15" i="3"/>
  <c r="S16" i="3"/>
  <c r="S17" i="3"/>
  <c r="S18" i="3"/>
  <c r="S19" i="3"/>
  <c r="S20" i="3"/>
  <c r="S21" i="3"/>
  <c r="S22" i="3"/>
  <c r="S23" i="3"/>
  <c r="S24" i="3"/>
  <c r="S25" i="3"/>
  <c r="S26" i="3"/>
  <c r="S27" i="3"/>
  <c r="S28" i="3"/>
  <c r="S29" i="3"/>
  <c r="S30" i="3"/>
  <c r="S31" i="3"/>
  <c r="S32" i="3"/>
  <c r="S33" i="3"/>
  <c r="S34" i="3"/>
  <c r="S35" i="3"/>
  <c r="S36" i="3"/>
  <c r="S37" i="3"/>
  <c r="S38" i="3"/>
  <c r="S39" i="3"/>
  <c r="S40" i="3"/>
  <c r="S41" i="3"/>
  <c r="S3" i="3"/>
  <c r="M4" i="3"/>
  <c r="M5" i="3"/>
  <c r="M6" i="3"/>
  <c r="M7" i="3"/>
  <c r="M8" i="3"/>
  <c r="M9" i="3"/>
  <c r="M10" i="3"/>
  <c r="M11" i="3"/>
  <c r="M12" i="3"/>
  <c r="M13" i="3"/>
  <c r="M14" i="3"/>
  <c r="M15" i="3"/>
  <c r="M16" i="3"/>
  <c r="M17" i="3"/>
  <c r="M18" i="3"/>
  <c r="M19" i="3"/>
  <c r="M20" i="3"/>
  <c r="M21" i="3"/>
  <c r="M22" i="3"/>
  <c r="M23" i="3"/>
  <c r="M24" i="3"/>
  <c r="M25" i="3"/>
  <c r="M26" i="3"/>
  <c r="M27" i="3"/>
  <c r="M28" i="3"/>
  <c r="M29" i="3"/>
  <c r="M30" i="3"/>
  <c r="M31" i="3"/>
  <c r="M32" i="3"/>
  <c r="M33" i="3"/>
  <c r="M34" i="3"/>
  <c r="M35" i="3"/>
  <c r="M36" i="3"/>
  <c r="M37" i="3"/>
  <c r="M38" i="3"/>
  <c r="M39" i="3"/>
  <c r="M40" i="3"/>
  <c r="M41" i="3"/>
  <c r="M3" i="3"/>
  <c r="J4" i="3"/>
  <c r="J5" i="3"/>
  <c r="J6" i="3"/>
  <c r="J7" i="3"/>
  <c r="J8" i="3"/>
  <c r="J9" i="3"/>
  <c r="J10" i="3"/>
  <c r="J11" i="3"/>
  <c r="J12" i="3"/>
  <c r="J13" i="3"/>
  <c r="J14" i="3"/>
  <c r="J15" i="3"/>
  <c r="J16" i="3"/>
  <c r="J17" i="3"/>
  <c r="J18" i="3"/>
  <c r="J19" i="3"/>
  <c r="J20" i="3"/>
  <c r="J21" i="3"/>
  <c r="J22" i="3"/>
  <c r="J23" i="3"/>
  <c r="J24" i="3"/>
  <c r="J25" i="3"/>
  <c r="J26" i="3"/>
  <c r="J27" i="3"/>
  <c r="J28" i="3"/>
  <c r="J29" i="3"/>
  <c r="J30" i="3"/>
  <c r="J31" i="3"/>
  <c r="J32" i="3"/>
  <c r="J33" i="3"/>
  <c r="J34" i="3"/>
  <c r="J35" i="3"/>
  <c r="J36" i="3"/>
  <c r="J37" i="3"/>
  <c r="J38" i="3"/>
  <c r="J39" i="3"/>
  <c r="J40" i="3"/>
  <c r="J41" i="3"/>
  <c r="J3" i="3"/>
  <c r="I4" i="3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I21" i="3"/>
  <c r="I22" i="3"/>
  <c r="I23" i="3"/>
  <c r="I24" i="3"/>
  <c r="I25" i="3"/>
  <c r="I26" i="3"/>
  <c r="I27" i="3"/>
  <c r="I28" i="3"/>
  <c r="I29" i="3"/>
  <c r="I30" i="3"/>
  <c r="I31" i="3"/>
  <c r="I32" i="3"/>
  <c r="I33" i="3"/>
  <c r="I34" i="3"/>
  <c r="I35" i="3"/>
  <c r="I36" i="3"/>
  <c r="I37" i="3"/>
  <c r="I38" i="3"/>
  <c r="I39" i="3"/>
  <c r="I40" i="3"/>
  <c r="I41" i="3"/>
  <c r="I3" i="3"/>
  <c r="Q2" i="3"/>
  <c r="Q36" i="3"/>
  <c r="Q28" i="3"/>
  <c r="Q23" i="3"/>
  <c r="P36" i="3"/>
  <c r="P28" i="3"/>
  <c r="P23" i="3"/>
  <c r="M2" i="4"/>
  <c r="L2" i="4"/>
  <c r="K2" i="4"/>
  <c r="K14" i="4"/>
  <c r="K5" i="4"/>
  <c r="H4" i="4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3" i="4"/>
  <c r="K3" i="4"/>
  <c r="J3" i="4"/>
  <c r="I3" i="4"/>
  <c r="F41" i="4"/>
  <c r="F40" i="4"/>
  <c r="F39" i="4"/>
  <c r="F38" i="4"/>
  <c r="F37" i="4"/>
  <c r="F36" i="4"/>
  <c r="F35" i="4"/>
  <c r="F34" i="4"/>
  <c r="F33" i="4"/>
  <c r="F32" i="4"/>
  <c r="F31" i="4"/>
  <c r="F30" i="4"/>
  <c r="F29" i="4"/>
  <c r="F28" i="4"/>
  <c r="F27" i="4"/>
  <c r="F26" i="4"/>
  <c r="F25" i="4"/>
  <c r="F24" i="4"/>
  <c r="F23" i="4"/>
  <c r="F22" i="4"/>
  <c r="F21" i="4"/>
  <c r="F20" i="4"/>
  <c r="F19" i="4"/>
  <c r="F18" i="4"/>
  <c r="F17" i="4"/>
  <c r="F16" i="4"/>
  <c r="F15" i="4"/>
  <c r="F14" i="4"/>
  <c r="F13" i="4"/>
  <c r="F12" i="4"/>
  <c r="F11" i="4"/>
  <c r="F10" i="4"/>
  <c r="F9" i="4"/>
  <c r="F8" i="4"/>
  <c r="F7" i="4"/>
  <c r="F6" i="4"/>
  <c r="F5" i="4"/>
  <c r="F4" i="4"/>
  <c r="F3" i="4"/>
  <c r="W11" i="3"/>
  <c r="W19" i="3"/>
  <c r="W27" i="3"/>
  <c r="W35" i="3"/>
  <c r="J1" i="3"/>
  <c r="G1" i="3"/>
  <c r="E1" i="3"/>
  <c r="P16" i="3" s="1"/>
  <c r="V41" i="3"/>
  <c r="W41" i="3" s="1"/>
  <c r="L41" i="3"/>
  <c r="F41" i="3"/>
  <c r="V40" i="3"/>
  <c r="W40" i="3" s="1"/>
  <c r="L40" i="3"/>
  <c r="F40" i="3"/>
  <c r="V39" i="3"/>
  <c r="W39" i="3" s="1"/>
  <c r="L39" i="3"/>
  <c r="F39" i="3"/>
  <c r="V38" i="3"/>
  <c r="W38" i="3" s="1"/>
  <c r="L38" i="3"/>
  <c r="F38" i="3"/>
  <c r="V37" i="3"/>
  <c r="W37" i="3" s="1"/>
  <c r="L37" i="3"/>
  <c r="F37" i="3"/>
  <c r="V36" i="3"/>
  <c r="W36" i="3" s="1"/>
  <c r="L36" i="3"/>
  <c r="F36" i="3"/>
  <c r="V35" i="3"/>
  <c r="L35" i="3"/>
  <c r="F35" i="3"/>
  <c r="V34" i="3"/>
  <c r="W34" i="3" s="1"/>
  <c r="L34" i="3"/>
  <c r="F34" i="3"/>
  <c r="V33" i="3"/>
  <c r="W33" i="3" s="1"/>
  <c r="L33" i="3"/>
  <c r="F33" i="3"/>
  <c r="V32" i="3"/>
  <c r="W32" i="3" s="1"/>
  <c r="L32" i="3"/>
  <c r="F32" i="3"/>
  <c r="V31" i="3"/>
  <c r="W31" i="3" s="1"/>
  <c r="L31" i="3"/>
  <c r="F31" i="3"/>
  <c r="V30" i="3"/>
  <c r="W30" i="3" s="1"/>
  <c r="L30" i="3"/>
  <c r="F30" i="3"/>
  <c r="V29" i="3"/>
  <c r="W29" i="3" s="1"/>
  <c r="L29" i="3"/>
  <c r="F29" i="3"/>
  <c r="V28" i="3"/>
  <c r="W28" i="3" s="1"/>
  <c r="L28" i="3"/>
  <c r="F28" i="3"/>
  <c r="V27" i="3"/>
  <c r="L27" i="3"/>
  <c r="F27" i="3"/>
  <c r="V26" i="3"/>
  <c r="W26" i="3" s="1"/>
  <c r="L26" i="3"/>
  <c r="F26" i="3"/>
  <c r="V25" i="3"/>
  <c r="W25" i="3" s="1"/>
  <c r="L25" i="3"/>
  <c r="F25" i="3"/>
  <c r="V24" i="3"/>
  <c r="W24" i="3" s="1"/>
  <c r="L24" i="3"/>
  <c r="F24" i="3"/>
  <c r="V23" i="3"/>
  <c r="W23" i="3" s="1"/>
  <c r="L23" i="3"/>
  <c r="F23" i="3"/>
  <c r="V22" i="3"/>
  <c r="W22" i="3" s="1"/>
  <c r="L22" i="3"/>
  <c r="F22" i="3"/>
  <c r="V21" i="3"/>
  <c r="W21" i="3" s="1"/>
  <c r="L21" i="3"/>
  <c r="F21" i="3"/>
  <c r="V20" i="3"/>
  <c r="W20" i="3" s="1"/>
  <c r="L20" i="3"/>
  <c r="T20" i="3" s="1"/>
  <c r="F20" i="3"/>
  <c r="V19" i="3"/>
  <c r="L19" i="3"/>
  <c r="F19" i="3"/>
  <c r="V18" i="3"/>
  <c r="W18" i="3" s="1"/>
  <c r="L18" i="3"/>
  <c r="F18" i="3"/>
  <c r="V17" i="3"/>
  <c r="W17" i="3" s="1"/>
  <c r="L17" i="3"/>
  <c r="F17" i="3"/>
  <c r="V16" i="3"/>
  <c r="W16" i="3" s="1"/>
  <c r="L16" i="3"/>
  <c r="F16" i="3"/>
  <c r="V15" i="3"/>
  <c r="W15" i="3" s="1"/>
  <c r="L15" i="3"/>
  <c r="F15" i="3"/>
  <c r="V14" i="3"/>
  <c r="W14" i="3" s="1"/>
  <c r="L14" i="3"/>
  <c r="F14" i="3"/>
  <c r="V13" i="3"/>
  <c r="W13" i="3" s="1"/>
  <c r="L13" i="3"/>
  <c r="F13" i="3"/>
  <c r="V12" i="3"/>
  <c r="W12" i="3" s="1"/>
  <c r="L12" i="3"/>
  <c r="F12" i="3"/>
  <c r="V11" i="3"/>
  <c r="L11" i="3"/>
  <c r="F11" i="3"/>
  <c r="V10" i="3"/>
  <c r="W10" i="3" s="1"/>
  <c r="L10" i="3"/>
  <c r="F10" i="3"/>
  <c r="V9" i="3"/>
  <c r="W9" i="3" s="1"/>
  <c r="L9" i="3"/>
  <c r="T9" i="3" s="1"/>
  <c r="F9" i="3"/>
  <c r="V8" i="3"/>
  <c r="W8" i="3" s="1"/>
  <c r="L8" i="3"/>
  <c r="F8" i="3"/>
  <c r="V7" i="3"/>
  <c r="W7" i="3" s="1"/>
  <c r="L7" i="3"/>
  <c r="F7" i="3"/>
  <c r="V6" i="3"/>
  <c r="W6" i="3" s="1"/>
  <c r="L6" i="3"/>
  <c r="F6" i="3"/>
  <c r="V5" i="3"/>
  <c r="W5" i="3" s="1"/>
  <c r="L5" i="3"/>
  <c r="F5" i="3"/>
  <c r="V4" i="3"/>
  <c r="W4" i="3" s="1"/>
  <c r="L4" i="3"/>
  <c r="F4" i="3"/>
  <c r="V3" i="3"/>
  <c r="W3" i="3" s="1"/>
  <c r="L3" i="3"/>
  <c r="F3" i="3"/>
  <c r="M13" i="1"/>
  <c r="M7" i="1"/>
  <c r="L4" i="1"/>
  <c r="M4" i="1"/>
  <c r="Q42" i="1"/>
  <c r="Q37" i="1"/>
  <c r="Q24" i="1"/>
  <c r="K41" i="1"/>
  <c r="K40" i="1"/>
  <c r="K37" i="1"/>
  <c r="K33" i="1"/>
  <c r="K32" i="1"/>
  <c r="K29" i="1"/>
  <c r="K25" i="1"/>
  <c r="K24" i="1"/>
  <c r="K21" i="1"/>
  <c r="K17" i="1"/>
  <c r="K16" i="1"/>
  <c r="K14" i="1"/>
  <c r="K13" i="1"/>
  <c r="K10" i="1"/>
  <c r="K9" i="1"/>
  <c r="K6" i="1"/>
  <c r="K5" i="1"/>
  <c r="C44" i="1"/>
  <c r="D44" i="1"/>
  <c r="E44" i="1"/>
  <c r="B44" i="1"/>
  <c r="G5" i="1"/>
  <c r="G6" i="1"/>
  <c r="G7" i="1"/>
  <c r="K7" i="1" s="1"/>
  <c r="G8" i="1"/>
  <c r="K8" i="1" s="1"/>
  <c r="G9" i="1"/>
  <c r="G10" i="1"/>
  <c r="G11" i="1"/>
  <c r="K11" i="1" s="1"/>
  <c r="G12" i="1"/>
  <c r="K12" i="1" s="1"/>
  <c r="G13" i="1"/>
  <c r="G14" i="1"/>
  <c r="G15" i="1"/>
  <c r="K15" i="1" s="1"/>
  <c r="G16" i="1"/>
  <c r="G17" i="1"/>
  <c r="G18" i="1"/>
  <c r="K18" i="1" s="1"/>
  <c r="G19" i="1"/>
  <c r="K19" i="1" s="1"/>
  <c r="G20" i="1"/>
  <c r="K20" i="1" s="1"/>
  <c r="G21" i="1"/>
  <c r="G22" i="1"/>
  <c r="K22" i="1" s="1"/>
  <c r="G23" i="1"/>
  <c r="K23" i="1" s="1"/>
  <c r="G24" i="1"/>
  <c r="G25" i="1"/>
  <c r="G26" i="1"/>
  <c r="K26" i="1" s="1"/>
  <c r="G27" i="1"/>
  <c r="K27" i="1" s="1"/>
  <c r="G28" i="1"/>
  <c r="K28" i="1" s="1"/>
  <c r="G29" i="1"/>
  <c r="G30" i="1"/>
  <c r="K30" i="1" s="1"/>
  <c r="G31" i="1"/>
  <c r="K31" i="1" s="1"/>
  <c r="G32" i="1"/>
  <c r="Q32" i="1" s="1"/>
  <c r="G33" i="1"/>
  <c r="G34" i="1"/>
  <c r="Q34" i="1" s="1"/>
  <c r="G35" i="1"/>
  <c r="K35" i="1" s="1"/>
  <c r="G36" i="1"/>
  <c r="K36" i="1" s="1"/>
  <c r="G37" i="1"/>
  <c r="G38" i="1"/>
  <c r="K38" i="1" s="1"/>
  <c r="G39" i="1"/>
  <c r="K39" i="1" s="1"/>
  <c r="G40" i="1"/>
  <c r="G41" i="1"/>
  <c r="G42" i="1"/>
  <c r="K42" i="1" s="1"/>
  <c r="G4" i="1"/>
  <c r="K4" i="1" s="1"/>
  <c r="L13" i="1"/>
  <c r="N13" i="1" s="1"/>
  <c r="L7" i="1"/>
  <c r="N7" i="1" s="1"/>
  <c r="T19" i="3" l="1"/>
  <c r="T11" i="3"/>
  <c r="T30" i="3"/>
  <c r="X21" i="3"/>
  <c r="T17" i="3"/>
  <c r="T33" i="3"/>
  <c r="N20" i="3"/>
  <c r="N28" i="3"/>
  <c r="N21" i="3"/>
  <c r="N29" i="3"/>
  <c r="N19" i="3"/>
  <c r="X27" i="3"/>
  <c r="N11" i="3"/>
  <c r="N30" i="3"/>
  <c r="N37" i="3"/>
  <c r="N15" i="3"/>
  <c r="N38" i="3"/>
  <c r="T18" i="3"/>
  <c r="T26" i="3"/>
  <c r="P3" i="3"/>
  <c r="N24" i="3"/>
  <c r="P7" i="3"/>
  <c r="N9" i="3"/>
  <c r="T32" i="3"/>
  <c r="N18" i="3"/>
  <c r="N26" i="3"/>
  <c r="N41" i="3"/>
  <c r="N35" i="3"/>
  <c r="N16" i="3"/>
  <c r="N3" i="3"/>
  <c r="T5" i="3"/>
  <c r="N27" i="3"/>
  <c r="T31" i="3"/>
  <c r="T7" i="3"/>
  <c r="T6" i="3"/>
  <c r="X19" i="3"/>
  <c r="T3" i="3"/>
  <c r="X9" i="3"/>
  <c r="N10" i="3"/>
  <c r="T25" i="3"/>
  <c r="N40" i="3"/>
  <c r="T24" i="3"/>
  <c r="N39" i="3"/>
  <c r="T40" i="3"/>
  <c r="X31" i="3"/>
  <c r="N7" i="3"/>
  <c r="X14" i="3"/>
  <c r="N22" i="3"/>
  <c r="X36" i="3"/>
  <c r="T39" i="3"/>
  <c r="T34" i="3"/>
  <c r="T35" i="3"/>
  <c r="T36" i="3"/>
  <c r="T37" i="3"/>
  <c r="T38" i="3"/>
  <c r="X11" i="3"/>
  <c r="N12" i="3"/>
  <c r="N13" i="3"/>
  <c r="T41" i="3"/>
  <c r="X3" i="3"/>
  <c r="T12" i="3"/>
  <c r="N14" i="3"/>
  <c r="X26" i="3"/>
  <c r="X29" i="3"/>
  <c r="Q7" i="3"/>
  <c r="N8" i="3"/>
  <c r="X12" i="3"/>
  <c r="T21" i="3"/>
  <c r="X25" i="3"/>
  <c r="X30" i="3"/>
  <c r="X35" i="3"/>
  <c r="X37" i="3"/>
  <c r="X39" i="3"/>
  <c r="X40" i="3"/>
  <c r="X41" i="3"/>
  <c r="X23" i="3"/>
  <c r="T4" i="3"/>
  <c r="X7" i="3"/>
  <c r="T14" i="3"/>
  <c r="T22" i="3"/>
  <c r="T23" i="3"/>
  <c r="T27" i="3"/>
  <c r="X18" i="3"/>
  <c r="T28" i="3"/>
  <c r="X34" i="3"/>
  <c r="T16" i="3"/>
  <c r="N17" i="3"/>
  <c r="X22" i="3"/>
  <c r="T29" i="3"/>
  <c r="N32" i="3"/>
  <c r="X33" i="3"/>
  <c r="N34" i="3"/>
  <c r="N25" i="3"/>
  <c r="N33" i="3"/>
  <c r="Q3" i="3"/>
  <c r="T8" i="3"/>
  <c r="Q16" i="3"/>
  <c r="N6" i="3"/>
  <c r="X6" i="3"/>
  <c r="X8" i="3"/>
  <c r="X17" i="3"/>
  <c r="N23" i="3"/>
  <c r="N31" i="3"/>
  <c r="N36" i="3"/>
  <c r="N5" i="3"/>
  <c r="X5" i="3"/>
  <c r="X16" i="3"/>
  <c r="X24" i="3"/>
  <c r="X32" i="3"/>
  <c r="T15" i="3"/>
  <c r="T10" i="3"/>
  <c r="X15" i="3"/>
  <c r="X4" i="3"/>
  <c r="N4" i="3"/>
  <c r="X10" i="3"/>
  <c r="T13" i="3"/>
  <c r="X38" i="3"/>
  <c r="X13" i="3"/>
  <c r="X20" i="3"/>
  <c r="X28" i="3"/>
  <c r="N4" i="1"/>
  <c r="N3" i="1" s="1"/>
  <c r="Q27" i="1"/>
  <c r="Q3" i="1" s="1"/>
  <c r="K34" i="1"/>
  <c r="K3" i="1" s="1"/>
  <c r="N2" i="3" l="1"/>
  <c r="X2" i="3"/>
  <c r="T2" i="3"/>
  <c r="S3" i="1"/>
  <c r="Z2" i="3" l="1"/>
</calcChain>
</file>

<file path=xl/sharedStrings.xml><?xml version="1.0" encoding="utf-8"?>
<sst xmlns="http://schemas.openxmlformats.org/spreadsheetml/2006/main" count="93" uniqueCount="64">
  <si>
    <t>1단계</t>
    <phoneticPr fontId="1" type="noConversion"/>
  </si>
  <si>
    <t>2단계</t>
  </si>
  <si>
    <t>3단계</t>
  </si>
  <si>
    <t>3단계(파더)</t>
    <phoneticPr fontId="1" type="noConversion"/>
  </si>
  <si>
    <t>TEU</t>
    <phoneticPr fontId="1" type="noConversion"/>
  </si>
  <si>
    <t>유지보수비</t>
    <phoneticPr fontId="1" type="noConversion"/>
  </si>
  <si>
    <t>인건비 + 제경비</t>
    <phoneticPr fontId="1" type="noConversion"/>
  </si>
  <si>
    <t>운영설비비</t>
    <phoneticPr fontId="1" type="noConversion"/>
  </si>
  <si>
    <t>C/C</t>
    <phoneticPr fontId="1" type="noConversion"/>
  </si>
  <si>
    <t>ARMGC</t>
    <phoneticPr fontId="1" type="noConversion"/>
  </si>
  <si>
    <t>장비 교체 및 반존가치</t>
    <phoneticPr fontId="1" type="noConversion"/>
  </si>
  <si>
    <t>환산값(2027)</t>
    <phoneticPr fontId="1" type="noConversion"/>
  </si>
  <si>
    <t>연차</t>
    <phoneticPr fontId="1" type="noConversion"/>
  </si>
  <si>
    <t>환산</t>
  </si>
  <si>
    <t>환산</t>
    <phoneticPr fontId="1" type="noConversion"/>
  </si>
  <si>
    <t>총 비용</t>
    <phoneticPr fontId="1" type="noConversion"/>
  </si>
  <si>
    <t>총 TEU</t>
    <phoneticPr fontId="1" type="noConversion"/>
  </si>
  <si>
    <t>드론 운용 시간</t>
    <phoneticPr fontId="1" type="noConversion"/>
  </si>
  <si>
    <t>인건비</t>
    <phoneticPr fontId="1" type="noConversion"/>
  </si>
  <si>
    <t>1단계(3선석)</t>
    <phoneticPr fontId="1" type="noConversion"/>
  </si>
  <si>
    <t>2단계(6)</t>
    <phoneticPr fontId="1" type="noConversion"/>
  </si>
  <si>
    <t>3단계(5+1)</t>
    <phoneticPr fontId="1" type="noConversion"/>
  </si>
  <si>
    <t>드론 운용 인건비</t>
    <phoneticPr fontId="1" type="noConversion"/>
  </si>
  <si>
    <t>일반관리비+인건비(크레인)</t>
    <phoneticPr fontId="1" type="noConversion"/>
  </si>
  <si>
    <t>부두운영시 고정및 가변비용 계산</t>
    <phoneticPr fontId="1" type="noConversion"/>
  </si>
  <si>
    <t>4.5636조원..</t>
    <phoneticPr fontId="1" type="noConversion"/>
  </si>
  <si>
    <t>기기값(모터)</t>
    <phoneticPr fontId="1" type="noConversion"/>
  </si>
  <si>
    <t>전지(6팩)</t>
    <phoneticPr fontId="1" type="noConversion"/>
  </si>
  <si>
    <t>1년 시간</t>
    <phoneticPr fontId="1" type="noConversion"/>
  </si>
  <si>
    <t>모터값</t>
    <phoneticPr fontId="1" type="noConversion"/>
  </si>
  <si>
    <t>배터리</t>
    <phoneticPr fontId="1" type="noConversion"/>
  </si>
  <si>
    <t>접안비</t>
    <phoneticPr fontId="1" type="noConversion"/>
  </si>
  <si>
    <t>전기공급</t>
    <phoneticPr fontId="1" type="noConversion"/>
  </si>
  <si>
    <t>기존 공사비</t>
    <phoneticPr fontId="1" type="noConversion"/>
  </si>
  <si>
    <t>합</t>
    <phoneticPr fontId="1" type="noConversion"/>
  </si>
  <si>
    <t>변동</t>
    <phoneticPr fontId="1" type="noConversion"/>
  </si>
  <si>
    <t>증감</t>
    <phoneticPr fontId="1" type="noConversion"/>
  </si>
  <si>
    <t>조원</t>
    <phoneticPr fontId="1" type="noConversion"/>
  </si>
  <si>
    <t>편익</t>
    <phoneticPr fontId="1" type="noConversion"/>
  </si>
  <si>
    <t>재항비용</t>
    <phoneticPr fontId="1" type="noConversion"/>
  </si>
  <si>
    <t>725TEU</t>
    <phoneticPr fontId="1" type="noConversion"/>
  </si>
  <si>
    <t>1000TEU</t>
    <phoneticPr fontId="1" type="noConversion"/>
  </si>
  <si>
    <t>2000TEU</t>
    <phoneticPr fontId="1" type="noConversion"/>
  </si>
  <si>
    <t>2500TEU</t>
    <phoneticPr fontId="1" type="noConversion"/>
  </si>
  <si>
    <t>3500TEU</t>
    <phoneticPr fontId="1" type="noConversion"/>
  </si>
  <si>
    <t>4400TEU</t>
    <phoneticPr fontId="1" type="noConversion"/>
  </si>
  <si>
    <t>1일/1일</t>
    <phoneticPr fontId="1" type="noConversion"/>
  </si>
  <si>
    <t>1일/2일</t>
    <phoneticPr fontId="1" type="noConversion"/>
  </si>
  <si>
    <t>일일 선석 TEU</t>
    <phoneticPr fontId="1" type="noConversion"/>
  </si>
  <si>
    <t>415pg 기준 재계산 가능</t>
    <phoneticPr fontId="1" type="noConversion"/>
  </si>
  <si>
    <t>0.8589조</t>
    <phoneticPr fontId="1" type="noConversion"/>
  </si>
  <si>
    <t>순편익</t>
    <phoneticPr fontId="1" type="noConversion"/>
  </si>
  <si>
    <t>조</t>
    <phoneticPr fontId="1" type="noConversion"/>
  </si>
  <si>
    <t>2.0505조원</t>
    <phoneticPr fontId="1" type="noConversion"/>
  </si>
  <si>
    <t>톤당 50867</t>
    <phoneticPr fontId="1" type="noConversion"/>
  </si>
  <si>
    <t>기존 하역비용</t>
    <phoneticPr fontId="1" type="noConversion"/>
  </si>
  <si>
    <t>20ft</t>
    <phoneticPr fontId="1" type="noConversion"/>
  </si>
  <si>
    <t>40ft</t>
    <phoneticPr fontId="1" type="noConversion"/>
  </si>
  <si>
    <t>절감 비율</t>
    <phoneticPr fontId="1" type="noConversion"/>
  </si>
  <si>
    <t>TEU당 물류이동비용 편익</t>
    <phoneticPr fontId="1" type="noConversion"/>
  </si>
  <si>
    <t>8640 VS 2410</t>
    <phoneticPr fontId="1" type="noConversion"/>
  </si>
  <si>
    <t>용선 기간</t>
    <phoneticPr fontId="1" type="noConversion"/>
  </si>
  <si>
    <t>용선 비용</t>
    <phoneticPr fontId="1" type="noConversion"/>
  </si>
  <si>
    <t>2030년 기준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</si>
</sst>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_ "/>
    <numFmt numFmtId="177" formatCode="#,##0_ 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0" fillId="0" borderId="0" xfId="0" applyAlignment="1">
      <alignment horizontal="right" vertical="center"/>
    </xf>
    <xf numFmtId="0" fontId="0" fillId="2" borderId="0" xfId="0" applyFill="1">
      <alignment vertical="center"/>
    </xf>
    <xf numFmtId="2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테마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0D3C9-F0E1-40BA-956A-4E23BA0E912D}">
  <dimension ref="A1:S44"/>
  <sheetViews>
    <sheetView workbookViewId="0">
      <selection activeCell="E44" sqref="E44"/>
    </sheetView>
  </sheetViews>
  <sheetFormatPr defaultRowHeight="17" x14ac:dyDescent="0.45"/>
  <cols>
    <col min="1" max="1" width="12" customWidth="1"/>
    <col min="2" max="4" width="10.58203125" customWidth="1"/>
    <col min="5" max="5" width="11.58203125" customWidth="1"/>
    <col min="10" max="10" width="17.25" customWidth="1"/>
    <col min="11" max="11" width="15.08203125" customWidth="1"/>
    <col min="12" max="12" width="12.25" customWidth="1"/>
    <col min="13" max="14" width="13.08203125" bestFit="1" customWidth="1"/>
    <col min="15" max="16" width="13.58203125" bestFit="1" customWidth="1"/>
    <col min="17" max="17" width="14" bestFit="1" customWidth="1"/>
    <col min="19" max="19" width="17.58203125" customWidth="1"/>
  </cols>
  <sheetData>
    <row r="1" spans="1:19" x14ac:dyDescent="0.45">
      <c r="B1" t="s">
        <v>4</v>
      </c>
      <c r="J1" t="s">
        <v>5</v>
      </c>
      <c r="L1" t="s">
        <v>7</v>
      </c>
      <c r="O1" t="s">
        <v>10</v>
      </c>
    </row>
    <row r="2" spans="1:19" x14ac:dyDescent="0.45">
      <c r="B2" t="s">
        <v>0</v>
      </c>
      <c r="C2" t="s">
        <v>1</v>
      </c>
      <c r="D2" t="s">
        <v>2</v>
      </c>
      <c r="E2" t="s">
        <v>3</v>
      </c>
      <c r="G2" t="s">
        <v>12</v>
      </c>
      <c r="J2" t="s">
        <v>6</v>
      </c>
      <c r="K2" t="s">
        <v>14</v>
      </c>
      <c r="L2" t="s">
        <v>8</v>
      </c>
      <c r="M2" t="s">
        <v>9</v>
      </c>
      <c r="N2" t="s">
        <v>14</v>
      </c>
      <c r="O2" t="s">
        <v>8</v>
      </c>
      <c r="P2" t="s">
        <v>9</v>
      </c>
      <c r="Q2" t="s">
        <v>14</v>
      </c>
      <c r="S2" t="s">
        <v>15</v>
      </c>
    </row>
    <row r="3" spans="1:19" x14ac:dyDescent="0.45">
      <c r="A3" t="s">
        <v>11</v>
      </c>
      <c r="G3">
        <v>1.02</v>
      </c>
      <c r="K3">
        <f>SUM(K4:K42)</f>
        <v>2465807589401.0527</v>
      </c>
      <c r="N3">
        <f>N4+N7+N13</f>
        <v>1498708464046.9973</v>
      </c>
      <c r="Q3">
        <f>Q24+Q27+Q32+Q34+Q37+Q42</f>
        <v>599121952284.06689</v>
      </c>
      <c r="S3" s="1">
        <f>Q3+N3+K3</f>
        <v>4563638005732.1172</v>
      </c>
    </row>
    <row r="4" spans="1:19" x14ac:dyDescent="0.45">
      <c r="A4">
        <v>2027</v>
      </c>
      <c r="B4">
        <v>2060000</v>
      </c>
      <c r="C4">
        <v>0</v>
      </c>
      <c r="D4">
        <v>0</v>
      </c>
      <c r="E4">
        <v>0</v>
      </c>
      <c r="G4">
        <f t="shared" ref="G4:G42" si="0">A4-2027</f>
        <v>0</v>
      </c>
      <c r="J4">
        <v>23792000000</v>
      </c>
      <c r="K4">
        <f>J4*G3^-G4</f>
        <v>23792000000</v>
      </c>
      <c r="L4">
        <f>12*13500000000</f>
        <v>162000000000</v>
      </c>
      <c r="M4">
        <f>54*3200000000</f>
        <v>172800000000</v>
      </c>
      <c r="N4">
        <f>(L4+M4)*G3^G4</f>
        <v>334800000000</v>
      </c>
      <c r="S4" t="s">
        <v>25</v>
      </c>
    </row>
    <row r="5" spans="1:19" x14ac:dyDescent="0.45">
      <c r="A5">
        <v>2028</v>
      </c>
      <c r="B5">
        <v>2640000</v>
      </c>
      <c r="C5">
        <v>0</v>
      </c>
      <c r="D5">
        <v>0</v>
      </c>
      <c r="E5">
        <v>0</v>
      </c>
      <c r="G5">
        <f t="shared" si="0"/>
        <v>1</v>
      </c>
      <c r="J5">
        <v>27228000000</v>
      </c>
      <c r="K5">
        <f>J5*G3^-G5</f>
        <v>26694117647.058823</v>
      </c>
    </row>
    <row r="6" spans="1:19" x14ac:dyDescent="0.45">
      <c r="A6">
        <v>2029</v>
      </c>
      <c r="B6">
        <v>2640000</v>
      </c>
      <c r="C6">
        <v>0</v>
      </c>
      <c r="D6">
        <v>0</v>
      </c>
      <c r="E6">
        <v>0</v>
      </c>
      <c r="G6">
        <f t="shared" si="0"/>
        <v>2</v>
      </c>
      <c r="J6">
        <v>27262000000</v>
      </c>
      <c r="K6">
        <f>J6*G3^-G6</f>
        <v>26203383314.109959</v>
      </c>
    </row>
    <row r="7" spans="1:19" x14ac:dyDescent="0.45">
      <c r="A7">
        <v>2030</v>
      </c>
      <c r="B7">
        <v>2640000</v>
      </c>
      <c r="C7">
        <v>0</v>
      </c>
      <c r="D7">
        <v>0</v>
      </c>
      <c r="E7">
        <v>0</v>
      </c>
      <c r="G7">
        <f t="shared" si="0"/>
        <v>3</v>
      </c>
      <c r="J7">
        <v>27300000000</v>
      </c>
      <c r="K7">
        <f>J7*G3^-G7</f>
        <v>25725399733.134319</v>
      </c>
      <c r="L7">
        <f>24*13500000000</f>
        <v>324000000000</v>
      </c>
      <c r="M7">
        <f>108*3200000000</f>
        <v>345600000000</v>
      </c>
      <c r="N7">
        <f>(L7+M7)*G3^-G7</f>
        <v>630979035212.70105</v>
      </c>
    </row>
    <row r="8" spans="1:19" x14ac:dyDescent="0.45">
      <c r="A8">
        <v>2031</v>
      </c>
      <c r="B8">
        <v>2640000</v>
      </c>
      <c r="C8">
        <v>1689000</v>
      </c>
      <c r="D8">
        <v>0</v>
      </c>
      <c r="E8">
        <v>0</v>
      </c>
      <c r="G8">
        <f t="shared" si="0"/>
        <v>4</v>
      </c>
      <c r="J8">
        <v>60386000000</v>
      </c>
      <c r="K8">
        <f>J8*G3^-G8</f>
        <v>55787329896.037086</v>
      </c>
    </row>
    <row r="9" spans="1:19" x14ac:dyDescent="0.45">
      <c r="A9">
        <v>2032</v>
      </c>
      <c r="B9">
        <v>2640000</v>
      </c>
      <c r="C9">
        <v>2213000</v>
      </c>
      <c r="D9">
        <v>0</v>
      </c>
      <c r="E9">
        <v>0</v>
      </c>
      <c r="G9">
        <f t="shared" si="0"/>
        <v>5</v>
      </c>
      <c r="J9">
        <v>63511000000</v>
      </c>
      <c r="K9">
        <f>J9*G3^-G9</f>
        <v>57523869463.107788</v>
      </c>
    </row>
    <row r="10" spans="1:19" x14ac:dyDescent="0.45">
      <c r="A10">
        <v>2033</v>
      </c>
      <c r="B10">
        <v>2640000</v>
      </c>
      <c r="C10">
        <v>2715000</v>
      </c>
      <c r="D10">
        <v>0</v>
      </c>
      <c r="E10">
        <v>0</v>
      </c>
      <c r="G10">
        <f t="shared" si="0"/>
        <v>6</v>
      </c>
      <c r="J10">
        <v>66531000000</v>
      </c>
      <c r="K10">
        <f>J10*G3^-G10</f>
        <v>59077624028.229538</v>
      </c>
    </row>
    <row r="11" spans="1:19" x14ac:dyDescent="0.45">
      <c r="A11">
        <v>2034</v>
      </c>
      <c r="B11">
        <v>2640000</v>
      </c>
      <c r="C11">
        <v>3192000</v>
      </c>
      <c r="D11">
        <v>0</v>
      </c>
      <c r="E11">
        <v>0</v>
      </c>
      <c r="G11">
        <f t="shared" si="0"/>
        <v>7</v>
      </c>
      <c r="J11">
        <v>69419000000</v>
      </c>
      <c r="K11">
        <f>J11*G3^-G11</f>
        <v>60433417039.199287</v>
      </c>
    </row>
    <row r="12" spans="1:19" x14ac:dyDescent="0.45">
      <c r="A12">
        <v>2035</v>
      </c>
      <c r="B12">
        <v>2640000</v>
      </c>
      <c r="C12">
        <v>3651000</v>
      </c>
      <c r="D12">
        <v>0</v>
      </c>
      <c r="E12">
        <v>0</v>
      </c>
      <c r="G12">
        <f t="shared" si="0"/>
        <v>8</v>
      </c>
      <c r="J12">
        <v>72208000000</v>
      </c>
      <c r="K12">
        <f>J12*G3^-G12</f>
        <v>61628832722.895576</v>
      </c>
    </row>
    <row r="13" spans="1:19" x14ac:dyDescent="0.45">
      <c r="A13">
        <v>2036</v>
      </c>
      <c r="B13">
        <v>2640000</v>
      </c>
      <c r="C13">
        <v>4093000</v>
      </c>
      <c r="D13">
        <v>0</v>
      </c>
      <c r="E13">
        <v>0</v>
      </c>
      <c r="G13">
        <f t="shared" si="0"/>
        <v>9</v>
      </c>
      <c r="J13">
        <v>96740000000</v>
      </c>
      <c r="K13">
        <f>J13*G3^-G13</f>
        <v>80947704420.520981</v>
      </c>
      <c r="L13">
        <f>23*13500000000</f>
        <v>310500000000</v>
      </c>
      <c r="M13">
        <f>102*3200000000</f>
        <v>326400000000</v>
      </c>
      <c r="N13">
        <f>(L13+M13)*G3^-G13</f>
        <v>532929428834.2962</v>
      </c>
    </row>
    <row r="14" spans="1:19" x14ac:dyDescent="0.45">
      <c r="A14">
        <v>2037</v>
      </c>
      <c r="B14">
        <v>2640000</v>
      </c>
      <c r="C14">
        <v>4528000</v>
      </c>
      <c r="D14">
        <v>0</v>
      </c>
      <c r="E14">
        <v>0</v>
      </c>
      <c r="G14">
        <f t="shared" si="0"/>
        <v>10</v>
      </c>
      <c r="J14">
        <v>99395000000</v>
      </c>
      <c r="K14">
        <f>J14*G3^-G14</f>
        <v>81538519266.091064</v>
      </c>
    </row>
    <row r="15" spans="1:19" x14ac:dyDescent="0.45">
      <c r="A15">
        <v>2038</v>
      </c>
      <c r="B15">
        <v>2640000</v>
      </c>
      <c r="C15">
        <v>4943000</v>
      </c>
      <c r="D15">
        <v>0</v>
      </c>
      <c r="E15">
        <v>0</v>
      </c>
      <c r="G15">
        <f t="shared" si="0"/>
        <v>11</v>
      </c>
      <c r="J15">
        <v>101940000000</v>
      </c>
      <c r="K15">
        <f>J15*G3^-G15</f>
        <v>81986574205.169952</v>
      </c>
    </row>
    <row r="16" spans="1:19" x14ac:dyDescent="0.45">
      <c r="A16">
        <v>2039</v>
      </c>
      <c r="B16">
        <v>2640000</v>
      </c>
      <c r="C16">
        <v>5280000</v>
      </c>
      <c r="D16">
        <v>0</v>
      </c>
      <c r="E16">
        <v>0</v>
      </c>
      <c r="G16">
        <f t="shared" si="0"/>
        <v>12</v>
      </c>
      <c r="J16">
        <v>104620000000</v>
      </c>
      <c r="K16">
        <f>J16*G3^-G16</f>
        <v>82492156029.35289</v>
      </c>
    </row>
    <row r="17" spans="1:17" x14ac:dyDescent="0.45">
      <c r="A17">
        <v>2040</v>
      </c>
      <c r="B17">
        <v>2640000</v>
      </c>
      <c r="C17">
        <v>5280000</v>
      </c>
      <c r="D17">
        <v>161000</v>
      </c>
      <c r="E17">
        <v>64000</v>
      </c>
      <c r="G17">
        <f t="shared" si="0"/>
        <v>13</v>
      </c>
      <c r="J17">
        <v>107967000000</v>
      </c>
      <c r="K17">
        <f>J17*G3^-G17</f>
        <v>83462002635.318344</v>
      </c>
    </row>
    <row r="18" spans="1:17" x14ac:dyDescent="0.45">
      <c r="A18">
        <v>2041</v>
      </c>
      <c r="B18">
        <v>2640000</v>
      </c>
      <c r="C18">
        <v>5280000</v>
      </c>
      <c r="D18">
        <v>536000</v>
      </c>
      <c r="E18">
        <v>290000</v>
      </c>
      <c r="G18">
        <f t="shared" si="0"/>
        <v>14</v>
      </c>
      <c r="J18">
        <v>110715000000</v>
      </c>
      <c r="K18">
        <f>J18*G3^-G18</f>
        <v>83908133347.292465</v>
      </c>
    </row>
    <row r="19" spans="1:17" x14ac:dyDescent="0.45">
      <c r="A19">
        <v>2042</v>
      </c>
      <c r="B19">
        <v>2640000</v>
      </c>
      <c r="C19">
        <v>5280000</v>
      </c>
      <c r="D19">
        <v>897000</v>
      </c>
      <c r="E19">
        <v>290000</v>
      </c>
      <c r="G19">
        <f t="shared" si="0"/>
        <v>15</v>
      </c>
      <c r="J19">
        <v>113373000000</v>
      </c>
      <c r="K19">
        <f>J19*G3^-G19</f>
        <v>84237808982.988388</v>
      </c>
    </row>
    <row r="20" spans="1:17" x14ac:dyDescent="0.45">
      <c r="A20">
        <v>2043</v>
      </c>
      <c r="B20">
        <v>2640000</v>
      </c>
      <c r="C20">
        <v>5280000</v>
      </c>
      <c r="D20">
        <v>1244000</v>
      </c>
      <c r="E20">
        <v>290000</v>
      </c>
      <c r="G20">
        <f t="shared" si="0"/>
        <v>16</v>
      </c>
      <c r="J20">
        <v>115931000000</v>
      </c>
      <c r="K20">
        <f>J20*G3^-G20</f>
        <v>84449451629.70491</v>
      </c>
    </row>
    <row r="21" spans="1:17" x14ac:dyDescent="0.45">
      <c r="A21">
        <v>2044</v>
      </c>
      <c r="B21">
        <v>2640000</v>
      </c>
      <c r="C21">
        <v>5280000</v>
      </c>
      <c r="D21">
        <v>1573000</v>
      </c>
      <c r="E21">
        <v>290000</v>
      </c>
      <c r="G21">
        <f t="shared" si="0"/>
        <v>17</v>
      </c>
      <c r="J21">
        <v>118381000000</v>
      </c>
      <c r="K21">
        <f>J21*G3^-G21</f>
        <v>84543278307.16156</v>
      </c>
    </row>
    <row r="22" spans="1:17" x14ac:dyDescent="0.45">
      <c r="A22">
        <v>2045</v>
      </c>
      <c r="B22">
        <v>2640000</v>
      </c>
      <c r="C22">
        <v>5280000</v>
      </c>
      <c r="D22">
        <v>1894000</v>
      </c>
      <c r="E22">
        <v>290000</v>
      </c>
      <c r="G22">
        <f t="shared" si="0"/>
        <v>18</v>
      </c>
      <c r="J22">
        <v>120779000000</v>
      </c>
      <c r="K22">
        <f>J22*G3^-G22</f>
        <v>84564549148.973022</v>
      </c>
    </row>
    <row r="23" spans="1:17" x14ac:dyDescent="0.45">
      <c r="A23">
        <v>2046</v>
      </c>
      <c r="B23">
        <v>2640000</v>
      </c>
      <c r="C23">
        <v>5280000</v>
      </c>
      <c r="D23">
        <v>2203000</v>
      </c>
      <c r="E23">
        <v>290000</v>
      </c>
      <c r="G23">
        <f t="shared" si="0"/>
        <v>19</v>
      </c>
      <c r="J23">
        <v>123106000000</v>
      </c>
      <c r="K23">
        <f>J23*G3^-G23</f>
        <v>84503745112.272568</v>
      </c>
    </row>
    <row r="24" spans="1:17" x14ac:dyDescent="0.45">
      <c r="A24">
        <v>2047</v>
      </c>
      <c r="B24">
        <v>2640000</v>
      </c>
      <c r="C24">
        <v>5280000</v>
      </c>
      <c r="D24">
        <v>2507000</v>
      </c>
      <c r="E24">
        <v>290000</v>
      </c>
      <c r="G24">
        <f t="shared" si="0"/>
        <v>20</v>
      </c>
      <c r="J24">
        <v>125404000000</v>
      </c>
      <c r="K24">
        <f>J24*G3^-G24</f>
        <v>84393297057.082886</v>
      </c>
      <c r="O24">
        <v>162000000000</v>
      </c>
      <c r="P24">
        <v>172800000000</v>
      </c>
      <c r="Q24">
        <f>(O24+P24)*G3^-G24</f>
        <v>225310802324.57776</v>
      </c>
    </row>
    <row r="25" spans="1:17" x14ac:dyDescent="0.45">
      <c r="A25">
        <v>2048</v>
      </c>
      <c r="B25">
        <v>2640000</v>
      </c>
      <c r="C25">
        <v>5280000</v>
      </c>
      <c r="D25">
        <v>2813000</v>
      </c>
      <c r="E25">
        <v>290000</v>
      </c>
      <c r="G25">
        <f t="shared" si="0"/>
        <v>21</v>
      </c>
      <c r="J25">
        <v>127720000000</v>
      </c>
      <c r="K25">
        <f>J25*G3^-G25</f>
        <v>84266567318.197189</v>
      </c>
    </row>
    <row r="26" spans="1:17" x14ac:dyDescent="0.45">
      <c r="A26">
        <v>2049</v>
      </c>
      <c r="B26">
        <v>2640000</v>
      </c>
      <c r="C26">
        <v>5280000</v>
      </c>
      <c r="D26">
        <v>3122000</v>
      </c>
      <c r="E26">
        <v>290000</v>
      </c>
      <c r="G26">
        <f t="shared" si="0"/>
        <v>22</v>
      </c>
      <c r="J26">
        <v>130063000000</v>
      </c>
      <c r="K26">
        <f>J26*G3^-G26</f>
        <v>84129825545.975891</v>
      </c>
    </row>
    <row r="27" spans="1:17" x14ac:dyDescent="0.45">
      <c r="A27">
        <v>2050</v>
      </c>
      <c r="B27">
        <v>2640000</v>
      </c>
      <c r="C27">
        <v>5280000</v>
      </c>
      <c r="D27">
        <v>3431000</v>
      </c>
      <c r="E27">
        <v>290000</v>
      </c>
      <c r="G27">
        <f t="shared" si="0"/>
        <v>23</v>
      </c>
      <c r="J27">
        <v>132418000000</v>
      </c>
      <c r="K27">
        <f>J27*G3^-G27</f>
        <v>83973658309.683685</v>
      </c>
      <c r="O27">
        <v>324000000000</v>
      </c>
      <c r="P27">
        <v>345600000000</v>
      </c>
      <c r="Q27">
        <f>(O27+P27)*G3^-G27</f>
        <v>424630802490.32758</v>
      </c>
    </row>
    <row r="28" spans="1:17" x14ac:dyDescent="0.45">
      <c r="A28">
        <v>2051</v>
      </c>
      <c r="B28">
        <v>2640000</v>
      </c>
      <c r="C28">
        <v>5280000</v>
      </c>
      <c r="D28">
        <v>3431000</v>
      </c>
      <c r="E28">
        <v>290000</v>
      </c>
      <c r="G28">
        <f t="shared" si="0"/>
        <v>24</v>
      </c>
      <c r="J28">
        <v>132418000000</v>
      </c>
      <c r="K28">
        <f>J28*G3^-G28</f>
        <v>82327115989.885956</v>
      </c>
    </row>
    <row r="29" spans="1:17" x14ac:dyDescent="0.45">
      <c r="A29">
        <v>2052</v>
      </c>
      <c r="B29">
        <v>2640000</v>
      </c>
      <c r="C29">
        <v>5280000</v>
      </c>
      <c r="D29">
        <v>3431000</v>
      </c>
      <c r="E29">
        <v>290000</v>
      </c>
      <c r="G29">
        <f t="shared" si="0"/>
        <v>25</v>
      </c>
      <c r="J29">
        <v>132418000000</v>
      </c>
      <c r="K29">
        <f>J29*G3^-G29</f>
        <v>80712858813.613693</v>
      </c>
    </row>
    <row r="30" spans="1:17" x14ac:dyDescent="0.45">
      <c r="A30">
        <v>2053</v>
      </c>
      <c r="B30">
        <v>2640000</v>
      </c>
      <c r="C30">
        <v>5280000</v>
      </c>
      <c r="D30">
        <v>3431000</v>
      </c>
      <c r="E30">
        <v>290000</v>
      </c>
      <c r="G30">
        <f t="shared" si="0"/>
        <v>26</v>
      </c>
      <c r="J30">
        <v>132418000000</v>
      </c>
      <c r="K30">
        <f>J30*G3^-G30</f>
        <v>79130253738.836945</v>
      </c>
    </row>
    <row r="31" spans="1:17" x14ac:dyDescent="0.45">
      <c r="A31">
        <v>2054</v>
      </c>
      <c r="B31">
        <v>2640000</v>
      </c>
      <c r="C31">
        <v>5280000</v>
      </c>
      <c r="D31">
        <v>3431000</v>
      </c>
      <c r="E31">
        <v>290000</v>
      </c>
      <c r="G31">
        <f t="shared" si="0"/>
        <v>27</v>
      </c>
      <c r="J31">
        <v>132418000000</v>
      </c>
      <c r="K31">
        <f>J31*G3^-G31</f>
        <v>77578680136.11467</v>
      </c>
    </row>
    <row r="32" spans="1:17" x14ac:dyDescent="0.45">
      <c r="A32">
        <v>2055</v>
      </c>
      <c r="B32">
        <v>2640000</v>
      </c>
      <c r="C32">
        <v>5280000</v>
      </c>
      <c r="D32">
        <v>3431000</v>
      </c>
      <c r="E32">
        <v>290000</v>
      </c>
      <c r="G32">
        <f t="shared" si="0"/>
        <v>28</v>
      </c>
      <c r="J32">
        <v>132418000000</v>
      </c>
      <c r="K32">
        <f>J32*G3^-G32</f>
        <v>76057529545.210434</v>
      </c>
      <c r="O32">
        <v>310500000000</v>
      </c>
      <c r="P32">
        <v>326400000000</v>
      </c>
      <c r="Q32">
        <f>(O32+P32)*G3^-G32</f>
        <v>365819152738.6347</v>
      </c>
    </row>
    <row r="33" spans="1:17" x14ac:dyDescent="0.45">
      <c r="A33">
        <v>2056</v>
      </c>
      <c r="B33">
        <v>2640000</v>
      </c>
      <c r="C33">
        <v>5280000</v>
      </c>
      <c r="D33">
        <v>3431000</v>
      </c>
      <c r="E33">
        <v>290000</v>
      </c>
      <c r="G33">
        <f t="shared" si="0"/>
        <v>29</v>
      </c>
      <c r="J33">
        <v>132418000000</v>
      </c>
      <c r="K33">
        <f>J33*G3^-G33</f>
        <v>74566205436.480835</v>
      </c>
    </row>
    <row r="34" spans="1:17" x14ac:dyDescent="0.45">
      <c r="A34">
        <v>2057</v>
      </c>
      <c r="B34">
        <v>2640000</v>
      </c>
      <c r="C34">
        <v>5280000</v>
      </c>
      <c r="D34">
        <v>3431000</v>
      </c>
      <c r="E34">
        <v>290000</v>
      </c>
      <c r="G34">
        <f t="shared" si="0"/>
        <v>30</v>
      </c>
      <c r="J34">
        <v>104510000000</v>
      </c>
      <c r="K34">
        <f>J34*G3^-G34</f>
        <v>57696928607.290596</v>
      </c>
      <c r="O34">
        <v>-81000000000</v>
      </c>
      <c r="P34">
        <v>-86400000000</v>
      </c>
      <c r="Q34">
        <f>(O34+P34)*G3^-G34</f>
        <v>-92416666815.237259</v>
      </c>
    </row>
    <row r="35" spans="1:17" x14ac:dyDescent="0.45">
      <c r="A35">
        <v>2058</v>
      </c>
      <c r="B35">
        <v>2640000</v>
      </c>
      <c r="C35">
        <v>5280000</v>
      </c>
      <c r="D35">
        <v>3431000</v>
      </c>
      <c r="E35">
        <v>290000</v>
      </c>
      <c r="G35">
        <f t="shared" si="0"/>
        <v>31</v>
      </c>
      <c r="J35">
        <v>104510000000</v>
      </c>
      <c r="K35">
        <f>J35*G3^-G35</f>
        <v>56565616281.657471</v>
      </c>
    </row>
    <row r="36" spans="1:17" x14ac:dyDescent="0.45">
      <c r="A36">
        <v>2059</v>
      </c>
      <c r="B36">
        <v>2640000</v>
      </c>
      <c r="C36">
        <v>5280000</v>
      </c>
      <c r="D36">
        <v>3431000</v>
      </c>
      <c r="E36">
        <v>290000</v>
      </c>
      <c r="G36">
        <f t="shared" si="0"/>
        <v>32</v>
      </c>
      <c r="J36">
        <v>104510000000</v>
      </c>
      <c r="K36">
        <f>J36*G3^-G36</f>
        <v>55456486550.644562</v>
      </c>
    </row>
    <row r="37" spans="1:17" x14ac:dyDescent="0.45">
      <c r="A37">
        <v>2060</v>
      </c>
      <c r="B37">
        <v>2640000</v>
      </c>
      <c r="C37">
        <v>5280000</v>
      </c>
      <c r="D37">
        <v>3431000</v>
      </c>
      <c r="E37">
        <v>290000</v>
      </c>
      <c r="G37">
        <f t="shared" si="0"/>
        <v>33</v>
      </c>
      <c r="J37">
        <v>104510000000</v>
      </c>
      <c r="K37">
        <f>J37*G3^-G37</f>
        <v>54369104461.416229</v>
      </c>
      <c r="O37">
        <v>-162000000000</v>
      </c>
      <c r="P37">
        <v>-172800000000</v>
      </c>
      <c r="Q37">
        <f>(O37+P37)*G3^-G37</f>
        <v>-174172578448.78149</v>
      </c>
    </row>
    <row r="38" spans="1:17" x14ac:dyDescent="0.45">
      <c r="A38">
        <v>2061</v>
      </c>
      <c r="B38">
        <v>2640000</v>
      </c>
      <c r="C38">
        <v>5280000</v>
      </c>
      <c r="D38">
        <v>3431000</v>
      </c>
      <c r="E38">
        <v>290000</v>
      </c>
      <c r="G38">
        <f t="shared" si="0"/>
        <v>34</v>
      </c>
      <c r="J38">
        <v>49380000000</v>
      </c>
      <c r="K38">
        <f>J38*G3^-G38</f>
        <v>25185190818.635742</v>
      </c>
    </row>
    <row r="39" spans="1:17" x14ac:dyDescent="0.45">
      <c r="A39">
        <v>2062</v>
      </c>
      <c r="B39">
        <v>2640000</v>
      </c>
      <c r="C39">
        <v>5280000</v>
      </c>
      <c r="D39">
        <v>3431000</v>
      </c>
      <c r="E39">
        <v>290000</v>
      </c>
      <c r="G39">
        <f t="shared" si="0"/>
        <v>35</v>
      </c>
      <c r="J39">
        <v>49380000000</v>
      </c>
      <c r="K39">
        <f>J39*G3^-G39</f>
        <v>24691363547.682102</v>
      </c>
    </row>
    <row r="40" spans="1:17" x14ac:dyDescent="0.45">
      <c r="A40">
        <v>2063</v>
      </c>
      <c r="B40">
        <v>2640000</v>
      </c>
      <c r="C40">
        <v>5280000</v>
      </c>
      <c r="D40">
        <v>3431000</v>
      </c>
      <c r="E40">
        <v>290000</v>
      </c>
      <c r="G40">
        <f t="shared" si="0"/>
        <v>36</v>
      </c>
      <c r="J40">
        <v>49380000000</v>
      </c>
      <c r="K40">
        <f>J40*G3^-G40</f>
        <v>24207219164.394218</v>
      </c>
    </row>
    <row r="41" spans="1:17" x14ac:dyDescent="0.45">
      <c r="A41">
        <v>2064</v>
      </c>
      <c r="B41">
        <v>2640000</v>
      </c>
      <c r="C41">
        <v>5280000</v>
      </c>
      <c r="D41">
        <v>3431000</v>
      </c>
      <c r="E41">
        <v>290000</v>
      </c>
      <c r="G41">
        <f t="shared" si="0"/>
        <v>37</v>
      </c>
      <c r="J41">
        <v>49380000000</v>
      </c>
      <c r="K41">
        <f>J41*G3^-G41</f>
        <v>23732567808.229626</v>
      </c>
    </row>
    <row r="42" spans="1:17" x14ac:dyDescent="0.45">
      <c r="A42">
        <v>2065</v>
      </c>
      <c r="B42">
        <v>2640000</v>
      </c>
      <c r="C42">
        <v>5280000</v>
      </c>
      <c r="D42">
        <v>3431000</v>
      </c>
      <c r="E42">
        <v>290000</v>
      </c>
      <c r="G42">
        <f t="shared" si="0"/>
        <v>38</v>
      </c>
      <c r="J42">
        <v>49380000000</v>
      </c>
      <c r="K42">
        <f>J42*G3^-G42</f>
        <v>23267223341.401588</v>
      </c>
      <c r="O42">
        <v>-155250000000</v>
      </c>
      <c r="P42">
        <v>-163200000000</v>
      </c>
      <c r="Q42">
        <f>(O42+P42)*G3^-G42</f>
        <v>-150049560005.45435</v>
      </c>
    </row>
    <row r="44" spans="1:17" x14ac:dyDescent="0.45">
      <c r="B44">
        <f>SUM(B4:B42)</f>
        <v>102380000</v>
      </c>
      <c r="C44">
        <f t="shared" ref="C44:E44" si="1">SUM(C4:C42)</f>
        <v>169584000</v>
      </c>
      <c r="D44">
        <f t="shared" si="1"/>
        <v>71846000</v>
      </c>
      <c r="E44">
        <f t="shared" si="1"/>
        <v>7314000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B900-9D26-4CDC-959E-D8BA74FCE6EC}">
  <dimension ref="A1:AA42"/>
  <sheetViews>
    <sheetView workbookViewId="0">
      <selection activeCell="I3" sqref="I3"/>
    </sheetView>
  </sheetViews>
  <sheetFormatPr defaultRowHeight="17" x14ac:dyDescent="0.45"/>
  <cols>
    <col min="4" max="5" width="11.33203125" customWidth="1"/>
    <col min="6" max="6" width="12.5" customWidth="1"/>
    <col min="7" max="7" width="9.5" bestFit="1" customWidth="1"/>
    <col min="13" max="13" width="13" customWidth="1"/>
    <col min="14" max="14" width="10.33203125" customWidth="1"/>
    <col min="16" max="16" width="10.5" bestFit="1" customWidth="1"/>
    <col min="17" max="17" width="11.83203125" customWidth="1"/>
    <col min="18" max="18" width="9.5" customWidth="1"/>
    <col min="19" max="19" width="11.58203125" bestFit="1" customWidth="1"/>
    <col min="20" max="20" width="10.5" bestFit="1" customWidth="1"/>
    <col min="21" max="21" width="9.08203125" customWidth="1"/>
    <col min="23" max="23" width="12.25" customWidth="1"/>
    <col min="24" max="24" width="11.33203125" customWidth="1"/>
    <col min="25" max="25" width="11.75" customWidth="1"/>
    <col min="26" max="26" width="18" customWidth="1"/>
    <col min="27" max="27" width="14.5" customWidth="1"/>
    <col min="28" max="31" width="10.58203125" customWidth="1"/>
    <col min="34" max="34" width="17.08203125" customWidth="1"/>
  </cols>
  <sheetData>
    <row r="1" spans="1:27" x14ac:dyDescent="0.45">
      <c r="B1" t="s">
        <v>4</v>
      </c>
      <c r="D1" t="s">
        <v>26</v>
      </c>
      <c r="E1">
        <f>31651500*8</f>
        <v>253212000</v>
      </c>
      <c r="F1" t="s">
        <v>27</v>
      </c>
      <c r="G1">
        <f>11193000*6</f>
        <v>67158000</v>
      </c>
      <c r="I1" t="s">
        <v>28</v>
      </c>
      <c r="J1">
        <f>24*365</f>
        <v>8760</v>
      </c>
      <c r="M1" t="s">
        <v>30</v>
      </c>
      <c r="N1" t="s">
        <v>14</v>
      </c>
      <c r="P1" t="s">
        <v>29</v>
      </c>
      <c r="Q1" t="s">
        <v>14</v>
      </c>
      <c r="S1" t="s">
        <v>18</v>
      </c>
      <c r="T1" t="s">
        <v>13</v>
      </c>
      <c r="X1" t="s">
        <v>14</v>
      </c>
      <c r="Z1" t="s">
        <v>15</v>
      </c>
    </row>
    <row r="2" spans="1:27" x14ac:dyDescent="0.45">
      <c r="B2" t="s">
        <v>19</v>
      </c>
      <c r="C2" t="s">
        <v>20</v>
      </c>
      <c r="D2" t="s">
        <v>21</v>
      </c>
      <c r="E2" t="s">
        <v>3</v>
      </c>
      <c r="F2" t="s">
        <v>16</v>
      </c>
      <c r="I2" t="s">
        <v>17</v>
      </c>
      <c r="J2" s="5"/>
      <c r="L2" t="s">
        <v>12</v>
      </c>
      <c r="N2">
        <f>SUM(N3:N41)*1.0112*1.25</f>
        <v>18044539179.02282</v>
      </c>
      <c r="Q2">
        <f>SUM(Q3:Q41)</f>
        <v>4266532859.1290283</v>
      </c>
      <c r="S2" t="s">
        <v>22</v>
      </c>
      <c r="T2">
        <f>SUM(T3:T41)</f>
        <v>127541704827.82819</v>
      </c>
      <c r="V2" t="s">
        <v>23</v>
      </c>
      <c r="W2" t="s">
        <v>24</v>
      </c>
      <c r="X2">
        <f>SUM(X3:X41)</f>
        <v>709010734723.63721</v>
      </c>
      <c r="Z2" s="2">
        <f>X2+T2+Q2+N2</f>
        <v>858863511589.61719</v>
      </c>
    </row>
    <row r="3" spans="1:27" x14ac:dyDescent="0.45">
      <c r="A3">
        <v>2027</v>
      </c>
      <c r="B3">
        <v>2060000</v>
      </c>
      <c r="C3">
        <v>0</v>
      </c>
      <c r="D3">
        <v>0</v>
      </c>
      <c r="E3">
        <v>0</v>
      </c>
      <c r="F3">
        <f>B3+C3+D3+E3</f>
        <v>2060000</v>
      </c>
      <c r="H3">
        <v>2</v>
      </c>
      <c r="I3">
        <f>F3/(180)/365</f>
        <v>31.354642313546425</v>
      </c>
      <c r="J3">
        <f>I3/H3</f>
        <v>15.677321156773212</v>
      </c>
      <c r="L3">
        <f t="shared" ref="L3:L41" si="0">A3-2027</f>
        <v>0</v>
      </c>
      <c r="M3">
        <f>67158000*H3</f>
        <v>134316000</v>
      </c>
      <c r="N3">
        <f>M3*(1.02)^-L3</f>
        <v>134316000</v>
      </c>
      <c r="P3">
        <f>E1*2</f>
        <v>506424000</v>
      </c>
      <c r="Q3">
        <f>P3*(1.02)^L3</f>
        <v>506424000</v>
      </c>
      <c r="S3">
        <f>100000000*H3*6</f>
        <v>1200000000</v>
      </c>
      <c r="T3">
        <f t="shared" ref="T3:T41" si="1">S3*1.02^-L3</f>
        <v>1200000000</v>
      </c>
      <c r="V3">
        <f>36*71500000*1.052</f>
        <v>2707848000</v>
      </c>
      <c r="W3">
        <f>V3</f>
        <v>2707848000</v>
      </c>
      <c r="X3">
        <f t="shared" ref="X3:X41" si="2">W3*1.02^L3</f>
        <v>2707848000</v>
      </c>
      <c r="Z3" s="3" t="s">
        <v>50</v>
      </c>
    </row>
    <row r="4" spans="1:27" x14ac:dyDescent="0.45">
      <c r="A4">
        <v>2028</v>
      </c>
      <c r="B4">
        <v>2640000</v>
      </c>
      <c r="C4">
        <v>0</v>
      </c>
      <c r="D4">
        <v>0</v>
      </c>
      <c r="E4">
        <v>0</v>
      </c>
      <c r="F4">
        <f t="shared" ref="F4:F41" si="3">B4+C4+D4+E4</f>
        <v>2640000</v>
      </c>
      <c r="H4">
        <v>2</v>
      </c>
      <c r="I4">
        <f t="shared" ref="I4:I42" si="4">F4/(180)/365</f>
        <v>40.182648401826484</v>
      </c>
      <c r="J4">
        <f t="shared" ref="J4:J41" si="5">I4/H4</f>
        <v>20.091324200913242</v>
      </c>
      <c r="L4">
        <f t="shared" si="0"/>
        <v>1</v>
      </c>
      <c r="M4">
        <f t="shared" ref="M4:M41" si="6">67158000*H4</f>
        <v>134316000</v>
      </c>
      <c r="N4">
        <f t="shared" ref="N4:N41" si="7">M4*(1.02)^-L4</f>
        <v>131682352.94117646</v>
      </c>
      <c r="S4">
        <f t="shared" ref="S4:S41" si="8">100000000*H4*6</f>
        <v>1200000000</v>
      </c>
      <c r="T4">
        <f t="shared" si="1"/>
        <v>1176470588.2352941</v>
      </c>
      <c r="V4">
        <f t="shared" ref="V4:V6" si="9">36*71500000*1.052</f>
        <v>2707848000</v>
      </c>
      <c r="W4">
        <f t="shared" ref="W4:W41" si="10">V4</f>
        <v>2707848000</v>
      </c>
      <c r="X4">
        <f t="shared" si="2"/>
        <v>2762004960</v>
      </c>
    </row>
    <row r="5" spans="1:27" x14ac:dyDescent="0.45">
      <c r="A5">
        <v>2029</v>
      </c>
      <c r="B5">
        <v>2640000</v>
      </c>
      <c r="C5">
        <v>0</v>
      </c>
      <c r="D5">
        <v>0</v>
      </c>
      <c r="E5">
        <v>0</v>
      </c>
      <c r="F5">
        <f t="shared" si="3"/>
        <v>2640000</v>
      </c>
      <c r="H5">
        <v>2</v>
      </c>
      <c r="I5">
        <f t="shared" si="4"/>
        <v>40.182648401826484</v>
      </c>
      <c r="J5">
        <f t="shared" si="5"/>
        <v>20.091324200913242</v>
      </c>
      <c r="L5">
        <f t="shared" si="0"/>
        <v>2</v>
      </c>
      <c r="M5">
        <f t="shared" si="6"/>
        <v>134316000</v>
      </c>
      <c r="N5">
        <f t="shared" si="7"/>
        <v>129100346.02076125</v>
      </c>
      <c r="S5">
        <f t="shared" si="8"/>
        <v>1200000000</v>
      </c>
      <c r="T5">
        <f t="shared" si="1"/>
        <v>1153402537.4855826</v>
      </c>
      <c r="V5">
        <f t="shared" si="9"/>
        <v>2707848000</v>
      </c>
      <c r="W5">
        <f t="shared" si="10"/>
        <v>2707848000</v>
      </c>
      <c r="X5">
        <f t="shared" si="2"/>
        <v>2817245059.1999998</v>
      </c>
      <c r="Z5" t="s">
        <v>38</v>
      </c>
    </row>
    <row r="6" spans="1:27" x14ac:dyDescent="0.45">
      <c r="A6">
        <v>2030</v>
      </c>
      <c r="B6">
        <v>2640000</v>
      </c>
      <c r="C6">
        <v>0</v>
      </c>
      <c r="D6">
        <v>0</v>
      </c>
      <c r="E6">
        <v>0</v>
      </c>
      <c r="F6">
        <f t="shared" si="3"/>
        <v>2640000</v>
      </c>
      <c r="H6">
        <v>2</v>
      </c>
      <c r="I6">
        <f t="shared" si="4"/>
        <v>40.182648401826484</v>
      </c>
      <c r="J6">
        <f t="shared" si="5"/>
        <v>20.091324200913242</v>
      </c>
      <c r="L6">
        <f t="shared" si="0"/>
        <v>3</v>
      </c>
      <c r="M6">
        <f t="shared" si="6"/>
        <v>134316000</v>
      </c>
      <c r="N6">
        <f t="shared" si="7"/>
        <v>126568966.68702084</v>
      </c>
      <c r="S6">
        <f t="shared" si="8"/>
        <v>1200000000</v>
      </c>
      <c r="T6">
        <f t="shared" si="1"/>
        <v>1130786801.4564536</v>
      </c>
      <c r="V6">
        <f t="shared" si="9"/>
        <v>2707848000</v>
      </c>
      <c r="W6">
        <f t="shared" si="10"/>
        <v>2707848000</v>
      </c>
      <c r="X6">
        <f t="shared" si="2"/>
        <v>2873589960.3839998</v>
      </c>
      <c r="Z6">
        <f>4.5636-0.8586</f>
        <v>3.7050000000000001</v>
      </c>
      <c r="AA6" t="s">
        <v>37</v>
      </c>
    </row>
    <row r="7" spans="1:27" x14ac:dyDescent="0.45">
      <c r="A7">
        <v>2031</v>
      </c>
      <c r="B7">
        <v>2640000</v>
      </c>
      <c r="C7">
        <v>1689000</v>
      </c>
      <c r="D7">
        <v>0</v>
      </c>
      <c r="E7">
        <v>0</v>
      </c>
      <c r="F7">
        <f t="shared" si="3"/>
        <v>4329000</v>
      </c>
      <c r="H7">
        <v>6</v>
      </c>
      <c r="I7">
        <f t="shared" si="4"/>
        <v>65.890410958904113</v>
      </c>
      <c r="J7">
        <f t="shared" si="5"/>
        <v>10.981735159817353</v>
      </c>
      <c r="L7">
        <f t="shared" si="0"/>
        <v>4</v>
      </c>
      <c r="M7">
        <f t="shared" si="6"/>
        <v>402948000</v>
      </c>
      <c r="N7">
        <f t="shared" si="7"/>
        <v>372261666.72653186</v>
      </c>
      <c r="P7">
        <f>E1*2</f>
        <v>506424000</v>
      </c>
      <c r="Q7">
        <f>P7*(1.02)^L7</f>
        <v>548169624.19584</v>
      </c>
      <c r="S7">
        <f t="shared" si="8"/>
        <v>3600000000</v>
      </c>
      <c r="T7">
        <f t="shared" si="1"/>
        <v>3325843533.6954513</v>
      </c>
      <c r="V7">
        <f>(36+75)*71500000*1.052</f>
        <v>8349198000</v>
      </c>
      <c r="W7">
        <f t="shared" si="10"/>
        <v>8349198000</v>
      </c>
      <c r="X7">
        <f t="shared" si="2"/>
        <v>9037440425.4076805</v>
      </c>
    </row>
    <row r="8" spans="1:27" x14ac:dyDescent="0.45">
      <c r="A8">
        <v>2032</v>
      </c>
      <c r="B8">
        <v>2640000</v>
      </c>
      <c r="C8">
        <v>2213000</v>
      </c>
      <c r="D8">
        <v>0</v>
      </c>
      <c r="E8">
        <v>0</v>
      </c>
      <c r="F8">
        <f t="shared" si="3"/>
        <v>4853000</v>
      </c>
      <c r="H8">
        <v>6</v>
      </c>
      <c r="I8">
        <f t="shared" si="4"/>
        <v>73.866057838660581</v>
      </c>
      <c r="J8">
        <f t="shared" si="5"/>
        <v>12.311009639776763</v>
      </c>
      <c r="L8">
        <f t="shared" si="0"/>
        <v>5</v>
      </c>
      <c r="M8">
        <f t="shared" si="6"/>
        <v>402948000</v>
      </c>
      <c r="N8">
        <f t="shared" si="7"/>
        <v>364962418.35934496</v>
      </c>
      <c r="S8">
        <f t="shared" si="8"/>
        <v>3600000000</v>
      </c>
      <c r="T8">
        <f t="shared" si="1"/>
        <v>3260630915.3876972</v>
      </c>
      <c r="V8">
        <f t="shared" ref="V8:V13" si="11">(36+75)*71500000*1.052</f>
        <v>8349198000</v>
      </c>
      <c r="W8">
        <f t="shared" si="10"/>
        <v>8349198000</v>
      </c>
      <c r="X8">
        <f t="shared" si="2"/>
        <v>9218189233.9158344</v>
      </c>
    </row>
    <row r="9" spans="1:27" x14ac:dyDescent="0.45">
      <c r="A9">
        <v>2033</v>
      </c>
      <c r="B9">
        <v>2640000</v>
      </c>
      <c r="C9">
        <v>2715000</v>
      </c>
      <c r="D9">
        <v>0</v>
      </c>
      <c r="E9">
        <v>0</v>
      </c>
      <c r="F9">
        <f t="shared" si="3"/>
        <v>5355000</v>
      </c>
      <c r="H9">
        <v>6</v>
      </c>
      <c r="I9">
        <f t="shared" si="4"/>
        <v>81.506849315068493</v>
      </c>
      <c r="J9">
        <f t="shared" si="5"/>
        <v>13.584474885844749</v>
      </c>
      <c r="L9">
        <f t="shared" si="0"/>
        <v>6</v>
      </c>
      <c r="M9">
        <f t="shared" si="6"/>
        <v>402948000</v>
      </c>
      <c r="N9">
        <f t="shared" si="7"/>
        <v>357806292.50916171</v>
      </c>
      <c r="S9">
        <f t="shared" si="8"/>
        <v>3600000000</v>
      </c>
      <c r="T9">
        <f t="shared" si="1"/>
        <v>3196696975.8702912</v>
      </c>
      <c r="V9">
        <f t="shared" si="11"/>
        <v>8349198000</v>
      </c>
      <c r="W9">
        <f t="shared" si="10"/>
        <v>8349198000</v>
      </c>
      <c r="X9">
        <f t="shared" si="2"/>
        <v>9402553018.5941505</v>
      </c>
    </row>
    <row r="10" spans="1:27" x14ac:dyDescent="0.45">
      <c r="A10">
        <v>2034</v>
      </c>
      <c r="B10">
        <v>2640000</v>
      </c>
      <c r="C10">
        <v>3192000</v>
      </c>
      <c r="D10">
        <v>0</v>
      </c>
      <c r="E10">
        <v>0</v>
      </c>
      <c r="F10">
        <f t="shared" si="3"/>
        <v>5832000</v>
      </c>
      <c r="H10">
        <v>6</v>
      </c>
      <c r="I10">
        <f t="shared" si="4"/>
        <v>88.767123287671239</v>
      </c>
      <c r="J10">
        <f t="shared" si="5"/>
        <v>14.794520547945206</v>
      </c>
      <c r="L10">
        <f t="shared" si="0"/>
        <v>7</v>
      </c>
      <c r="M10">
        <f t="shared" si="6"/>
        <v>402948000</v>
      </c>
      <c r="N10">
        <f t="shared" si="7"/>
        <v>350790482.85211939</v>
      </c>
      <c r="S10">
        <f t="shared" si="8"/>
        <v>3600000000</v>
      </c>
      <c r="T10">
        <f t="shared" si="1"/>
        <v>3134016643.0100899</v>
      </c>
      <c r="V10">
        <f t="shared" si="11"/>
        <v>8349198000</v>
      </c>
      <c r="W10">
        <f t="shared" si="10"/>
        <v>8349198000</v>
      </c>
      <c r="X10">
        <f t="shared" si="2"/>
        <v>9590604078.966032</v>
      </c>
    </row>
    <row r="11" spans="1:27" x14ac:dyDescent="0.45">
      <c r="A11">
        <v>2035</v>
      </c>
      <c r="B11">
        <v>2640000</v>
      </c>
      <c r="C11">
        <v>3651000</v>
      </c>
      <c r="D11">
        <v>0</v>
      </c>
      <c r="E11">
        <v>0</v>
      </c>
      <c r="F11">
        <f t="shared" si="3"/>
        <v>6291000</v>
      </c>
      <c r="H11">
        <v>6</v>
      </c>
      <c r="I11">
        <f t="shared" si="4"/>
        <v>95.753424657534254</v>
      </c>
      <c r="J11">
        <f t="shared" si="5"/>
        <v>15.958904109589042</v>
      </c>
      <c r="L11">
        <f t="shared" si="0"/>
        <v>8</v>
      </c>
      <c r="M11">
        <f t="shared" si="6"/>
        <v>402948000</v>
      </c>
      <c r="N11">
        <f t="shared" si="7"/>
        <v>343912238.09031308</v>
      </c>
      <c r="S11">
        <f t="shared" si="8"/>
        <v>3600000000</v>
      </c>
      <c r="T11">
        <f t="shared" si="1"/>
        <v>3072565336.2844019</v>
      </c>
      <c r="V11">
        <f t="shared" si="11"/>
        <v>8349198000</v>
      </c>
      <c r="W11">
        <f t="shared" si="10"/>
        <v>8349198000</v>
      </c>
      <c r="X11">
        <f t="shared" si="2"/>
        <v>9782416160.5453529</v>
      </c>
    </row>
    <row r="12" spans="1:27" x14ac:dyDescent="0.45">
      <c r="A12">
        <v>2036</v>
      </c>
      <c r="B12">
        <v>2640000</v>
      </c>
      <c r="C12">
        <v>4093000</v>
      </c>
      <c r="D12">
        <v>0</v>
      </c>
      <c r="E12">
        <v>0</v>
      </c>
      <c r="F12">
        <f t="shared" si="3"/>
        <v>6733000</v>
      </c>
      <c r="H12">
        <v>6</v>
      </c>
      <c r="I12">
        <f t="shared" si="4"/>
        <v>102.48097412480973</v>
      </c>
      <c r="J12">
        <f t="shared" si="5"/>
        <v>17.080162354134956</v>
      </c>
      <c r="L12">
        <f t="shared" si="0"/>
        <v>9</v>
      </c>
      <c r="M12">
        <f t="shared" si="6"/>
        <v>402948000</v>
      </c>
      <c r="N12">
        <f t="shared" si="7"/>
        <v>337168860.87285596</v>
      </c>
      <c r="S12">
        <f t="shared" si="8"/>
        <v>3600000000</v>
      </c>
      <c r="T12">
        <f t="shared" si="1"/>
        <v>3012318957.1415706</v>
      </c>
      <c r="V12">
        <f t="shared" si="11"/>
        <v>8349198000</v>
      </c>
      <c r="W12">
        <f t="shared" si="10"/>
        <v>8349198000</v>
      </c>
      <c r="X12">
        <f t="shared" si="2"/>
        <v>9978064483.7562599</v>
      </c>
    </row>
    <row r="13" spans="1:27" x14ac:dyDescent="0.45">
      <c r="A13">
        <v>2037</v>
      </c>
      <c r="B13">
        <v>2640000</v>
      </c>
      <c r="C13">
        <v>4528000</v>
      </c>
      <c r="D13">
        <v>0</v>
      </c>
      <c r="E13">
        <v>0</v>
      </c>
      <c r="F13">
        <f t="shared" si="3"/>
        <v>7168000</v>
      </c>
      <c r="H13">
        <v>6</v>
      </c>
      <c r="I13">
        <f t="shared" si="4"/>
        <v>109.10197869101978</v>
      </c>
      <c r="J13">
        <f t="shared" si="5"/>
        <v>18.183663115169963</v>
      </c>
      <c r="L13">
        <f t="shared" si="0"/>
        <v>10</v>
      </c>
      <c r="M13">
        <f t="shared" si="6"/>
        <v>402948000</v>
      </c>
      <c r="N13">
        <f t="shared" si="7"/>
        <v>330557706.73809409</v>
      </c>
      <c r="S13">
        <f t="shared" si="8"/>
        <v>3600000000</v>
      </c>
      <c r="T13">
        <f t="shared" si="1"/>
        <v>2953253879.550559</v>
      </c>
      <c r="V13">
        <f t="shared" si="11"/>
        <v>8349198000</v>
      </c>
      <c r="W13">
        <f t="shared" si="10"/>
        <v>8349198000</v>
      </c>
      <c r="X13">
        <f t="shared" si="2"/>
        <v>10177625773.431387</v>
      </c>
    </row>
    <row r="14" spans="1:27" x14ac:dyDescent="0.45">
      <c r="A14">
        <v>2038</v>
      </c>
      <c r="B14">
        <v>2640000</v>
      </c>
      <c r="C14">
        <v>4943000</v>
      </c>
      <c r="D14">
        <v>0</v>
      </c>
      <c r="E14">
        <v>0</v>
      </c>
      <c r="F14">
        <f t="shared" si="3"/>
        <v>7583000</v>
      </c>
      <c r="H14">
        <v>6</v>
      </c>
      <c r="I14">
        <f t="shared" si="4"/>
        <v>115.4185692541857</v>
      </c>
      <c r="J14">
        <f t="shared" si="5"/>
        <v>19.236428209030951</v>
      </c>
      <c r="L14">
        <f t="shared" si="0"/>
        <v>11</v>
      </c>
      <c r="M14">
        <f t="shared" si="6"/>
        <v>402948000</v>
      </c>
      <c r="N14">
        <f t="shared" si="7"/>
        <v>324076183.07656288</v>
      </c>
      <c r="S14">
        <f t="shared" si="8"/>
        <v>3600000000</v>
      </c>
      <c r="T14">
        <f t="shared" si="1"/>
        <v>2895346940.7358427</v>
      </c>
      <c r="V14">
        <f>(36+75+71)*71500000*1.052</f>
        <v>13689676000</v>
      </c>
      <c r="W14">
        <f t="shared" si="10"/>
        <v>13689676000</v>
      </c>
      <c r="X14">
        <f t="shared" si="2"/>
        <v>17021391428.646866</v>
      </c>
    </row>
    <row r="15" spans="1:27" x14ac:dyDescent="0.45">
      <c r="A15">
        <v>2039</v>
      </c>
      <c r="B15">
        <v>2640000</v>
      </c>
      <c r="C15">
        <v>5280000</v>
      </c>
      <c r="D15">
        <v>0</v>
      </c>
      <c r="E15">
        <v>0</v>
      </c>
      <c r="F15">
        <f t="shared" si="3"/>
        <v>7920000</v>
      </c>
      <c r="H15">
        <v>6</v>
      </c>
      <c r="I15">
        <f t="shared" si="4"/>
        <v>120.54794520547945</v>
      </c>
      <c r="J15">
        <f t="shared" si="5"/>
        <v>20.091324200913242</v>
      </c>
      <c r="L15">
        <f t="shared" si="0"/>
        <v>12</v>
      </c>
      <c r="M15">
        <f t="shared" si="6"/>
        <v>402948000</v>
      </c>
      <c r="N15">
        <f t="shared" si="7"/>
        <v>317721748.1142773</v>
      </c>
      <c r="S15">
        <f t="shared" si="8"/>
        <v>3600000000</v>
      </c>
      <c r="T15">
        <f t="shared" si="1"/>
        <v>2838575432.0939631</v>
      </c>
      <c r="V15">
        <f t="shared" ref="V15:V41" si="12">(36+75+71)*71500000*1.052</f>
        <v>13689676000</v>
      </c>
      <c r="W15">
        <f t="shared" si="10"/>
        <v>13689676000</v>
      </c>
      <c r="X15">
        <f t="shared" si="2"/>
        <v>17361819257.219807</v>
      </c>
    </row>
    <row r="16" spans="1:27" x14ac:dyDescent="0.45">
      <c r="A16">
        <v>2040</v>
      </c>
      <c r="B16">
        <v>2640000</v>
      </c>
      <c r="C16">
        <v>5280000</v>
      </c>
      <c r="D16">
        <v>161000</v>
      </c>
      <c r="E16">
        <v>64000</v>
      </c>
      <c r="F16">
        <f t="shared" si="3"/>
        <v>8145000</v>
      </c>
      <c r="H16">
        <v>10</v>
      </c>
      <c r="I16">
        <f t="shared" si="4"/>
        <v>123.97260273972603</v>
      </c>
      <c r="J16">
        <f t="shared" si="5"/>
        <v>12.397260273972602</v>
      </c>
      <c r="L16">
        <f t="shared" si="0"/>
        <v>13</v>
      </c>
      <c r="M16">
        <f t="shared" si="6"/>
        <v>671580000</v>
      </c>
      <c r="N16">
        <f t="shared" si="7"/>
        <v>519153183.19326359</v>
      </c>
      <c r="P16">
        <f>E1*2</f>
        <v>506424000</v>
      </c>
      <c r="Q16">
        <f>P16*(1.02)^L16</f>
        <v>655113444.2209332</v>
      </c>
      <c r="S16">
        <f t="shared" si="8"/>
        <v>6000000000</v>
      </c>
      <c r="T16">
        <f t="shared" si="1"/>
        <v>4638195150.4803324</v>
      </c>
      <c r="V16">
        <f t="shared" si="12"/>
        <v>13689676000</v>
      </c>
      <c r="W16">
        <f t="shared" si="10"/>
        <v>13689676000</v>
      </c>
      <c r="X16">
        <f t="shared" si="2"/>
        <v>17709055642.364201</v>
      </c>
    </row>
    <row r="17" spans="1:24" x14ac:dyDescent="0.45">
      <c r="A17">
        <v>2041</v>
      </c>
      <c r="B17">
        <v>2640000</v>
      </c>
      <c r="C17">
        <v>5280000</v>
      </c>
      <c r="D17">
        <v>536000</v>
      </c>
      <c r="E17">
        <v>290000</v>
      </c>
      <c r="F17">
        <f t="shared" si="3"/>
        <v>8746000</v>
      </c>
      <c r="H17">
        <v>10</v>
      </c>
      <c r="I17">
        <f t="shared" si="4"/>
        <v>133.12024353120245</v>
      </c>
      <c r="J17">
        <f t="shared" si="5"/>
        <v>13.312024353120245</v>
      </c>
      <c r="L17">
        <f t="shared" si="0"/>
        <v>14</v>
      </c>
      <c r="M17">
        <f t="shared" si="6"/>
        <v>671580000</v>
      </c>
      <c r="N17">
        <f t="shared" si="7"/>
        <v>508973709.01300347</v>
      </c>
      <c r="S17">
        <f t="shared" si="8"/>
        <v>6000000000</v>
      </c>
      <c r="T17">
        <f t="shared" si="1"/>
        <v>4547250147.5297365</v>
      </c>
      <c r="V17">
        <f t="shared" si="12"/>
        <v>13689676000</v>
      </c>
      <c r="W17">
        <f t="shared" si="10"/>
        <v>13689676000</v>
      </c>
      <c r="X17">
        <f t="shared" si="2"/>
        <v>18063236755.211487</v>
      </c>
    </row>
    <row r="18" spans="1:24" x14ac:dyDescent="0.45">
      <c r="A18">
        <v>2042</v>
      </c>
      <c r="B18">
        <v>2640000</v>
      </c>
      <c r="C18">
        <v>5280000</v>
      </c>
      <c r="D18">
        <v>897000</v>
      </c>
      <c r="E18">
        <v>290000</v>
      </c>
      <c r="F18">
        <f t="shared" si="3"/>
        <v>9107000</v>
      </c>
      <c r="H18">
        <v>10</v>
      </c>
      <c r="I18">
        <f t="shared" si="4"/>
        <v>138.61491628614917</v>
      </c>
      <c r="J18">
        <f t="shared" si="5"/>
        <v>13.861491628614917</v>
      </c>
      <c r="L18">
        <f t="shared" si="0"/>
        <v>15</v>
      </c>
      <c r="M18">
        <f t="shared" si="6"/>
        <v>671580000</v>
      </c>
      <c r="N18">
        <f t="shared" si="7"/>
        <v>498993832.36568975</v>
      </c>
      <c r="S18">
        <f t="shared" si="8"/>
        <v>6000000000</v>
      </c>
      <c r="T18">
        <f t="shared" si="1"/>
        <v>4458088379.9311152</v>
      </c>
      <c r="V18">
        <f t="shared" si="12"/>
        <v>13689676000</v>
      </c>
      <c r="W18">
        <f t="shared" si="10"/>
        <v>13689676000</v>
      </c>
      <c r="X18">
        <f t="shared" si="2"/>
        <v>18424501490.315712</v>
      </c>
    </row>
    <row r="19" spans="1:24" x14ac:dyDescent="0.45">
      <c r="A19">
        <v>2043</v>
      </c>
      <c r="B19">
        <v>2640000</v>
      </c>
      <c r="C19">
        <v>5280000</v>
      </c>
      <c r="D19">
        <v>1244000</v>
      </c>
      <c r="E19">
        <v>290000</v>
      </c>
      <c r="F19">
        <f t="shared" si="3"/>
        <v>9454000</v>
      </c>
      <c r="H19">
        <v>10</v>
      </c>
      <c r="I19">
        <f t="shared" si="4"/>
        <v>143.89649923896499</v>
      </c>
      <c r="J19">
        <f t="shared" si="5"/>
        <v>14.389649923896499</v>
      </c>
      <c r="L19">
        <f t="shared" si="0"/>
        <v>16</v>
      </c>
      <c r="M19">
        <f t="shared" si="6"/>
        <v>671580000</v>
      </c>
      <c r="N19">
        <f t="shared" si="7"/>
        <v>489209639.57420558</v>
      </c>
      <c r="S19">
        <f t="shared" si="8"/>
        <v>6000000000</v>
      </c>
      <c r="T19">
        <f t="shared" si="1"/>
        <v>4370674882.2854071</v>
      </c>
      <c r="V19">
        <f t="shared" si="12"/>
        <v>13689676000</v>
      </c>
      <c r="W19">
        <f t="shared" si="10"/>
        <v>13689676000</v>
      </c>
      <c r="X19">
        <f t="shared" si="2"/>
        <v>18792991520.122028</v>
      </c>
    </row>
    <row r="20" spans="1:24" x14ac:dyDescent="0.45">
      <c r="A20">
        <v>2044</v>
      </c>
      <c r="B20">
        <v>2640000</v>
      </c>
      <c r="C20">
        <v>5280000</v>
      </c>
      <c r="D20">
        <v>1573000</v>
      </c>
      <c r="E20">
        <v>290000</v>
      </c>
      <c r="F20">
        <f t="shared" si="3"/>
        <v>9783000</v>
      </c>
      <c r="H20">
        <v>10</v>
      </c>
      <c r="I20">
        <f t="shared" si="4"/>
        <v>148.9041095890411</v>
      </c>
      <c r="J20">
        <f t="shared" si="5"/>
        <v>14.890410958904109</v>
      </c>
      <c r="L20">
        <f t="shared" si="0"/>
        <v>17</v>
      </c>
      <c r="M20">
        <f t="shared" si="6"/>
        <v>671580000</v>
      </c>
      <c r="N20">
        <f t="shared" si="7"/>
        <v>479617293.70020151</v>
      </c>
      <c r="S20">
        <f t="shared" si="8"/>
        <v>6000000000</v>
      </c>
      <c r="T20">
        <f t="shared" si="1"/>
        <v>4284975374.7896142</v>
      </c>
      <c r="V20">
        <f t="shared" si="12"/>
        <v>13689676000</v>
      </c>
      <c r="W20">
        <f t="shared" si="10"/>
        <v>13689676000</v>
      </c>
      <c r="X20">
        <f t="shared" si="2"/>
        <v>19168851350.524471</v>
      </c>
    </row>
    <row r="21" spans="1:24" x14ac:dyDescent="0.45">
      <c r="A21">
        <v>2045</v>
      </c>
      <c r="B21">
        <v>2640000</v>
      </c>
      <c r="C21">
        <v>5280000</v>
      </c>
      <c r="D21">
        <v>1894000</v>
      </c>
      <c r="E21">
        <v>290000</v>
      </c>
      <c r="F21">
        <f t="shared" si="3"/>
        <v>10104000</v>
      </c>
      <c r="H21">
        <v>10</v>
      </c>
      <c r="I21">
        <f t="shared" si="4"/>
        <v>153.78995433789956</v>
      </c>
      <c r="J21">
        <f t="shared" si="5"/>
        <v>15.378995433789957</v>
      </c>
      <c r="L21">
        <f t="shared" si="0"/>
        <v>18</v>
      </c>
      <c r="M21">
        <f t="shared" si="6"/>
        <v>671580000</v>
      </c>
      <c r="N21">
        <f t="shared" si="7"/>
        <v>470213033.03941327</v>
      </c>
      <c r="S21">
        <f t="shared" si="8"/>
        <v>6000000000</v>
      </c>
      <c r="T21">
        <f t="shared" si="1"/>
        <v>4200956249.7937398</v>
      </c>
      <c r="V21">
        <f t="shared" si="12"/>
        <v>13689676000</v>
      </c>
      <c r="W21">
        <f t="shared" si="10"/>
        <v>13689676000</v>
      </c>
      <c r="X21">
        <f t="shared" si="2"/>
        <v>19552228377.534958</v>
      </c>
    </row>
    <row r="22" spans="1:24" x14ac:dyDescent="0.45">
      <c r="A22">
        <v>2046</v>
      </c>
      <c r="B22">
        <v>2640000</v>
      </c>
      <c r="C22">
        <v>5280000</v>
      </c>
      <c r="D22">
        <v>2203000</v>
      </c>
      <c r="E22">
        <v>290000</v>
      </c>
      <c r="F22">
        <f t="shared" si="3"/>
        <v>10413000</v>
      </c>
      <c r="H22">
        <v>10</v>
      </c>
      <c r="I22">
        <f t="shared" si="4"/>
        <v>158.49315068493149</v>
      </c>
      <c r="J22">
        <f t="shared" si="5"/>
        <v>15.84931506849315</v>
      </c>
      <c r="L22">
        <f t="shared" si="0"/>
        <v>19</v>
      </c>
      <c r="M22">
        <f t="shared" si="6"/>
        <v>671580000</v>
      </c>
      <c r="N22">
        <f t="shared" si="7"/>
        <v>460993169.64648366</v>
      </c>
      <c r="S22">
        <f t="shared" si="8"/>
        <v>6000000000</v>
      </c>
      <c r="T22">
        <f t="shared" si="1"/>
        <v>4118584558.6213136</v>
      </c>
      <c r="V22">
        <f t="shared" si="12"/>
        <v>13689676000</v>
      </c>
      <c r="W22">
        <f t="shared" si="10"/>
        <v>13689676000</v>
      </c>
      <c r="X22">
        <f t="shared" si="2"/>
        <v>19943272945.085659</v>
      </c>
    </row>
    <row r="23" spans="1:24" x14ac:dyDescent="0.45">
      <c r="A23">
        <v>2047</v>
      </c>
      <c r="B23">
        <v>2640000</v>
      </c>
      <c r="C23">
        <v>5280000</v>
      </c>
      <c r="D23">
        <v>2507000</v>
      </c>
      <c r="E23">
        <v>290000</v>
      </c>
      <c r="F23">
        <f t="shared" si="3"/>
        <v>10717000</v>
      </c>
      <c r="H23">
        <v>10</v>
      </c>
      <c r="I23">
        <f t="shared" si="4"/>
        <v>163.12024353120245</v>
      </c>
      <c r="J23">
        <f t="shared" si="5"/>
        <v>16.312024353120243</v>
      </c>
      <c r="L23">
        <f t="shared" si="0"/>
        <v>20</v>
      </c>
      <c r="M23">
        <f t="shared" si="6"/>
        <v>671580000</v>
      </c>
      <c r="N23">
        <f t="shared" si="7"/>
        <v>451954087.88870943</v>
      </c>
      <c r="P23">
        <f>E1*2</f>
        <v>506424000</v>
      </c>
      <c r="Q23">
        <f>P23*(1.02)^L23</f>
        <v>752519424.06094205</v>
      </c>
      <c r="S23">
        <f t="shared" si="8"/>
        <v>6000000000</v>
      </c>
      <c r="T23">
        <f t="shared" si="1"/>
        <v>4037827998.6483469</v>
      </c>
      <c r="V23">
        <f t="shared" si="12"/>
        <v>13689676000</v>
      </c>
      <c r="W23">
        <f t="shared" si="10"/>
        <v>13689676000</v>
      </c>
      <c r="X23">
        <f t="shared" si="2"/>
        <v>20342138403.987373</v>
      </c>
    </row>
    <row r="24" spans="1:24" x14ac:dyDescent="0.45">
      <c r="A24">
        <v>2048</v>
      </c>
      <c r="B24">
        <v>2640000</v>
      </c>
      <c r="C24">
        <v>5280000</v>
      </c>
      <c r="D24">
        <v>2813000</v>
      </c>
      <c r="E24">
        <v>290000</v>
      </c>
      <c r="F24">
        <f t="shared" si="3"/>
        <v>11023000</v>
      </c>
      <c r="H24">
        <v>10</v>
      </c>
      <c r="I24">
        <f t="shared" si="4"/>
        <v>167.77777777777777</v>
      </c>
      <c r="J24">
        <f t="shared" si="5"/>
        <v>16.777777777777779</v>
      </c>
      <c r="L24">
        <f t="shared" si="0"/>
        <v>21</v>
      </c>
      <c r="M24">
        <f t="shared" si="6"/>
        <v>671580000</v>
      </c>
      <c r="N24">
        <f t="shared" si="7"/>
        <v>443092243.02814651</v>
      </c>
      <c r="S24">
        <f t="shared" si="8"/>
        <v>6000000000</v>
      </c>
      <c r="T24">
        <f t="shared" si="1"/>
        <v>3958654900.6356339</v>
      </c>
      <c r="V24">
        <f t="shared" si="12"/>
        <v>13689676000</v>
      </c>
      <c r="W24">
        <f t="shared" si="10"/>
        <v>13689676000</v>
      </c>
      <c r="X24">
        <f t="shared" si="2"/>
        <v>20748981172.06712</v>
      </c>
    </row>
    <row r="25" spans="1:24" x14ac:dyDescent="0.45">
      <c r="A25">
        <v>2049</v>
      </c>
      <c r="B25">
        <v>2640000</v>
      </c>
      <c r="C25">
        <v>5280000</v>
      </c>
      <c r="D25">
        <v>3122000</v>
      </c>
      <c r="E25">
        <v>290000</v>
      </c>
      <c r="F25">
        <f t="shared" si="3"/>
        <v>11332000</v>
      </c>
      <c r="H25">
        <v>10</v>
      </c>
      <c r="I25">
        <f t="shared" si="4"/>
        <v>172.48097412480973</v>
      </c>
      <c r="J25">
        <f t="shared" si="5"/>
        <v>17.248097412480973</v>
      </c>
      <c r="L25">
        <f t="shared" si="0"/>
        <v>22</v>
      </c>
      <c r="M25">
        <f t="shared" si="6"/>
        <v>671580000</v>
      </c>
      <c r="N25">
        <f t="shared" si="7"/>
        <v>434404159.83151615</v>
      </c>
      <c r="S25">
        <f t="shared" si="8"/>
        <v>6000000000</v>
      </c>
      <c r="T25">
        <f t="shared" si="1"/>
        <v>3881034216.3094449</v>
      </c>
      <c r="V25">
        <f t="shared" si="12"/>
        <v>13689676000</v>
      </c>
      <c r="W25">
        <f t="shared" si="10"/>
        <v>13689676000</v>
      </c>
      <c r="X25">
        <f t="shared" si="2"/>
        <v>21163960795.508461</v>
      </c>
    </row>
    <row r="26" spans="1:24" x14ac:dyDescent="0.45">
      <c r="A26">
        <v>2050</v>
      </c>
      <c r="B26">
        <v>2640000</v>
      </c>
      <c r="C26">
        <v>5280000</v>
      </c>
      <c r="D26">
        <v>3431000</v>
      </c>
      <c r="E26">
        <v>290000</v>
      </c>
      <c r="F26">
        <f t="shared" si="3"/>
        <v>11641000</v>
      </c>
      <c r="H26">
        <v>10</v>
      </c>
      <c r="I26">
        <f t="shared" si="4"/>
        <v>177.1841704718417</v>
      </c>
      <c r="J26">
        <f t="shared" si="5"/>
        <v>17.718417047184168</v>
      </c>
      <c r="L26">
        <f t="shared" si="0"/>
        <v>23</v>
      </c>
      <c r="M26">
        <f t="shared" si="6"/>
        <v>671580000</v>
      </c>
      <c r="N26">
        <f t="shared" si="7"/>
        <v>425886431.20736885</v>
      </c>
      <c r="S26">
        <f t="shared" si="8"/>
        <v>6000000000</v>
      </c>
      <c r="T26">
        <f t="shared" si="1"/>
        <v>3804935506.1857309</v>
      </c>
      <c r="V26">
        <f t="shared" si="12"/>
        <v>13689676000</v>
      </c>
      <c r="W26">
        <f t="shared" si="10"/>
        <v>13689676000</v>
      </c>
      <c r="X26">
        <f t="shared" si="2"/>
        <v>21587240011.418629</v>
      </c>
    </row>
    <row r="27" spans="1:24" x14ac:dyDescent="0.45">
      <c r="A27">
        <v>2051</v>
      </c>
      <c r="B27">
        <v>2640000</v>
      </c>
      <c r="C27">
        <v>5280000</v>
      </c>
      <c r="D27">
        <v>3431000</v>
      </c>
      <c r="E27">
        <v>290000</v>
      </c>
      <c r="F27">
        <f t="shared" si="3"/>
        <v>11641000</v>
      </c>
      <c r="H27">
        <v>10</v>
      </c>
      <c r="I27">
        <f t="shared" si="4"/>
        <v>177.1841704718417</v>
      </c>
      <c r="J27">
        <f t="shared" si="5"/>
        <v>17.718417047184168</v>
      </c>
      <c r="L27">
        <f t="shared" si="0"/>
        <v>24</v>
      </c>
      <c r="M27">
        <f t="shared" si="6"/>
        <v>671580000</v>
      </c>
      <c r="N27">
        <f t="shared" si="7"/>
        <v>417535716.86996943</v>
      </c>
      <c r="S27">
        <f t="shared" si="8"/>
        <v>6000000000</v>
      </c>
      <c r="T27">
        <f t="shared" si="1"/>
        <v>3730328927.633069</v>
      </c>
      <c r="V27">
        <f t="shared" si="12"/>
        <v>13689676000</v>
      </c>
      <c r="W27">
        <f t="shared" si="10"/>
        <v>13689676000</v>
      </c>
      <c r="X27">
        <f t="shared" si="2"/>
        <v>22018984811.646999</v>
      </c>
    </row>
    <row r="28" spans="1:24" x14ac:dyDescent="0.45">
      <c r="A28">
        <v>2052</v>
      </c>
      <c r="B28">
        <v>2640000</v>
      </c>
      <c r="C28">
        <v>5280000</v>
      </c>
      <c r="D28">
        <v>3431000</v>
      </c>
      <c r="E28">
        <v>290000</v>
      </c>
      <c r="F28">
        <f t="shared" si="3"/>
        <v>11641000</v>
      </c>
      <c r="H28">
        <v>10</v>
      </c>
      <c r="I28">
        <f t="shared" si="4"/>
        <v>177.1841704718417</v>
      </c>
      <c r="J28">
        <f t="shared" si="5"/>
        <v>17.718417047184168</v>
      </c>
      <c r="L28">
        <f t="shared" si="0"/>
        <v>25</v>
      </c>
      <c r="M28">
        <f t="shared" si="6"/>
        <v>671580000</v>
      </c>
      <c r="N28">
        <f t="shared" si="7"/>
        <v>409348742.02938187</v>
      </c>
      <c r="P28">
        <f>E1*2</f>
        <v>506424000</v>
      </c>
      <c r="Q28">
        <f>P28*(1.02)^L28</f>
        <v>830842250.1408062</v>
      </c>
      <c r="S28">
        <f t="shared" si="8"/>
        <v>6000000000</v>
      </c>
      <c r="T28">
        <f t="shared" si="1"/>
        <v>3657185223.1696763</v>
      </c>
      <c r="V28">
        <f t="shared" si="12"/>
        <v>13689676000</v>
      </c>
      <c r="W28">
        <f t="shared" si="10"/>
        <v>13689676000</v>
      </c>
      <c r="X28">
        <f t="shared" si="2"/>
        <v>22459364507.87994</v>
      </c>
    </row>
    <row r="29" spans="1:24" x14ac:dyDescent="0.45">
      <c r="A29">
        <v>2053</v>
      </c>
      <c r="B29">
        <v>2640000</v>
      </c>
      <c r="C29">
        <v>5280000</v>
      </c>
      <c r="D29">
        <v>3431000</v>
      </c>
      <c r="E29">
        <v>290000</v>
      </c>
      <c r="F29">
        <f t="shared" si="3"/>
        <v>11641000</v>
      </c>
      <c r="H29">
        <v>10</v>
      </c>
      <c r="I29">
        <f t="shared" si="4"/>
        <v>177.1841704718417</v>
      </c>
      <c r="J29">
        <f t="shared" si="5"/>
        <v>17.718417047184168</v>
      </c>
      <c r="L29">
        <f t="shared" si="0"/>
        <v>26</v>
      </c>
      <c r="M29">
        <f t="shared" si="6"/>
        <v>671580000</v>
      </c>
      <c r="N29">
        <f t="shared" si="7"/>
        <v>401322296.10723704</v>
      </c>
      <c r="S29">
        <f t="shared" si="8"/>
        <v>6000000000</v>
      </c>
      <c r="T29">
        <f t="shared" si="1"/>
        <v>3585475708.9898782</v>
      </c>
      <c r="V29">
        <f t="shared" si="12"/>
        <v>13689676000</v>
      </c>
      <c r="W29">
        <f t="shared" si="10"/>
        <v>13689676000</v>
      </c>
      <c r="X29">
        <f t="shared" si="2"/>
        <v>22908551798.03754</v>
      </c>
    </row>
    <row r="30" spans="1:24" x14ac:dyDescent="0.45">
      <c r="A30">
        <v>2054</v>
      </c>
      <c r="B30">
        <v>2640000</v>
      </c>
      <c r="C30">
        <v>5280000</v>
      </c>
      <c r="D30">
        <v>3431000</v>
      </c>
      <c r="E30">
        <v>290000</v>
      </c>
      <c r="F30">
        <f t="shared" si="3"/>
        <v>11641000</v>
      </c>
      <c r="H30">
        <v>10</v>
      </c>
      <c r="I30">
        <f t="shared" si="4"/>
        <v>177.1841704718417</v>
      </c>
      <c r="J30">
        <f t="shared" si="5"/>
        <v>17.718417047184168</v>
      </c>
      <c r="L30">
        <f t="shared" si="0"/>
        <v>27</v>
      </c>
      <c r="M30">
        <f t="shared" si="6"/>
        <v>671580000</v>
      </c>
      <c r="N30">
        <f t="shared" si="7"/>
        <v>393453231.47768342</v>
      </c>
      <c r="S30">
        <f t="shared" si="8"/>
        <v>6000000000</v>
      </c>
      <c r="T30">
        <f t="shared" si="1"/>
        <v>3515172263.7155671</v>
      </c>
      <c r="V30">
        <f t="shared" si="12"/>
        <v>13689676000</v>
      </c>
      <c r="W30">
        <f t="shared" si="10"/>
        <v>13689676000</v>
      </c>
      <c r="X30">
        <f t="shared" si="2"/>
        <v>23366722833.998287</v>
      </c>
    </row>
    <row r="31" spans="1:24" x14ac:dyDescent="0.45">
      <c r="A31">
        <v>2055</v>
      </c>
      <c r="B31">
        <v>2640000</v>
      </c>
      <c r="C31">
        <v>5280000</v>
      </c>
      <c r="D31">
        <v>3431000</v>
      </c>
      <c r="E31">
        <v>290000</v>
      </c>
      <c r="F31">
        <f t="shared" si="3"/>
        <v>11641000</v>
      </c>
      <c r="H31">
        <v>10</v>
      </c>
      <c r="I31">
        <f t="shared" si="4"/>
        <v>177.1841704718417</v>
      </c>
      <c r="J31">
        <f t="shared" si="5"/>
        <v>17.718417047184168</v>
      </c>
      <c r="L31">
        <f t="shared" si="0"/>
        <v>28</v>
      </c>
      <c r="M31">
        <f t="shared" si="6"/>
        <v>671580000</v>
      </c>
      <c r="N31">
        <f t="shared" si="7"/>
        <v>385738462.23302293</v>
      </c>
      <c r="S31">
        <f t="shared" si="8"/>
        <v>6000000000</v>
      </c>
      <c r="T31">
        <f t="shared" si="1"/>
        <v>3446247317.3682022</v>
      </c>
      <c r="V31">
        <f t="shared" si="12"/>
        <v>13689676000</v>
      </c>
      <c r="W31">
        <f t="shared" si="10"/>
        <v>13689676000</v>
      </c>
      <c r="X31">
        <f t="shared" si="2"/>
        <v>23834057290.678261</v>
      </c>
    </row>
    <row r="32" spans="1:24" x14ac:dyDescent="0.45">
      <c r="A32">
        <v>2056</v>
      </c>
      <c r="B32">
        <v>2640000</v>
      </c>
      <c r="C32">
        <v>5280000</v>
      </c>
      <c r="D32">
        <v>3431000</v>
      </c>
      <c r="E32">
        <v>290000</v>
      </c>
      <c r="F32">
        <f t="shared" si="3"/>
        <v>11641000</v>
      </c>
      <c r="H32">
        <v>10</v>
      </c>
      <c r="I32">
        <f t="shared" si="4"/>
        <v>177.1841704718417</v>
      </c>
      <c r="J32">
        <f t="shared" si="5"/>
        <v>17.718417047184168</v>
      </c>
      <c r="L32">
        <f t="shared" si="0"/>
        <v>29</v>
      </c>
      <c r="M32">
        <f t="shared" si="6"/>
        <v>671580000</v>
      </c>
      <c r="N32">
        <f t="shared" si="7"/>
        <v>378174962.97355193</v>
      </c>
      <c r="S32">
        <f t="shared" si="8"/>
        <v>6000000000</v>
      </c>
      <c r="T32">
        <f t="shared" si="1"/>
        <v>3378673840.5570617</v>
      </c>
      <c r="V32">
        <f t="shared" si="12"/>
        <v>13689676000</v>
      </c>
      <c r="W32">
        <f t="shared" si="10"/>
        <v>13689676000</v>
      </c>
      <c r="X32">
        <f t="shared" si="2"/>
        <v>24310738436.491821</v>
      </c>
    </row>
    <row r="33" spans="1:24" x14ac:dyDescent="0.45">
      <c r="A33">
        <v>2057</v>
      </c>
      <c r="B33">
        <v>2640000</v>
      </c>
      <c r="C33">
        <v>5280000</v>
      </c>
      <c r="D33">
        <v>3431000</v>
      </c>
      <c r="E33">
        <v>290000</v>
      </c>
      <c r="F33">
        <f t="shared" si="3"/>
        <v>11641000</v>
      </c>
      <c r="H33">
        <v>10</v>
      </c>
      <c r="I33">
        <f t="shared" si="4"/>
        <v>177.1841704718417</v>
      </c>
      <c r="J33">
        <f t="shared" si="5"/>
        <v>17.718417047184168</v>
      </c>
      <c r="L33">
        <f t="shared" si="0"/>
        <v>30</v>
      </c>
      <c r="M33">
        <f t="shared" si="6"/>
        <v>671580000</v>
      </c>
      <c r="N33">
        <f t="shared" si="7"/>
        <v>370759767.62112927</v>
      </c>
      <c r="S33">
        <f t="shared" si="8"/>
        <v>6000000000</v>
      </c>
      <c r="T33">
        <f t="shared" si="1"/>
        <v>3312425333.8794718</v>
      </c>
      <c r="V33">
        <f t="shared" si="12"/>
        <v>13689676000</v>
      </c>
      <c r="W33">
        <f t="shared" si="10"/>
        <v>13689676000</v>
      </c>
      <c r="X33">
        <f t="shared" si="2"/>
        <v>24796953205.221661</v>
      </c>
    </row>
    <row r="34" spans="1:24" x14ac:dyDescent="0.45">
      <c r="A34">
        <v>2058</v>
      </c>
      <c r="B34">
        <v>2640000</v>
      </c>
      <c r="C34">
        <v>5280000</v>
      </c>
      <c r="D34">
        <v>3431000</v>
      </c>
      <c r="E34">
        <v>290000</v>
      </c>
      <c r="F34">
        <f t="shared" si="3"/>
        <v>11641000</v>
      </c>
      <c r="H34">
        <v>10</v>
      </c>
      <c r="I34">
        <f t="shared" si="4"/>
        <v>177.1841704718417</v>
      </c>
      <c r="J34">
        <f t="shared" si="5"/>
        <v>17.718417047184168</v>
      </c>
      <c r="L34">
        <f t="shared" si="0"/>
        <v>31</v>
      </c>
      <c r="M34">
        <f t="shared" si="6"/>
        <v>671580000</v>
      </c>
      <c r="N34">
        <f t="shared" si="7"/>
        <v>363489968.25600922</v>
      </c>
      <c r="S34">
        <f t="shared" si="8"/>
        <v>6000000000</v>
      </c>
      <c r="T34">
        <f t="shared" si="1"/>
        <v>3247475817.5288949</v>
      </c>
      <c r="V34">
        <f t="shared" si="12"/>
        <v>13689676000</v>
      </c>
      <c r="W34">
        <f t="shared" si="10"/>
        <v>13689676000</v>
      </c>
      <c r="X34">
        <f t="shared" si="2"/>
        <v>25292892269.326088</v>
      </c>
    </row>
    <row r="35" spans="1:24" x14ac:dyDescent="0.45">
      <c r="A35">
        <v>2059</v>
      </c>
      <c r="B35">
        <v>2640000</v>
      </c>
      <c r="C35">
        <v>5280000</v>
      </c>
      <c r="D35">
        <v>3431000</v>
      </c>
      <c r="E35">
        <v>290000</v>
      </c>
      <c r="F35">
        <f t="shared" si="3"/>
        <v>11641000</v>
      </c>
      <c r="H35">
        <v>10</v>
      </c>
      <c r="I35">
        <f t="shared" si="4"/>
        <v>177.1841704718417</v>
      </c>
      <c r="J35">
        <f t="shared" si="5"/>
        <v>17.718417047184168</v>
      </c>
      <c r="L35">
        <f t="shared" si="0"/>
        <v>32</v>
      </c>
      <c r="M35">
        <f t="shared" si="6"/>
        <v>671580000</v>
      </c>
      <c r="N35">
        <f t="shared" si="7"/>
        <v>356362713.97647953</v>
      </c>
      <c r="S35">
        <f t="shared" si="8"/>
        <v>6000000000</v>
      </c>
      <c r="T35">
        <f t="shared" si="1"/>
        <v>3183799821.1067591</v>
      </c>
      <c r="V35">
        <f t="shared" si="12"/>
        <v>13689676000</v>
      </c>
      <c r="W35">
        <f t="shared" si="10"/>
        <v>13689676000</v>
      </c>
      <c r="X35">
        <f t="shared" si="2"/>
        <v>25798750114.712612</v>
      </c>
    </row>
    <row r="36" spans="1:24" x14ac:dyDescent="0.45">
      <c r="A36">
        <v>2060</v>
      </c>
      <c r="B36">
        <v>2640000</v>
      </c>
      <c r="C36">
        <v>5280000</v>
      </c>
      <c r="D36">
        <v>3431000</v>
      </c>
      <c r="E36">
        <v>290000</v>
      </c>
      <c r="F36">
        <f t="shared" si="3"/>
        <v>11641000</v>
      </c>
      <c r="H36">
        <v>10</v>
      </c>
      <c r="I36">
        <f t="shared" si="4"/>
        <v>177.1841704718417</v>
      </c>
      <c r="J36">
        <f t="shared" si="5"/>
        <v>17.718417047184168</v>
      </c>
      <c r="L36">
        <f t="shared" si="0"/>
        <v>33</v>
      </c>
      <c r="M36">
        <f t="shared" si="6"/>
        <v>671580000</v>
      </c>
      <c r="N36">
        <f t="shared" si="7"/>
        <v>349375209.78086227</v>
      </c>
      <c r="P36">
        <f>E1*2</f>
        <v>506424000</v>
      </c>
      <c r="Q36">
        <f>P36*(1.02)^L36</f>
        <v>973464116.51050663</v>
      </c>
      <c r="S36">
        <f t="shared" si="8"/>
        <v>6000000000</v>
      </c>
      <c r="T36">
        <f t="shared" si="1"/>
        <v>3121372373.6340771</v>
      </c>
      <c r="V36">
        <f t="shared" si="12"/>
        <v>13689676000</v>
      </c>
      <c r="W36">
        <f t="shared" si="10"/>
        <v>13689676000</v>
      </c>
      <c r="X36">
        <f t="shared" si="2"/>
        <v>26314725117.006866</v>
      </c>
    </row>
    <row r="37" spans="1:24" x14ac:dyDescent="0.45">
      <c r="A37">
        <v>2061</v>
      </c>
      <c r="B37">
        <v>2640000</v>
      </c>
      <c r="C37">
        <v>5280000</v>
      </c>
      <c r="D37">
        <v>3431000</v>
      </c>
      <c r="E37">
        <v>290000</v>
      </c>
      <c r="F37">
        <f t="shared" si="3"/>
        <v>11641000</v>
      </c>
      <c r="H37">
        <v>10</v>
      </c>
      <c r="I37">
        <f t="shared" si="4"/>
        <v>177.1841704718417</v>
      </c>
      <c r="J37">
        <f t="shared" si="5"/>
        <v>17.718417047184168</v>
      </c>
      <c r="L37">
        <f t="shared" si="0"/>
        <v>34</v>
      </c>
      <c r="M37">
        <f t="shared" si="6"/>
        <v>671580000</v>
      </c>
      <c r="N37">
        <f>M38*(1.02)^-L37</f>
        <v>342524715.47143358</v>
      </c>
      <c r="S37">
        <f t="shared" si="8"/>
        <v>6000000000</v>
      </c>
      <c r="T37">
        <f t="shared" si="1"/>
        <v>3060168993.7588992</v>
      </c>
      <c r="V37">
        <f t="shared" si="12"/>
        <v>13689676000</v>
      </c>
      <c r="W37">
        <f t="shared" si="10"/>
        <v>13689676000</v>
      </c>
      <c r="X37">
        <f t="shared" si="2"/>
        <v>26841019619.347004</v>
      </c>
    </row>
    <row r="38" spans="1:24" x14ac:dyDescent="0.45">
      <c r="A38">
        <v>2062</v>
      </c>
      <c r="B38">
        <v>2640000</v>
      </c>
      <c r="C38">
        <v>5280000</v>
      </c>
      <c r="D38">
        <v>3431000</v>
      </c>
      <c r="E38">
        <v>290000</v>
      </c>
      <c r="F38">
        <f t="shared" si="3"/>
        <v>11641000</v>
      </c>
      <c r="H38">
        <v>10</v>
      </c>
      <c r="I38">
        <f t="shared" si="4"/>
        <v>177.1841704718417</v>
      </c>
      <c r="J38">
        <f t="shared" si="5"/>
        <v>17.718417047184168</v>
      </c>
      <c r="L38">
        <f t="shared" si="0"/>
        <v>35</v>
      </c>
      <c r="M38">
        <f t="shared" si="6"/>
        <v>671580000</v>
      </c>
      <c r="N38">
        <f>M39*(1.02)^-L38</f>
        <v>335808544.57983691</v>
      </c>
      <c r="S38">
        <f t="shared" si="8"/>
        <v>6000000000</v>
      </c>
      <c r="T38">
        <f t="shared" si="1"/>
        <v>3000165680.1557841</v>
      </c>
      <c r="V38">
        <f t="shared" si="12"/>
        <v>13689676000</v>
      </c>
      <c r="W38">
        <f t="shared" si="10"/>
        <v>13689676000</v>
      </c>
      <c r="X38">
        <f t="shared" si="2"/>
        <v>27377840011.733944</v>
      </c>
    </row>
    <row r="39" spans="1:24" x14ac:dyDescent="0.45">
      <c r="A39">
        <v>2063</v>
      </c>
      <c r="B39">
        <v>2640000</v>
      </c>
      <c r="C39">
        <v>5280000</v>
      </c>
      <c r="D39">
        <v>3431000</v>
      </c>
      <c r="E39">
        <v>290000</v>
      </c>
      <c r="F39">
        <f t="shared" si="3"/>
        <v>11641000</v>
      </c>
      <c r="H39">
        <v>10</v>
      </c>
      <c r="I39">
        <f t="shared" si="4"/>
        <v>177.1841704718417</v>
      </c>
      <c r="J39">
        <f t="shared" si="5"/>
        <v>17.718417047184168</v>
      </c>
      <c r="L39">
        <f t="shared" si="0"/>
        <v>36</v>
      </c>
      <c r="M39">
        <f t="shared" si="6"/>
        <v>671580000</v>
      </c>
      <c r="N39">
        <f t="shared" si="7"/>
        <v>329224063.31356561</v>
      </c>
      <c r="S39">
        <f t="shared" si="8"/>
        <v>6000000000</v>
      </c>
      <c r="T39">
        <f t="shared" si="1"/>
        <v>2941338902.1135139</v>
      </c>
      <c r="V39">
        <f t="shared" si="12"/>
        <v>13689676000</v>
      </c>
      <c r="W39">
        <f t="shared" si="10"/>
        <v>13689676000</v>
      </c>
      <c r="X39">
        <f t="shared" si="2"/>
        <v>27925396811.96862</v>
      </c>
    </row>
    <row r="40" spans="1:24" x14ac:dyDescent="0.45">
      <c r="A40">
        <v>2064</v>
      </c>
      <c r="B40">
        <v>2640000</v>
      </c>
      <c r="C40">
        <v>5280000</v>
      </c>
      <c r="D40">
        <v>3431000</v>
      </c>
      <c r="E40">
        <v>290000</v>
      </c>
      <c r="F40">
        <f t="shared" si="3"/>
        <v>11641000</v>
      </c>
      <c r="H40">
        <v>10</v>
      </c>
      <c r="I40">
        <f t="shared" si="4"/>
        <v>177.1841704718417</v>
      </c>
      <c r="J40">
        <f t="shared" si="5"/>
        <v>17.718417047184168</v>
      </c>
      <c r="L40">
        <f t="shared" si="0"/>
        <v>37</v>
      </c>
      <c r="M40">
        <f t="shared" si="6"/>
        <v>671580000</v>
      </c>
      <c r="N40">
        <f t="shared" si="7"/>
        <v>322768689.52310348</v>
      </c>
      <c r="S40">
        <f t="shared" si="8"/>
        <v>6000000000</v>
      </c>
      <c r="T40">
        <f t="shared" si="1"/>
        <v>2883665590.3073664</v>
      </c>
      <c r="V40">
        <f t="shared" si="12"/>
        <v>13689676000</v>
      </c>
      <c r="W40">
        <f t="shared" si="10"/>
        <v>13689676000</v>
      </c>
      <c r="X40">
        <f t="shared" si="2"/>
        <v>28483904748.207996</v>
      </c>
    </row>
    <row r="41" spans="1:24" x14ac:dyDescent="0.45">
      <c r="A41">
        <v>2065</v>
      </c>
      <c r="B41">
        <v>2640000</v>
      </c>
      <c r="C41">
        <v>5280000</v>
      </c>
      <c r="D41">
        <v>3431000</v>
      </c>
      <c r="E41">
        <v>290000</v>
      </c>
      <c r="F41">
        <f t="shared" si="3"/>
        <v>11641000</v>
      </c>
      <c r="H41">
        <v>10</v>
      </c>
      <c r="I41">
        <f t="shared" si="4"/>
        <v>177.1841704718417</v>
      </c>
      <c r="J41">
        <f t="shared" si="5"/>
        <v>17.718417047184168</v>
      </c>
      <c r="L41">
        <f t="shared" si="0"/>
        <v>38</v>
      </c>
      <c r="M41">
        <f t="shared" si="6"/>
        <v>671580000</v>
      </c>
      <c r="N41">
        <f t="shared" si="7"/>
        <v>316439891.68931711</v>
      </c>
      <c r="S41">
        <f t="shared" si="8"/>
        <v>6000000000</v>
      </c>
      <c r="T41">
        <f t="shared" si="1"/>
        <v>2827123127.7523193</v>
      </c>
      <c r="V41">
        <f t="shared" si="12"/>
        <v>13689676000</v>
      </c>
      <c r="W41">
        <f t="shared" si="10"/>
        <v>13689676000</v>
      </c>
      <c r="X41">
        <f t="shared" si="2"/>
        <v>29053582843.172157</v>
      </c>
    </row>
    <row r="42" spans="1:24" x14ac:dyDescent="0.45">
      <c r="F42">
        <f>SUM(F3:F41)</f>
        <v>351124000</v>
      </c>
      <c r="I42">
        <f t="shared" si="4"/>
        <v>5344.3531202435315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F99BDD-367F-46FF-A2AC-4176EDE19909}">
  <dimension ref="A1:M41"/>
  <sheetViews>
    <sheetView workbookViewId="0">
      <selection activeCell="M4" sqref="M4"/>
    </sheetView>
  </sheetViews>
  <sheetFormatPr defaultRowHeight="17" x14ac:dyDescent="0.45"/>
  <cols>
    <col min="9" max="9" width="13.08203125" bestFit="1" customWidth="1"/>
    <col min="10" max="10" width="11" customWidth="1"/>
    <col min="11" max="12" width="13.08203125" bestFit="1" customWidth="1"/>
    <col min="13" max="13" width="17.33203125" bestFit="1" customWidth="1"/>
  </cols>
  <sheetData>
    <row r="1" spans="1:13" x14ac:dyDescent="0.45">
      <c r="B1" t="s">
        <v>4</v>
      </c>
      <c r="H1" t="s">
        <v>12</v>
      </c>
      <c r="I1" t="s">
        <v>33</v>
      </c>
      <c r="K1" t="s">
        <v>34</v>
      </c>
      <c r="L1" t="s">
        <v>35</v>
      </c>
      <c r="M1" t="s">
        <v>36</v>
      </c>
    </row>
    <row r="2" spans="1:13" x14ac:dyDescent="0.45">
      <c r="B2" t="s">
        <v>19</v>
      </c>
      <c r="C2" t="s">
        <v>20</v>
      </c>
      <c r="D2" t="s">
        <v>21</v>
      </c>
      <c r="E2" t="s">
        <v>3</v>
      </c>
      <c r="F2" t="s">
        <v>16</v>
      </c>
      <c r="I2" t="s">
        <v>31</v>
      </c>
      <c r="J2" t="s">
        <v>32</v>
      </c>
      <c r="K2">
        <f>K3+K5+K14</f>
        <v>3075779021019.7988</v>
      </c>
      <c r="L2">
        <f>K2/3</f>
        <v>1025259673673.2662</v>
      </c>
      <c r="M2" s="2">
        <f>K2-L2</f>
        <v>2050519347346.5327</v>
      </c>
    </row>
    <row r="3" spans="1:13" x14ac:dyDescent="0.45">
      <c r="A3" s="4">
        <v>2027</v>
      </c>
      <c r="B3">
        <v>2060000</v>
      </c>
      <c r="C3">
        <v>0</v>
      </c>
      <c r="D3">
        <v>0</v>
      </c>
      <c r="E3">
        <v>0</v>
      </c>
      <c r="F3">
        <f>B3+C3+D3+E3</f>
        <v>2060000</v>
      </c>
      <c r="H3">
        <f>A3-2027</f>
        <v>0</v>
      </c>
      <c r="I3">
        <f>646955000000*(1.02^2)</f>
        <v>673091982000</v>
      </c>
      <c r="J3">
        <f>5011000000*(1.02^2)</f>
        <v>5213444400</v>
      </c>
      <c r="K3">
        <f>J3+I3</f>
        <v>678305426400</v>
      </c>
      <c r="M3" t="s">
        <v>53</v>
      </c>
    </row>
    <row r="4" spans="1:13" x14ac:dyDescent="0.45">
      <c r="A4">
        <v>2028</v>
      </c>
      <c r="B4">
        <v>2640000</v>
      </c>
      <c r="C4">
        <v>0</v>
      </c>
      <c r="D4">
        <v>0</v>
      </c>
      <c r="E4">
        <v>0</v>
      </c>
      <c r="F4">
        <f t="shared" ref="F4:F41" si="0">B4+C4+D4+E4</f>
        <v>2640000</v>
      </c>
      <c r="H4">
        <f t="shared" ref="H4:H41" si="1">A4-2027</f>
        <v>1</v>
      </c>
    </row>
    <row r="5" spans="1:13" x14ac:dyDescent="0.45">
      <c r="A5">
        <v>2029</v>
      </c>
      <c r="B5">
        <v>2640000</v>
      </c>
      <c r="C5">
        <v>0</v>
      </c>
      <c r="D5">
        <v>0</v>
      </c>
      <c r="E5">
        <v>0</v>
      </c>
      <c r="F5">
        <f t="shared" si="0"/>
        <v>2640000</v>
      </c>
      <c r="H5">
        <f t="shared" si="1"/>
        <v>2</v>
      </c>
      <c r="I5">
        <v>1146264000000</v>
      </c>
      <c r="J5">
        <v>10022000000</v>
      </c>
      <c r="K5">
        <f>(I5+J5)*(1.02^H5)</f>
        <v>1202999954400</v>
      </c>
    </row>
    <row r="6" spans="1:13" x14ac:dyDescent="0.45">
      <c r="A6">
        <v>2030</v>
      </c>
      <c r="B6">
        <v>2640000</v>
      </c>
      <c r="C6">
        <v>0</v>
      </c>
      <c r="D6">
        <v>0</v>
      </c>
      <c r="E6">
        <v>0</v>
      </c>
      <c r="F6">
        <f t="shared" si="0"/>
        <v>2640000</v>
      </c>
      <c r="H6">
        <f t="shared" si="1"/>
        <v>3</v>
      </c>
    </row>
    <row r="7" spans="1:13" x14ac:dyDescent="0.45">
      <c r="A7" s="4">
        <v>2031</v>
      </c>
      <c r="B7">
        <v>2640000</v>
      </c>
      <c r="C7">
        <v>1689000</v>
      </c>
      <c r="D7">
        <v>0</v>
      </c>
      <c r="E7">
        <v>0</v>
      </c>
      <c r="F7">
        <f t="shared" si="0"/>
        <v>4329000</v>
      </c>
      <c r="H7">
        <f t="shared" si="1"/>
        <v>4</v>
      </c>
    </row>
    <row r="8" spans="1:13" x14ac:dyDescent="0.45">
      <c r="A8">
        <v>2032</v>
      </c>
      <c r="B8">
        <v>2640000</v>
      </c>
      <c r="C8">
        <v>2213000</v>
      </c>
      <c r="D8">
        <v>0</v>
      </c>
      <c r="E8">
        <v>0</v>
      </c>
      <c r="F8">
        <f t="shared" si="0"/>
        <v>4853000</v>
      </c>
      <c r="H8">
        <f t="shared" si="1"/>
        <v>5</v>
      </c>
    </row>
    <row r="9" spans="1:13" x14ac:dyDescent="0.45">
      <c r="A9">
        <v>2033</v>
      </c>
      <c r="B9">
        <v>2640000</v>
      </c>
      <c r="C9">
        <v>2715000</v>
      </c>
      <c r="D9">
        <v>0</v>
      </c>
      <c r="E9">
        <v>0</v>
      </c>
      <c r="F9">
        <f t="shared" si="0"/>
        <v>5355000</v>
      </c>
      <c r="H9">
        <f t="shared" si="1"/>
        <v>6</v>
      </c>
    </row>
    <row r="10" spans="1:13" x14ac:dyDescent="0.45">
      <c r="A10">
        <v>2034</v>
      </c>
      <c r="B10">
        <v>2640000</v>
      </c>
      <c r="C10">
        <v>3192000</v>
      </c>
      <c r="D10">
        <v>0</v>
      </c>
      <c r="E10">
        <v>0</v>
      </c>
      <c r="F10">
        <f t="shared" si="0"/>
        <v>5832000</v>
      </c>
      <c r="H10">
        <f t="shared" si="1"/>
        <v>7</v>
      </c>
    </row>
    <row r="11" spans="1:13" x14ac:dyDescent="0.45">
      <c r="A11">
        <v>2035</v>
      </c>
      <c r="B11">
        <v>2640000</v>
      </c>
      <c r="C11">
        <v>3651000</v>
      </c>
      <c r="D11">
        <v>0</v>
      </c>
      <c r="E11">
        <v>0</v>
      </c>
      <c r="F11">
        <f t="shared" si="0"/>
        <v>6291000</v>
      </c>
      <c r="H11">
        <f t="shared" si="1"/>
        <v>8</v>
      </c>
    </row>
    <row r="12" spans="1:13" x14ac:dyDescent="0.45">
      <c r="A12">
        <v>2036</v>
      </c>
      <c r="B12">
        <v>2640000</v>
      </c>
      <c r="C12">
        <v>4093000</v>
      </c>
      <c r="D12">
        <v>0</v>
      </c>
      <c r="E12">
        <v>0</v>
      </c>
      <c r="F12">
        <f t="shared" si="0"/>
        <v>6733000</v>
      </c>
      <c r="H12">
        <f t="shared" si="1"/>
        <v>9</v>
      </c>
    </row>
    <row r="13" spans="1:13" x14ac:dyDescent="0.45">
      <c r="A13">
        <v>2037</v>
      </c>
      <c r="B13">
        <v>2640000</v>
      </c>
      <c r="C13">
        <v>4528000</v>
      </c>
      <c r="D13">
        <v>0</v>
      </c>
      <c r="E13">
        <v>0</v>
      </c>
      <c r="F13">
        <f t="shared" si="0"/>
        <v>7168000</v>
      </c>
      <c r="H13">
        <f t="shared" si="1"/>
        <v>10</v>
      </c>
    </row>
    <row r="14" spans="1:13" x14ac:dyDescent="0.45">
      <c r="A14">
        <v>2038</v>
      </c>
      <c r="B14">
        <v>2640000</v>
      </c>
      <c r="C14">
        <v>4943000</v>
      </c>
      <c r="D14">
        <v>0</v>
      </c>
      <c r="E14">
        <v>0</v>
      </c>
      <c r="F14">
        <f t="shared" si="0"/>
        <v>7583000</v>
      </c>
      <c r="H14">
        <f t="shared" si="1"/>
        <v>11</v>
      </c>
      <c r="I14">
        <v>951768000000</v>
      </c>
      <c r="J14">
        <v>8903000000</v>
      </c>
      <c r="K14">
        <f>(I14+J14)*(1.02^H14)</f>
        <v>1194473640219.7988</v>
      </c>
    </row>
    <row r="15" spans="1:13" x14ac:dyDescent="0.45">
      <c r="A15">
        <v>2039</v>
      </c>
      <c r="B15">
        <v>2640000</v>
      </c>
      <c r="C15">
        <v>5280000</v>
      </c>
      <c r="D15">
        <v>0</v>
      </c>
      <c r="E15">
        <v>0</v>
      </c>
      <c r="F15">
        <f t="shared" si="0"/>
        <v>7920000</v>
      </c>
      <c r="H15">
        <f t="shared" si="1"/>
        <v>12</v>
      </c>
    </row>
    <row r="16" spans="1:13" x14ac:dyDescent="0.45">
      <c r="A16" s="4">
        <v>2040</v>
      </c>
      <c r="B16">
        <v>2640000</v>
      </c>
      <c r="C16">
        <v>5280000</v>
      </c>
      <c r="D16">
        <v>161000</v>
      </c>
      <c r="E16">
        <v>64000</v>
      </c>
      <c r="F16">
        <f t="shared" si="0"/>
        <v>8145000</v>
      </c>
      <c r="H16">
        <f t="shared" si="1"/>
        <v>13</v>
      </c>
    </row>
    <row r="17" spans="1:8" x14ac:dyDescent="0.45">
      <c r="A17">
        <v>2041</v>
      </c>
      <c r="B17">
        <v>2640000</v>
      </c>
      <c r="C17">
        <v>5280000</v>
      </c>
      <c r="D17">
        <v>536000</v>
      </c>
      <c r="E17">
        <v>290000</v>
      </c>
      <c r="F17">
        <f t="shared" si="0"/>
        <v>8746000</v>
      </c>
      <c r="H17">
        <f t="shared" si="1"/>
        <v>14</v>
      </c>
    </row>
    <row r="18" spans="1:8" x14ac:dyDescent="0.45">
      <c r="A18">
        <v>2042</v>
      </c>
      <c r="B18">
        <v>2640000</v>
      </c>
      <c r="C18">
        <v>5280000</v>
      </c>
      <c r="D18">
        <v>897000</v>
      </c>
      <c r="E18">
        <v>290000</v>
      </c>
      <c r="F18">
        <f t="shared" si="0"/>
        <v>9107000</v>
      </c>
      <c r="H18">
        <f t="shared" si="1"/>
        <v>15</v>
      </c>
    </row>
    <row r="19" spans="1:8" x14ac:dyDescent="0.45">
      <c r="A19">
        <v>2043</v>
      </c>
      <c r="B19">
        <v>2640000</v>
      </c>
      <c r="C19">
        <v>5280000</v>
      </c>
      <c r="D19">
        <v>1244000</v>
      </c>
      <c r="E19">
        <v>290000</v>
      </c>
      <c r="F19">
        <f t="shared" si="0"/>
        <v>9454000</v>
      </c>
      <c r="H19">
        <f t="shared" si="1"/>
        <v>16</v>
      </c>
    </row>
    <row r="20" spans="1:8" x14ac:dyDescent="0.45">
      <c r="A20">
        <v>2044</v>
      </c>
      <c r="B20">
        <v>2640000</v>
      </c>
      <c r="C20">
        <v>5280000</v>
      </c>
      <c r="D20">
        <v>1573000</v>
      </c>
      <c r="E20">
        <v>290000</v>
      </c>
      <c r="F20">
        <f t="shared" si="0"/>
        <v>9783000</v>
      </c>
      <c r="H20">
        <f t="shared" si="1"/>
        <v>17</v>
      </c>
    </row>
    <row r="21" spans="1:8" x14ac:dyDescent="0.45">
      <c r="A21">
        <v>2045</v>
      </c>
      <c r="B21">
        <v>2640000</v>
      </c>
      <c r="C21">
        <v>5280000</v>
      </c>
      <c r="D21">
        <v>1894000</v>
      </c>
      <c r="E21">
        <v>290000</v>
      </c>
      <c r="F21">
        <f t="shared" si="0"/>
        <v>10104000</v>
      </c>
      <c r="H21">
        <f t="shared" si="1"/>
        <v>18</v>
      </c>
    </row>
    <row r="22" spans="1:8" x14ac:dyDescent="0.45">
      <c r="A22">
        <v>2046</v>
      </c>
      <c r="B22">
        <v>2640000</v>
      </c>
      <c r="C22">
        <v>5280000</v>
      </c>
      <c r="D22">
        <v>2203000</v>
      </c>
      <c r="E22">
        <v>290000</v>
      </c>
      <c r="F22">
        <f t="shared" si="0"/>
        <v>10413000</v>
      </c>
      <c r="H22">
        <f t="shared" si="1"/>
        <v>19</v>
      </c>
    </row>
    <row r="23" spans="1:8" x14ac:dyDescent="0.45">
      <c r="A23">
        <v>2047</v>
      </c>
      <c r="B23">
        <v>2640000</v>
      </c>
      <c r="C23">
        <v>5280000</v>
      </c>
      <c r="D23">
        <v>2507000</v>
      </c>
      <c r="E23">
        <v>290000</v>
      </c>
      <c r="F23">
        <f t="shared" si="0"/>
        <v>10717000</v>
      </c>
      <c r="H23">
        <f t="shared" si="1"/>
        <v>20</v>
      </c>
    </row>
    <row r="24" spans="1:8" x14ac:dyDescent="0.45">
      <c r="A24">
        <v>2048</v>
      </c>
      <c r="B24">
        <v>2640000</v>
      </c>
      <c r="C24">
        <v>5280000</v>
      </c>
      <c r="D24">
        <v>2813000</v>
      </c>
      <c r="E24">
        <v>290000</v>
      </c>
      <c r="F24">
        <f t="shared" si="0"/>
        <v>11023000</v>
      </c>
      <c r="H24">
        <f t="shared" si="1"/>
        <v>21</v>
      </c>
    </row>
    <row r="25" spans="1:8" x14ac:dyDescent="0.45">
      <c r="A25">
        <v>2049</v>
      </c>
      <c r="B25">
        <v>2640000</v>
      </c>
      <c r="C25">
        <v>5280000</v>
      </c>
      <c r="D25">
        <v>3122000</v>
      </c>
      <c r="E25">
        <v>290000</v>
      </c>
      <c r="F25">
        <f t="shared" si="0"/>
        <v>11332000</v>
      </c>
      <c r="H25">
        <f t="shared" si="1"/>
        <v>22</v>
      </c>
    </row>
    <row r="26" spans="1:8" x14ac:dyDescent="0.45">
      <c r="A26">
        <v>2050</v>
      </c>
      <c r="B26">
        <v>2640000</v>
      </c>
      <c r="C26">
        <v>5280000</v>
      </c>
      <c r="D26">
        <v>3431000</v>
      </c>
      <c r="E26">
        <v>290000</v>
      </c>
      <c r="F26">
        <f t="shared" si="0"/>
        <v>11641000</v>
      </c>
      <c r="H26">
        <f t="shared" si="1"/>
        <v>23</v>
      </c>
    </row>
    <row r="27" spans="1:8" x14ac:dyDescent="0.45">
      <c r="A27">
        <v>2051</v>
      </c>
      <c r="B27">
        <v>2640000</v>
      </c>
      <c r="C27">
        <v>5280000</v>
      </c>
      <c r="D27">
        <v>3431000</v>
      </c>
      <c r="E27">
        <v>290000</v>
      </c>
      <c r="F27">
        <f t="shared" si="0"/>
        <v>11641000</v>
      </c>
      <c r="H27">
        <f t="shared" si="1"/>
        <v>24</v>
      </c>
    </row>
    <row r="28" spans="1:8" x14ac:dyDescent="0.45">
      <c r="A28">
        <v>2052</v>
      </c>
      <c r="B28">
        <v>2640000</v>
      </c>
      <c r="C28">
        <v>5280000</v>
      </c>
      <c r="D28">
        <v>3431000</v>
      </c>
      <c r="E28">
        <v>290000</v>
      </c>
      <c r="F28">
        <f t="shared" si="0"/>
        <v>11641000</v>
      </c>
      <c r="H28">
        <f t="shared" si="1"/>
        <v>25</v>
      </c>
    </row>
    <row r="29" spans="1:8" x14ac:dyDescent="0.45">
      <c r="A29">
        <v>2053</v>
      </c>
      <c r="B29">
        <v>2640000</v>
      </c>
      <c r="C29">
        <v>5280000</v>
      </c>
      <c r="D29">
        <v>3431000</v>
      </c>
      <c r="E29">
        <v>290000</v>
      </c>
      <c r="F29">
        <f t="shared" si="0"/>
        <v>11641000</v>
      </c>
      <c r="H29">
        <f t="shared" si="1"/>
        <v>26</v>
      </c>
    </row>
    <row r="30" spans="1:8" x14ac:dyDescent="0.45">
      <c r="A30">
        <v>2054</v>
      </c>
      <c r="B30">
        <v>2640000</v>
      </c>
      <c r="C30">
        <v>5280000</v>
      </c>
      <c r="D30">
        <v>3431000</v>
      </c>
      <c r="E30">
        <v>290000</v>
      </c>
      <c r="F30">
        <f t="shared" si="0"/>
        <v>11641000</v>
      </c>
      <c r="H30">
        <f t="shared" si="1"/>
        <v>27</v>
      </c>
    </row>
    <row r="31" spans="1:8" x14ac:dyDescent="0.45">
      <c r="A31">
        <v>2055</v>
      </c>
      <c r="B31">
        <v>2640000</v>
      </c>
      <c r="C31">
        <v>5280000</v>
      </c>
      <c r="D31">
        <v>3431000</v>
      </c>
      <c r="E31">
        <v>290000</v>
      </c>
      <c r="F31">
        <f t="shared" si="0"/>
        <v>11641000</v>
      </c>
      <c r="H31">
        <f t="shared" si="1"/>
        <v>28</v>
      </c>
    </row>
    <row r="32" spans="1:8" x14ac:dyDescent="0.45">
      <c r="A32">
        <v>2056</v>
      </c>
      <c r="B32">
        <v>2640000</v>
      </c>
      <c r="C32">
        <v>5280000</v>
      </c>
      <c r="D32">
        <v>3431000</v>
      </c>
      <c r="E32">
        <v>290000</v>
      </c>
      <c r="F32">
        <f t="shared" si="0"/>
        <v>11641000</v>
      </c>
      <c r="H32">
        <f t="shared" si="1"/>
        <v>29</v>
      </c>
    </row>
    <row r="33" spans="1:8" x14ac:dyDescent="0.45">
      <c r="A33">
        <v>2057</v>
      </c>
      <c r="B33">
        <v>2640000</v>
      </c>
      <c r="C33">
        <v>5280000</v>
      </c>
      <c r="D33">
        <v>3431000</v>
      </c>
      <c r="E33">
        <v>290000</v>
      </c>
      <c r="F33">
        <f t="shared" si="0"/>
        <v>11641000</v>
      </c>
      <c r="H33">
        <f t="shared" si="1"/>
        <v>30</v>
      </c>
    </row>
    <row r="34" spans="1:8" x14ac:dyDescent="0.45">
      <c r="A34">
        <v>2058</v>
      </c>
      <c r="B34">
        <v>2640000</v>
      </c>
      <c r="C34">
        <v>5280000</v>
      </c>
      <c r="D34">
        <v>3431000</v>
      </c>
      <c r="E34">
        <v>290000</v>
      </c>
      <c r="F34">
        <f t="shared" si="0"/>
        <v>11641000</v>
      </c>
      <c r="H34">
        <f t="shared" si="1"/>
        <v>31</v>
      </c>
    </row>
    <row r="35" spans="1:8" x14ac:dyDescent="0.45">
      <c r="A35">
        <v>2059</v>
      </c>
      <c r="B35">
        <v>2640000</v>
      </c>
      <c r="C35">
        <v>5280000</v>
      </c>
      <c r="D35">
        <v>3431000</v>
      </c>
      <c r="E35">
        <v>290000</v>
      </c>
      <c r="F35">
        <f t="shared" si="0"/>
        <v>11641000</v>
      </c>
      <c r="H35">
        <f t="shared" si="1"/>
        <v>32</v>
      </c>
    </row>
    <row r="36" spans="1:8" x14ac:dyDescent="0.45">
      <c r="A36">
        <v>2060</v>
      </c>
      <c r="B36">
        <v>2640000</v>
      </c>
      <c r="C36">
        <v>5280000</v>
      </c>
      <c r="D36">
        <v>3431000</v>
      </c>
      <c r="E36">
        <v>290000</v>
      </c>
      <c r="F36">
        <f t="shared" si="0"/>
        <v>11641000</v>
      </c>
      <c r="H36">
        <f t="shared" si="1"/>
        <v>33</v>
      </c>
    </row>
    <row r="37" spans="1:8" x14ac:dyDescent="0.45">
      <c r="A37">
        <v>2061</v>
      </c>
      <c r="B37">
        <v>2640000</v>
      </c>
      <c r="C37">
        <v>5280000</v>
      </c>
      <c r="D37">
        <v>3431000</v>
      </c>
      <c r="E37">
        <v>290000</v>
      </c>
      <c r="F37">
        <f t="shared" si="0"/>
        <v>11641000</v>
      </c>
      <c r="H37">
        <f t="shared" si="1"/>
        <v>34</v>
      </c>
    </row>
    <row r="38" spans="1:8" x14ac:dyDescent="0.45">
      <c r="A38">
        <v>2062</v>
      </c>
      <c r="B38">
        <v>2640000</v>
      </c>
      <c r="C38">
        <v>5280000</v>
      </c>
      <c r="D38">
        <v>3431000</v>
      </c>
      <c r="E38">
        <v>290000</v>
      </c>
      <c r="F38">
        <f t="shared" si="0"/>
        <v>11641000</v>
      </c>
      <c r="H38">
        <f t="shared" si="1"/>
        <v>35</v>
      </c>
    </row>
    <row r="39" spans="1:8" x14ac:dyDescent="0.45">
      <c r="A39">
        <v>2063</v>
      </c>
      <c r="B39">
        <v>2640000</v>
      </c>
      <c r="C39">
        <v>5280000</v>
      </c>
      <c r="D39">
        <v>3431000</v>
      </c>
      <c r="E39">
        <v>290000</v>
      </c>
      <c r="F39">
        <f t="shared" si="0"/>
        <v>11641000</v>
      </c>
      <c r="H39">
        <f t="shared" si="1"/>
        <v>36</v>
      </c>
    </row>
    <row r="40" spans="1:8" x14ac:dyDescent="0.45">
      <c r="A40">
        <v>2064</v>
      </c>
      <c r="B40">
        <v>2640000</v>
      </c>
      <c r="C40">
        <v>5280000</v>
      </c>
      <c r="D40">
        <v>3431000</v>
      </c>
      <c r="E40">
        <v>290000</v>
      </c>
      <c r="F40">
        <f t="shared" si="0"/>
        <v>11641000</v>
      </c>
      <c r="H40">
        <f t="shared" si="1"/>
        <v>37</v>
      </c>
    </row>
    <row r="41" spans="1:8" x14ac:dyDescent="0.45">
      <c r="A41">
        <v>2065</v>
      </c>
      <c r="B41">
        <v>2640000</v>
      </c>
      <c r="C41">
        <v>5280000</v>
      </c>
      <c r="D41">
        <v>3431000</v>
      </c>
      <c r="E41">
        <v>290000</v>
      </c>
      <c r="F41">
        <f t="shared" si="0"/>
        <v>11641000</v>
      </c>
      <c r="H41">
        <f t="shared" si="1"/>
        <v>38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C46B96-AFE5-428E-937E-9B78ABB8A67C}">
  <dimension ref="B3:N12"/>
  <sheetViews>
    <sheetView tabSelected="1" topLeftCell="B1" workbookViewId="0">
      <selection activeCell="M11" sqref="M11"/>
    </sheetView>
  </sheetViews>
  <sheetFormatPr defaultRowHeight="17" x14ac:dyDescent="0.45"/>
  <cols>
    <col min="2" max="2" width="14.25" customWidth="1"/>
    <col min="3" max="3" width="13.25" customWidth="1"/>
    <col min="4" max="4" width="9" customWidth="1"/>
    <col min="6" max="6" width="9.5" bestFit="1" customWidth="1"/>
    <col min="9" max="9" width="12.75" bestFit="1" customWidth="1"/>
    <col min="10" max="10" width="21.25" customWidth="1"/>
    <col min="11" max="11" width="23.33203125" customWidth="1"/>
    <col min="12" max="12" width="12.08203125" bestFit="1" customWidth="1"/>
  </cols>
  <sheetData>
    <row r="3" spans="2:14" x14ac:dyDescent="0.45">
      <c r="J3" t="s">
        <v>49</v>
      </c>
      <c r="L3" t="s">
        <v>51</v>
      </c>
    </row>
    <row r="4" spans="2:14" x14ac:dyDescent="0.45">
      <c r="B4" t="s">
        <v>48</v>
      </c>
      <c r="D4" t="s">
        <v>40</v>
      </c>
      <c r="E4" t="s">
        <v>41</v>
      </c>
      <c r="F4" t="s">
        <v>42</v>
      </c>
      <c r="G4" t="s">
        <v>43</v>
      </c>
      <c r="H4" t="s">
        <v>44</v>
      </c>
      <c r="I4" t="s">
        <v>45</v>
      </c>
      <c r="L4">
        <f>3.705+2.0505</f>
        <v>5.7554999999999996</v>
      </c>
      <c r="M4" t="s">
        <v>52</v>
      </c>
    </row>
    <row r="5" spans="2:14" x14ac:dyDescent="0.45">
      <c r="B5" t="s">
        <v>60</v>
      </c>
      <c r="C5" t="s">
        <v>39</v>
      </c>
      <c r="D5" t="s">
        <v>46</v>
      </c>
      <c r="E5" t="s">
        <v>46</v>
      </c>
      <c r="F5" t="s">
        <v>46</v>
      </c>
      <c r="G5" t="s">
        <v>47</v>
      </c>
      <c r="H5" t="s">
        <v>47</v>
      </c>
      <c r="I5" t="s">
        <v>47</v>
      </c>
      <c r="L5" t="s">
        <v>16</v>
      </c>
    </row>
    <row r="6" spans="2:14" x14ac:dyDescent="0.45">
      <c r="L6">
        <v>351124000</v>
      </c>
    </row>
    <row r="7" spans="2:14" x14ac:dyDescent="0.45">
      <c r="K7" t="s">
        <v>59</v>
      </c>
      <c r="L7">
        <f>5755500000000/L6</f>
        <v>16391.645116824824</v>
      </c>
    </row>
    <row r="9" spans="2:14" x14ac:dyDescent="0.45">
      <c r="C9" t="s">
        <v>61</v>
      </c>
      <c r="D9" t="s">
        <v>46</v>
      </c>
      <c r="E9" t="s">
        <v>46</v>
      </c>
      <c r="F9" t="s">
        <v>46</v>
      </c>
      <c r="G9" t="s">
        <v>47</v>
      </c>
      <c r="H9" t="s">
        <v>47</v>
      </c>
      <c r="I9" t="s">
        <v>47</v>
      </c>
      <c r="J9">
        <v>398</v>
      </c>
      <c r="M9" t="s">
        <v>56</v>
      </c>
      <c r="N9" t="s">
        <v>57</v>
      </c>
    </row>
    <row r="10" spans="2:14" x14ac:dyDescent="0.45">
      <c r="C10" t="s">
        <v>62</v>
      </c>
      <c r="F10">
        <f>7968*1300</f>
        <v>10358400</v>
      </c>
      <c r="I10">
        <f>9213*1300</f>
        <v>11976900</v>
      </c>
      <c r="K10" t="s">
        <v>55</v>
      </c>
      <c r="L10" t="s">
        <v>54</v>
      </c>
      <c r="M10">
        <f>22.12*50867</f>
        <v>1125178.04</v>
      </c>
      <c r="N10">
        <f>28.88*50867</f>
        <v>1469038.96</v>
      </c>
    </row>
    <row r="11" spans="2:14" x14ac:dyDescent="0.45">
      <c r="I11">
        <f>1454+1431+2991+2472</f>
        <v>8348</v>
      </c>
      <c r="K11" t="s">
        <v>58</v>
      </c>
      <c r="M11">
        <f>16390/1125180</f>
        <v>1.4566558239570558E-2</v>
      </c>
      <c r="N11">
        <f>16390/1469040</f>
        <v>1.1156946032783313E-2</v>
      </c>
    </row>
    <row r="12" spans="2:14" x14ac:dyDescent="0.45">
      <c r="C12" t="s">
        <v>63</v>
      </c>
      <c r="I12">
        <f>I10*I11</f>
        <v>99983161200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기존 운영설비비 NPV 계산</vt:lpstr>
      <vt:lpstr>운용설비비(드론)</vt:lpstr>
      <vt:lpstr>건설비</vt:lpstr>
      <vt:lpstr>실제 편익 계산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김상순</dc:creator>
  <cp:lastModifiedBy>윤서 박</cp:lastModifiedBy>
  <dcterms:created xsi:type="dcterms:W3CDTF">2023-06-10T05:15:12Z</dcterms:created>
  <dcterms:modified xsi:type="dcterms:W3CDTF">2024-03-07T02:12:20Z</dcterms:modified>
</cp:coreProperties>
</file>