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nuistedu-my.sharepoint.cn/personal/003485_nuist_edu_cn/Documents/2022年/00实验数据处理/meta分析O3对作物产量/05estimated Dose relationship/Input result/"/>
    </mc:Choice>
  </mc:AlternateContent>
  <xr:revisionPtr revIDLastSave="43" documentId="14_{5F4208D0-F5D9-461E-BE38-03BCD3E2DFB5}" xr6:coauthVersionLast="45" xr6:coauthVersionMax="45" xr10:uidLastSave="{57A9E181-8255-48BF-AD2C-DF1423D2D54B}"/>
  <bookViews>
    <workbookView xWindow="-108" yWindow="-108" windowWidth="30936" windowHeight="16776" xr2:uid="{00000000-000D-0000-FFFF-FFFF00000000}"/>
  </bookViews>
  <sheets>
    <sheet name="Wheat data" sheetId="2" r:id="rId1"/>
    <sheet name="All wheat data_other variable" sheetId="3" r:id="rId2"/>
    <sheet name="datasets" sheetId="4" r:id="rId3"/>
  </sheets>
  <definedNames>
    <definedName name="_xlnm._FilterDatabase" localSheetId="2" hidden="1">datasets!$A$1:$BJ$92</definedName>
    <definedName name="_xlnm._FilterDatabase" localSheetId="0" hidden="1">'Wheat data'!$A$1:$BH$259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68" i="2" l="1"/>
  <c r="AG67" i="2"/>
  <c r="AG66" i="2"/>
  <c r="AG65" i="2"/>
  <c r="BJ92" i="4" l="1"/>
  <c r="BI92" i="4"/>
  <c r="BJ91" i="4"/>
  <c r="BI91" i="4"/>
  <c r="BJ90" i="4"/>
  <c r="BI90" i="4"/>
  <c r="BJ89" i="4"/>
  <c r="BI89" i="4"/>
  <c r="BJ88" i="4"/>
  <c r="BI88" i="4"/>
  <c r="BJ83" i="4"/>
  <c r="BI83" i="4"/>
  <c r="BJ77" i="4"/>
  <c r="BI77" i="4"/>
  <c r="BJ76" i="4"/>
  <c r="BI76" i="4"/>
  <c r="BJ75" i="4"/>
  <c r="BI75" i="4"/>
  <c r="BJ74" i="4"/>
  <c r="BI74" i="4"/>
  <c r="BJ73" i="4"/>
  <c r="BI73" i="4"/>
  <c r="BJ72" i="4"/>
  <c r="BI72" i="4"/>
  <c r="BJ71" i="4"/>
  <c r="BI71" i="4"/>
  <c r="BJ68" i="4"/>
  <c r="BI68" i="4"/>
  <c r="BJ67" i="4"/>
  <c r="BI67" i="4"/>
  <c r="BJ66" i="4"/>
  <c r="BI66" i="4"/>
  <c r="BJ65" i="4"/>
  <c r="BI65" i="4"/>
  <c r="BJ64" i="4"/>
  <c r="BI64" i="4"/>
  <c r="BJ56" i="4"/>
  <c r="BI56" i="4"/>
  <c r="BJ55" i="4"/>
  <c r="BI55" i="4"/>
  <c r="BJ54" i="4"/>
  <c r="BI54" i="4"/>
  <c r="BJ53" i="4"/>
  <c r="BI53" i="4"/>
  <c r="BJ52" i="4"/>
  <c r="BI52" i="4"/>
  <c r="BJ51" i="4"/>
  <c r="BI51" i="4"/>
  <c r="BJ50" i="4"/>
  <c r="BI50" i="4"/>
  <c r="BJ49" i="4"/>
  <c r="BI49" i="4"/>
  <c r="BJ13" i="4"/>
  <c r="BI13" i="4"/>
  <c r="BJ12" i="4"/>
  <c r="BI12" i="4"/>
  <c r="BJ11" i="4"/>
  <c r="BI11" i="4"/>
  <c r="BJ10" i="4"/>
  <c r="BI10" i="4"/>
  <c r="BJ3" i="4"/>
  <c r="BI3" i="4"/>
  <c r="BG92" i="4"/>
  <c r="BC92" i="4"/>
  <c r="BB92" i="4"/>
  <c r="AZ92" i="4"/>
  <c r="AY92" i="4"/>
  <c r="AT92" i="4"/>
  <c r="AS92" i="4"/>
  <c r="T92" i="4"/>
  <c r="V92" i="4" s="1"/>
  <c r="F92" i="4"/>
  <c r="BG91" i="4"/>
  <c r="BC91" i="4"/>
  <c r="BB91" i="4"/>
  <c r="AZ91" i="4"/>
  <c r="AY91" i="4"/>
  <c r="AT91" i="4"/>
  <c r="AS91" i="4"/>
  <c r="T91" i="4"/>
  <c r="V91" i="4" s="1"/>
  <c r="F91" i="4"/>
  <c r="BG90" i="4"/>
  <c r="BC90" i="4"/>
  <c r="BB90" i="4"/>
  <c r="AZ90" i="4"/>
  <c r="AY90" i="4"/>
  <c r="AT90" i="4"/>
  <c r="AS90" i="4"/>
  <c r="T90" i="4"/>
  <c r="P90" i="4" s="1"/>
  <c r="F90" i="4"/>
  <c r="BG89" i="4"/>
  <c r="BC89" i="4"/>
  <c r="BB89" i="4"/>
  <c r="AZ89" i="4"/>
  <c r="AY89" i="4"/>
  <c r="AT89" i="4"/>
  <c r="AS89" i="4"/>
  <c r="T89" i="4"/>
  <c r="V89" i="4" s="1"/>
  <c r="F89" i="4"/>
  <c r="BG88" i="4"/>
  <c r="BC88" i="4"/>
  <c r="BB88" i="4"/>
  <c r="AZ88" i="4"/>
  <c r="AY88" i="4"/>
  <c r="AT88" i="4"/>
  <c r="AS88" i="4"/>
  <c r="T88" i="4"/>
  <c r="F88" i="4"/>
  <c r="BF87" i="4"/>
  <c r="BG87" i="4" s="1"/>
  <c r="BC87" i="4"/>
  <c r="BB87" i="4"/>
  <c r="AZ87" i="4"/>
  <c r="AY87" i="4"/>
  <c r="AT87" i="4"/>
  <c r="AS87" i="4"/>
  <c r="AO87" i="4"/>
  <c r="AG87" i="4"/>
  <c r="T87" i="4"/>
  <c r="F87" i="4"/>
  <c r="BF86" i="4"/>
  <c r="BG86" i="4" s="1"/>
  <c r="BC86" i="4"/>
  <c r="BB86" i="4"/>
  <c r="AZ86" i="4"/>
  <c r="AY86" i="4"/>
  <c r="AT86" i="4"/>
  <c r="AS86" i="4"/>
  <c r="AO86" i="4"/>
  <c r="AG86" i="4"/>
  <c r="V86" i="4"/>
  <c r="P86" i="4"/>
  <c r="F86" i="4"/>
  <c r="BF85" i="4"/>
  <c r="BC85" i="4"/>
  <c r="BB85" i="4"/>
  <c r="AT85" i="4"/>
  <c r="AS85" i="4"/>
  <c r="AO85" i="4"/>
  <c r="T85" i="4"/>
  <c r="V85" i="4" s="1"/>
  <c r="F85" i="4"/>
  <c r="BF84" i="4"/>
  <c r="BC84" i="4"/>
  <c r="BB84" i="4"/>
  <c r="AT84" i="4"/>
  <c r="AS84" i="4"/>
  <c r="AO84" i="4"/>
  <c r="T84" i="4"/>
  <c r="V84" i="4" s="1"/>
  <c r="F84" i="4"/>
  <c r="BG83" i="4"/>
  <c r="BC83" i="4"/>
  <c r="BB83" i="4"/>
  <c r="AZ83" i="4"/>
  <c r="AY83" i="4"/>
  <c r="AT83" i="4"/>
  <c r="AS83" i="4"/>
  <c r="Y83" i="4"/>
  <c r="AO83" i="4" s="1"/>
  <c r="T83" i="4"/>
  <c r="P83" i="4" s="1"/>
  <c r="F83" i="4"/>
  <c r="BF82" i="4"/>
  <c r="BG82" i="4" s="1"/>
  <c r="BC82" i="4"/>
  <c r="BB82" i="4"/>
  <c r="AZ82" i="4"/>
  <c r="AY82" i="4"/>
  <c r="AT82" i="4"/>
  <c r="AO82" i="4"/>
  <c r="T82" i="4"/>
  <c r="V82" i="4" s="1"/>
  <c r="P82" i="4"/>
  <c r="F82" i="4"/>
  <c r="BF81" i="4"/>
  <c r="BG81" i="4" s="1"/>
  <c r="BC81" i="4"/>
  <c r="BB81" i="4"/>
  <c r="AZ81" i="4"/>
  <c r="AY81" i="4"/>
  <c r="AT81" i="4"/>
  <c r="AO81" i="4"/>
  <c r="T81" i="4"/>
  <c r="V81" i="4" s="1"/>
  <c r="P81" i="4"/>
  <c r="F81" i="4"/>
  <c r="BC80" i="4"/>
  <c r="BB80" i="4"/>
  <c r="AZ80" i="4"/>
  <c r="AY80" i="4"/>
  <c r="AS80" i="4"/>
  <c r="AO80" i="4"/>
  <c r="Y80" i="4"/>
  <c r="T80" i="4"/>
  <c r="P80" i="4"/>
  <c r="F80" i="4"/>
  <c r="BC79" i="4"/>
  <c r="BB79" i="4"/>
  <c r="AZ79" i="4"/>
  <c r="AY79" i="4"/>
  <c r="AS79" i="4"/>
  <c r="Y79" i="4"/>
  <c r="AO79" i="4" s="1"/>
  <c r="T79" i="4"/>
  <c r="P79" i="4"/>
  <c r="F79" i="4"/>
  <c r="BC78" i="4"/>
  <c r="BB78" i="4"/>
  <c r="AZ78" i="4"/>
  <c r="AY78" i="4"/>
  <c r="AS78" i="4"/>
  <c r="Y78" i="4"/>
  <c r="AO78" i="4" s="1"/>
  <c r="T78" i="4"/>
  <c r="P78" i="4"/>
  <c r="F78" i="4"/>
  <c r="BG77" i="4"/>
  <c r="BC77" i="4"/>
  <c r="BB77" i="4"/>
  <c r="AZ77" i="4"/>
  <c r="AY77" i="4"/>
  <c r="AT77" i="4"/>
  <c r="AS77" i="4"/>
  <c r="AO77" i="4"/>
  <c r="T77" i="4"/>
  <c r="P77" i="4" s="1"/>
  <c r="F77" i="4"/>
  <c r="BG76" i="4"/>
  <c r="BC76" i="4"/>
  <c r="BB76" i="4"/>
  <c r="AZ76" i="4"/>
  <c r="AY76" i="4"/>
  <c r="AT76" i="4"/>
  <c r="AS76" i="4"/>
  <c r="AO76" i="4"/>
  <c r="T76" i="4"/>
  <c r="P76" i="4"/>
  <c r="F76" i="4"/>
  <c r="BG75" i="4"/>
  <c r="BC75" i="4"/>
  <c r="BB75" i="4"/>
  <c r="AZ75" i="4"/>
  <c r="AY75" i="4"/>
  <c r="AT75" i="4"/>
  <c r="AS75" i="4"/>
  <c r="AO75" i="4"/>
  <c r="AG75" i="4"/>
  <c r="T75" i="4"/>
  <c r="P75" i="4" s="1"/>
  <c r="F75" i="4"/>
  <c r="BG74" i="4"/>
  <c r="BC74" i="4"/>
  <c r="BB74" i="4"/>
  <c r="AZ74" i="4"/>
  <c r="AY74" i="4"/>
  <c r="AT74" i="4"/>
  <c r="AS74" i="4"/>
  <c r="AO74" i="4"/>
  <c r="AG74" i="4"/>
  <c r="T74" i="4"/>
  <c r="P74" i="4" s="1"/>
  <c r="F74" i="4"/>
  <c r="BG73" i="4"/>
  <c r="BC73" i="4"/>
  <c r="BB73" i="4"/>
  <c r="AZ73" i="4"/>
  <c r="AY73" i="4"/>
  <c r="AT73" i="4"/>
  <c r="AS73" i="4"/>
  <c r="AO73" i="4"/>
  <c r="T73" i="4"/>
  <c r="P73" i="4" s="1"/>
  <c r="F73" i="4"/>
  <c r="BG72" i="4"/>
  <c r="BC72" i="4"/>
  <c r="BB72" i="4"/>
  <c r="AZ72" i="4"/>
  <c r="AY72" i="4"/>
  <c r="AT72" i="4"/>
  <c r="AS72" i="4"/>
  <c r="AO72" i="4"/>
  <c r="T72" i="4"/>
  <c r="P72" i="4"/>
  <c r="F72" i="4"/>
  <c r="BG71" i="4"/>
  <c r="BC71" i="4"/>
  <c r="BB71" i="4"/>
  <c r="AZ71" i="4"/>
  <c r="AY71" i="4"/>
  <c r="AT71" i="4"/>
  <c r="AS71" i="4"/>
  <c r="AO71" i="4"/>
  <c r="T71" i="4"/>
  <c r="P71" i="4" s="1"/>
  <c r="F71" i="4"/>
  <c r="BC70" i="4"/>
  <c r="BB70" i="4"/>
  <c r="AZ70" i="4"/>
  <c r="AY70" i="4"/>
  <c r="AT70" i="4"/>
  <c r="AS70" i="4"/>
  <c r="T70" i="4"/>
  <c r="P70" i="4"/>
  <c r="F70" i="4"/>
  <c r="BC69" i="4"/>
  <c r="BB69" i="4"/>
  <c r="AZ69" i="4"/>
  <c r="AY69" i="4"/>
  <c r="AT69" i="4"/>
  <c r="AS69" i="4"/>
  <c r="T69" i="4"/>
  <c r="P69" i="4"/>
  <c r="F69" i="4"/>
  <c r="BG68" i="4"/>
  <c r="BC68" i="4"/>
  <c r="BB68" i="4"/>
  <c r="AZ68" i="4"/>
  <c r="AY68" i="4"/>
  <c r="AO68" i="4"/>
  <c r="T68" i="4"/>
  <c r="P68" i="4" s="1"/>
  <c r="F68" i="4"/>
  <c r="BG67" i="4"/>
  <c r="BC67" i="4"/>
  <c r="BB67" i="4"/>
  <c r="AZ67" i="4"/>
  <c r="AY67" i="4"/>
  <c r="AO67" i="4"/>
  <c r="T67" i="4"/>
  <c r="P67" i="4" s="1"/>
  <c r="F67" i="4"/>
  <c r="BG66" i="4"/>
  <c r="BC66" i="4"/>
  <c r="BB66" i="4"/>
  <c r="AZ66" i="4"/>
  <c r="AY66" i="4"/>
  <c r="AO66" i="4"/>
  <c r="T66" i="4"/>
  <c r="P66" i="4" s="1"/>
  <c r="F66" i="4"/>
  <c r="BG65" i="4"/>
  <c r="BC65" i="4"/>
  <c r="BB65" i="4"/>
  <c r="AZ65" i="4"/>
  <c r="AY65" i="4"/>
  <c r="AO65" i="4"/>
  <c r="T65" i="4"/>
  <c r="P65" i="4" s="1"/>
  <c r="F65" i="4"/>
  <c r="BG64" i="4"/>
  <c r="BC64" i="4"/>
  <c r="BB64" i="4"/>
  <c r="AZ64" i="4"/>
  <c r="AY64" i="4"/>
  <c r="AO64" i="4"/>
  <c r="T64" i="4"/>
  <c r="P64" i="4" s="1"/>
  <c r="F64" i="4"/>
  <c r="BF63" i="4"/>
  <c r="BG63" i="4" s="1"/>
  <c r="BC63" i="4"/>
  <c r="BB63" i="4"/>
  <c r="AZ63" i="4"/>
  <c r="AO63" i="4"/>
  <c r="AK63" i="4"/>
  <c r="AG63" i="4" s="1"/>
  <c r="T63" i="4"/>
  <c r="P63" i="4" s="1"/>
  <c r="F63" i="4"/>
  <c r="BF62" i="4"/>
  <c r="BG62" i="4" s="1"/>
  <c r="BC62" i="4"/>
  <c r="BB62" i="4"/>
  <c r="AZ62" i="4"/>
  <c r="AY62" i="4"/>
  <c r="T62" i="4"/>
  <c r="P62" i="4" s="1"/>
  <c r="F62" i="4"/>
  <c r="BF61" i="4"/>
  <c r="BG61" i="4" s="1"/>
  <c r="BC61" i="4"/>
  <c r="BB61" i="4"/>
  <c r="AZ61" i="4"/>
  <c r="AY61" i="4"/>
  <c r="T61" i="4"/>
  <c r="P61" i="4" s="1"/>
  <c r="F61" i="4"/>
  <c r="BF60" i="4"/>
  <c r="BG60" i="4" s="1"/>
  <c r="BC60" i="4"/>
  <c r="BB60" i="4"/>
  <c r="AZ60" i="4"/>
  <c r="AY60" i="4"/>
  <c r="T60" i="4"/>
  <c r="P60" i="4" s="1"/>
  <c r="F60" i="4"/>
  <c r="BF59" i="4"/>
  <c r="BG59" i="4" s="1"/>
  <c r="BC59" i="4"/>
  <c r="BB59" i="4"/>
  <c r="AZ59" i="4"/>
  <c r="AY59" i="4"/>
  <c r="T59" i="4"/>
  <c r="P59" i="4" s="1"/>
  <c r="F59" i="4"/>
  <c r="BF58" i="4"/>
  <c r="BG58" i="4" s="1"/>
  <c r="BC58" i="4"/>
  <c r="BB58" i="4"/>
  <c r="AZ58" i="4"/>
  <c r="AY58" i="4"/>
  <c r="T58" i="4"/>
  <c r="P58" i="4" s="1"/>
  <c r="F58" i="4"/>
  <c r="BC57" i="4"/>
  <c r="BB57" i="4"/>
  <c r="AZ57" i="4"/>
  <c r="AY57" i="4"/>
  <c r="V57" i="4"/>
  <c r="P57" i="4"/>
  <c r="F57" i="4"/>
  <c r="BG56" i="4"/>
  <c r="BC56" i="4"/>
  <c r="BB56" i="4"/>
  <c r="AZ56" i="4"/>
  <c r="AY56" i="4"/>
  <c r="AT56" i="4"/>
  <c r="AS56" i="4"/>
  <c r="AO56" i="4"/>
  <c r="V56" i="4"/>
  <c r="P56" i="4"/>
  <c r="F56" i="4"/>
  <c r="BG55" i="4"/>
  <c r="BC55" i="4"/>
  <c r="BB55" i="4"/>
  <c r="AZ55" i="4"/>
  <c r="AY55" i="4"/>
  <c r="AT55" i="4"/>
  <c r="AS55" i="4"/>
  <c r="AO55" i="4"/>
  <c r="V55" i="4"/>
  <c r="P55" i="4"/>
  <c r="F55" i="4"/>
  <c r="BG54" i="4"/>
  <c r="BC54" i="4"/>
  <c r="BB54" i="4"/>
  <c r="AZ54" i="4"/>
  <c r="AY54" i="4"/>
  <c r="AT54" i="4"/>
  <c r="AS54" i="4"/>
  <c r="AO54" i="4"/>
  <c r="V54" i="4"/>
  <c r="P54" i="4"/>
  <c r="F54" i="4"/>
  <c r="BG53" i="4"/>
  <c r="BC53" i="4"/>
  <c r="BB53" i="4"/>
  <c r="AZ53" i="4"/>
  <c r="AY53" i="4"/>
  <c r="AT53" i="4"/>
  <c r="AS53" i="4"/>
  <c r="AO53" i="4"/>
  <c r="V53" i="4"/>
  <c r="P53" i="4"/>
  <c r="F53" i="4"/>
  <c r="BG52" i="4"/>
  <c r="BC52" i="4"/>
  <c r="BB52" i="4"/>
  <c r="AZ52" i="4"/>
  <c r="AY52" i="4"/>
  <c r="AT52" i="4"/>
  <c r="AS52" i="4"/>
  <c r="AO52" i="4"/>
  <c r="V52" i="4"/>
  <c r="P52" i="4"/>
  <c r="F52" i="4"/>
  <c r="BG51" i="4"/>
  <c r="BC51" i="4"/>
  <c r="BB51" i="4"/>
  <c r="AZ51" i="4"/>
  <c r="AY51" i="4"/>
  <c r="AT51" i="4"/>
  <c r="AS51" i="4"/>
  <c r="AO51" i="4"/>
  <c r="V51" i="4"/>
  <c r="P51" i="4"/>
  <c r="F51" i="4"/>
  <c r="BG50" i="4"/>
  <c r="BC50" i="4"/>
  <c r="BB50" i="4"/>
  <c r="AZ50" i="4"/>
  <c r="AY50" i="4"/>
  <c r="AT50" i="4"/>
  <c r="AS50" i="4"/>
  <c r="AO50" i="4"/>
  <c r="V50" i="4"/>
  <c r="P50" i="4"/>
  <c r="F50" i="4"/>
  <c r="BG49" i="4"/>
  <c r="BC49" i="4"/>
  <c r="BB49" i="4"/>
  <c r="AZ49" i="4"/>
  <c r="AY49" i="4"/>
  <c r="AT49" i="4"/>
  <c r="AS49" i="4"/>
  <c r="AO49" i="4"/>
  <c r="V49" i="4"/>
  <c r="P49" i="4"/>
  <c r="F49" i="4"/>
  <c r="BF48" i="4"/>
  <c r="BG48" i="4" s="1"/>
  <c r="BC48" i="4"/>
  <c r="BB48" i="4"/>
  <c r="AZ48" i="4"/>
  <c r="AY48" i="4"/>
  <c r="AT48" i="4"/>
  <c r="AS48" i="4"/>
  <c r="AO48" i="4"/>
  <c r="P48" i="4"/>
  <c r="F48" i="4"/>
  <c r="BF47" i="4"/>
  <c r="BG47" i="4" s="1"/>
  <c r="BC47" i="4"/>
  <c r="BB47" i="4"/>
  <c r="AZ47" i="4"/>
  <c r="AY47" i="4"/>
  <c r="AT47" i="4"/>
  <c r="AS47" i="4"/>
  <c r="AO47" i="4"/>
  <c r="P47" i="4"/>
  <c r="F47" i="4"/>
  <c r="BC46" i="4"/>
  <c r="AZ46" i="4"/>
  <c r="AW46" i="4"/>
  <c r="BB46" i="4" s="1"/>
  <c r="AU46" i="4"/>
  <c r="AY46" i="4" s="1"/>
  <c r="AT46" i="4"/>
  <c r="AS46" i="4"/>
  <c r="V46" i="4"/>
  <c r="F46" i="4"/>
  <c r="BC45" i="4"/>
  <c r="AZ45" i="4"/>
  <c r="AW45" i="4"/>
  <c r="BB45" i="4" s="1"/>
  <c r="AU45" i="4"/>
  <c r="AY45" i="4" s="1"/>
  <c r="AT45" i="4"/>
  <c r="AS45" i="4"/>
  <c r="V45" i="4"/>
  <c r="F45" i="4"/>
  <c r="BC44" i="4"/>
  <c r="AZ44" i="4"/>
  <c r="AW44" i="4"/>
  <c r="BB44" i="4" s="1"/>
  <c r="AU44" i="4"/>
  <c r="AY44" i="4" s="1"/>
  <c r="AT44" i="4"/>
  <c r="AS44" i="4"/>
  <c r="V44" i="4"/>
  <c r="F44" i="4"/>
  <c r="BC43" i="4"/>
  <c r="AZ43" i="4"/>
  <c r="AW43" i="4"/>
  <c r="BB43" i="4" s="1"/>
  <c r="AU43" i="4"/>
  <c r="AY43" i="4" s="1"/>
  <c r="AT43" i="4"/>
  <c r="AS43" i="4"/>
  <c r="V43" i="4"/>
  <c r="F43" i="4"/>
  <c r="BC42" i="4"/>
  <c r="AZ42" i="4"/>
  <c r="AW42" i="4"/>
  <c r="BB42" i="4" s="1"/>
  <c r="AU42" i="4"/>
  <c r="AY42" i="4" s="1"/>
  <c r="AT42" i="4"/>
  <c r="AS42" i="4"/>
  <c r="V42" i="4"/>
  <c r="F42" i="4"/>
  <c r="BC41" i="4"/>
  <c r="AZ41" i="4"/>
  <c r="AW41" i="4"/>
  <c r="BB41" i="4" s="1"/>
  <c r="AU41" i="4"/>
  <c r="AY41" i="4" s="1"/>
  <c r="AT41" i="4"/>
  <c r="AS41" i="4"/>
  <c r="V41" i="4"/>
  <c r="F41" i="4"/>
  <c r="BC40" i="4"/>
  <c r="AZ40" i="4"/>
  <c r="AW40" i="4"/>
  <c r="BB40" i="4" s="1"/>
  <c r="AU40" i="4"/>
  <c r="AY40" i="4" s="1"/>
  <c r="AT40" i="4"/>
  <c r="AS40" i="4"/>
  <c r="V40" i="4"/>
  <c r="F40" i="4"/>
  <c r="BC39" i="4"/>
  <c r="AZ39" i="4"/>
  <c r="AW39" i="4"/>
  <c r="BB39" i="4" s="1"/>
  <c r="AU39" i="4"/>
  <c r="AY39" i="4" s="1"/>
  <c r="AT39" i="4"/>
  <c r="AS39" i="4"/>
  <c r="V39" i="4"/>
  <c r="F39" i="4"/>
  <c r="BC38" i="4"/>
  <c r="AZ38" i="4"/>
  <c r="AW38" i="4"/>
  <c r="BB38" i="4" s="1"/>
  <c r="AU38" i="4"/>
  <c r="AY38" i="4" s="1"/>
  <c r="AT38" i="4"/>
  <c r="AS38" i="4"/>
  <c r="V38" i="4"/>
  <c r="F38" i="4"/>
  <c r="BC37" i="4"/>
  <c r="AZ37" i="4"/>
  <c r="AW37" i="4"/>
  <c r="BB37" i="4" s="1"/>
  <c r="AU37" i="4"/>
  <c r="AY37" i="4" s="1"/>
  <c r="AT37" i="4"/>
  <c r="AS37" i="4"/>
  <c r="V37" i="4"/>
  <c r="F37" i="4"/>
  <c r="BC36" i="4"/>
  <c r="AZ36" i="4"/>
  <c r="AW36" i="4"/>
  <c r="BB36" i="4" s="1"/>
  <c r="AU36" i="4"/>
  <c r="AY36" i="4" s="1"/>
  <c r="AT36" i="4"/>
  <c r="AS36" i="4"/>
  <c r="V36" i="4"/>
  <c r="F36" i="4"/>
  <c r="BC35" i="4"/>
  <c r="AZ35" i="4"/>
  <c r="AW35" i="4"/>
  <c r="BB35" i="4" s="1"/>
  <c r="AU35" i="4"/>
  <c r="AY35" i="4" s="1"/>
  <c r="AT35" i="4"/>
  <c r="AS35" i="4"/>
  <c r="V35" i="4"/>
  <c r="F35" i="4"/>
  <c r="BC34" i="4"/>
  <c r="AZ34" i="4"/>
  <c r="AW34" i="4"/>
  <c r="BB34" i="4" s="1"/>
  <c r="AU34" i="4"/>
  <c r="AY34" i="4" s="1"/>
  <c r="AT34" i="4"/>
  <c r="AS34" i="4"/>
  <c r="V34" i="4"/>
  <c r="F34" i="4"/>
  <c r="BC33" i="4"/>
  <c r="AZ33" i="4"/>
  <c r="AW33" i="4"/>
  <c r="BB33" i="4" s="1"/>
  <c r="AU33" i="4"/>
  <c r="AY33" i="4" s="1"/>
  <c r="AT33" i="4"/>
  <c r="AS33" i="4"/>
  <c r="V33" i="4"/>
  <c r="F33" i="4"/>
  <c r="BC32" i="4"/>
  <c r="AZ32" i="4"/>
  <c r="AW32" i="4"/>
  <c r="BB32" i="4" s="1"/>
  <c r="AU32" i="4"/>
  <c r="BF32" i="4" s="1"/>
  <c r="BG32" i="4" s="1"/>
  <c r="AT32" i="4"/>
  <c r="AS32" i="4"/>
  <c r="AO32" i="4"/>
  <c r="Y32" i="4"/>
  <c r="V32" i="4"/>
  <c r="P32" i="4"/>
  <c r="F32" i="4"/>
  <c r="BF31" i="4"/>
  <c r="BG31" i="4" s="1"/>
  <c r="BC31" i="4"/>
  <c r="BB31" i="4"/>
  <c r="AZ31" i="4"/>
  <c r="AY31" i="4"/>
  <c r="AT31" i="4"/>
  <c r="AS31" i="4"/>
  <c r="AO31" i="4"/>
  <c r="P31" i="4"/>
  <c r="F31" i="4"/>
  <c r="BF30" i="4"/>
  <c r="BG30" i="4" s="1"/>
  <c r="BC30" i="4"/>
  <c r="BB30" i="4"/>
  <c r="AZ30" i="4"/>
  <c r="AY30" i="4"/>
  <c r="AT30" i="4"/>
  <c r="AS30" i="4"/>
  <c r="AO30" i="4"/>
  <c r="P30" i="4"/>
  <c r="F30" i="4"/>
  <c r="BF29" i="4"/>
  <c r="BG29" i="4" s="1"/>
  <c r="BC29" i="4"/>
  <c r="BB29" i="4"/>
  <c r="AZ29" i="4"/>
  <c r="AY29" i="4"/>
  <c r="AT29" i="4"/>
  <c r="AS29" i="4"/>
  <c r="AO29" i="4"/>
  <c r="P29" i="4"/>
  <c r="F29" i="4"/>
  <c r="BF28" i="4"/>
  <c r="BG28" i="4" s="1"/>
  <c r="BC28" i="4"/>
  <c r="BB28" i="4"/>
  <c r="AZ28" i="4"/>
  <c r="AY28" i="4"/>
  <c r="AT28" i="4"/>
  <c r="AS28" i="4"/>
  <c r="AO28" i="4"/>
  <c r="P28" i="4"/>
  <c r="F28" i="4"/>
  <c r="BC27" i="4"/>
  <c r="AZ27" i="4"/>
  <c r="AW27" i="4"/>
  <c r="BB27" i="4" s="1"/>
  <c r="AU27" i="4"/>
  <c r="AY27" i="4" s="1"/>
  <c r="AT27" i="4"/>
  <c r="AS27" i="4"/>
  <c r="Y27" i="4"/>
  <c r="AO27" i="4" s="1"/>
  <c r="V27" i="4"/>
  <c r="P27" i="4"/>
  <c r="F27" i="4"/>
  <c r="BC26" i="4"/>
  <c r="AZ26" i="4"/>
  <c r="AW26" i="4"/>
  <c r="BB26" i="4" s="1"/>
  <c r="AU26" i="4"/>
  <c r="AY26" i="4" s="1"/>
  <c r="AT26" i="4"/>
  <c r="AS26" i="4"/>
  <c r="AO26" i="4"/>
  <c r="Y26" i="4"/>
  <c r="V26" i="4"/>
  <c r="P26" i="4"/>
  <c r="F26" i="4"/>
  <c r="BC25" i="4"/>
  <c r="BB25" i="4"/>
  <c r="AZ25" i="4"/>
  <c r="AU25" i="4"/>
  <c r="AY25" i="4" s="1"/>
  <c r="AT25" i="4"/>
  <c r="AS25" i="4"/>
  <c r="AO25" i="4"/>
  <c r="V25" i="4"/>
  <c r="P25" i="4"/>
  <c r="F25" i="4"/>
  <c r="BC24" i="4"/>
  <c r="BB24" i="4"/>
  <c r="AZ24" i="4"/>
  <c r="AU24" i="4"/>
  <c r="BF24" i="4" s="1"/>
  <c r="BG24" i="4" s="1"/>
  <c r="AT24" i="4"/>
  <c r="AS24" i="4"/>
  <c r="AO24" i="4"/>
  <c r="V24" i="4"/>
  <c r="P24" i="4"/>
  <c r="F24" i="4"/>
  <c r="BC23" i="4"/>
  <c r="BB23" i="4"/>
  <c r="AZ23" i="4"/>
  <c r="AU23" i="4"/>
  <c r="AY23" i="4" s="1"/>
  <c r="AT23" i="4"/>
  <c r="AS23" i="4"/>
  <c r="Y23" i="4"/>
  <c r="AO23" i="4" s="1"/>
  <c r="V23" i="4"/>
  <c r="P23" i="4"/>
  <c r="F23" i="4"/>
  <c r="BC22" i="4"/>
  <c r="BB22" i="4"/>
  <c r="AZ22" i="4"/>
  <c r="AU22" i="4"/>
  <c r="AY22" i="4" s="1"/>
  <c r="AT22" i="4"/>
  <c r="AS22" i="4"/>
  <c r="AO22" i="4"/>
  <c r="Y22" i="4"/>
  <c r="V22" i="4"/>
  <c r="P22" i="4"/>
  <c r="F22" i="4"/>
  <c r="AT21" i="4"/>
  <c r="AS21" i="4"/>
  <c r="V21" i="4"/>
  <c r="P21" i="4"/>
  <c r="F21" i="4"/>
  <c r="AT20" i="4"/>
  <c r="AS20" i="4"/>
  <c r="V20" i="4"/>
  <c r="P20" i="4"/>
  <c r="F20" i="4"/>
  <c r="AT19" i="4"/>
  <c r="AS19" i="4"/>
  <c r="AO19" i="4"/>
  <c r="V19" i="4"/>
  <c r="P19" i="4"/>
  <c r="F19" i="4"/>
  <c r="AT18" i="4"/>
  <c r="AS18" i="4"/>
  <c r="AO18" i="4"/>
  <c r="V18" i="4"/>
  <c r="P18" i="4"/>
  <c r="F18" i="4"/>
  <c r="BC17" i="4"/>
  <c r="BB17" i="4"/>
  <c r="AZ17" i="4"/>
  <c r="AY17" i="4"/>
  <c r="AT17" i="4"/>
  <c r="AS17" i="4"/>
  <c r="AO17" i="4"/>
  <c r="V17" i="4"/>
  <c r="P17" i="4"/>
  <c r="F17" i="4"/>
  <c r="BC16" i="4"/>
  <c r="BB16" i="4"/>
  <c r="AZ16" i="4"/>
  <c r="AY16" i="4"/>
  <c r="AT16" i="4"/>
  <c r="AS16" i="4"/>
  <c r="AO16" i="4"/>
  <c r="V16" i="4"/>
  <c r="P16" i="4"/>
  <c r="F16" i="4"/>
  <c r="BC15" i="4"/>
  <c r="BB15" i="4"/>
  <c r="AZ15" i="4"/>
  <c r="AY15" i="4"/>
  <c r="AT15" i="4"/>
  <c r="AS15" i="4"/>
  <c r="AO15" i="4"/>
  <c r="V15" i="4"/>
  <c r="P15" i="4"/>
  <c r="F15" i="4"/>
  <c r="BC14" i="4"/>
  <c r="BB14" i="4"/>
  <c r="AZ14" i="4"/>
  <c r="AY14" i="4"/>
  <c r="AT14" i="4"/>
  <c r="AS14" i="4"/>
  <c r="AO14" i="4"/>
  <c r="V14" i="4"/>
  <c r="P14" i="4"/>
  <c r="F14" i="4"/>
  <c r="BG13" i="4"/>
  <c r="BC13" i="4"/>
  <c r="BB13" i="4"/>
  <c r="AZ13" i="4"/>
  <c r="AY13" i="4"/>
  <c r="AT13" i="4"/>
  <c r="AS13" i="4"/>
  <c r="AO13" i="4"/>
  <c r="V13" i="4"/>
  <c r="P13" i="4"/>
  <c r="F13" i="4"/>
  <c r="BG12" i="4"/>
  <c r="BC12" i="4"/>
  <c r="BB12" i="4"/>
  <c r="AZ12" i="4"/>
  <c r="AY12" i="4"/>
  <c r="AT12" i="4"/>
  <c r="AS12" i="4"/>
  <c r="AO12" i="4"/>
  <c r="V12" i="4"/>
  <c r="P12" i="4"/>
  <c r="F12" i="4"/>
  <c r="BG11" i="4"/>
  <c r="BC11" i="4"/>
  <c r="BB11" i="4"/>
  <c r="AZ11" i="4"/>
  <c r="AY11" i="4"/>
  <c r="AT11" i="4"/>
  <c r="AS11" i="4"/>
  <c r="AO11" i="4"/>
  <c r="V11" i="4"/>
  <c r="P11" i="4"/>
  <c r="F11" i="4"/>
  <c r="BG10" i="4"/>
  <c r="BC10" i="4"/>
  <c r="BB10" i="4"/>
  <c r="AZ10" i="4"/>
  <c r="AY10" i="4"/>
  <c r="AT10" i="4"/>
  <c r="AS10" i="4"/>
  <c r="AO10" i="4"/>
  <c r="V10" i="4"/>
  <c r="P10" i="4"/>
  <c r="F10" i="4"/>
  <c r="BC9" i="4"/>
  <c r="BB9" i="4"/>
  <c r="AZ9" i="4"/>
  <c r="AY9" i="4"/>
  <c r="AT9" i="4"/>
  <c r="AS9" i="4"/>
  <c r="AO9" i="4"/>
  <c r="V9" i="4"/>
  <c r="P9" i="4"/>
  <c r="F9" i="4"/>
  <c r="BC8" i="4"/>
  <c r="BB8" i="4"/>
  <c r="AZ8" i="4"/>
  <c r="AY8" i="4"/>
  <c r="AT8" i="4"/>
  <c r="AS8" i="4"/>
  <c r="AO8" i="4"/>
  <c r="V8" i="4"/>
  <c r="P8" i="4"/>
  <c r="F8" i="4"/>
  <c r="BC7" i="4"/>
  <c r="BB7" i="4"/>
  <c r="AZ7" i="4"/>
  <c r="AY7" i="4"/>
  <c r="AT7" i="4"/>
  <c r="AS7" i="4"/>
  <c r="AO7" i="4"/>
  <c r="V7" i="4"/>
  <c r="P7" i="4"/>
  <c r="F7" i="4"/>
  <c r="BC6" i="4"/>
  <c r="BB6" i="4"/>
  <c r="AZ6" i="4"/>
  <c r="AY6" i="4"/>
  <c r="AT6" i="4"/>
  <c r="AS6" i="4"/>
  <c r="AO6" i="4"/>
  <c r="V6" i="4"/>
  <c r="P6" i="4"/>
  <c r="F6" i="4"/>
  <c r="BC5" i="4"/>
  <c r="BB5" i="4"/>
  <c r="AZ5" i="4"/>
  <c r="AY5" i="4"/>
  <c r="AT5" i="4"/>
  <c r="AS5" i="4"/>
  <c r="Y5" i="4"/>
  <c r="AO5" i="4" s="1"/>
  <c r="T5" i="4"/>
  <c r="V5" i="4" s="1"/>
  <c r="F5" i="4"/>
  <c r="BC4" i="4"/>
  <c r="BB4" i="4"/>
  <c r="AZ4" i="4"/>
  <c r="AY4" i="4"/>
  <c r="AT4" i="4"/>
  <c r="AS4" i="4"/>
  <c r="AO4" i="4"/>
  <c r="AK4" i="4"/>
  <c r="Y4" i="4"/>
  <c r="T4" i="4"/>
  <c r="V4" i="4" s="1"/>
  <c r="F4" i="4"/>
  <c r="BG3" i="4"/>
  <c r="BC3" i="4"/>
  <c r="BB3" i="4"/>
  <c r="AZ3" i="4"/>
  <c r="AY3" i="4"/>
  <c r="AT3" i="4"/>
  <c r="AS3" i="4"/>
  <c r="AK3" i="4"/>
  <c r="Y3" i="4"/>
  <c r="AO3" i="4" s="1"/>
  <c r="T3" i="4"/>
  <c r="V3" i="4" s="1"/>
  <c r="F3" i="4"/>
  <c r="BC2" i="4"/>
  <c r="BB2" i="4"/>
  <c r="AZ2" i="4"/>
  <c r="AY2" i="4"/>
  <c r="AT2" i="4"/>
  <c r="AS2" i="4"/>
  <c r="AO2" i="4"/>
  <c r="AK2" i="4"/>
  <c r="Y2" i="4"/>
  <c r="T2" i="4"/>
  <c r="V2" i="4" s="1"/>
  <c r="F2" i="4"/>
  <c r="BD90" i="4" l="1"/>
  <c r="BD77" i="4"/>
  <c r="BI31" i="4"/>
  <c r="BI62" i="4"/>
  <c r="BI58" i="4"/>
  <c r="BJ31" i="4"/>
  <c r="BJ58" i="4"/>
  <c r="BJ62" i="4"/>
  <c r="BI28" i="4"/>
  <c r="BI32" i="4"/>
  <c r="BI59" i="4"/>
  <c r="BI63" i="4"/>
  <c r="BI86" i="4"/>
  <c r="BJ28" i="4"/>
  <c r="BJ32" i="4"/>
  <c r="BJ59" i="4"/>
  <c r="BJ63" i="4"/>
  <c r="BJ86" i="4"/>
  <c r="BI29" i="4"/>
  <c r="BI47" i="4"/>
  <c r="BI60" i="4"/>
  <c r="BI81" i="4"/>
  <c r="BI87" i="4"/>
  <c r="BJ29" i="4"/>
  <c r="BJ47" i="4"/>
  <c r="BJ60" i="4"/>
  <c r="BJ81" i="4"/>
  <c r="BJ87" i="4"/>
  <c r="BI24" i="4"/>
  <c r="BI30" i="4"/>
  <c r="BI48" i="4"/>
  <c r="BI61" i="4"/>
  <c r="BI82" i="4"/>
  <c r="BJ24" i="4"/>
  <c r="BJ30" i="4"/>
  <c r="BJ48" i="4"/>
  <c r="BJ61" i="4"/>
  <c r="BJ82" i="4"/>
  <c r="BD48" i="4"/>
  <c r="BA65" i="4"/>
  <c r="BA89" i="4"/>
  <c r="P91" i="4"/>
  <c r="BD26" i="4"/>
  <c r="BA87" i="4"/>
  <c r="BA13" i="4"/>
  <c r="BD75" i="4"/>
  <c r="BD84" i="4"/>
  <c r="BA5" i="4"/>
  <c r="BD81" i="4"/>
  <c r="BD86" i="4"/>
  <c r="BA92" i="4"/>
  <c r="BD5" i="4"/>
  <c r="BA75" i="4"/>
  <c r="BA11" i="4"/>
  <c r="BD62" i="4"/>
  <c r="BD63" i="4"/>
  <c r="BD73" i="4"/>
  <c r="BD14" i="4"/>
  <c r="BF22" i="4"/>
  <c r="BA23" i="4"/>
  <c r="BD17" i="4"/>
  <c r="BD31" i="4"/>
  <c r="BA83" i="4"/>
  <c r="BD6" i="4"/>
  <c r="BA50" i="4"/>
  <c r="BA67" i="4"/>
  <c r="BD47" i="4"/>
  <c r="BD50" i="4"/>
  <c r="BA56" i="4"/>
  <c r="BA57" i="4"/>
  <c r="BD58" i="4"/>
  <c r="BA70" i="4"/>
  <c r="BD79" i="4"/>
  <c r="BD30" i="4"/>
  <c r="BD69" i="4"/>
  <c r="BA71" i="4"/>
  <c r="BF23" i="4"/>
  <c r="BA49" i="4"/>
  <c r="BA29" i="4"/>
  <c r="BD82" i="4"/>
  <c r="BD32" i="4"/>
  <c r="BD8" i="4"/>
  <c r="BA59" i="4"/>
  <c r="BD60" i="4"/>
  <c r="BD66" i="4"/>
  <c r="BA28" i="4"/>
  <c r="BA31" i="4"/>
  <c r="BA62" i="4"/>
  <c r="BA74" i="4"/>
  <c r="BA80" i="4"/>
  <c r="BA25" i="4"/>
  <c r="BD28" i="4"/>
  <c r="BA53" i="4"/>
  <c r="BA60" i="4"/>
  <c r="BA61" i="4"/>
  <c r="BA64" i="4"/>
  <c r="BD76" i="4"/>
  <c r="BD80" i="4"/>
  <c r="BA81" i="4"/>
  <c r="P89" i="4"/>
  <c r="BD11" i="4"/>
  <c r="BD25" i="4"/>
  <c r="BD53" i="4"/>
  <c r="BD57" i="4"/>
  <c r="BA78" i="4"/>
  <c r="BD91" i="4"/>
  <c r="BD51" i="4"/>
  <c r="BD67" i="4"/>
  <c r="BD68" i="4"/>
  <c r="BA7" i="4"/>
  <c r="BD10" i="4"/>
  <c r="BD15" i="4"/>
  <c r="BA16" i="4"/>
  <c r="BD23" i="4"/>
  <c r="BA33" i="4"/>
  <c r="BA35" i="4"/>
  <c r="BA36" i="4"/>
  <c r="BA41" i="4"/>
  <c r="BA43" i="4"/>
  <c r="BA44" i="4"/>
  <c r="BA52" i="4"/>
  <c r="P84" i="4"/>
  <c r="BD88" i="4"/>
  <c r="BA22" i="4"/>
  <c r="BA26" i="4"/>
  <c r="BD24" i="4"/>
  <c r="BA30" i="4"/>
  <c r="BD56" i="4"/>
  <c r="BA73" i="4"/>
  <c r="BA77" i="4"/>
  <c r="BD85" i="4"/>
  <c r="BD87" i="4"/>
  <c r="BA88" i="4"/>
  <c r="BD2" i="4"/>
  <c r="BA3" i="4"/>
  <c r="BD4" i="4"/>
  <c r="BD7" i="4"/>
  <c r="BD12" i="4"/>
  <c r="BA15" i="4"/>
  <c r="BD22" i="4"/>
  <c r="BD54" i="4"/>
  <c r="BD59" i="4"/>
  <c r="BD65" i="4"/>
  <c r="V90" i="4"/>
  <c r="BA91" i="4"/>
  <c r="BD29" i="4"/>
  <c r="BD64" i="4"/>
  <c r="BA66" i="4"/>
  <c r="BD74" i="4"/>
  <c r="BD27" i="4"/>
  <c r="AY32" i="4"/>
  <c r="BA32" i="4" s="1"/>
  <c r="BD52" i="4"/>
  <c r="BA55" i="4"/>
  <c r="BD61" i="4"/>
  <c r="BA68" i="4"/>
  <c r="BD70" i="4"/>
  <c r="P85" i="4"/>
  <c r="BA48" i="4"/>
  <c r="BA6" i="4"/>
  <c r="BF25" i="4"/>
  <c r="BA47" i="4"/>
  <c r="BA51" i="4"/>
  <c r="BD55" i="4"/>
  <c r="BD71" i="4"/>
  <c r="BA79" i="4"/>
  <c r="BD49" i="4"/>
  <c r="BD3" i="4"/>
  <c r="BA9" i="4"/>
  <c r="BD16" i="4"/>
  <c r="BA17" i="4"/>
  <c r="BD33" i="4"/>
  <c r="BD34" i="4"/>
  <c r="BD35" i="4"/>
  <c r="BD38" i="4"/>
  <c r="BD40" i="4"/>
  <c r="BD41" i="4"/>
  <c r="BD46" i="4"/>
  <c r="BA58" i="4"/>
  <c r="BA69" i="4"/>
  <c r="BA72" i="4"/>
  <c r="BA76" i="4"/>
  <c r="BD78" i="4"/>
  <c r="BD83" i="4"/>
  <c r="BD89" i="4"/>
  <c r="BA90" i="4"/>
  <c r="BA2" i="4"/>
  <c r="BA4" i="4"/>
  <c r="BD9" i="4"/>
  <c r="BA12" i="4"/>
  <c r="BA54" i="4"/>
  <c r="BD72" i="4"/>
  <c r="BA82" i="4"/>
  <c r="AK5" i="4"/>
  <c r="BD13" i="4"/>
  <c r="BD36" i="4"/>
  <c r="BA39" i="4"/>
  <c r="BD44" i="4"/>
  <c r="BA34" i="4"/>
  <c r="BD39" i="4"/>
  <c r="BA42" i="4"/>
  <c r="BA10" i="4"/>
  <c r="AY24" i="4"/>
  <c r="BA24" i="4" s="1"/>
  <c r="BA27" i="4"/>
  <c r="BA37" i="4"/>
  <c r="BD42" i="4"/>
  <c r="BA45" i="4"/>
  <c r="BD92" i="4"/>
  <c r="BD37" i="4"/>
  <c r="BA40" i="4"/>
  <c r="BD45" i="4"/>
  <c r="BA8" i="4"/>
  <c r="BA38" i="4"/>
  <c r="BD43" i="4"/>
  <c r="BA46" i="4"/>
  <c r="P88" i="4"/>
  <c r="V88" i="4"/>
  <c r="BA14" i="4"/>
  <c r="BA86" i="4"/>
  <c r="P87" i="4"/>
  <c r="V87" i="4"/>
  <c r="BF69" i="2"/>
  <c r="BJ22" i="4" l="1"/>
  <c r="BI22" i="4"/>
  <c r="BJ25" i="4"/>
  <c r="BI25" i="4"/>
  <c r="BJ23" i="4"/>
  <c r="BI23" i="4"/>
  <c r="BG22" i="4"/>
  <c r="BG25" i="4"/>
  <c r="BG23" i="4"/>
  <c r="BG255" i="2"/>
  <c r="BG254" i="2"/>
  <c r="BG253" i="2"/>
  <c r="BG252" i="2"/>
  <c r="BG251" i="2"/>
  <c r="BG250" i="2"/>
  <c r="BG249" i="2"/>
  <c r="BG248" i="2"/>
  <c r="BG247" i="2"/>
  <c r="BG246" i="2"/>
  <c r="BF245" i="2"/>
  <c r="BG245" i="2" s="1"/>
  <c r="BF244" i="2"/>
  <c r="BG244" i="2" s="1"/>
  <c r="BF243" i="2"/>
  <c r="BG243" i="2" s="1"/>
  <c r="BF240" i="2"/>
  <c r="BG240" i="2" s="1"/>
  <c r="BF241" i="2"/>
  <c r="BG241" i="2" s="1"/>
  <c r="BF242" i="2"/>
  <c r="BG242" i="2" s="1"/>
  <c r="BF239" i="2"/>
  <c r="BF238" i="2"/>
  <c r="BF237" i="2"/>
  <c r="BF236" i="2"/>
  <c r="BF235" i="2"/>
  <c r="BF234" i="2"/>
  <c r="BG233" i="2"/>
  <c r="BG232" i="2"/>
  <c r="BG231" i="2"/>
  <c r="BF230" i="2"/>
  <c r="BG230" i="2" s="1"/>
  <c r="BF229" i="2"/>
  <c r="BG229" i="2" s="1"/>
  <c r="BF228" i="2"/>
  <c r="BG228" i="2" s="1"/>
  <c r="BF227" i="2"/>
  <c r="BG227" i="2" s="1"/>
  <c r="BF155" i="2"/>
  <c r="BG155" i="2" s="1"/>
  <c r="BF154" i="2"/>
  <c r="BG154" i="2" s="1"/>
  <c r="BF153" i="2"/>
  <c r="BG153" i="2" s="1"/>
  <c r="BF152" i="2"/>
  <c r="BG152" i="2" s="1"/>
  <c r="BF151" i="2"/>
  <c r="BG151" i="2" s="1"/>
  <c r="BF150" i="2"/>
  <c r="BG150" i="2" s="1"/>
  <c r="BF149" i="2"/>
  <c r="BG149" i="2" s="1"/>
  <c r="BF148" i="2"/>
  <c r="BG148" i="2" s="1"/>
  <c r="BF147" i="2"/>
  <c r="BG147" i="2" s="1"/>
  <c r="BF146" i="2"/>
  <c r="BG146" i="2" s="1"/>
  <c r="BF145" i="2"/>
  <c r="BG145" i="2" s="1"/>
  <c r="BF144" i="2"/>
  <c r="BG144" i="2" s="1"/>
  <c r="BF143" i="2"/>
  <c r="BG143" i="2" s="1"/>
  <c r="BF142" i="2"/>
  <c r="BG142" i="2" s="1"/>
  <c r="BF141" i="2"/>
  <c r="BG141" i="2" s="1"/>
  <c r="BF140" i="2"/>
  <c r="BG140" i="2" s="1"/>
  <c r="BF139" i="2"/>
  <c r="BG139" i="2" s="1"/>
  <c r="BF138" i="2"/>
  <c r="BG138" i="2" s="1"/>
  <c r="BF137" i="2"/>
  <c r="BG137" i="2" s="1"/>
  <c r="BF136" i="2"/>
  <c r="BG136" i="2" s="1"/>
  <c r="BF135" i="2"/>
  <c r="BG135" i="2" s="1"/>
  <c r="BF134" i="2"/>
  <c r="BG134" i="2" s="1"/>
  <c r="BF133" i="2"/>
  <c r="BG133" i="2" s="1"/>
  <c r="BF132" i="2"/>
  <c r="BG132" i="2" s="1"/>
  <c r="BF131" i="2"/>
  <c r="BG131" i="2" s="1"/>
  <c r="BG217" i="2"/>
  <c r="BG216" i="2"/>
  <c r="BG215" i="2"/>
  <c r="BG214" i="2"/>
  <c r="BG213" i="2"/>
  <c r="BG212" i="2"/>
  <c r="BG211" i="2"/>
  <c r="BG210" i="2"/>
  <c r="BG209" i="2"/>
  <c r="BG208" i="2"/>
  <c r="BG207" i="2"/>
  <c r="BG206" i="2"/>
  <c r="BG205" i="2"/>
  <c r="BG204" i="2"/>
  <c r="BG203" i="2"/>
  <c r="BG193" i="2"/>
  <c r="BG194" i="2"/>
  <c r="BG195" i="2"/>
  <c r="BG196" i="2"/>
  <c r="BG197" i="2"/>
  <c r="BG198" i="2"/>
  <c r="BG199" i="2"/>
  <c r="BG200" i="2"/>
  <c r="BG201" i="2"/>
  <c r="BG202" i="2"/>
  <c r="BG192" i="2"/>
  <c r="BF160" i="2"/>
  <c r="BG160" i="2" s="1"/>
  <c r="BF159" i="2"/>
  <c r="BG159" i="2" s="1"/>
  <c r="BF158" i="2"/>
  <c r="BG158" i="2" s="1"/>
  <c r="BF157" i="2"/>
  <c r="BG157" i="2" s="1"/>
  <c r="BF156" i="2"/>
  <c r="BG156" i="2" s="1"/>
  <c r="AZ160" i="2"/>
  <c r="AZ159" i="2"/>
  <c r="AZ158" i="2"/>
  <c r="AZ157" i="2"/>
  <c r="AZ156" i="2"/>
  <c r="BG126" i="2"/>
  <c r="BG125" i="2"/>
  <c r="BG124" i="2"/>
  <c r="BG123" i="2"/>
  <c r="BG122" i="2"/>
  <c r="BG121" i="2"/>
  <c r="BG120" i="2"/>
  <c r="BG119" i="2"/>
  <c r="BG118" i="2"/>
  <c r="BG117" i="2"/>
  <c r="BG116" i="2"/>
  <c r="BG115" i="2"/>
  <c r="BG114" i="2"/>
  <c r="BG113" i="2"/>
  <c r="BG112" i="2"/>
  <c r="BG111" i="2"/>
  <c r="BF110" i="2"/>
  <c r="BG110" i="2" s="1"/>
  <c r="BF109" i="2"/>
  <c r="BG109" i="2" s="1"/>
  <c r="BF108" i="2"/>
  <c r="BG108" i="2" s="1"/>
  <c r="BF107" i="2"/>
  <c r="BG107" i="2" s="1"/>
  <c r="BF76" i="2"/>
  <c r="BG76" i="2" s="1"/>
  <c r="BF75" i="2"/>
  <c r="BG75" i="2" s="1"/>
  <c r="BF74" i="2"/>
  <c r="BG74" i="2" s="1"/>
  <c r="BF73" i="2"/>
  <c r="BG73" i="2" s="1"/>
  <c r="BF72" i="2"/>
  <c r="BG72" i="2" s="1"/>
  <c r="BF71" i="2"/>
  <c r="BG71" i="2" s="1"/>
  <c r="BF70" i="2"/>
  <c r="BG70" i="2" s="1"/>
  <c r="BG69" i="2"/>
  <c r="BF58" i="2"/>
  <c r="BG58" i="2" s="1"/>
  <c r="BF56" i="2"/>
  <c r="BG56" i="2" s="1"/>
  <c r="BG32" i="2"/>
  <c r="BG31" i="2"/>
  <c r="BG30" i="2"/>
  <c r="BG29" i="2"/>
  <c r="BG28" i="2"/>
  <c r="BG27" i="2"/>
  <c r="BG26" i="2"/>
  <c r="BG25" i="2"/>
  <c r="BG257" i="2"/>
  <c r="BG258" i="2"/>
  <c r="BG259" i="2"/>
  <c r="BG256" i="2"/>
  <c r="BG8" i="2"/>
  <c r="BG7" i="2"/>
  <c r="BG6" i="2"/>
  <c r="BG5" i="2"/>
  <c r="BG184" i="2" l="1"/>
  <c r="BG183" i="2"/>
  <c r="BG182" i="2"/>
  <c r="BG181" i="2"/>
  <c r="BG180" i="2"/>
  <c r="BG179" i="2"/>
  <c r="BG178" i="2"/>
  <c r="BG177" i="2"/>
  <c r="BG176" i="2"/>
  <c r="BG175" i="2"/>
  <c r="BG174" i="2"/>
  <c r="BG173" i="2"/>
  <c r="BG172" i="2"/>
  <c r="BG171" i="2"/>
  <c r="BG170" i="2"/>
  <c r="BG169" i="2"/>
  <c r="BG168" i="2"/>
  <c r="BG167" i="2"/>
  <c r="BG166" i="2"/>
  <c r="BG165" i="2"/>
  <c r="BG164" i="2"/>
  <c r="BG163" i="2"/>
  <c r="BG162" i="2"/>
  <c r="BG161" i="2"/>
  <c r="BG185" i="2"/>
  <c r="BC155" i="2" l="1"/>
  <c r="BB155" i="2"/>
  <c r="AZ155" i="2"/>
  <c r="AY155" i="2"/>
  <c r="BC154" i="2"/>
  <c r="BB154" i="2"/>
  <c r="AZ154" i="2"/>
  <c r="AY154" i="2"/>
  <c r="BC150" i="2"/>
  <c r="BB150" i="2"/>
  <c r="AZ150" i="2"/>
  <c r="AY150" i="2"/>
  <c r="BC149" i="2"/>
  <c r="BB149" i="2"/>
  <c r="AZ149" i="2"/>
  <c r="AY149" i="2"/>
  <c r="T155" i="2"/>
  <c r="P155" i="2" s="1"/>
  <c r="F155" i="2"/>
  <c r="T154" i="2"/>
  <c r="P154" i="2" s="1"/>
  <c r="F154" i="2"/>
  <c r="BC153" i="2"/>
  <c r="BB153" i="2"/>
  <c r="AZ153" i="2"/>
  <c r="AY153" i="2"/>
  <c r="T153" i="2"/>
  <c r="P153" i="2" s="1"/>
  <c r="F153" i="2"/>
  <c r="BC152" i="2"/>
  <c r="BB152" i="2"/>
  <c r="AZ152" i="2"/>
  <c r="AY152" i="2"/>
  <c r="T152" i="2"/>
  <c r="P152" i="2"/>
  <c r="F152" i="2"/>
  <c r="BC151" i="2"/>
  <c r="BB151" i="2"/>
  <c r="AZ151" i="2"/>
  <c r="AY151" i="2"/>
  <c r="T151" i="2"/>
  <c r="P151" i="2" s="1"/>
  <c r="F151" i="2"/>
  <c r="T150" i="2"/>
  <c r="P150" i="2" s="1"/>
  <c r="T149" i="2"/>
  <c r="P149" i="2" s="1"/>
  <c r="T148" i="2"/>
  <c r="P148" i="2" s="1"/>
  <c r="T147" i="2"/>
  <c r="T146" i="2"/>
  <c r="P146" i="2" s="1"/>
  <c r="T145" i="2"/>
  <c r="P145" i="2" s="1"/>
  <c r="T144" i="2"/>
  <c r="P144" i="2" s="1"/>
  <c r="T143" i="2"/>
  <c r="P143" i="2" s="1"/>
  <c r="T142" i="2"/>
  <c r="T141" i="2"/>
  <c r="P141" i="2" s="1"/>
  <c r="T140" i="2"/>
  <c r="P140" i="2" s="1"/>
  <c r="T139" i="2"/>
  <c r="P139" i="2" s="1"/>
  <c r="T138" i="2"/>
  <c r="P138" i="2" s="1"/>
  <c r="T137" i="2"/>
  <c r="T136" i="2"/>
  <c r="P136" i="2" s="1"/>
  <c r="T135" i="2"/>
  <c r="P135" i="2" s="1"/>
  <c r="T134" i="2"/>
  <c r="P134" i="2" s="1"/>
  <c r="T133" i="2"/>
  <c r="P133" i="2" s="1"/>
  <c r="T132" i="2"/>
  <c r="T131" i="2"/>
  <c r="P131" i="2" s="1"/>
  <c r="BC142" i="2"/>
  <c r="BB142" i="2"/>
  <c r="AZ142" i="2"/>
  <c r="AY142" i="2"/>
  <c r="BC140" i="2"/>
  <c r="BB140" i="2"/>
  <c r="AZ140" i="2"/>
  <c r="AY140" i="2"/>
  <c r="BC139" i="2"/>
  <c r="BB139" i="2"/>
  <c r="AZ139" i="2"/>
  <c r="AY139" i="2"/>
  <c r="BC132" i="2"/>
  <c r="BB132" i="2"/>
  <c r="AZ132" i="2"/>
  <c r="AY132" i="2"/>
  <c r="V130" i="2"/>
  <c r="P130" i="2"/>
  <c r="F150" i="2"/>
  <c r="F149" i="2"/>
  <c r="F148" i="2"/>
  <c r="F147" i="2"/>
  <c r="F146" i="2"/>
  <c r="F145" i="2"/>
  <c r="F144" i="2"/>
  <c r="F143" i="2"/>
  <c r="F142" i="2"/>
  <c r="F141" i="2"/>
  <c r="F140" i="2"/>
  <c r="F139" i="2"/>
  <c r="F138" i="2"/>
  <c r="F137" i="2"/>
  <c r="F136" i="2"/>
  <c r="F135" i="2"/>
  <c r="F134" i="2"/>
  <c r="F133" i="2"/>
  <c r="F132" i="2"/>
  <c r="BC138" i="2"/>
  <c r="BB138" i="2"/>
  <c r="AZ138" i="2"/>
  <c r="AY138" i="2"/>
  <c r="BC137" i="2"/>
  <c r="BB137" i="2"/>
  <c r="AZ137" i="2"/>
  <c r="AY137" i="2"/>
  <c r="P137" i="2"/>
  <c r="BC136" i="2"/>
  <c r="BB136" i="2"/>
  <c r="AZ136" i="2"/>
  <c r="AY136" i="2"/>
  <c r="BC135" i="2"/>
  <c r="BB135" i="2"/>
  <c r="AZ135" i="2"/>
  <c r="AY135" i="2"/>
  <c r="BC134" i="2"/>
  <c r="BB134" i="2"/>
  <c r="AZ134" i="2"/>
  <c r="AY134" i="2"/>
  <c r="BC133" i="2"/>
  <c r="BB133" i="2"/>
  <c r="AZ133" i="2"/>
  <c r="AY133" i="2"/>
  <c r="P132" i="2"/>
  <c r="BC131" i="2"/>
  <c r="BB131" i="2"/>
  <c r="AZ131" i="2"/>
  <c r="AY131" i="2"/>
  <c r="F131" i="2"/>
  <c r="AY141" i="2"/>
  <c r="AZ141" i="2"/>
  <c r="BB141" i="2"/>
  <c r="BC141" i="2"/>
  <c r="P147" i="2"/>
  <c r="P142" i="2"/>
  <c r="BA155" i="2" l="1"/>
  <c r="BD142" i="2"/>
  <c r="BA136" i="2"/>
  <c r="BA151" i="2"/>
  <c r="BA140" i="2"/>
  <c r="BA138" i="2"/>
  <c r="BA149" i="2"/>
  <c r="BA134" i="2"/>
  <c r="BA135" i="2"/>
  <c r="BA152" i="2"/>
  <c r="BA153" i="2"/>
  <c r="BA150" i="2"/>
  <c r="BA139" i="2"/>
  <c r="BA132" i="2"/>
  <c r="BD139" i="2"/>
  <c r="BA142" i="2"/>
  <c r="BA141" i="2"/>
  <c r="BA131" i="2"/>
  <c r="BA133" i="2"/>
  <c r="BA137" i="2"/>
  <c r="BA154" i="2"/>
  <c r="BD131" i="2"/>
  <c r="BD153" i="2"/>
  <c r="BD141" i="2"/>
  <c r="BD150" i="2"/>
  <c r="BD155" i="2"/>
  <c r="BD134" i="2"/>
  <c r="BD152" i="2"/>
  <c r="BD149" i="2"/>
  <c r="BD154" i="2"/>
  <c r="BD151" i="2"/>
  <c r="BD132" i="2"/>
  <c r="BD140" i="2"/>
  <c r="BD136" i="2"/>
  <c r="BD138" i="2"/>
  <c r="BD135" i="2"/>
  <c r="BD137" i="2"/>
  <c r="BD133" i="2"/>
  <c r="BC148" i="2" l="1"/>
  <c r="BB148" i="2"/>
  <c r="AZ148" i="2"/>
  <c r="BC147" i="2"/>
  <c r="BB147" i="2"/>
  <c r="AZ147" i="2"/>
  <c r="BC146" i="2"/>
  <c r="BB146" i="2"/>
  <c r="AZ146" i="2"/>
  <c r="BC145" i="2"/>
  <c r="BB145" i="2"/>
  <c r="AZ145" i="2"/>
  <c r="BC144" i="2"/>
  <c r="BB144" i="2"/>
  <c r="AZ144" i="2"/>
  <c r="BC143" i="2"/>
  <c r="BB143" i="2"/>
  <c r="AZ143" i="2"/>
  <c r="AY143" i="2"/>
  <c r="AY144" i="2"/>
  <c r="AY145" i="2"/>
  <c r="AY146" i="2"/>
  <c r="AY147" i="2"/>
  <c r="AY148" i="2"/>
  <c r="BA147" i="2" l="1"/>
  <c r="BA144" i="2"/>
  <c r="BA148" i="2"/>
  <c r="BA146" i="2"/>
  <c r="BA143" i="2"/>
  <c r="BA145" i="2"/>
  <c r="BD145" i="2"/>
  <c r="BD144" i="2"/>
  <c r="BD147" i="2"/>
  <c r="BD143" i="2"/>
  <c r="BD148" i="2"/>
  <c r="BD146" i="2"/>
  <c r="AT230" i="2"/>
  <c r="AT229" i="2"/>
  <c r="AT228" i="2"/>
  <c r="AT227" i="2" l="1"/>
  <c r="BB130" i="2" l="1"/>
  <c r="BB129" i="2"/>
  <c r="BB128" i="2"/>
  <c r="BB127" i="2"/>
  <c r="BB126" i="2"/>
  <c r="BB125" i="2"/>
  <c r="BB124" i="2"/>
  <c r="BB123" i="2"/>
  <c r="BB122" i="2"/>
  <c r="BB121" i="2"/>
  <c r="BB120" i="2"/>
  <c r="BB119" i="2"/>
  <c r="BB118" i="2"/>
  <c r="BB117" i="2"/>
  <c r="BB116" i="2"/>
  <c r="BB115" i="2"/>
  <c r="BB114" i="2"/>
  <c r="BB113" i="2"/>
  <c r="BB112" i="2"/>
  <c r="BB111" i="2"/>
  <c r="BB110" i="2"/>
  <c r="BB109" i="2"/>
  <c r="BB108" i="2"/>
  <c r="BB107" i="2"/>
  <c r="BB76" i="2"/>
  <c r="BB75" i="2"/>
  <c r="BB74" i="2"/>
  <c r="BB73" i="2"/>
  <c r="BB72" i="2"/>
  <c r="BB71" i="2"/>
  <c r="BB70" i="2"/>
  <c r="BB69" i="2"/>
  <c r="BB64" i="2"/>
  <c r="BB63" i="2"/>
  <c r="BB62" i="2"/>
  <c r="BB61" i="2"/>
  <c r="BB60" i="2"/>
  <c r="BB59" i="2"/>
  <c r="BB58" i="2"/>
  <c r="BB57" i="2"/>
  <c r="BB56" i="2"/>
  <c r="BB55" i="2"/>
  <c r="BC3" i="2"/>
  <c r="BC4" i="2"/>
  <c r="BC5" i="2"/>
  <c r="BC6" i="2"/>
  <c r="BC7" i="2"/>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55" i="2"/>
  <c r="BC56" i="2"/>
  <c r="BC57" i="2"/>
  <c r="BC58" i="2"/>
  <c r="BC59" i="2"/>
  <c r="BC60"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BC91" i="2"/>
  <c r="BC92" i="2"/>
  <c r="BC93" i="2"/>
  <c r="BC94" i="2"/>
  <c r="BC95" i="2"/>
  <c r="BC96" i="2"/>
  <c r="BC97" i="2"/>
  <c r="BC98" i="2"/>
  <c r="BC99" i="2"/>
  <c r="BC100" i="2"/>
  <c r="BC101" i="2"/>
  <c r="BC102" i="2"/>
  <c r="BC103" i="2"/>
  <c r="BC104" i="2"/>
  <c r="BC105" i="2"/>
  <c r="BC106" i="2"/>
  <c r="BC107" i="2"/>
  <c r="BC108" i="2"/>
  <c r="BC109" i="2"/>
  <c r="BC110" i="2"/>
  <c r="BC111" i="2"/>
  <c r="BC112" i="2"/>
  <c r="BC113" i="2"/>
  <c r="BC114" i="2"/>
  <c r="BC115" i="2"/>
  <c r="BC116" i="2"/>
  <c r="BC117" i="2"/>
  <c r="BC118" i="2"/>
  <c r="BC119" i="2"/>
  <c r="BC120" i="2"/>
  <c r="BC121" i="2"/>
  <c r="BC122" i="2"/>
  <c r="BC123" i="2"/>
  <c r="BC124" i="2"/>
  <c r="BC125" i="2"/>
  <c r="BC126" i="2"/>
  <c r="BC127" i="2"/>
  <c r="BC128" i="2"/>
  <c r="BC129" i="2"/>
  <c r="BC130" i="2"/>
  <c r="BC156" i="2"/>
  <c r="BC157" i="2"/>
  <c r="BC158" i="2"/>
  <c r="BC159" i="2"/>
  <c r="BC160" i="2"/>
  <c r="BC161" i="2"/>
  <c r="BC162" i="2"/>
  <c r="BC163" i="2"/>
  <c r="BC164" i="2"/>
  <c r="BC165" i="2"/>
  <c r="BC166" i="2"/>
  <c r="BC167" i="2"/>
  <c r="BC168" i="2"/>
  <c r="BC169" i="2"/>
  <c r="BC170" i="2"/>
  <c r="BC171" i="2"/>
  <c r="BC172" i="2"/>
  <c r="BC173" i="2"/>
  <c r="BC174" i="2"/>
  <c r="BC175" i="2"/>
  <c r="BC176" i="2"/>
  <c r="BC177" i="2"/>
  <c r="BC178" i="2"/>
  <c r="BC179" i="2"/>
  <c r="BC180" i="2"/>
  <c r="BC181" i="2"/>
  <c r="BC182" i="2"/>
  <c r="BC183" i="2"/>
  <c r="BC184" i="2"/>
  <c r="BC185" i="2"/>
  <c r="BC186" i="2"/>
  <c r="BC187" i="2"/>
  <c r="BC188" i="2"/>
  <c r="BC189" i="2"/>
  <c r="BC190" i="2"/>
  <c r="BC191" i="2"/>
  <c r="BC192" i="2"/>
  <c r="BC193" i="2"/>
  <c r="BC194" i="2"/>
  <c r="BC195" i="2"/>
  <c r="BC196" i="2"/>
  <c r="BC197" i="2"/>
  <c r="BC198" i="2"/>
  <c r="BC199" i="2"/>
  <c r="BC200" i="2"/>
  <c r="BC201" i="2"/>
  <c r="BC202" i="2"/>
  <c r="BC203" i="2"/>
  <c r="BC204" i="2"/>
  <c r="BC205" i="2"/>
  <c r="BC206" i="2"/>
  <c r="BC207" i="2"/>
  <c r="BC208" i="2"/>
  <c r="BC209" i="2"/>
  <c r="BC210" i="2"/>
  <c r="BC211" i="2"/>
  <c r="BC212" i="2"/>
  <c r="BC213" i="2"/>
  <c r="BC214" i="2"/>
  <c r="BC215" i="2"/>
  <c r="BC216" i="2"/>
  <c r="BC217" i="2"/>
  <c r="BC218" i="2"/>
  <c r="BC219" i="2"/>
  <c r="BC220" i="2"/>
  <c r="BC221" i="2"/>
  <c r="BC222" i="2"/>
  <c r="BC223" i="2"/>
  <c r="BC224" i="2"/>
  <c r="BC225" i="2"/>
  <c r="BC226" i="2"/>
  <c r="BC227" i="2"/>
  <c r="BC228" i="2"/>
  <c r="BC229" i="2"/>
  <c r="BC230" i="2"/>
  <c r="BC231" i="2"/>
  <c r="BC232" i="2"/>
  <c r="BC233" i="2"/>
  <c r="BC234" i="2"/>
  <c r="BC235" i="2"/>
  <c r="BC236" i="2"/>
  <c r="BC237" i="2"/>
  <c r="BC238" i="2"/>
  <c r="BC239" i="2"/>
  <c r="BC240" i="2"/>
  <c r="BC241" i="2"/>
  <c r="BC242" i="2"/>
  <c r="BC243" i="2"/>
  <c r="BC244" i="2"/>
  <c r="BC245" i="2"/>
  <c r="BC246" i="2"/>
  <c r="BC247" i="2"/>
  <c r="BC248" i="2"/>
  <c r="BC249" i="2"/>
  <c r="BC250" i="2"/>
  <c r="BC251" i="2"/>
  <c r="BC252" i="2"/>
  <c r="BC253" i="2"/>
  <c r="BC254" i="2"/>
  <c r="BC255" i="2"/>
  <c r="BC256" i="2"/>
  <c r="BC257" i="2"/>
  <c r="BC258" i="2"/>
  <c r="BC259" i="2"/>
  <c r="BB3"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52" i="2"/>
  <c r="BB253" i="2"/>
  <c r="BB254" i="2"/>
  <c r="BB255" i="2"/>
  <c r="BB256" i="2"/>
  <c r="BB257" i="2"/>
  <c r="BB258" i="2"/>
  <c r="BB259" i="2"/>
  <c r="AZ3"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AZ81" i="2"/>
  <c r="AZ82" i="2"/>
  <c r="AZ83" i="2"/>
  <c r="AZ84" i="2"/>
  <c r="AZ85" i="2"/>
  <c r="AZ86" i="2"/>
  <c r="AZ87" i="2"/>
  <c r="AZ88" i="2"/>
  <c r="AZ89" i="2"/>
  <c r="AZ90" i="2"/>
  <c r="AZ91" i="2"/>
  <c r="AZ92" i="2"/>
  <c r="AZ93" i="2"/>
  <c r="AZ94" i="2"/>
  <c r="AZ95" i="2"/>
  <c r="AZ96" i="2"/>
  <c r="AZ97" i="2"/>
  <c r="AZ98" i="2"/>
  <c r="AZ99" i="2"/>
  <c r="AZ100" i="2"/>
  <c r="AZ101" i="2"/>
  <c r="AZ102" i="2"/>
  <c r="AZ103" i="2"/>
  <c r="AZ104" i="2"/>
  <c r="AZ105" i="2"/>
  <c r="AZ106" i="2"/>
  <c r="AZ107" i="2"/>
  <c r="AZ108" i="2"/>
  <c r="AZ109" i="2"/>
  <c r="AZ110" i="2"/>
  <c r="AZ111" i="2"/>
  <c r="AZ112" i="2"/>
  <c r="AZ113" i="2"/>
  <c r="AZ114" i="2"/>
  <c r="AZ115" i="2"/>
  <c r="AZ116" i="2"/>
  <c r="AZ117" i="2"/>
  <c r="AZ118" i="2"/>
  <c r="AZ119" i="2"/>
  <c r="AZ120" i="2"/>
  <c r="AZ121" i="2"/>
  <c r="AZ122" i="2"/>
  <c r="AZ123" i="2"/>
  <c r="AZ124" i="2"/>
  <c r="AZ125" i="2"/>
  <c r="AZ126" i="2"/>
  <c r="AZ127" i="2"/>
  <c r="AZ128" i="2"/>
  <c r="AZ129" i="2"/>
  <c r="AZ130" i="2"/>
  <c r="AZ161" i="2"/>
  <c r="AZ162" i="2"/>
  <c r="AZ163" i="2"/>
  <c r="AZ164" i="2"/>
  <c r="AZ165" i="2"/>
  <c r="AZ166" i="2"/>
  <c r="AZ167" i="2"/>
  <c r="AZ168" i="2"/>
  <c r="AZ169" i="2"/>
  <c r="AZ170" i="2"/>
  <c r="AZ171" i="2"/>
  <c r="AZ172" i="2"/>
  <c r="AZ173" i="2"/>
  <c r="AZ174" i="2"/>
  <c r="AZ175" i="2"/>
  <c r="AZ176" i="2"/>
  <c r="AZ177" i="2"/>
  <c r="AZ178" i="2"/>
  <c r="AZ179" i="2"/>
  <c r="AZ180" i="2"/>
  <c r="AZ181" i="2"/>
  <c r="AZ182" i="2"/>
  <c r="AZ183" i="2"/>
  <c r="AZ184" i="2"/>
  <c r="AZ185" i="2"/>
  <c r="AZ186" i="2"/>
  <c r="AZ187" i="2"/>
  <c r="AZ188" i="2"/>
  <c r="AZ189" i="2"/>
  <c r="AZ190" i="2"/>
  <c r="AZ191" i="2"/>
  <c r="AZ192" i="2"/>
  <c r="AZ193" i="2"/>
  <c r="AZ194" i="2"/>
  <c r="AZ195" i="2"/>
  <c r="AZ196" i="2"/>
  <c r="AZ197" i="2"/>
  <c r="AZ198" i="2"/>
  <c r="AZ199" i="2"/>
  <c r="AZ200" i="2"/>
  <c r="AZ201" i="2"/>
  <c r="AZ202" i="2"/>
  <c r="AZ203" i="2"/>
  <c r="AZ204" i="2"/>
  <c r="AZ205" i="2"/>
  <c r="AZ206" i="2"/>
  <c r="AZ207" i="2"/>
  <c r="AZ208" i="2"/>
  <c r="AZ209" i="2"/>
  <c r="AZ210" i="2"/>
  <c r="AZ211" i="2"/>
  <c r="AZ212" i="2"/>
  <c r="AZ213" i="2"/>
  <c r="AZ214" i="2"/>
  <c r="AZ215" i="2"/>
  <c r="AZ216" i="2"/>
  <c r="AZ217" i="2"/>
  <c r="AZ218" i="2"/>
  <c r="AZ219" i="2"/>
  <c r="AZ220" i="2"/>
  <c r="AZ221" i="2"/>
  <c r="AZ222" i="2"/>
  <c r="AZ223" i="2"/>
  <c r="AZ224" i="2"/>
  <c r="AZ225" i="2"/>
  <c r="AZ226" i="2"/>
  <c r="AZ227" i="2"/>
  <c r="AZ228" i="2"/>
  <c r="AZ229" i="2"/>
  <c r="AZ230" i="2"/>
  <c r="AZ231" i="2"/>
  <c r="AZ232" i="2"/>
  <c r="AZ233" i="2"/>
  <c r="AZ240" i="2"/>
  <c r="AZ241" i="2"/>
  <c r="AZ242" i="2"/>
  <c r="AZ243" i="2"/>
  <c r="AZ244" i="2"/>
  <c r="AZ245" i="2"/>
  <c r="AZ246" i="2"/>
  <c r="AZ247" i="2"/>
  <c r="AZ248" i="2"/>
  <c r="AZ249" i="2"/>
  <c r="AZ250" i="2"/>
  <c r="AZ251" i="2"/>
  <c r="AZ252" i="2"/>
  <c r="AZ253" i="2"/>
  <c r="AZ254" i="2"/>
  <c r="AZ255" i="2"/>
  <c r="AZ256" i="2"/>
  <c r="AZ257" i="2"/>
  <c r="AZ258" i="2"/>
  <c r="AZ259" i="2"/>
  <c r="AY18" i="2"/>
  <c r="AY19" i="2"/>
  <c r="AY20" i="2"/>
  <c r="AY21" i="2"/>
  <c r="AY22" i="2"/>
  <c r="AY23" i="2"/>
  <c r="AY24" i="2"/>
  <c r="AY25" i="2"/>
  <c r="AY26" i="2"/>
  <c r="AY27" i="2"/>
  <c r="AY28" i="2"/>
  <c r="AY29" i="2"/>
  <c r="AY30" i="2"/>
  <c r="AY31" i="2"/>
  <c r="AY32" i="2"/>
  <c r="AY33" i="2"/>
  <c r="AY34" i="2"/>
  <c r="AY35" i="2"/>
  <c r="AY36" i="2"/>
  <c r="AY37" i="2"/>
  <c r="AY38" i="2"/>
  <c r="AY39" i="2"/>
  <c r="AY40" i="2"/>
  <c r="AY56" i="2"/>
  <c r="AY58" i="2"/>
  <c r="AY69" i="2"/>
  <c r="AY70" i="2"/>
  <c r="AY71" i="2"/>
  <c r="AY72" i="2"/>
  <c r="AY73" i="2"/>
  <c r="AY74" i="2"/>
  <c r="AY75" i="2"/>
  <c r="AY76" i="2"/>
  <c r="AY107" i="2"/>
  <c r="AY108" i="2"/>
  <c r="AY109" i="2"/>
  <c r="AY110" i="2"/>
  <c r="AY111" i="2"/>
  <c r="AY112" i="2"/>
  <c r="AY113" i="2"/>
  <c r="AY114" i="2"/>
  <c r="AY115" i="2"/>
  <c r="AY116" i="2"/>
  <c r="AY117" i="2"/>
  <c r="AY118" i="2"/>
  <c r="AY119" i="2"/>
  <c r="AY120" i="2"/>
  <c r="AY121" i="2"/>
  <c r="AY122" i="2"/>
  <c r="AY123" i="2"/>
  <c r="AY124" i="2"/>
  <c r="AY125" i="2"/>
  <c r="AY126" i="2"/>
  <c r="AY127" i="2"/>
  <c r="AY128" i="2"/>
  <c r="AY129" i="2"/>
  <c r="AY130" i="2"/>
  <c r="AY161" i="2"/>
  <c r="AY162" i="2"/>
  <c r="AY163" i="2"/>
  <c r="AY164" i="2"/>
  <c r="AY165" i="2"/>
  <c r="AY166" i="2"/>
  <c r="AY167" i="2"/>
  <c r="AY168" i="2"/>
  <c r="AY169" i="2"/>
  <c r="AY170" i="2"/>
  <c r="AY171" i="2"/>
  <c r="AY172" i="2"/>
  <c r="AY173" i="2"/>
  <c r="AY174" i="2"/>
  <c r="AY175" i="2"/>
  <c r="AY176" i="2"/>
  <c r="AY177" i="2"/>
  <c r="AY178" i="2"/>
  <c r="AY179" i="2"/>
  <c r="AY180" i="2"/>
  <c r="AY181" i="2"/>
  <c r="AY182" i="2"/>
  <c r="AY183" i="2"/>
  <c r="AY184" i="2"/>
  <c r="AY185" i="2"/>
  <c r="AY186" i="2"/>
  <c r="AY187" i="2"/>
  <c r="AY188" i="2"/>
  <c r="AY189" i="2"/>
  <c r="AY190" i="2"/>
  <c r="AY191" i="2"/>
  <c r="AY192" i="2"/>
  <c r="AY193" i="2"/>
  <c r="AY194" i="2"/>
  <c r="AY195" i="2"/>
  <c r="AY196" i="2"/>
  <c r="AY197" i="2"/>
  <c r="AY198" i="2"/>
  <c r="AY199" i="2"/>
  <c r="AY200" i="2"/>
  <c r="AY201" i="2"/>
  <c r="AY202" i="2"/>
  <c r="AY203" i="2"/>
  <c r="AY204" i="2"/>
  <c r="AY205" i="2"/>
  <c r="AY206" i="2"/>
  <c r="AY207" i="2"/>
  <c r="AY208" i="2"/>
  <c r="AY209" i="2"/>
  <c r="AY210" i="2"/>
  <c r="AY211" i="2"/>
  <c r="AY212" i="2"/>
  <c r="AY213" i="2"/>
  <c r="AY214" i="2"/>
  <c r="AY215" i="2"/>
  <c r="AY216" i="2"/>
  <c r="AY217" i="2"/>
  <c r="AY218" i="2"/>
  <c r="AY219" i="2"/>
  <c r="AY220" i="2"/>
  <c r="AY221" i="2"/>
  <c r="AY222" i="2"/>
  <c r="AY223" i="2"/>
  <c r="AY224" i="2"/>
  <c r="AY225" i="2"/>
  <c r="AY226" i="2"/>
  <c r="AY227" i="2"/>
  <c r="AY228" i="2"/>
  <c r="AY229" i="2"/>
  <c r="AY230" i="2"/>
  <c r="AY231" i="2"/>
  <c r="AY232" i="2"/>
  <c r="AY233" i="2"/>
  <c r="AY240" i="2"/>
  <c r="AY241" i="2"/>
  <c r="AY242" i="2"/>
  <c r="AY243" i="2"/>
  <c r="AY244" i="2"/>
  <c r="AY245" i="2"/>
  <c r="AY246" i="2"/>
  <c r="AY247" i="2"/>
  <c r="AY248" i="2"/>
  <c r="AY249" i="2"/>
  <c r="AY250" i="2"/>
  <c r="AY251" i="2"/>
  <c r="AY252" i="2"/>
  <c r="AY253" i="2"/>
  <c r="AY254" i="2"/>
  <c r="AY255" i="2"/>
  <c r="AY256" i="2"/>
  <c r="AY257" i="2"/>
  <c r="AY258" i="2"/>
  <c r="AY259" i="2"/>
  <c r="AY3" i="2"/>
  <c r="AY4" i="2"/>
  <c r="AY5" i="2"/>
  <c r="AY6" i="2"/>
  <c r="AY7" i="2"/>
  <c r="AY8" i="2"/>
  <c r="AY9" i="2"/>
  <c r="AY10" i="2"/>
  <c r="AY11" i="2"/>
  <c r="AY12" i="2"/>
  <c r="AY13" i="2"/>
  <c r="AY14" i="2"/>
  <c r="AY15" i="2"/>
  <c r="AY16" i="2"/>
  <c r="AY17" i="2"/>
  <c r="AY2" i="2"/>
  <c r="BC2" i="2"/>
  <c r="BB2" i="2"/>
  <c r="AZ2" i="2"/>
  <c r="BD127" i="2" l="1"/>
  <c r="BA58" i="2"/>
  <c r="BA14" i="2"/>
  <c r="BA8" i="2"/>
  <c r="BA246" i="2"/>
  <c r="BA250" i="2"/>
  <c r="BA220" i="2"/>
  <c r="BA196" i="2"/>
  <c r="BA172" i="2"/>
  <c r="BA124" i="2"/>
  <c r="BA70" i="2"/>
  <c r="BA38" i="2"/>
  <c r="BA207" i="2"/>
  <c r="BA254" i="2"/>
  <c r="BA248" i="2"/>
  <c r="BA242" i="2"/>
  <c r="BA230" i="2"/>
  <c r="BA224" i="2"/>
  <c r="BA218" i="2"/>
  <c r="BA212" i="2"/>
  <c r="BA206" i="2"/>
  <c r="BA200" i="2"/>
  <c r="BA194" i="2"/>
  <c r="BA188" i="2"/>
  <c r="BA182" i="2"/>
  <c r="BA176" i="2"/>
  <c r="BA170" i="2"/>
  <c r="BA164" i="2"/>
  <c r="BA128" i="2"/>
  <c r="BA122" i="2"/>
  <c r="BA116" i="2"/>
  <c r="BA110" i="2"/>
  <c r="BA74" i="2"/>
  <c r="BA56" i="2"/>
  <c r="BA36" i="2"/>
  <c r="BA30" i="2"/>
  <c r="BA24" i="2"/>
  <c r="BA18" i="2"/>
  <c r="BA12" i="2"/>
  <c r="BA6" i="2"/>
  <c r="BA256" i="2"/>
  <c r="BA226" i="2"/>
  <c r="BA202" i="2"/>
  <c r="BA178" i="2"/>
  <c r="BA130" i="2"/>
  <c r="BA118" i="2"/>
  <c r="BA76" i="2"/>
  <c r="BA32" i="2"/>
  <c r="BA20" i="2"/>
  <c r="BA249" i="2"/>
  <c r="BA231" i="2"/>
  <c r="BA219" i="2"/>
  <c r="BA201" i="2"/>
  <c r="BA189" i="2"/>
  <c r="BA177" i="2"/>
  <c r="BA165" i="2"/>
  <c r="BA129" i="2"/>
  <c r="BA123" i="2"/>
  <c r="BA117" i="2"/>
  <c r="BA111" i="2"/>
  <c r="BA75" i="2"/>
  <c r="BA69" i="2"/>
  <c r="BA37" i="2"/>
  <c r="BA31" i="2"/>
  <c r="BA25" i="2"/>
  <c r="BA19" i="2"/>
  <c r="BA13" i="2"/>
  <c r="BA7" i="2"/>
  <c r="BA2" i="2"/>
  <c r="BA259" i="2"/>
  <c r="BA253" i="2"/>
  <c r="BA247" i="2"/>
  <c r="BA241" i="2"/>
  <c r="BA229" i="2"/>
  <c r="BA223" i="2"/>
  <c r="BA217" i="2"/>
  <c r="BA211" i="2"/>
  <c r="BA205" i="2"/>
  <c r="BA199" i="2"/>
  <c r="BA193" i="2"/>
  <c r="BA187" i="2"/>
  <c r="BA181" i="2"/>
  <c r="BA175" i="2"/>
  <c r="BA169" i="2"/>
  <c r="BA163" i="2"/>
  <c r="BA127" i="2"/>
  <c r="BA121" i="2"/>
  <c r="BA115" i="2"/>
  <c r="BA109" i="2"/>
  <c r="BA73" i="2"/>
  <c r="BA35" i="2"/>
  <c r="BA29" i="2"/>
  <c r="BA23" i="2"/>
  <c r="BA17" i="2"/>
  <c r="BA11" i="2"/>
  <c r="BA5" i="2"/>
  <c r="BA232" i="2"/>
  <c r="BA214" i="2"/>
  <c r="BA184" i="2"/>
  <c r="BA112" i="2"/>
  <c r="BA255" i="2"/>
  <c r="BA243" i="2"/>
  <c r="BA225" i="2"/>
  <c r="BA213" i="2"/>
  <c r="BA195" i="2"/>
  <c r="BA183" i="2"/>
  <c r="BA171" i="2"/>
  <c r="BA258" i="2"/>
  <c r="BA240" i="2"/>
  <c r="BA222" i="2"/>
  <c r="BA210" i="2"/>
  <c r="BA198" i="2"/>
  <c r="BA192" i="2"/>
  <c r="BA180" i="2"/>
  <c r="BA174" i="2"/>
  <c r="BA168" i="2"/>
  <c r="BA162" i="2"/>
  <c r="BA126" i="2"/>
  <c r="BA120" i="2"/>
  <c r="BA114" i="2"/>
  <c r="BA108" i="2"/>
  <c r="BA72" i="2"/>
  <c r="BA40" i="2"/>
  <c r="BA34" i="2"/>
  <c r="BA28" i="2"/>
  <c r="BA22" i="2"/>
  <c r="BA16" i="2"/>
  <c r="BA10" i="2"/>
  <c r="BA4" i="2"/>
  <c r="BA244" i="2"/>
  <c r="BA208" i="2"/>
  <c r="BA190" i="2"/>
  <c r="BA166" i="2"/>
  <c r="BA26" i="2"/>
  <c r="BA228" i="2"/>
  <c r="BA216" i="2"/>
  <c r="BA204" i="2"/>
  <c r="BA186" i="2"/>
  <c r="BA257" i="2"/>
  <c r="BA251" i="2"/>
  <c r="BA245" i="2"/>
  <c r="BA233" i="2"/>
  <c r="BA227" i="2"/>
  <c r="BA221" i="2"/>
  <c r="BA215" i="2"/>
  <c r="BA209" i="2"/>
  <c r="BA203" i="2"/>
  <c r="BA197" i="2"/>
  <c r="BA191" i="2"/>
  <c r="BA185" i="2"/>
  <c r="BA179" i="2"/>
  <c r="BA173" i="2"/>
  <c r="BA167" i="2"/>
  <c r="BA161" i="2"/>
  <c r="BA125" i="2"/>
  <c r="BA119" i="2"/>
  <c r="BA113" i="2"/>
  <c r="BA107" i="2"/>
  <c r="BA71" i="2"/>
  <c r="BA39" i="2"/>
  <c r="BA33" i="2"/>
  <c r="BA27" i="2"/>
  <c r="BA21" i="2"/>
  <c r="BA15" i="2"/>
  <c r="BA9" i="2"/>
  <c r="BA3" i="2"/>
  <c r="BA252" i="2"/>
  <c r="BD62" i="2"/>
  <c r="BD73" i="2"/>
  <c r="BD126" i="2"/>
  <c r="BD120" i="2"/>
  <c r="BD112" i="2"/>
  <c r="BD111" i="2"/>
  <c r="BD128" i="2"/>
  <c r="BD110" i="2"/>
  <c r="BD74" i="2"/>
  <c r="BD75" i="2"/>
  <c r="BD129" i="2"/>
  <c r="BD121" i="2"/>
  <c r="BD72" i="2"/>
  <c r="BD69" i="2"/>
  <c r="BD123" i="2"/>
  <c r="BD115" i="2"/>
  <c r="BD57" i="2"/>
  <c r="BD245" i="2"/>
  <c r="BD237" i="2"/>
  <c r="BD221" i="2"/>
  <c r="BD213" i="2"/>
  <c r="BD197" i="2"/>
  <c r="BD189" i="2"/>
  <c r="BD173" i="2"/>
  <c r="BD165" i="2"/>
  <c r="BD108" i="2"/>
  <c r="BD60" i="2"/>
  <c r="BD63" i="2"/>
  <c r="BD2" i="2"/>
  <c r="BD70" i="2"/>
  <c r="BD76" i="2"/>
  <c r="BD38" i="2"/>
  <c r="BD14" i="2"/>
  <c r="BD116" i="2"/>
  <c r="BD124" i="2"/>
  <c r="BD130" i="2"/>
  <c r="BD122" i="2"/>
  <c r="BD114" i="2"/>
  <c r="BD58" i="2"/>
  <c r="BD64" i="2"/>
  <c r="BD56" i="2"/>
  <c r="BD255" i="2"/>
  <c r="BD239" i="2"/>
  <c r="BD231" i="2"/>
  <c r="BD215" i="2"/>
  <c r="BD207" i="2"/>
  <c r="BD191" i="2"/>
  <c r="BD183" i="2"/>
  <c r="BD167" i="2"/>
  <c r="BD159" i="2"/>
  <c r="BD32" i="2"/>
  <c r="BD8" i="2"/>
  <c r="BD109" i="2"/>
  <c r="BD59" i="2"/>
  <c r="BD251" i="2"/>
  <c r="BD243" i="2"/>
  <c r="BD227" i="2"/>
  <c r="BD219" i="2"/>
  <c r="BD203" i="2"/>
  <c r="BD195" i="2"/>
  <c r="BD179" i="2"/>
  <c r="BD171" i="2"/>
  <c r="BD20" i="2"/>
  <c r="BD257" i="2"/>
  <c r="BD249" i="2"/>
  <c r="BD233" i="2"/>
  <c r="BD225" i="2"/>
  <c r="BD209" i="2"/>
  <c r="BD201" i="2"/>
  <c r="BD185" i="2"/>
  <c r="BD177" i="2"/>
  <c r="BD161" i="2"/>
  <c r="BD26" i="2"/>
  <c r="BD118" i="2"/>
  <c r="BD117" i="2"/>
  <c r="BD256" i="2"/>
  <c r="BD250" i="2"/>
  <c r="BD244" i="2"/>
  <c r="BD238" i="2"/>
  <c r="BD232" i="2"/>
  <c r="BD226" i="2"/>
  <c r="BD220" i="2"/>
  <c r="BD214" i="2"/>
  <c r="BD208" i="2"/>
  <c r="BD202" i="2"/>
  <c r="BD196" i="2"/>
  <c r="BD190" i="2"/>
  <c r="BD184" i="2"/>
  <c r="BD178" i="2"/>
  <c r="BD172" i="2"/>
  <c r="BD166" i="2"/>
  <c r="BD160" i="2"/>
  <c r="BD37" i="2"/>
  <c r="BD31" i="2"/>
  <c r="BD25" i="2"/>
  <c r="BD19" i="2"/>
  <c r="BD13" i="2"/>
  <c r="BD7" i="2"/>
  <c r="BD36" i="2"/>
  <c r="BD30" i="2"/>
  <c r="BD24" i="2"/>
  <c r="BD18" i="2"/>
  <c r="BD12" i="2"/>
  <c r="BD6" i="2"/>
  <c r="BD254" i="2"/>
  <c r="BD248" i="2"/>
  <c r="BD242" i="2"/>
  <c r="BD236" i="2"/>
  <c r="BD230" i="2"/>
  <c r="BD224" i="2"/>
  <c r="BD218" i="2"/>
  <c r="BD212" i="2"/>
  <c r="BD206" i="2"/>
  <c r="BD200" i="2"/>
  <c r="BD194" i="2"/>
  <c r="BD188" i="2"/>
  <c r="BD182" i="2"/>
  <c r="BD176" i="2"/>
  <c r="BD170" i="2"/>
  <c r="BD164" i="2"/>
  <c r="BD158" i="2"/>
  <c r="BD61" i="2"/>
  <c r="BD55" i="2"/>
  <c r="BD35" i="2"/>
  <c r="BD29" i="2"/>
  <c r="BD23" i="2"/>
  <c r="BD17" i="2"/>
  <c r="BD11" i="2"/>
  <c r="BD5" i="2"/>
  <c r="BD259" i="2"/>
  <c r="BD253" i="2"/>
  <c r="BD247" i="2"/>
  <c r="BD241" i="2"/>
  <c r="BD235" i="2"/>
  <c r="BD229" i="2"/>
  <c r="BD223" i="2"/>
  <c r="BD217" i="2"/>
  <c r="BD211" i="2"/>
  <c r="BD205" i="2"/>
  <c r="BD199" i="2"/>
  <c r="BD193" i="2"/>
  <c r="BD187" i="2"/>
  <c r="BD181" i="2"/>
  <c r="BD175" i="2"/>
  <c r="BD169" i="2"/>
  <c r="BD163" i="2"/>
  <c r="BD157" i="2"/>
  <c r="BD40" i="2"/>
  <c r="BD34" i="2"/>
  <c r="BD28" i="2"/>
  <c r="BD22" i="2"/>
  <c r="BD16" i="2"/>
  <c r="BD10" i="2"/>
  <c r="BD4" i="2"/>
  <c r="BD258" i="2"/>
  <c r="BD252" i="2"/>
  <c r="BD246" i="2"/>
  <c r="BD240" i="2"/>
  <c r="BD234" i="2"/>
  <c r="BD228" i="2"/>
  <c r="BD222" i="2"/>
  <c r="BD216" i="2"/>
  <c r="BD210" i="2"/>
  <c r="BD204" i="2"/>
  <c r="BD198" i="2"/>
  <c r="BD192" i="2"/>
  <c r="BD186" i="2"/>
  <c r="BD180" i="2"/>
  <c r="BD174" i="2"/>
  <c r="BD168" i="2"/>
  <c r="BD162" i="2"/>
  <c r="BD156" i="2"/>
  <c r="BD125" i="2"/>
  <c r="BD119" i="2"/>
  <c r="BD113" i="2"/>
  <c r="BD107" i="2"/>
  <c r="BD71" i="2"/>
  <c r="BD39" i="2"/>
  <c r="BD33" i="2"/>
  <c r="BD27" i="2"/>
  <c r="BD21" i="2"/>
  <c r="BD15" i="2"/>
  <c r="BD9" i="2"/>
  <c r="BD3" i="2"/>
  <c r="AU106" i="2"/>
  <c r="AY106" i="2" s="1"/>
  <c r="BA106" i="2" s="1"/>
  <c r="AU105" i="2"/>
  <c r="AY105" i="2" s="1"/>
  <c r="BA105" i="2" s="1"/>
  <c r="AU104" i="2"/>
  <c r="AY104" i="2" s="1"/>
  <c r="BA104" i="2" s="1"/>
  <c r="AU103" i="2"/>
  <c r="AY103" i="2" s="1"/>
  <c r="BA103" i="2" s="1"/>
  <c r="AU102" i="2"/>
  <c r="AY102" i="2" s="1"/>
  <c r="BA102" i="2" s="1"/>
  <c r="AU101" i="2"/>
  <c r="AY101" i="2" s="1"/>
  <c r="BA101" i="2" s="1"/>
  <c r="AU100" i="2"/>
  <c r="AY100" i="2" s="1"/>
  <c r="BA100" i="2" s="1"/>
  <c r="AU99" i="2"/>
  <c r="AY99" i="2" s="1"/>
  <c r="BA99" i="2" s="1"/>
  <c r="AU98" i="2"/>
  <c r="AY98" i="2" s="1"/>
  <c r="BA98" i="2" s="1"/>
  <c r="AU97" i="2"/>
  <c r="AY97" i="2" s="1"/>
  <c r="BA97" i="2" s="1"/>
  <c r="AU96" i="2"/>
  <c r="AY96" i="2" s="1"/>
  <c r="BA96" i="2" s="1"/>
  <c r="AU95" i="2"/>
  <c r="AY95" i="2" s="1"/>
  <c r="BA95" i="2" s="1"/>
  <c r="AU94" i="2"/>
  <c r="AY94" i="2" s="1"/>
  <c r="BA94" i="2" s="1"/>
  <c r="AU93" i="2"/>
  <c r="AY93" i="2" s="1"/>
  <c r="BA93" i="2" s="1"/>
  <c r="AU92" i="2"/>
  <c r="AY92" i="2" s="1"/>
  <c r="BA92" i="2" s="1"/>
  <c r="AU91" i="2"/>
  <c r="AY91" i="2" s="1"/>
  <c r="BA91" i="2" s="1"/>
  <c r="AU90" i="2"/>
  <c r="AY90" i="2" s="1"/>
  <c r="BA90" i="2" s="1"/>
  <c r="AU89" i="2"/>
  <c r="AY89" i="2" s="1"/>
  <c r="BA89" i="2" s="1"/>
  <c r="AU88" i="2"/>
  <c r="AY88" i="2" s="1"/>
  <c r="BA88" i="2" s="1"/>
  <c r="AU87" i="2"/>
  <c r="AY87" i="2" s="1"/>
  <c r="BA87" i="2" s="1"/>
  <c r="AU86" i="2"/>
  <c r="AY86" i="2" s="1"/>
  <c r="BA86" i="2" s="1"/>
  <c r="AU85" i="2"/>
  <c r="AY85" i="2" s="1"/>
  <c r="BA85" i="2" s="1"/>
  <c r="AU84" i="2"/>
  <c r="AY84" i="2" s="1"/>
  <c r="BA84" i="2" s="1"/>
  <c r="AU83" i="2"/>
  <c r="AY83" i="2" s="1"/>
  <c r="BA83" i="2" s="1"/>
  <c r="AU82" i="2"/>
  <c r="AY82" i="2" s="1"/>
  <c r="BA82" i="2" s="1"/>
  <c r="AU81" i="2"/>
  <c r="AY81" i="2" s="1"/>
  <c r="BA81" i="2" s="1"/>
  <c r="AU80" i="2"/>
  <c r="AY80" i="2" s="1"/>
  <c r="BA80" i="2" s="1"/>
  <c r="AU79" i="2"/>
  <c r="AY79" i="2" s="1"/>
  <c r="BA79" i="2" s="1"/>
  <c r="AU78" i="2"/>
  <c r="AU77" i="2"/>
  <c r="AU68" i="2"/>
  <c r="AY68" i="2" s="1"/>
  <c r="BA68" i="2" s="1"/>
  <c r="AU67" i="2"/>
  <c r="AY67" i="2" s="1"/>
  <c r="BA67" i="2" s="1"/>
  <c r="AU66" i="2"/>
  <c r="AY66" i="2" s="1"/>
  <c r="BA66" i="2" s="1"/>
  <c r="AU65" i="2"/>
  <c r="AY65" i="2" s="1"/>
  <c r="BA65" i="2" s="1"/>
  <c r="AU64" i="2"/>
  <c r="AU63" i="2"/>
  <c r="BF63" i="2" s="1"/>
  <c r="AU62" i="2"/>
  <c r="AU61" i="2"/>
  <c r="AU60" i="2"/>
  <c r="AU59" i="2"/>
  <c r="AU57" i="2"/>
  <c r="AU55" i="2"/>
  <c r="AW106" i="2"/>
  <c r="BB106" i="2" s="1"/>
  <c r="BD106" i="2" s="1"/>
  <c r="AW105" i="2"/>
  <c r="BB105" i="2" s="1"/>
  <c r="BD105" i="2" s="1"/>
  <c r="AW104" i="2"/>
  <c r="BB104" i="2" s="1"/>
  <c r="BD104" i="2" s="1"/>
  <c r="AW103" i="2"/>
  <c r="BB103" i="2" s="1"/>
  <c r="BD103" i="2" s="1"/>
  <c r="AW102" i="2"/>
  <c r="BB102" i="2" s="1"/>
  <c r="BD102" i="2" s="1"/>
  <c r="AW101" i="2"/>
  <c r="BB101" i="2" s="1"/>
  <c r="BD101" i="2" s="1"/>
  <c r="AW100" i="2"/>
  <c r="BB100" i="2" s="1"/>
  <c r="BD100" i="2" s="1"/>
  <c r="AW99" i="2"/>
  <c r="BB99" i="2" s="1"/>
  <c r="BD99" i="2" s="1"/>
  <c r="AW98" i="2"/>
  <c r="BB98" i="2" s="1"/>
  <c r="BD98" i="2" s="1"/>
  <c r="AW97" i="2"/>
  <c r="BB97" i="2" s="1"/>
  <c r="BD97" i="2" s="1"/>
  <c r="AW96" i="2"/>
  <c r="BB96" i="2" s="1"/>
  <c r="BD96" i="2" s="1"/>
  <c r="AW95" i="2"/>
  <c r="BB95" i="2" s="1"/>
  <c r="BD95" i="2" s="1"/>
  <c r="AW94" i="2"/>
  <c r="BB94" i="2" s="1"/>
  <c r="BD94" i="2" s="1"/>
  <c r="AW93" i="2"/>
  <c r="BB93" i="2" s="1"/>
  <c r="BD93" i="2" s="1"/>
  <c r="AW92" i="2"/>
  <c r="BB92" i="2" s="1"/>
  <c r="BD92" i="2" s="1"/>
  <c r="AW91" i="2"/>
  <c r="BB91" i="2" s="1"/>
  <c r="BD91" i="2" s="1"/>
  <c r="AW90" i="2"/>
  <c r="BB90" i="2" s="1"/>
  <c r="BD90" i="2" s="1"/>
  <c r="AW89" i="2"/>
  <c r="BB89" i="2" s="1"/>
  <c r="BD89" i="2" s="1"/>
  <c r="AW88" i="2"/>
  <c r="BB88" i="2" s="1"/>
  <c r="BD88" i="2" s="1"/>
  <c r="AW87" i="2"/>
  <c r="BB87" i="2" s="1"/>
  <c r="BD87" i="2" s="1"/>
  <c r="AW86" i="2"/>
  <c r="BB86" i="2" s="1"/>
  <c r="BD86" i="2" s="1"/>
  <c r="AW85" i="2"/>
  <c r="BB85" i="2" s="1"/>
  <c r="BD85" i="2" s="1"/>
  <c r="AW84" i="2"/>
  <c r="BB84" i="2" s="1"/>
  <c r="BD84" i="2" s="1"/>
  <c r="AW83" i="2"/>
  <c r="BB83" i="2" s="1"/>
  <c r="BD83" i="2" s="1"/>
  <c r="AW82" i="2"/>
  <c r="BB82" i="2" s="1"/>
  <c r="BD82" i="2" s="1"/>
  <c r="AW81" i="2"/>
  <c r="BB81" i="2" s="1"/>
  <c r="BD81" i="2" s="1"/>
  <c r="AW80" i="2"/>
  <c r="BB80" i="2" s="1"/>
  <c r="BD80" i="2" s="1"/>
  <c r="AW79" i="2"/>
  <c r="BB79" i="2" s="1"/>
  <c r="BD79" i="2" s="1"/>
  <c r="AW78" i="2"/>
  <c r="BB78" i="2" s="1"/>
  <c r="BD78" i="2" s="1"/>
  <c r="AW77" i="2"/>
  <c r="BB77" i="2" s="1"/>
  <c r="BD77" i="2" s="1"/>
  <c r="AW68" i="2"/>
  <c r="BB68" i="2" s="1"/>
  <c r="BD68" i="2" s="1"/>
  <c r="AW67" i="2"/>
  <c r="BB67" i="2" s="1"/>
  <c r="BD67" i="2" s="1"/>
  <c r="AW66" i="2"/>
  <c r="BB66" i="2" s="1"/>
  <c r="BD66" i="2" s="1"/>
  <c r="AW65" i="2"/>
  <c r="BB65" i="2" s="1"/>
  <c r="BD65" i="2" s="1"/>
  <c r="T230" i="3"/>
  <c r="V230" i="3" s="1"/>
  <c r="F230" i="3"/>
  <c r="T229" i="3"/>
  <c r="P229" i="3" s="1"/>
  <c r="F229" i="3"/>
  <c r="T228" i="3"/>
  <c r="V228" i="3" s="1"/>
  <c r="P228" i="3"/>
  <c r="F228" i="3"/>
  <c r="T227" i="3"/>
  <c r="V227" i="3" s="1"/>
  <c r="F227" i="3"/>
  <c r="T226" i="3"/>
  <c r="P226" i="3" s="1"/>
  <c r="F226" i="3"/>
  <c r="T225" i="3"/>
  <c r="V225" i="3" s="1"/>
  <c r="P225" i="3"/>
  <c r="F225" i="3"/>
  <c r="T224" i="3"/>
  <c r="V224" i="3" s="1"/>
  <c r="F224" i="3"/>
  <c r="T223" i="3"/>
  <c r="P223" i="3" s="1"/>
  <c r="F223" i="3"/>
  <c r="T222" i="3"/>
  <c r="V222" i="3" s="1"/>
  <c r="P222" i="3"/>
  <c r="F222" i="3"/>
  <c r="T221" i="3"/>
  <c r="V221" i="3" s="1"/>
  <c r="F221" i="3"/>
  <c r="AO220" i="3"/>
  <c r="AG220" i="3"/>
  <c r="T220" i="3"/>
  <c r="V220" i="3" s="1"/>
  <c r="F220" i="3"/>
  <c r="AO219" i="3"/>
  <c r="AG219" i="3"/>
  <c r="T219" i="3"/>
  <c r="V219" i="3" s="1"/>
  <c r="F219" i="3"/>
  <c r="AO218" i="3"/>
  <c r="AG218" i="3"/>
  <c r="T218" i="3"/>
  <c r="V218" i="3" s="1"/>
  <c r="F218" i="3"/>
  <c r="AO217" i="3"/>
  <c r="AG217" i="3"/>
  <c r="V217" i="3"/>
  <c r="P217" i="3"/>
  <c r="F217" i="3"/>
  <c r="AO216" i="3"/>
  <c r="AG216" i="3"/>
  <c r="V216" i="3"/>
  <c r="P216" i="3"/>
  <c r="F216" i="3"/>
  <c r="AO215" i="3"/>
  <c r="AG215" i="3"/>
  <c r="V215" i="3"/>
  <c r="P215" i="3"/>
  <c r="F215" i="3"/>
  <c r="AO214" i="3"/>
  <c r="T214" i="3"/>
  <c r="V214" i="3" s="1"/>
  <c r="P214" i="3"/>
  <c r="F214" i="3"/>
  <c r="AO213" i="3"/>
  <c r="V213" i="3"/>
  <c r="T213" i="3"/>
  <c r="P213" i="3"/>
  <c r="F213" i="3"/>
  <c r="AO212" i="3"/>
  <c r="T212" i="3"/>
  <c r="V212" i="3" s="1"/>
  <c r="F212" i="3"/>
  <c r="AO211" i="3"/>
  <c r="V211" i="3"/>
  <c r="T211" i="3"/>
  <c r="P211" i="3"/>
  <c r="F211" i="3"/>
  <c r="AO210" i="3"/>
  <c r="T210" i="3"/>
  <c r="P210" i="3" s="1"/>
  <c r="F210" i="3"/>
  <c r="AO209" i="3"/>
  <c r="T209" i="3"/>
  <c r="V209" i="3" s="1"/>
  <c r="P209" i="3"/>
  <c r="F209" i="3"/>
  <c r="AO208" i="3"/>
  <c r="T208" i="3"/>
  <c r="P208" i="3"/>
  <c r="F208" i="3"/>
  <c r="AO207" i="3"/>
  <c r="T207" i="3"/>
  <c r="P207" i="3"/>
  <c r="F207" i="3"/>
  <c r="AO206" i="3"/>
  <c r="T206" i="3"/>
  <c r="P206" i="3"/>
  <c r="F206" i="3"/>
  <c r="AO205" i="3"/>
  <c r="T205" i="3"/>
  <c r="V205" i="3" s="1"/>
  <c r="P205" i="3"/>
  <c r="F205" i="3"/>
  <c r="AO204" i="3"/>
  <c r="V204" i="3"/>
  <c r="T204" i="3"/>
  <c r="P204" i="3"/>
  <c r="F204" i="3"/>
  <c r="AO203" i="3"/>
  <c r="T203" i="3"/>
  <c r="V203" i="3" s="1"/>
  <c r="P203" i="3"/>
  <c r="F203" i="3"/>
  <c r="AO202" i="3"/>
  <c r="V202" i="3"/>
  <c r="T202" i="3"/>
  <c r="P202" i="3"/>
  <c r="F202" i="3"/>
  <c r="AO201" i="3"/>
  <c r="T201" i="3"/>
  <c r="P201" i="3"/>
  <c r="F201" i="3"/>
  <c r="AO200" i="3"/>
  <c r="T200" i="3"/>
  <c r="P200" i="3"/>
  <c r="F200" i="3"/>
  <c r="AO199" i="3"/>
  <c r="T199" i="3"/>
  <c r="P199" i="3"/>
  <c r="F199" i="3"/>
  <c r="AO198" i="3"/>
  <c r="T198" i="3"/>
  <c r="P198" i="3"/>
  <c r="F198" i="3"/>
  <c r="AO197" i="3"/>
  <c r="T197" i="3"/>
  <c r="P197" i="3"/>
  <c r="F197" i="3"/>
  <c r="AO196" i="3"/>
  <c r="T196" i="3"/>
  <c r="P196" i="3"/>
  <c r="F196" i="3"/>
  <c r="AO195" i="3"/>
  <c r="T195" i="3"/>
  <c r="P195" i="3"/>
  <c r="F195" i="3"/>
  <c r="AO194" i="3"/>
  <c r="T194" i="3"/>
  <c r="P194" i="3"/>
  <c r="F194" i="3"/>
  <c r="AO193" i="3"/>
  <c r="T193" i="3"/>
  <c r="P193" i="3"/>
  <c r="F193" i="3"/>
  <c r="AO192" i="3"/>
  <c r="T192" i="3"/>
  <c r="P192" i="3"/>
  <c r="F192" i="3"/>
  <c r="AO191" i="3"/>
  <c r="T191" i="3"/>
  <c r="P191" i="3"/>
  <c r="F191" i="3"/>
  <c r="AO190" i="3"/>
  <c r="T190" i="3"/>
  <c r="P190" i="3"/>
  <c r="F190" i="3"/>
  <c r="AO189" i="3"/>
  <c r="T189" i="3"/>
  <c r="P189" i="3"/>
  <c r="F189" i="3"/>
  <c r="AO188" i="3"/>
  <c r="T188" i="3"/>
  <c r="P188" i="3"/>
  <c r="F188" i="3"/>
  <c r="AO187" i="3"/>
  <c r="T187" i="3"/>
  <c r="P187" i="3"/>
  <c r="F187" i="3"/>
  <c r="AO186" i="3"/>
  <c r="T186" i="3"/>
  <c r="P186" i="3"/>
  <c r="F186" i="3"/>
  <c r="AO185" i="3"/>
  <c r="T185" i="3"/>
  <c r="P185" i="3"/>
  <c r="F185" i="3"/>
  <c r="AO184" i="3"/>
  <c r="AG184" i="3"/>
  <c r="T184" i="3"/>
  <c r="P184" i="3"/>
  <c r="F184" i="3"/>
  <c r="AO183" i="3"/>
  <c r="AG183" i="3"/>
  <c r="T183" i="3"/>
  <c r="P183" i="3" s="1"/>
  <c r="F183" i="3"/>
  <c r="AO182" i="3"/>
  <c r="AG182" i="3"/>
  <c r="T182" i="3"/>
  <c r="P182" i="3"/>
  <c r="F182" i="3"/>
  <c r="AO181" i="3"/>
  <c r="AG181" i="3"/>
  <c r="T181" i="3"/>
  <c r="P181" i="3"/>
  <c r="F181" i="3"/>
  <c r="AO180" i="3"/>
  <c r="AG180" i="3"/>
  <c r="T180" i="3"/>
  <c r="P180" i="3"/>
  <c r="F180" i="3"/>
  <c r="AO179" i="3"/>
  <c r="AG179" i="3"/>
  <c r="T179" i="3"/>
  <c r="P179" i="3"/>
  <c r="F179" i="3"/>
  <c r="AO178" i="3"/>
  <c r="AG178" i="3"/>
  <c r="T178" i="3"/>
  <c r="P178" i="3"/>
  <c r="F178" i="3"/>
  <c r="AO177" i="3"/>
  <c r="T177" i="3"/>
  <c r="P177" i="3" s="1"/>
  <c r="F177" i="3"/>
  <c r="AO176" i="3"/>
  <c r="T176" i="3"/>
  <c r="P176" i="3"/>
  <c r="F176" i="3"/>
  <c r="AO175" i="3"/>
  <c r="T175" i="3"/>
  <c r="P175" i="3"/>
  <c r="F175" i="3"/>
  <c r="AO174" i="3"/>
  <c r="T174" i="3"/>
  <c r="P174" i="3" s="1"/>
  <c r="F174" i="3"/>
  <c r="AO173" i="3"/>
  <c r="T173" i="3"/>
  <c r="P173" i="3"/>
  <c r="F173" i="3"/>
  <c r="AO172" i="3"/>
  <c r="T172" i="3"/>
  <c r="P172" i="3"/>
  <c r="F172" i="3"/>
  <c r="AO171" i="3"/>
  <c r="T171" i="3"/>
  <c r="P171" i="3"/>
  <c r="F171" i="3"/>
  <c r="AO170" i="3"/>
  <c r="T170" i="3"/>
  <c r="P170" i="3"/>
  <c r="F170" i="3"/>
  <c r="AO169" i="3"/>
  <c r="T169" i="3"/>
  <c r="P169" i="3"/>
  <c r="F169" i="3"/>
  <c r="AO168" i="3"/>
  <c r="T168" i="3"/>
  <c r="P168" i="3" s="1"/>
  <c r="F168" i="3"/>
  <c r="AO167" i="3"/>
  <c r="T167" i="3"/>
  <c r="P167" i="3"/>
  <c r="F167" i="3"/>
  <c r="AO166" i="3"/>
  <c r="T166" i="3"/>
  <c r="P166" i="3"/>
  <c r="F166" i="3"/>
  <c r="AO165" i="3"/>
  <c r="T165" i="3"/>
  <c r="P165" i="3" s="1"/>
  <c r="F165" i="3"/>
  <c r="T164" i="3"/>
  <c r="P164" i="3"/>
  <c r="F164" i="3"/>
  <c r="AO163" i="3"/>
  <c r="T163" i="3"/>
  <c r="P163" i="3"/>
  <c r="F163" i="3"/>
  <c r="AO162" i="3"/>
  <c r="T162" i="3"/>
  <c r="P162" i="3"/>
  <c r="F162" i="3"/>
  <c r="T161" i="3"/>
  <c r="P161" i="3"/>
  <c r="F161" i="3"/>
  <c r="AO160" i="3"/>
  <c r="T160" i="3"/>
  <c r="P160" i="3" s="1"/>
  <c r="F160" i="3"/>
  <c r="AO159" i="3"/>
  <c r="T159" i="3"/>
  <c r="P159" i="3"/>
  <c r="F159" i="3"/>
  <c r="AO158" i="3"/>
  <c r="T158" i="3"/>
  <c r="P158" i="3" s="1"/>
  <c r="F158" i="3"/>
  <c r="AO157" i="3"/>
  <c r="T157" i="3"/>
  <c r="P157" i="3"/>
  <c r="F157" i="3"/>
  <c r="AO156" i="3"/>
  <c r="T156" i="3"/>
  <c r="P156" i="3"/>
  <c r="F156" i="3"/>
  <c r="AO155" i="3"/>
  <c r="T155" i="3"/>
  <c r="P155" i="3" s="1"/>
  <c r="F155" i="3"/>
  <c r="AO154" i="3"/>
  <c r="T154" i="3"/>
  <c r="P154" i="3" s="1"/>
  <c r="F154" i="3"/>
  <c r="AO153" i="3"/>
  <c r="T153" i="3"/>
  <c r="P153" i="3"/>
  <c r="F153" i="3"/>
  <c r="AO152" i="3"/>
  <c r="T152" i="3"/>
  <c r="P152" i="3"/>
  <c r="F152" i="3"/>
  <c r="AO151" i="3"/>
  <c r="T151" i="3"/>
  <c r="P151" i="3" s="1"/>
  <c r="F151" i="3"/>
  <c r="AO150" i="3"/>
  <c r="T150" i="3"/>
  <c r="P150" i="3"/>
  <c r="F150" i="3"/>
  <c r="AO149" i="3"/>
  <c r="T149" i="3"/>
  <c r="P149" i="3" s="1"/>
  <c r="F149" i="3"/>
  <c r="AO148" i="3"/>
  <c r="T148" i="3"/>
  <c r="P148" i="3" s="1"/>
  <c r="F148" i="3"/>
  <c r="AO147" i="3"/>
  <c r="T147" i="3"/>
  <c r="P147" i="3"/>
  <c r="F147" i="3"/>
  <c r="AO146" i="3"/>
  <c r="T146" i="3"/>
  <c r="P146" i="3" s="1"/>
  <c r="F146" i="3"/>
  <c r="AO145" i="3"/>
  <c r="T145" i="3"/>
  <c r="P145" i="3" s="1"/>
  <c r="F145" i="3"/>
  <c r="AO144" i="3"/>
  <c r="T144" i="3"/>
  <c r="P144" i="3"/>
  <c r="F144" i="3"/>
  <c r="AO143" i="3"/>
  <c r="T143" i="3"/>
  <c r="P143" i="3" s="1"/>
  <c r="F143" i="3"/>
  <c r="AO142" i="3"/>
  <c r="T142" i="3"/>
  <c r="P142" i="3"/>
  <c r="F142" i="3"/>
  <c r="AO141" i="3"/>
  <c r="T141" i="3"/>
  <c r="P141" i="3"/>
  <c r="F141" i="3"/>
  <c r="AO140" i="3"/>
  <c r="T140" i="3"/>
  <c r="P140" i="3" s="1"/>
  <c r="F140" i="3"/>
  <c r="AO139" i="3"/>
  <c r="T139" i="3"/>
  <c r="P139" i="3" s="1"/>
  <c r="F139" i="3"/>
  <c r="AO138" i="3"/>
  <c r="T138" i="3"/>
  <c r="P138" i="3"/>
  <c r="F138" i="3"/>
  <c r="AO137" i="3"/>
  <c r="T137" i="3"/>
  <c r="P137" i="3"/>
  <c r="F137" i="3"/>
  <c r="AO136" i="3"/>
  <c r="T136" i="3"/>
  <c r="P136" i="3" s="1"/>
  <c r="F136" i="3"/>
  <c r="AO135" i="3"/>
  <c r="AK135" i="3"/>
  <c r="AG135" i="3"/>
  <c r="T135" i="3"/>
  <c r="P135" i="3" s="1"/>
  <c r="F135" i="3"/>
  <c r="AO134" i="3"/>
  <c r="AK134" i="3"/>
  <c r="AG134" i="3"/>
  <c r="T134" i="3"/>
  <c r="P134" i="3" s="1"/>
  <c r="F134" i="3"/>
  <c r="AO133" i="3"/>
  <c r="AK133" i="3"/>
  <c r="AG133" i="3"/>
  <c r="T133" i="3"/>
  <c r="P133" i="3" s="1"/>
  <c r="F133" i="3"/>
  <c r="AO132" i="3"/>
  <c r="AK132" i="3"/>
  <c r="AG132" i="3"/>
  <c r="T132" i="3"/>
  <c r="P132" i="3"/>
  <c r="F132" i="3"/>
  <c r="AO131" i="3"/>
  <c r="AK131" i="3"/>
  <c r="AG131" i="3"/>
  <c r="T131" i="3"/>
  <c r="P131" i="3" s="1"/>
  <c r="F131" i="3"/>
  <c r="V130" i="3"/>
  <c r="P130" i="3"/>
  <c r="F130" i="3"/>
  <c r="V129" i="3"/>
  <c r="P129" i="3"/>
  <c r="F129" i="3"/>
  <c r="V128" i="3"/>
  <c r="P128" i="3"/>
  <c r="F128" i="3"/>
  <c r="V127" i="3"/>
  <c r="P127" i="3"/>
  <c r="F127" i="3"/>
  <c r="AO126" i="3"/>
  <c r="V126" i="3"/>
  <c r="P126" i="3"/>
  <c r="F126" i="3"/>
  <c r="AO125" i="3"/>
  <c r="V125" i="3"/>
  <c r="P125" i="3"/>
  <c r="F125" i="3"/>
  <c r="AO124" i="3"/>
  <c r="V124" i="3"/>
  <c r="P124" i="3"/>
  <c r="F124" i="3"/>
  <c r="AO123" i="3"/>
  <c r="V123" i="3"/>
  <c r="P123" i="3"/>
  <c r="F123" i="3"/>
  <c r="AO122" i="3"/>
  <c r="V122" i="3"/>
  <c r="P122" i="3"/>
  <c r="F122" i="3"/>
  <c r="AO121" i="3"/>
  <c r="V121" i="3"/>
  <c r="P121" i="3"/>
  <c r="F121" i="3"/>
  <c r="AO120" i="3"/>
  <c r="V120" i="3"/>
  <c r="P120" i="3"/>
  <c r="F120" i="3"/>
  <c r="AO119" i="3"/>
  <c r="V119" i="3"/>
  <c r="P119" i="3"/>
  <c r="F119" i="3"/>
  <c r="AO118" i="3"/>
  <c r="V118" i="3"/>
  <c r="P118" i="3"/>
  <c r="F118" i="3"/>
  <c r="AO117" i="3"/>
  <c r="V117" i="3"/>
  <c r="P117" i="3"/>
  <c r="F117" i="3"/>
  <c r="AO116" i="3"/>
  <c r="V116" i="3"/>
  <c r="P116" i="3"/>
  <c r="F116" i="3"/>
  <c r="AO115" i="3"/>
  <c r="V115" i="3"/>
  <c r="P115" i="3"/>
  <c r="F115" i="3"/>
  <c r="AO114" i="3"/>
  <c r="V114" i="3"/>
  <c r="P114" i="3"/>
  <c r="F114" i="3"/>
  <c r="AO113" i="3"/>
  <c r="V113" i="3"/>
  <c r="P113" i="3"/>
  <c r="F113" i="3"/>
  <c r="AO112" i="3"/>
  <c r="V112" i="3"/>
  <c r="P112" i="3"/>
  <c r="F112" i="3"/>
  <c r="AO111" i="3"/>
  <c r="V111" i="3"/>
  <c r="P111" i="3"/>
  <c r="F111" i="3"/>
  <c r="AO110" i="3"/>
  <c r="P110" i="3"/>
  <c r="F110" i="3"/>
  <c r="AO109" i="3"/>
  <c r="P109" i="3"/>
  <c r="F109" i="3"/>
  <c r="AO108" i="3"/>
  <c r="P108" i="3"/>
  <c r="F108" i="3"/>
  <c r="AO107" i="3"/>
  <c r="P107" i="3"/>
  <c r="F107" i="3"/>
  <c r="V106" i="3"/>
  <c r="F106" i="3"/>
  <c r="V105" i="3"/>
  <c r="F105" i="3"/>
  <c r="V104" i="3"/>
  <c r="F104" i="3"/>
  <c r="V103" i="3"/>
  <c r="F103" i="3"/>
  <c r="V102" i="3"/>
  <c r="F102" i="3"/>
  <c r="V101" i="3"/>
  <c r="F101" i="3"/>
  <c r="V100" i="3"/>
  <c r="F100" i="3"/>
  <c r="V99" i="3"/>
  <c r="F99" i="3"/>
  <c r="V98" i="3"/>
  <c r="F98" i="3"/>
  <c r="V97" i="3"/>
  <c r="F97" i="3"/>
  <c r="V96" i="3"/>
  <c r="F96" i="3"/>
  <c r="V95" i="3"/>
  <c r="F95" i="3"/>
  <c r="V94" i="3"/>
  <c r="F94" i="3"/>
  <c r="V93" i="3"/>
  <c r="F93" i="3"/>
  <c r="V92" i="3"/>
  <c r="F92" i="3"/>
  <c r="V91" i="3"/>
  <c r="F91" i="3"/>
  <c r="V90" i="3"/>
  <c r="F90" i="3"/>
  <c r="V89" i="3"/>
  <c r="F89" i="3"/>
  <c r="V88" i="3"/>
  <c r="F88" i="3"/>
  <c r="V87" i="3"/>
  <c r="F87" i="3"/>
  <c r="V86" i="3"/>
  <c r="F86" i="3"/>
  <c r="V85" i="3"/>
  <c r="F85" i="3"/>
  <c r="V84" i="3"/>
  <c r="F84" i="3"/>
  <c r="V83" i="3"/>
  <c r="F83" i="3"/>
  <c r="V82" i="3"/>
  <c r="F82" i="3"/>
  <c r="V81" i="3"/>
  <c r="F81" i="3"/>
  <c r="V80" i="3"/>
  <c r="F80" i="3"/>
  <c r="V79" i="3"/>
  <c r="F79" i="3"/>
  <c r="AO78" i="3"/>
  <c r="V78" i="3"/>
  <c r="P78" i="3"/>
  <c r="F78" i="3"/>
  <c r="AO77" i="3"/>
  <c r="V77" i="3"/>
  <c r="P77" i="3"/>
  <c r="F77" i="3"/>
  <c r="AO76" i="3"/>
  <c r="V76" i="3"/>
  <c r="P76" i="3"/>
  <c r="F76" i="3"/>
  <c r="AO75" i="3"/>
  <c r="P75" i="3"/>
  <c r="F75" i="3"/>
  <c r="AO74" i="3"/>
  <c r="V74" i="3"/>
  <c r="P74" i="3"/>
  <c r="F74" i="3"/>
  <c r="AO73" i="3"/>
  <c r="P73" i="3"/>
  <c r="F73" i="3"/>
  <c r="AO72" i="3"/>
  <c r="V72" i="3"/>
  <c r="P72" i="3"/>
  <c r="F72" i="3"/>
  <c r="AO71" i="3"/>
  <c r="P71" i="3"/>
  <c r="F71" i="3"/>
  <c r="AO70" i="3"/>
  <c r="V70" i="3"/>
  <c r="P70" i="3"/>
  <c r="F70" i="3"/>
  <c r="AO69" i="3"/>
  <c r="P69" i="3"/>
  <c r="F69" i="3"/>
  <c r="AG68" i="3"/>
  <c r="AC68" i="3"/>
  <c r="AO68" i="3" s="1"/>
  <c r="V68" i="3"/>
  <c r="P68" i="3"/>
  <c r="F68" i="3"/>
  <c r="AG67" i="3"/>
  <c r="AC67" i="3"/>
  <c r="AO67" i="3" s="1"/>
  <c r="V67" i="3"/>
  <c r="P67" i="3"/>
  <c r="F67" i="3"/>
  <c r="AG66" i="3"/>
  <c r="AC66" i="3"/>
  <c r="AO66" i="3" s="1"/>
  <c r="V66" i="3"/>
  <c r="P66" i="3"/>
  <c r="F66" i="3"/>
  <c r="AG65" i="3"/>
  <c r="AC65" i="3"/>
  <c r="AO65" i="3" s="1"/>
  <c r="V65" i="3"/>
  <c r="P65" i="3"/>
  <c r="F65" i="3"/>
  <c r="AO64" i="3"/>
  <c r="V64" i="3"/>
  <c r="P64" i="3"/>
  <c r="F64" i="3"/>
  <c r="AO63" i="3"/>
  <c r="V63" i="3"/>
  <c r="P63" i="3"/>
  <c r="F63" i="3"/>
  <c r="AO62" i="3"/>
  <c r="V62" i="3"/>
  <c r="P62" i="3"/>
  <c r="F62" i="3"/>
  <c r="AO61" i="3"/>
  <c r="V61" i="3"/>
  <c r="P61" i="3"/>
  <c r="F61" i="3"/>
  <c r="AO60" i="3"/>
  <c r="V60" i="3"/>
  <c r="P60" i="3"/>
  <c r="F60" i="3"/>
  <c r="AO59" i="3"/>
  <c r="V59" i="3"/>
  <c r="P59" i="3"/>
  <c r="F59" i="3"/>
  <c r="AO58" i="3"/>
  <c r="V58" i="3"/>
  <c r="P58" i="3"/>
  <c r="F58" i="3"/>
  <c r="AO57" i="3"/>
  <c r="V57" i="3"/>
  <c r="P57" i="3"/>
  <c r="F57" i="3"/>
  <c r="AO56" i="3"/>
  <c r="V56" i="3"/>
  <c r="P56" i="3"/>
  <c r="F56" i="3"/>
  <c r="AO55" i="3"/>
  <c r="V55" i="3"/>
  <c r="P55" i="3"/>
  <c r="F55" i="3"/>
  <c r="V54" i="3"/>
  <c r="P54" i="3"/>
  <c r="F54" i="3"/>
  <c r="V53" i="3"/>
  <c r="P53" i="3"/>
  <c r="F53" i="3"/>
  <c r="V52" i="3"/>
  <c r="P52" i="3"/>
  <c r="F52" i="3"/>
  <c r="V51" i="3"/>
  <c r="P51" i="3"/>
  <c r="F51" i="3"/>
  <c r="V50" i="3"/>
  <c r="P50" i="3"/>
  <c r="F50" i="3"/>
  <c r="V49" i="3"/>
  <c r="P49" i="3"/>
  <c r="F49" i="3"/>
  <c r="AG48" i="3"/>
  <c r="AC48" i="3"/>
  <c r="AO48" i="3" s="1"/>
  <c r="V48" i="3"/>
  <c r="P48" i="3"/>
  <c r="F48" i="3"/>
  <c r="AG47" i="3"/>
  <c r="AC47" i="3"/>
  <c r="AO47" i="3" s="1"/>
  <c r="V47" i="3"/>
  <c r="P47" i="3"/>
  <c r="F47" i="3"/>
  <c r="AG46" i="3"/>
  <c r="AC46" i="3"/>
  <c r="AO46" i="3" s="1"/>
  <c r="V46" i="3"/>
  <c r="P46" i="3"/>
  <c r="F46" i="3"/>
  <c r="AG45" i="3"/>
  <c r="AC45" i="3"/>
  <c r="AO45" i="3" s="1"/>
  <c r="V45" i="3"/>
  <c r="P45" i="3"/>
  <c r="F45" i="3"/>
  <c r="AG44" i="3"/>
  <c r="AC44" i="3"/>
  <c r="AO44" i="3" s="1"/>
  <c r="V44" i="3"/>
  <c r="P44" i="3"/>
  <c r="F44" i="3"/>
  <c r="AG43" i="3"/>
  <c r="AC43" i="3"/>
  <c r="AO43" i="3" s="1"/>
  <c r="V43" i="3"/>
  <c r="P43" i="3"/>
  <c r="F43" i="3"/>
  <c r="AG42" i="3"/>
  <c r="AC42" i="3"/>
  <c r="AO42" i="3" s="1"/>
  <c r="V42" i="3"/>
  <c r="P42" i="3"/>
  <c r="F42" i="3"/>
  <c r="AG41" i="3"/>
  <c r="AC41" i="3"/>
  <c r="AO41" i="3" s="1"/>
  <c r="V41" i="3"/>
  <c r="P41" i="3"/>
  <c r="F41" i="3"/>
  <c r="BQ40" i="3"/>
  <c r="AO40" i="3"/>
  <c r="V40" i="3"/>
  <c r="P40" i="3"/>
  <c r="F40" i="3"/>
  <c r="BQ39" i="3"/>
  <c r="AO39" i="3"/>
  <c r="V39" i="3"/>
  <c r="P39" i="3"/>
  <c r="F39" i="3"/>
  <c r="BQ38" i="3"/>
  <c r="AO38" i="3"/>
  <c r="V38" i="3"/>
  <c r="P38" i="3"/>
  <c r="F38" i="3"/>
  <c r="BQ37" i="3"/>
  <c r="AO37" i="3"/>
  <c r="V37" i="3"/>
  <c r="P37" i="3"/>
  <c r="F37" i="3"/>
  <c r="BQ36" i="3"/>
  <c r="AO36" i="3"/>
  <c r="V36" i="3"/>
  <c r="P36" i="3"/>
  <c r="F36" i="3"/>
  <c r="BQ35" i="3"/>
  <c r="AO35" i="3"/>
  <c r="V35" i="3"/>
  <c r="P35" i="3"/>
  <c r="F35" i="3"/>
  <c r="BQ34" i="3"/>
  <c r="AO34" i="3"/>
  <c r="V34" i="3"/>
  <c r="P34" i="3"/>
  <c r="F34" i="3"/>
  <c r="BQ33" i="3"/>
  <c r="AO33" i="3"/>
  <c r="V33" i="3"/>
  <c r="P33" i="3"/>
  <c r="F33" i="3"/>
  <c r="BQ32" i="3"/>
  <c r="AO32" i="3"/>
  <c r="V32" i="3"/>
  <c r="P32" i="3"/>
  <c r="F32" i="3"/>
  <c r="BQ31" i="3"/>
  <c r="AO31" i="3"/>
  <c r="V31" i="3"/>
  <c r="P31" i="3"/>
  <c r="F31" i="3"/>
  <c r="BQ30" i="3"/>
  <c r="AO30" i="3"/>
  <c r="V30" i="3"/>
  <c r="P30" i="3"/>
  <c r="F30" i="3"/>
  <c r="BQ29" i="3"/>
  <c r="AO29" i="3"/>
  <c r="V29" i="3"/>
  <c r="P29" i="3"/>
  <c r="F29" i="3"/>
  <c r="BQ28" i="3"/>
  <c r="AO28" i="3"/>
  <c r="V28" i="3"/>
  <c r="P28" i="3"/>
  <c r="F28" i="3"/>
  <c r="BQ27" i="3"/>
  <c r="AO27" i="3"/>
  <c r="V27" i="3"/>
  <c r="P27" i="3"/>
  <c r="F27" i="3"/>
  <c r="BQ26" i="3"/>
  <c r="AO26" i="3"/>
  <c r="V26" i="3"/>
  <c r="P26" i="3"/>
  <c r="F26" i="3"/>
  <c r="BQ25" i="3"/>
  <c r="AO25" i="3"/>
  <c r="V25" i="3"/>
  <c r="P25" i="3"/>
  <c r="F25" i="3"/>
  <c r="BQ24" i="3"/>
  <c r="AO24" i="3"/>
  <c r="V24" i="3"/>
  <c r="P24" i="3"/>
  <c r="F24" i="3"/>
  <c r="BQ23" i="3"/>
  <c r="AO23" i="3"/>
  <c r="V23" i="3"/>
  <c r="P23" i="3"/>
  <c r="F23" i="3"/>
  <c r="BQ22" i="3"/>
  <c r="AO22" i="3"/>
  <c r="V22" i="3"/>
  <c r="P22" i="3"/>
  <c r="F22" i="3"/>
  <c r="BQ21" i="3"/>
  <c r="AO21" i="3"/>
  <c r="V21" i="3"/>
  <c r="P21" i="3"/>
  <c r="F21" i="3"/>
  <c r="BQ20" i="3"/>
  <c r="AO20" i="3"/>
  <c r="V20" i="3"/>
  <c r="P20" i="3"/>
  <c r="F20" i="3"/>
  <c r="BQ19" i="3"/>
  <c r="AO19" i="3"/>
  <c r="V19" i="3"/>
  <c r="P19" i="3"/>
  <c r="F19" i="3"/>
  <c r="BQ18" i="3"/>
  <c r="AO18" i="3"/>
  <c r="V18" i="3"/>
  <c r="P18" i="3"/>
  <c r="F18" i="3"/>
  <c r="BQ17" i="3"/>
  <c r="AO17" i="3"/>
  <c r="V17" i="3"/>
  <c r="P17" i="3"/>
  <c r="F17" i="3"/>
  <c r="AO16" i="3"/>
  <c r="AK16" i="3"/>
  <c r="T16" i="3"/>
  <c r="V16" i="3" s="1"/>
  <c r="F16" i="3"/>
  <c r="AO15" i="3"/>
  <c r="AK15" i="3"/>
  <c r="V15" i="3"/>
  <c r="T15" i="3"/>
  <c r="F15" i="3"/>
  <c r="AO14" i="3"/>
  <c r="AK14" i="3"/>
  <c r="T14" i="3"/>
  <c r="V14" i="3" s="1"/>
  <c r="F14" i="3"/>
  <c r="AO13" i="3"/>
  <c r="AK13" i="3"/>
  <c r="V13" i="3"/>
  <c r="T13" i="3"/>
  <c r="F13" i="3"/>
  <c r="AO12" i="3"/>
  <c r="AK12" i="3"/>
  <c r="T12" i="3"/>
  <c r="V12" i="3" s="1"/>
  <c r="F12" i="3"/>
  <c r="AO11" i="3"/>
  <c r="AK11" i="3"/>
  <c r="T11" i="3"/>
  <c r="V11" i="3" s="1"/>
  <c r="F11" i="3"/>
  <c r="AO10" i="3"/>
  <c r="AK10" i="3"/>
  <c r="T10" i="3"/>
  <c r="V10" i="3" s="1"/>
  <c r="F10" i="3"/>
  <c r="AO9" i="3"/>
  <c r="AK9" i="3"/>
  <c r="V9" i="3"/>
  <c r="T9" i="3"/>
  <c r="F9" i="3"/>
  <c r="AO8" i="3"/>
  <c r="AK8" i="3"/>
  <c r="T8" i="3"/>
  <c r="V8" i="3" s="1"/>
  <c r="F8" i="3"/>
  <c r="AO7" i="3"/>
  <c r="AK7" i="3"/>
  <c r="V7" i="3"/>
  <c r="T7" i="3"/>
  <c r="F7" i="3"/>
  <c r="AO6" i="3"/>
  <c r="AK6" i="3"/>
  <c r="T6" i="3"/>
  <c r="V6" i="3" s="1"/>
  <c r="F6" i="3"/>
  <c r="AO5" i="3"/>
  <c r="AK5" i="3"/>
  <c r="T5" i="3"/>
  <c r="V5" i="3" s="1"/>
  <c r="F5" i="3"/>
  <c r="AO4" i="3"/>
  <c r="AK4" i="3"/>
  <c r="T4" i="3"/>
  <c r="V4" i="3" s="1"/>
  <c r="F4" i="3"/>
  <c r="AO3" i="3"/>
  <c r="AK3" i="3"/>
  <c r="V3" i="3"/>
  <c r="T3" i="3"/>
  <c r="F3" i="3"/>
  <c r="AO2" i="3"/>
  <c r="AK2" i="3"/>
  <c r="T2" i="3"/>
  <c r="V2" i="3" s="1"/>
  <c r="F2" i="3"/>
  <c r="AY61" i="2" l="1"/>
  <c r="BA61" i="2" s="1"/>
  <c r="BF61" i="2"/>
  <c r="BG61" i="2" s="1"/>
  <c r="AY62" i="2"/>
  <c r="BA62" i="2" s="1"/>
  <c r="BF62" i="2"/>
  <c r="BG62" i="2" s="1"/>
  <c r="AY78" i="2"/>
  <c r="BA78" i="2" s="1"/>
  <c r="BF78" i="2"/>
  <c r="BG78" i="2" s="1"/>
  <c r="AY59" i="2"/>
  <c r="BA59" i="2" s="1"/>
  <c r="BF59" i="2"/>
  <c r="BG59" i="2" s="1"/>
  <c r="AY63" i="2"/>
  <c r="BA63" i="2" s="1"/>
  <c r="BG63" i="2"/>
  <c r="AY64" i="2"/>
  <c r="BA64" i="2" s="1"/>
  <c r="BF64" i="2"/>
  <c r="BG64" i="2" s="1"/>
  <c r="AY60" i="2"/>
  <c r="BA60" i="2" s="1"/>
  <c r="BF60" i="2"/>
  <c r="BG60" i="2" s="1"/>
  <c r="AY55" i="2"/>
  <c r="BA55" i="2" s="1"/>
  <c r="BF55" i="2"/>
  <c r="BG55" i="2" s="1"/>
  <c r="AY77" i="2"/>
  <c r="BA77" i="2" s="1"/>
  <c r="BF77" i="2"/>
  <c r="BG77" i="2" s="1"/>
  <c r="AY57" i="2"/>
  <c r="BA57" i="2" s="1"/>
  <c r="BF57" i="2"/>
  <c r="BG57" i="2" s="1"/>
  <c r="V210" i="3"/>
  <c r="V223" i="3"/>
  <c r="V226" i="3"/>
  <c r="V229" i="3"/>
  <c r="P212" i="3"/>
  <c r="P218" i="3"/>
  <c r="P219" i="3"/>
  <c r="P220" i="3"/>
  <c r="P221" i="3"/>
  <c r="P224" i="3"/>
  <c r="P227" i="3"/>
  <c r="P230" i="3"/>
  <c r="AT259" i="2" l="1"/>
  <c r="AS259" i="2"/>
  <c r="AT258" i="2"/>
  <c r="AS258" i="2"/>
  <c r="AT257" i="2"/>
  <c r="AS257" i="2"/>
  <c r="AT256" i="2"/>
  <c r="AS256" i="2"/>
  <c r="F259" i="2"/>
  <c r="F258" i="2"/>
  <c r="F257" i="2"/>
  <c r="T259" i="2"/>
  <c r="V259" i="2" s="1"/>
  <c r="T258" i="2"/>
  <c r="V258" i="2" s="1"/>
  <c r="T257" i="2"/>
  <c r="V257" i="2" s="1"/>
  <c r="T256" i="2"/>
  <c r="V256" i="2" s="1"/>
  <c r="F256" i="2"/>
  <c r="AT191" i="2" l="1"/>
  <c r="AT190" i="2"/>
  <c r="AT189" i="2"/>
  <c r="AT188" i="2"/>
  <c r="AT187" i="2"/>
  <c r="AT186" i="2"/>
  <c r="AS191" i="2" l="1"/>
  <c r="AS190" i="2"/>
  <c r="AS189" i="2"/>
  <c r="AS188" i="2"/>
  <c r="AS187" i="2"/>
  <c r="AS186" i="2"/>
  <c r="AT255" i="2" l="1"/>
  <c r="AS255" i="2"/>
  <c r="AT254" i="2"/>
  <c r="AS254" i="2"/>
  <c r="AT253" i="2"/>
  <c r="AS253" i="2"/>
  <c r="AT252" i="2"/>
  <c r="AS252" i="2"/>
  <c r="AT251" i="2"/>
  <c r="AS251" i="2"/>
  <c r="AT250" i="2"/>
  <c r="AS250" i="2"/>
  <c r="AT249" i="2"/>
  <c r="AS249" i="2"/>
  <c r="AT248" i="2"/>
  <c r="AS248" i="2"/>
  <c r="AT247" i="2"/>
  <c r="AS247" i="2"/>
  <c r="AT246" i="2"/>
  <c r="AS246" i="2"/>
  <c r="AT245" i="2"/>
  <c r="AS245" i="2"/>
  <c r="AT244" i="2"/>
  <c r="AS244" i="2"/>
  <c r="AT243" i="2"/>
  <c r="AS243" i="2"/>
  <c r="AT242" i="2"/>
  <c r="AS242" i="2"/>
  <c r="AT241" i="2"/>
  <c r="AS241" i="2"/>
  <c r="AT240" i="2"/>
  <c r="AS240" i="2"/>
  <c r="AT239" i="2"/>
  <c r="AS239" i="2"/>
  <c r="AT238" i="2"/>
  <c r="AS238" i="2"/>
  <c r="AT237" i="2"/>
  <c r="AS237" i="2"/>
  <c r="AT236" i="2"/>
  <c r="AS236" i="2"/>
  <c r="AT235" i="2"/>
  <c r="AS235" i="2"/>
  <c r="AT234" i="2"/>
  <c r="AS234" i="2"/>
  <c r="AT233" i="2"/>
  <c r="AS233" i="2"/>
  <c r="AT232" i="2"/>
  <c r="AS232" i="2"/>
  <c r="AT231" i="2"/>
  <c r="AS231" i="2"/>
  <c r="AS226" i="2"/>
  <c r="AS225" i="2"/>
  <c r="AS224" i="2"/>
  <c r="AS223" i="2"/>
  <c r="AS222" i="2"/>
  <c r="AS221" i="2"/>
  <c r="AS220" i="2"/>
  <c r="AS219" i="2"/>
  <c r="AS218" i="2"/>
  <c r="AT217" i="2"/>
  <c r="AS217" i="2"/>
  <c r="AT216" i="2"/>
  <c r="AS216" i="2"/>
  <c r="AT215" i="2"/>
  <c r="AS215" i="2"/>
  <c r="AT214" i="2"/>
  <c r="AS214" i="2"/>
  <c r="AT213" i="2"/>
  <c r="AS213" i="2"/>
  <c r="AT212" i="2"/>
  <c r="AS212" i="2"/>
  <c r="AT211" i="2"/>
  <c r="AS211" i="2"/>
  <c r="AT210" i="2"/>
  <c r="AS210" i="2"/>
  <c r="AT209" i="2"/>
  <c r="AS209" i="2"/>
  <c r="AT208" i="2"/>
  <c r="AS208" i="2"/>
  <c r="AT207" i="2"/>
  <c r="AS207" i="2"/>
  <c r="AT206" i="2"/>
  <c r="AS206" i="2"/>
  <c r="AT205" i="2"/>
  <c r="AS205" i="2"/>
  <c r="AT204" i="2"/>
  <c r="AS204" i="2"/>
  <c r="AT203" i="2"/>
  <c r="AS203" i="2"/>
  <c r="AT202" i="2"/>
  <c r="AS202" i="2"/>
  <c r="AT201" i="2"/>
  <c r="AS201" i="2"/>
  <c r="AT200" i="2"/>
  <c r="AS200" i="2"/>
  <c r="AT199" i="2"/>
  <c r="AS199" i="2"/>
  <c r="AT198" i="2"/>
  <c r="AS198" i="2"/>
  <c r="AT197" i="2"/>
  <c r="AS197" i="2"/>
  <c r="AT196" i="2"/>
  <c r="AS196" i="2"/>
  <c r="AT195" i="2"/>
  <c r="AS195" i="2"/>
  <c r="AT194" i="2"/>
  <c r="AS194" i="2"/>
  <c r="AT193" i="2"/>
  <c r="AS193" i="2"/>
  <c r="AT192" i="2"/>
  <c r="AS192" i="2"/>
  <c r="AT126" i="2"/>
  <c r="AS126" i="2"/>
  <c r="AT125" i="2"/>
  <c r="AS125" i="2"/>
  <c r="AT124" i="2"/>
  <c r="AS124" i="2"/>
  <c r="AT123" i="2"/>
  <c r="AS123" i="2"/>
  <c r="AT122" i="2"/>
  <c r="AS122" i="2"/>
  <c r="AT121" i="2"/>
  <c r="AS121" i="2"/>
  <c r="AT120" i="2"/>
  <c r="AS120" i="2"/>
  <c r="AT119" i="2"/>
  <c r="AS119" i="2"/>
  <c r="AT118" i="2"/>
  <c r="AS118" i="2"/>
  <c r="AT117" i="2"/>
  <c r="AS117" i="2"/>
  <c r="AT116" i="2"/>
  <c r="AS116" i="2"/>
  <c r="AT115" i="2"/>
  <c r="AS115" i="2"/>
  <c r="AT114" i="2"/>
  <c r="AS114" i="2"/>
  <c r="AT113" i="2"/>
  <c r="AS113" i="2"/>
  <c r="AT112" i="2"/>
  <c r="AS112" i="2"/>
  <c r="AT111" i="2"/>
  <c r="AS111" i="2"/>
  <c r="AT110" i="2"/>
  <c r="AS110" i="2"/>
  <c r="AT109" i="2"/>
  <c r="AS109" i="2"/>
  <c r="AT108" i="2"/>
  <c r="AS108" i="2"/>
  <c r="AT107" i="2"/>
  <c r="AS107" i="2"/>
  <c r="AT106" i="2"/>
  <c r="AS106" i="2"/>
  <c r="AT105" i="2"/>
  <c r="AS105" i="2"/>
  <c r="AT104" i="2"/>
  <c r="AS104" i="2"/>
  <c r="AT103" i="2"/>
  <c r="AS103" i="2"/>
  <c r="AT102" i="2"/>
  <c r="AS102" i="2"/>
  <c r="AT101" i="2"/>
  <c r="AS101" i="2"/>
  <c r="AT100" i="2"/>
  <c r="AS100" i="2"/>
  <c r="AT99" i="2"/>
  <c r="AS99" i="2"/>
  <c r="AT98" i="2"/>
  <c r="AS98" i="2"/>
  <c r="AT97" i="2"/>
  <c r="AS97" i="2"/>
  <c r="AT96" i="2"/>
  <c r="AS96" i="2"/>
  <c r="AT95" i="2"/>
  <c r="AS95" i="2"/>
  <c r="AT94" i="2"/>
  <c r="AS94" i="2"/>
  <c r="AT93" i="2"/>
  <c r="AS93" i="2"/>
  <c r="AT92" i="2"/>
  <c r="AS92" i="2"/>
  <c r="AT91" i="2"/>
  <c r="AS91" i="2"/>
  <c r="AT90" i="2"/>
  <c r="AS90" i="2"/>
  <c r="AT89" i="2"/>
  <c r="AS89" i="2"/>
  <c r="AT88" i="2"/>
  <c r="AS88" i="2"/>
  <c r="AT87" i="2"/>
  <c r="AS87" i="2"/>
  <c r="AT86" i="2"/>
  <c r="AS86" i="2"/>
  <c r="AT85" i="2"/>
  <c r="AS85" i="2"/>
  <c r="AT84" i="2"/>
  <c r="AS84" i="2"/>
  <c r="AT83" i="2"/>
  <c r="AS83" i="2"/>
  <c r="AT82" i="2"/>
  <c r="AS82" i="2"/>
  <c r="AT81" i="2"/>
  <c r="AS81" i="2"/>
  <c r="AT80" i="2"/>
  <c r="AS80" i="2"/>
  <c r="AT79" i="2"/>
  <c r="AS79" i="2"/>
  <c r="AT78" i="2"/>
  <c r="AS78" i="2"/>
  <c r="AT77" i="2"/>
  <c r="AS77" i="2"/>
  <c r="AT76" i="2"/>
  <c r="AS76" i="2"/>
  <c r="AT75" i="2"/>
  <c r="AS75" i="2"/>
  <c r="AT74" i="2"/>
  <c r="AS74" i="2"/>
  <c r="AT73" i="2"/>
  <c r="AS73" i="2"/>
  <c r="AT72" i="2"/>
  <c r="AS72" i="2"/>
  <c r="AT71" i="2"/>
  <c r="AS71" i="2"/>
  <c r="AT70" i="2"/>
  <c r="AS70" i="2"/>
  <c r="AT69" i="2"/>
  <c r="AS69" i="2"/>
  <c r="AT68" i="2"/>
  <c r="AS68" i="2"/>
  <c r="AT67" i="2"/>
  <c r="AS67" i="2"/>
  <c r="AT66" i="2"/>
  <c r="AS66" i="2"/>
  <c r="AT65" i="2"/>
  <c r="AS65" i="2"/>
  <c r="AT64" i="2"/>
  <c r="AS64" i="2"/>
  <c r="AT63" i="2"/>
  <c r="AS63" i="2"/>
  <c r="AT62" i="2"/>
  <c r="AS62" i="2"/>
  <c r="AT61" i="2"/>
  <c r="AS61" i="2"/>
  <c r="AT60" i="2"/>
  <c r="AS60" i="2"/>
  <c r="AT59" i="2"/>
  <c r="AS59" i="2"/>
  <c r="AT58" i="2"/>
  <c r="AS58" i="2"/>
  <c r="AT57" i="2"/>
  <c r="AS57" i="2"/>
  <c r="AT56" i="2"/>
  <c r="AS56" i="2"/>
  <c r="AT55" i="2"/>
  <c r="AS55" i="2"/>
  <c r="AT54" i="2"/>
  <c r="AS54" i="2"/>
  <c r="AT53" i="2"/>
  <c r="AS53" i="2"/>
  <c r="AT52" i="2"/>
  <c r="AS52" i="2"/>
  <c r="AT51" i="2"/>
  <c r="AS51" i="2"/>
  <c r="AT50" i="2"/>
  <c r="AS50" i="2"/>
  <c r="AT49" i="2"/>
  <c r="AS49" i="2"/>
  <c r="AT48" i="2"/>
  <c r="AS48" i="2"/>
  <c r="AT47" i="2"/>
  <c r="AS47" i="2"/>
  <c r="AT46" i="2"/>
  <c r="AS46" i="2"/>
  <c r="AT45" i="2"/>
  <c r="AS45" i="2"/>
  <c r="AT44" i="2"/>
  <c r="AS44" i="2"/>
  <c r="AT43" i="2"/>
  <c r="AS43" i="2"/>
  <c r="AT42" i="2"/>
  <c r="AS42" i="2"/>
  <c r="AT41" i="2"/>
  <c r="AS41" i="2"/>
  <c r="AT40" i="2"/>
  <c r="AS40" i="2"/>
  <c r="AT39" i="2"/>
  <c r="AS39" i="2"/>
  <c r="AT38" i="2"/>
  <c r="AS38" i="2"/>
  <c r="AT37" i="2"/>
  <c r="AS37" i="2"/>
  <c r="AT36" i="2"/>
  <c r="AS36" i="2"/>
  <c r="AT35" i="2"/>
  <c r="AS35" i="2"/>
  <c r="AT34" i="2"/>
  <c r="AS34" i="2"/>
  <c r="AT33" i="2"/>
  <c r="AS33" i="2"/>
  <c r="AT32" i="2"/>
  <c r="AS32" i="2"/>
  <c r="AT31" i="2"/>
  <c r="AS31" i="2"/>
  <c r="AT30" i="2"/>
  <c r="AS30" i="2"/>
  <c r="AT29" i="2"/>
  <c r="AS29" i="2"/>
  <c r="AT28" i="2"/>
  <c r="AS28" i="2"/>
  <c r="AT27" i="2"/>
  <c r="AS27" i="2"/>
  <c r="AT26" i="2"/>
  <c r="AS26" i="2"/>
  <c r="AT25" i="2"/>
  <c r="AS25" i="2"/>
  <c r="AT24" i="2"/>
  <c r="AS24" i="2"/>
  <c r="AT23" i="2"/>
  <c r="AS23" i="2"/>
  <c r="AT22" i="2"/>
  <c r="AS22" i="2"/>
  <c r="AT21" i="2"/>
  <c r="AS21" i="2"/>
  <c r="AT20" i="2"/>
  <c r="AS20" i="2"/>
  <c r="AT19" i="2"/>
  <c r="AS19" i="2"/>
  <c r="AT18" i="2"/>
  <c r="AS18" i="2"/>
  <c r="AT17" i="2"/>
  <c r="AS17" i="2"/>
  <c r="AT16" i="2"/>
  <c r="AS16" i="2"/>
  <c r="AT15" i="2"/>
  <c r="AS15" i="2"/>
  <c r="AT14" i="2"/>
  <c r="AS14" i="2"/>
  <c r="AT13" i="2"/>
  <c r="AS13" i="2"/>
  <c r="AT12" i="2"/>
  <c r="AS12" i="2"/>
  <c r="AT11" i="2"/>
  <c r="AS11" i="2"/>
  <c r="AT10" i="2"/>
  <c r="AS10" i="2"/>
  <c r="AT9" i="2"/>
  <c r="AS9" i="2"/>
  <c r="AT8" i="2"/>
  <c r="AS8" i="2"/>
  <c r="AT7" i="2"/>
  <c r="AS7" i="2"/>
  <c r="AT6" i="2"/>
  <c r="AS6" i="2"/>
  <c r="AT5" i="2"/>
  <c r="AS5" i="2"/>
  <c r="AT4" i="2"/>
  <c r="AS4" i="2"/>
  <c r="AT3" i="2"/>
  <c r="AS3" i="2"/>
  <c r="AT2" i="2"/>
  <c r="AS2" i="2"/>
  <c r="Y6" i="2" l="1"/>
  <c r="AO59" i="2" l="1"/>
  <c r="AO60" i="2"/>
  <c r="AO61" i="2"/>
  <c r="AO62" i="2"/>
  <c r="AO63" i="2"/>
  <c r="AO64" i="2"/>
  <c r="AO69" i="2"/>
  <c r="AO70" i="2"/>
  <c r="AO71" i="2"/>
  <c r="AO72" i="2"/>
  <c r="AO73" i="2"/>
  <c r="AO74" i="2"/>
  <c r="AO75" i="2"/>
  <c r="AO76" i="2"/>
  <c r="AO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K41" i="2" s="1"/>
  <c r="AO42" i="2"/>
  <c r="AK42" i="2" s="1"/>
  <c r="AO43" i="2"/>
  <c r="AK43" i="2" s="1"/>
  <c r="AO44" i="2"/>
  <c r="AK44" i="2" s="1"/>
  <c r="AO45" i="2"/>
  <c r="AK45" i="2" s="1"/>
  <c r="AO46" i="2"/>
  <c r="AK46" i="2" s="1"/>
  <c r="AO47" i="2"/>
  <c r="AK47" i="2" s="1"/>
  <c r="AO48" i="2"/>
  <c r="AK48" i="2" s="1"/>
  <c r="F127" i="2"/>
  <c r="P127" i="2"/>
  <c r="V127" i="2"/>
  <c r="F128" i="2"/>
  <c r="P128" i="2"/>
  <c r="V128" i="2"/>
  <c r="F129" i="2"/>
  <c r="P129" i="2"/>
  <c r="V129" i="2"/>
  <c r="F130" i="2"/>
  <c r="Y233" i="2" l="1"/>
  <c r="Y232" i="2"/>
  <c r="Y231" i="2"/>
  <c r="Y226" i="2"/>
  <c r="Y225" i="2"/>
  <c r="AO225" i="2" s="1"/>
  <c r="Y224" i="2"/>
  <c r="AO224" i="2" s="1"/>
  <c r="Y223" i="2"/>
  <c r="AO223" i="2" s="1"/>
  <c r="Y222" i="2"/>
  <c r="AO222" i="2" s="1"/>
  <c r="Y221" i="2"/>
  <c r="Y220" i="2"/>
  <c r="AO220" i="2" s="1"/>
  <c r="Y219" i="2"/>
  <c r="Y218" i="2"/>
  <c r="AO218" i="2" s="1"/>
  <c r="Y78" i="2"/>
  <c r="AO78" i="2" s="1"/>
  <c r="Y77" i="2"/>
  <c r="AO77" i="2" s="1"/>
  <c r="Y68" i="2"/>
  <c r="Y67" i="2"/>
  <c r="Y66" i="2"/>
  <c r="Y65" i="2"/>
  <c r="Y58" i="2"/>
  <c r="AO58" i="2" s="1"/>
  <c r="Y57" i="2"/>
  <c r="AO57" i="2" s="1"/>
  <c r="Y56" i="2"/>
  <c r="AO56" i="2" s="1"/>
  <c r="Y55" i="2"/>
  <c r="AO55" i="2" s="1"/>
  <c r="Y16" i="2"/>
  <c r="AO16" i="2" s="1"/>
  <c r="Y15" i="2"/>
  <c r="AO15" i="2" s="1"/>
  <c r="Y14" i="2"/>
  <c r="AO14" i="2" s="1"/>
  <c r="Y13" i="2"/>
  <c r="AO13" i="2" s="1"/>
  <c r="Y12" i="2"/>
  <c r="AO12" i="2" s="1"/>
  <c r="Y11" i="2"/>
  <c r="AO11" i="2" s="1"/>
  <c r="Y10" i="2"/>
  <c r="AO10" i="2" s="1"/>
  <c r="Y9" i="2"/>
  <c r="AO9" i="2" s="1"/>
  <c r="Y8" i="2"/>
  <c r="AO8" i="2" s="1"/>
  <c r="Y7" i="2"/>
  <c r="AO7" i="2" s="1"/>
  <c r="Y5" i="2"/>
  <c r="AO5" i="2" s="1"/>
  <c r="Y4" i="2"/>
  <c r="AO4" i="2" s="1"/>
  <c r="Y3" i="2"/>
  <c r="AO3" i="2" s="1"/>
  <c r="Y2" i="2"/>
  <c r="AO2" i="2" s="1"/>
  <c r="T255" i="2"/>
  <c r="P255" i="2" s="1"/>
  <c r="F255" i="2"/>
  <c r="T254" i="2"/>
  <c r="V254" i="2" s="1"/>
  <c r="F254" i="2"/>
  <c r="T253" i="2"/>
  <c r="P253" i="2" s="1"/>
  <c r="F253" i="2"/>
  <c r="T252" i="2"/>
  <c r="V252" i="2" s="1"/>
  <c r="F252" i="2"/>
  <c r="T251" i="2"/>
  <c r="P251" i="2" s="1"/>
  <c r="F251" i="2"/>
  <c r="T250" i="2"/>
  <c r="V250" i="2" s="1"/>
  <c r="F250" i="2"/>
  <c r="T249" i="2"/>
  <c r="P249" i="2" s="1"/>
  <c r="F249" i="2"/>
  <c r="T248" i="2"/>
  <c r="V248" i="2" s="1"/>
  <c r="F248" i="2"/>
  <c r="T247" i="2"/>
  <c r="P247" i="2" s="1"/>
  <c r="F247" i="2"/>
  <c r="T246" i="2"/>
  <c r="V246" i="2" s="1"/>
  <c r="F246" i="2"/>
  <c r="AO245" i="2"/>
  <c r="AG245" i="2"/>
  <c r="T245" i="2"/>
  <c r="V245" i="2" s="1"/>
  <c r="F245" i="2"/>
  <c r="AO244" i="2"/>
  <c r="AG244" i="2"/>
  <c r="T244" i="2"/>
  <c r="P244" i="2" s="1"/>
  <c r="F244" i="2"/>
  <c r="AO243" i="2"/>
  <c r="AG243" i="2"/>
  <c r="T243" i="2"/>
  <c r="P243" i="2" s="1"/>
  <c r="F243" i="2"/>
  <c r="AO242" i="2"/>
  <c r="AG242" i="2"/>
  <c r="V242" i="2"/>
  <c r="P242" i="2"/>
  <c r="F242" i="2"/>
  <c r="AO241" i="2"/>
  <c r="AG241" i="2"/>
  <c r="V241" i="2"/>
  <c r="P241" i="2"/>
  <c r="F241" i="2"/>
  <c r="AO240" i="2"/>
  <c r="AG240" i="2"/>
  <c r="V240" i="2"/>
  <c r="P240" i="2"/>
  <c r="F240" i="2"/>
  <c r="AO239" i="2"/>
  <c r="T239" i="2"/>
  <c r="V239" i="2" s="1"/>
  <c r="F239" i="2"/>
  <c r="AO238" i="2"/>
  <c r="T238" i="2"/>
  <c r="P238" i="2" s="1"/>
  <c r="F238" i="2"/>
  <c r="AO237" i="2"/>
  <c r="T237" i="2"/>
  <c r="V237" i="2" s="1"/>
  <c r="F237" i="2"/>
  <c r="AO236" i="2"/>
  <c r="T236" i="2"/>
  <c r="V236" i="2" s="1"/>
  <c r="F236" i="2"/>
  <c r="AO235" i="2"/>
  <c r="T235" i="2"/>
  <c r="P235" i="2" s="1"/>
  <c r="F235" i="2"/>
  <c r="AO234" i="2"/>
  <c r="T234" i="2"/>
  <c r="V234" i="2" s="1"/>
  <c r="F234" i="2"/>
  <c r="AO233" i="2"/>
  <c r="T233" i="2"/>
  <c r="P233" i="2" s="1"/>
  <c r="F233" i="2"/>
  <c r="AO232" i="2"/>
  <c r="T232" i="2"/>
  <c r="P232" i="2" s="1"/>
  <c r="F232" i="2"/>
  <c r="AO231" i="2"/>
  <c r="T231" i="2"/>
  <c r="P231" i="2" s="1"/>
  <c r="F231" i="2"/>
  <c r="AO230" i="2"/>
  <c r="T230" i="2"/>
  <c r="V230" i="2" s="1"/>
  <c r="P230" i="2"/>
  <c r="F230" i="2"/>
  <c r="AO229" i="2"/>
  <c r="T229" i="2"/>
  <c r="V229" i="2" s="1"/>
  <c r="P229" i="2"/>
  <c r="F229" i="2"/>
  <c r="AO228" i="2"/>
  <c r="T228" i="2"/>
  <c r="V228" i="2" s="1"/>
  <c r="P228" i="2"/>
  <c r="F228" i="2"/>
  <c r="AO227" i="2"/>
  <c r="T227" i="2"/>
  <c r="V227" i="2" s="1"/>
  <c r="P227" i="2"/>
  <c r="F227" i="2"/>
  <c r="AO226" i="2"/>
  <c r="T226" i="2"/>
  <c r="P226" i="2"/>
  <c r="F226" i="2"/>
  <c r="T225" i="2"/>
  <c r="P225" i="2"/>
  <c r="F225" i="2"/>
  <c r="T224" i="2"/>
  <c r="P224" i="2"/>
  <c r="F224" i="2"/>
  <c r="T223" i="2"/>
  <c r="P223" i="2"/>
  <c r="F223" i="2"/>
  <c r="T222" i="2"/>
  <c r="P222" i="2"/>
  <c r="F222" i="2"/>
  <c r="AO221" i="2"/>
  <c r="T221" i="2"/>
  <c r="P221" i="2"/>
  <c r="F221" i="2"/>
  <c r="T220" i="2"/>
  <c r="P220" i="2"/>
  <c r="F220" i="2"/>
  <c r="AO219" i="2"/>
  <c r="T219" i="2"/>
  <c r="P219" i="2"/>
  <c r="F219" i="2"/>
  <c r="T218" i="2"/>
  <c r="P218" i="2"/>
  <c r="F218" i="2"/>
  <c r="AO217" i="2"/>
  <c r="T217" i="2"/>
  <c r="P217" i="2" s="1"/>
  <c r="F217" i="2"/>
  <c r="AO216" i="2"/>
  <c r="T216" i="2"/>
  <c r="P216" i="2" s="1"/>
  <c r="F216" i="2"/>
  <c r="AO215" i="2"/>
  <c r="T215" i="2"/>
  <c r="P215" i="2"/>
  <c r="F215" i="2"/>
  <c r="AO214" i="2"/>
  <c r="T214" i="2"/>
  <c r="P214" i="2" s="1"/>
  <c r="F214" i="2"/>
  <c r="AO213" i="2"/>
  <c r="T213" i="2"/>
  <c r="P213" i="2"/>
  <c r="F213" i="2"/>
  <c r="AO212" i="2"/>
  <c r="T212" i="2"/>
  <c r="P212" i="2"/>
  <c r="F212" i="2"/>
  <c r="AO211" i="2"/>
  <c r="T211" i="2"/>
  <c r="P211" i="2"/>
  <c r="F211" i="2"/>
  <c r="AO210" i="2"/>
  <c r="T210" i="2"/>
  <c r="P210" i="2"/>
  <c r="F210" i="2"/>
  <c r="AO209" i="2"/>
  <c r="AG209" i="2"/>
  <c r="T209" i="2"/>
  <c r="P209" i="2" s="1"/>
  <c r="F209" i="2"/>
  <c r="AO208" i="2"/>
  <c r="AG208" i="2"/>
  <c r="T208" i="2"/>
  <c r="P208" i="2" s="1"/>
  <c r="F208" i="2"/>
  <c r="AO207" i="2"/>
  <c r="AG207" i="2"/>
  <c r="T207" i="2"/>
  <c r="P207" i="2"/>
  <c r="F207" i="2"/>
  <c r="AO206" i="2"/>
  <c r="AG206" i="2"/>
  <c r="T206" i="2"/>
  <c r="P206" i="2" s="1"/>
  <c r="F206" i="2"/>
  <c r="AO205" i="2"/>
  <c r="AG205" i="2"/>
  <c r="T205" i="2"/>
  <c r="P205" i="2" s="1"/>
  <c r="F205" i="2"/>
  <c r="AO204" i="2"/>
  <c r="AG204" i="2"/>
  <c r="T204" i="2"/>
  <c r="P204" i="2"/>
  <c r="F204" i="2"/>
  <c r="AO203" i="2"/>
  <c r="AG203" i="2"/>
  <c r="T203" i="2"/>
  <c r="P203" i="2" s="1"/>
  <c r="F203" i="2"/>
  <c r="AO202" i="2"/>
  <c r="T202" i="2"/>
  <c r="P202" i="2" s="1"/>
  <c r="F202" i="2"/>
  <c r="AO201" i="2"/>
  <c r="T201" i="2"/>
  <c r="P201" i="2" s="1"/>
  <c r="F201" i="2"/>
  <c r="AO200" i="2"/>
  <c r="T200" i="2"/>
  <c r="P200" i="2" s="1"/>
  <c r="F200" i="2"/>
  <c r="AO199" i="2"/>
  <c r="T199" i="2"/>
  <c r="P199" i="2" s="1"/>
  <c r="F199" i="2"/>
  <c r="AO198" i="2"/>
  <c r="T198" i="2"/>
  <c r="P198" i="2"/>
  <c r="F198" i="2"/>
  <c r="AO197" i="2"/>
  <c r="T197" i="2"/>
  <c r="P197" i="2"/>
  <c r="F197" i="2"/>
  <c r="AO196" i="2"/>
  <c r="T196" i="2"/>
  <c r="P196" i="2"/>
  <c r="F196" i="2"/>
  <c r="AO195" i="2"/>
  <c r="T195" i="2"/>
  <c r="P195" i="2"/>
  <c r="F195" i="2"/>
  <c r="AO194" i="2"/>
  <c r="T194" i="2"/>
  <c r="P194" i="2" s="1"/>
  <c r="F194" i="2"/>
  <c r="AO193" i="2"/>
  <c r="T193" i="2"/>
  <c r="P193" i="2" s="1"/>
  <c r="F193" i="2"/>
  <c r="AO192" i="2"/>
  <c r="T192" i="2"/>
  <c r="P192" i="2" s="1"/>
  <c r="F192" i="2"/>
  <c r="T191" i="2"/>
  <c r="P191" i="2" s="1"/>
  <c r="F191" i="2"/>
  <c r="T190" i="2"/>
  <c r="P190" i="2" s="1"/>
  <c r="F190" i="2"/>
  <c r="T189" i="2"/>
  <c r="P189" i="2"/>
  <c r="F189" i="2"/>
  <c r="T188" i="2"/>
  <c r="P188" i="2" s="1"/>
  <c r="F188" i="2"/>
  <c r="T187" i="2"/>
  <c r="P187" i="2" s="1"/>
  <c r="F187" i="2"/>
  <c r="T186" i="2"/>
  <c r="P186" i="2"/>
  <c r="F186" i="2"/>
  <c r="AO185" i="2"/>
  <c r="T185" i="2"/>
  <c r="P185" i="2" s="1"/>
  <c r="F185" i="2"/>
  <c r="AO184" i="2"/>
  <c r="T184" i="2"/>
  <c r="P184" i="2" s="1"/>
  <c r="F184" i="2"/>
  <c r="AO183" i="2"/>
  <c r="T183" i="2"/>
  <c r="P183" i="2" s="1"/>
  <c r="F183" i="2"/>
  <c r="AO182" i="2"/>
  <c r="T182" i="2"/>
  <c r="P182" i="2"/>
  <c r="F182" i="2"/>
  <c r="AO181" i="2"/>
  <c r="T181" i="2"/>
  <c r="P181" i="2" s="1"/>
  <c r="F181" i="2"/>
  <c r="AO180" i="2"/>
  <c r="T180" i="2"/>
  <c r="P180" i="2" s="1"/>
  <c r="F180" i="2"/>
  <c r="AO179" i="2"/>
  <c r="T179" i="2"/>
  <c r="P179" i="2" s="1"/>
  <c r="F179" i="2"/>
  <c r="AO178" i="2"/>
  <c r="T178" i="2"/>
  <c r="P178" i="2" s="1"/>
  <c r="F178" i="2"/>
  <c r="AO177" i="2"/>
  <c r="T177" i="2"/>
  <c r="P177" i="2"/>
  <c r="F177" i="2"/>
  <c r="AO176" i="2"/>
  <c r="T176" i="2"/>
  <c r="P176" i="2" s="1"/>
  <c r="F176" i="2"/>
  <c r="AO175" i="2"/>
  <c r="T175" i="2"/>
  <c r="P175" i="2" s="1"/>
  <c r="F175" i="2"/>
  <c r="AO174" i="2"/>
  <c r="T174" i="2"/>
  <c r="P174" i="2" s="1"/>
  <c r="F174" i="2"/>
  <c r="AO173" i="2"/>
  <c r="T173" i="2"/>
  <c r="P173" i="2" s="1"/>
  <c r="F173" i="2"/>
  <c r="AO172" i="2"/>
  <c r="T172" i="2"/>
  <c r="P172" i="2"/>
  <c r="F172" i="2"/>
  <c r="AO171" i="2"/>
  <c r="T171" i="2"/>
  <c r="P171" i="2" s="1"/>
  <c r="F171" i="2"/>
  <c r="AO170" i="2"/>
  <c r="T170" i="2"/>
  <c r="P170" i="2" s="1"/>
  <c r="F170" i="2"/>
  <c r="AO169" i="2"/>
  <c r="T169" i="2"/>
  <c r="P169" i="2" s="1"/>
  <c r="F169" i="2"/>
  <c r="AO168" i="2"/>
  <c r="T168" i="2"/>
  <c r="P168" i="2" s="1"/>
  <c r="F168" i="2"/>
  <c r="AO167" i="2"/>
  <c r="T167" i="2"/>
  <c r="P167" i="2"/>
  <c r="F167" i="2"/>
  <c r="AO166" i="2"/>
  <c r="T166" i="2"/>
  <c r="P166" i="2" s="1"/>
  <c r="F166" i="2"/>
  <c r="AO165" i="2"/>
  <c r="T165" i="2"/>
  <c r="P165" i="2" s="1"/>
  <c r="F165" i="2"/>
  <c r="AO164" i="2"/>
  <c r="T164" i="2"/>
  <c r="P164" i="2" s="1"/>
  <c r="F164" i="2"/>
  <c r="AO163" i="2"/>
  <c r="T163" i="2"/>
  <c r="P163" i="2" s="1"/>
  <c r="F163" i="2"/>
  <c r="AO162" i="2"/>
  <c r="T162" i="2"/>
  <c r="P162" i="2"/>
  <c r="F162" i="2"/>
  <c r="AO161" i="2"/>
  <c r="T161" i="2"/>
  <c r="P161" i="2" s="1"/>
  <c r="F161" i="2"/>
  <c r="AO160" i="2"/>
  <c r="AK160" i="2"/>
  <c r="AG160" i="2" s="1"/>
  <c r="T160" i="2"/>
  <c r="P160" i="2" s="1"/>
  <c r="F160" i="2"/>
  <c r="AO159" i="2"/>
  <c r="AK159" i="2"/>
  <c r="AG159" i="2" s="1"/>
  <c r="T159" i="2"/>
  <c r="P159" i="2" s="1"/>
  <c r="F159" i="2"/>
  <c r="AO158" i="2"/>
  <c r="AK158" i="2"/>
  <c r="AG158" i="2" s="1"/>
  <c r="T158" i="2"/>
  <c r="P158" i="2" s="1"/>
  <c r="F158" i="2"/>
  <c r="AO157" i="2"/>
  <c r="AK157" i="2"/>
  <c r="AG157" i="2" s="1"/>
  <c r="T157" i="2"/>
  <c r="P157" i="2"/>
  <c r="F157" i="2"/>
  <c r="AO156" i="2"/>
  <c r="AK156" i="2"/>
  <c r="AG156" i="2" s="1"/>
  <c r="T156" i="2"/>
  <c r="P156" i="2" s="1"/>
  <c r="F156" i="2"/>
  <c r="AO126" i="2"/>
  <c r="V126" i="2"/>
  <c r="P126" i="2"/>
  <c r="F126" i="2"/>
  <c r="AO125" i="2"/>
  <c r="V125" i="2"/>
  <c r="P125" i="2"/>
  <c r="F125" i="2"/>
  <c r="AO124" i="2"/>
  <c r="V124" i="2"/>
  <c r="P124" i="2"/>
  <c r="F124" i="2"/>
  <c r="AO123" i="2"/>
  <c r="V123" i="2"/>
  <c r="P123" i="2"/>
  <c r="F123" i="2"/>
  <c r="AO122" i="2"/>
  <c r="V122" i="2"/>
  <c r="P122" i="2"/>
  <c r="F122" i="2"/>
  <c r="AO121" i="2"/>
  <c r="V121" i="2"/>
  <c r="P121" i="2"/>
  <c r="F121" i="2"/>
  <c r="AO120" i="2"/>
  <c r="V120" i="2"/>
  <c r="P120" i="2"/>
  <c r="F120" i="2"/>
  <c r="AO119" i="2"/>
  <c r="V119" i="2"/>
  <c r="P119" i="2"/>
  <c r="F119" i="2"/>
  <c r="AO118" i="2"/>
  <c r="V118" i="2"/>
  <c r="P118" i="2"/>
  <c r="F118" i="2"/>
  <c r="AO117" i="2"/>
  <c r="V117" i="2"/>
  <c r="P117" i="2"/>
  <c r="F117" i="2"/>
  <c r="AO116" i="2"/>
  <c r="V116" i="2"/>
  <c r="P116" i="2"/>
  <c r="F116" i="2"/>
  <c r="AO115" i="2"/>
  <c r="V115" i="2"/>
  <c r="P115" i="2"/>
  <c r="F115" i="2"/>
  <c r="AO114" i="2"/>
  <c r="V114" i="2"/>
  <c r="P114" i="2"/>
  <c r="F114" i="2"/>
  <c r="AO113" i="2"/>
  <c r="V113" i="2"/>
  <c r="P113" i="2"/>
  <c r="F113" i="2"/>
  <c r="AO112" i="2"/>
  <c r="V112" i="2"/>
  <c r="P112" i="2"/>
  <c r="F112" i="2"/>
  <c r="AO111" i="2"/>
  <c r="V111" i="2"/>
  <c r="P111" i="2"/>
  <c r="F111" i="2"/>
  <c r="AO110" i="2"/>
  <c r="AG110" i="2" s="1"/>
  <c r="P110" i="2"/>
  <c r="F110" i="2"/>
  <c r="AO109" i="2"/>
  <c r="AG109" i="2" s="1"/>
  <c r="P109" i="2"/>
  <c r="F109" i="2"/>
  <c r="AO108" i="2"/>
  <c r="AG108" i="2" s="1"/>
  <c r="P108" i="2"/>
  <c r="F108" i="2"/>
  <c r="AO107" i="2"/>
  <c r="AG107" i="2" s="1"/>
  <c r="P107" i="2"/>
  <c r="F107" i="2"/>
  <c r="V106" i="2"/>
  <c r="F106" i="2"/>
  <c r="V105" i="2"/>
  <c r="F105" i="2"/>
  <c r="V104" i="2"/>
  <c r="F104" i="2"/>
  <c r="V103" i="2"/>
  <c r="F103" i="2"/>
  <c r="V102" i="2"/>
  <c r="F102" i="2"/>
  <c r="V101" i="2"/>
  <c r="F101" i="2"/>
  <c r="V100" i="2"/>
  <c r="F100" i="2"/>
  <c r="V99" i="2"/>
  <c r="F99" i="2"/>
  <c r="V98" i="2"/>
  <c r="F98" i="2"/>
  <c r="V97" i="2"/>
  <c r="F97" i="2"/>
  <c r="V96" i="2"/>
  <c r="F96" i="2"/>
  <c r="V95" i="2"/>
  <c r="F95" i="2"/>
  <c r="V94" i="2"/>
  <c r="F94" i="2"/>
  <c r="V93" i="2"/>
  <c r="F93" i="2"/>
  <c r="V92" i="2"/>
  <c r="F92" i="2"/>
  <c r="V91" i="2"/>
  <c r="F91" i="2"/>
  <c r="V90" i="2"/>
  <c r="F90" i="2"/>
  <c r="V89" i="2"/>
  <c r="F89" i="2"/>
  <c r="V88" i="2"/>
  <c r="F88" i="2"/>
  <c r="V87" i="2"/>
  <c r="F87" i="2"/>
  <c r="V86" i="2"/>
  <c r="F86" i="2"/>
  <c r="V85" i="2"/>
  <c r="F85" i="2"/>
  <c r="V84" i="2"/>
  <c r="F84" i="2"/>
  <c r="V83" i="2"/>
  <c r="F83" i="2"/>
  <c r="V82" i="2"/>
  <c r="F82" i="2"/>
  <c r="V81" i="2"/>
  <c r="F81" i="2"/>
  <c r="V80" i="2"/>
  <c r="F80" i="2"/>
  <c r="V79" i="2"/>
  <c r="F79" i="2"/>
  <c r="V78" i="2"/>
  <c r="P78" i="2"/>
  <c r="F78" i="2"/>
  <c r="V77" i="2"/>
  <c r="P77" i="2"/>
  <c r="F77" i="2"/>
  <c r="V76" i="2"/>
  <c r="P76" i="2"/>
  <c r="F76" i="2"/>
  <c r="P75" i="2"/>
  <c r="F75" i="2"/>
  <c r="V74" i="2"/>
  <c r="P74" i="2"/>
  <c r="F74" i="2"/>
  <c r="P73" i="2"/>
  <c r="F73" i="2"/>
  <c r="V72" i="2"/>
  <c r="P72" i="2"/>
  <c r="F72" i="2"/>
  <c r="P71" i="2"/>
  <c r="F71" i="2"/>
  <c r="V70" i="2"/>
  <c r="P70" i="2"/>
  <c r="F70" i="2"/>
  <c r="P69" i="2"/>
  <c r="F69" i="2"/>
  <c r="V68" i="2"/>
  <c r="P68" i="2"/>
  <c r="F68" i="2"/>
  <c r="V67" i="2"/>
  <c r="P67" i="2"/>
  <c r="F67" i="2"/>
  <c r="V66" i="2"/>
  <c r="P66" i="2"/>
  <c r="F66" i="2"/>
  <c r="V65" i="2"/>
  <c r="P65" i="2"/>
  <c r="F65" i="2"/>
  <c r="V64" i="2"/>
  <c r="P64" i="2"/>
  <c r="F64" i="2"/>
  <c r="V63" i="2"/>
  <c r="P63" i="2"/>
  <c r="F63" i="2"/>
  <c r="V62" i="2"/>
  <c r="P62" i="2"/>
  <c r="F62" i="2"/>
  <c r="V61" i="2"/>
  <c r="P61" i="2"/>
  <c r="F61" i="2"/>
  <c r="V60" i="2"/>
  <c r="P60" i="2"/>
  <c r="F60" i="2"/>
  <c r="V59" i="2"/>
  <c r="P59" i="2"/>
  <c r="F59" i="2"/>
  <c r="V58" i="2"/>
  <c r="P58" i="2"/>
  <c r="F58" i="2"/>
  <c r="V57" i="2"/>
  <c r="P57" i="2"/>
  <c r="F57" i="2"/>
  <c r="V56" i="2"/>
  <c r="P56" i="2"/>
  <c r="F56" i="2"/>
  <c r="V55" i="2"/>
  <c r="P55" i="2"/>
  <c r="F55" i="2"/>
  <c r="V54" i="2"/>
  <c r="P54" i="2"/>
  <c r="F54" i="2"/>
  <c r="V53" i="2"/>
  <c r="P53" i="2"/>
  <c r="F53" i="2"/>
  <c r="V52" i="2"/>
  <c r="P52" i="2"/>
  <c r="F52" i="2"/>
  <c r="V51" i="2"/>
  <c r="P51" i="2"/>
  <c r="F51" i="2"/>
  <c r="V50" i="2"/>
  <c r="P50" i="2"/>
  <c r="F50" i="2"/>
  <c r="V49" i="2"/>
  <c r="P49" i="2"/>
  <c r="F49" i="2"/>
  <c r="V48" i="2"/>
  <c r="P48" i="2"/>
  <c r="F48" i="2"/>
  <c r="V47" i="2"/>
  <c r="P47" i="2"/>
  <c r="F47" i="2"/>
  <c r="V46" i="2"/>
  <c r="P46" i="2"/>
  <c r="F46" i="2"/>
  <c r="V45" i="2"/>
  <c r="P45" i="2"/>
  <c r="F45" i="2"/>
  <c r="V44" i="2"/>
  <c r="P44" i="2"/>
  <c r="F44" i="2"/>
  <c r="V43" i="2"/>
  <c r="P43" i="2"/>
  <c r="F43" i="2"/>
  <c r="V42" i="2"/>
  <c r="P42" i="2"/>
  <c r="F42" i="2"/>
  <c r="V41" i="2"/>
  <c r="P41" i="2"/>
  <c r="F41" i="2"/>
  <c r="V40" i="2"/>
  <c r="P40" i="2"/>
  <c r="F40" i="2"/>
  <c r="V39" i="2"/>
  <c r="P39" i="2"/>
  <c r="F39" i="2"/>
  <c r="V38" i="2"/>
  <c r="P38" i="2"/>
  <c r="F38" i="2"/>
  <c r="V37" i="2"/>
  <c r="P37" i="2"/>
  <c r="F37" i="2"/>
  <c r="V36" i="2"/>
  <c r="P36" i="2"/>
  <c r="F36" i="2"/>
  <c r="V35" i="2"/>
  <c r="P35" i="2"/>
  <c r="F35" i="2"/>
  <c r="V34" i="2"/>
  <c r="P34" i="2"/>
  <c r="F34" i="2"/>
  <c r="V33" i="2"/>
  <c r="P33" i="2"/>
  <c r="F33" i="2"/>
  <c r="V32" i="2"/>
  <c r="P32" i="2"/>
  <c r="F32" i="2"/>
  <c r="V31" i="2"/>
  <c r="P31" i="2"/>
  <c r="F31" i="2"/>
  <c r="V30" i="2"/>
  <c r="P30" i="2"/>
  <c r="F30" i="2"/>
  <c r="V29" i="2"/>
  <c r="P29" i="2"/>
  <c r="F29" i="2"/>
  <c r="V28" i="2"/>
  <c r="P28" i="2"/>
  <c r="F28" i="2"/>
  <c r="V27" i="2"/>
  <c r="P27" i="2"/>
  <c r="F27" i="2"/>
  <c r="V26" i="2"/>
  <c r="P26" i="2"/>
  <c r="F26" i="2"/>
  <c r="V25" i="2"/>
  <c r="P25" i="2"/>
  <c r="F25" i="2"/>
  <c r="V24" i="2"/>
  <c r="P24" i="2"/>
  <c r="F24" i="2"/>
  <c r="V23" i="2"/>
  <c r="P23" i="2"/>
  <c r="F23" i="2"/>
  <c r="V22" i="2"/>
  <c r="P22" i="2"/>
  <c r="F22" i="2"/>
  <c r="V21" i="2"/>
  <c r="P21" i="2"/>
  <c r="F21" i="2"/>
  <c r="V20" i="2"/>
  <c r="P20" i="2"/>
  <c r="F20" i="2"/>
  <c r="V19" i="2"/>
  <c r="P19" i="2"/>
  <c r="F19" i="2"/>
  <c r="V18" i="2"/>
  <c r="P18" i="2"/>
  <c r="F18" i="2"/>
  <c r="V17" i="2"/>
  <c r="P17" i="2"/>
  <c r="F17" i="2"/>
  <c r="T16" i="2"/>
  <c r="V16" i="2" s="1"/>
  <c r="F16" i="2"/>
  <c r="T15" i="2"/>
  <c r="V15" i="2" s="1"/>
  <c r="F15" i="2"/>
  <c r="AK14" i="2"/>
  <c r="T14" i="2"/>
  <c r="V14" i="2" s="1"/>
  <c r="F14" i="2"/>
  <c r="T13" i="2"/>
  <c r="V13" i="2" s="1"/>
  <c r="F13" i="2"/>
  <c r="T12" i="2"/>
  <c r="V12" i="2" s="1"/>
  <c r="F12" i="2"/>
  <c r="AK11" i="2"/>
  <c r="T11" i="2"/>
  <c r="V11" i="2" s="1"/>
  <c r="F11" i="2"/>
  <c r="AK10" i="2"/>
  <c r="T10" i="2"/>
  <c r="V10" i="2" s="1"/>
  <c r="F10" i="2"/>
  <c r="T9" i="2"/>
  <c r="V9" i="2" s="1"/>
  <c r="F9" i="2"/>
  <c r="T8" i="2"/>
  <c r="V8" i="2" s="1"/>
  <c r="F8" i="2"/>
  <c r="T7" i="2"/>
  <c r="V7" i="2" s="1"/>
  <c r="F7" i="2"/>
  <c r="AK6" i="2"/>
  <c r="T6" i="2"/>
  <c r="V6" i="2" s="1"/>
  <c r="F6" i="2"/>
  <c r="T5" i="2"/>
  <c r="V5" i="2" s="1"/>
  <c r="F5" i="2"/>
  <c r="T4" i="2"/>
  <c r="V4" i="2" s="1"/>
  <c r="F4" i="2"/>
  <c r="AK3" i="2"/>
  <c r="T3" i="2"/>
  <c r="V3" i="2" s="1"/>
  <c r="F3" i="2"/>
  <c r="T2" i="2"/>
  <c r="V2" i="2" s="1"/>
  <c r="F2" i="2"/>
  <c r="AK8" i="2" l="1"/>
  <c r="AK16" i="2"/>
  <c r="AK2" i="2"/>
  <c r="AK9" i="2"/>
  <c r="AK7" i="2"/>
  <c r="P252" i="2"/>
  <c r="AK15" i="2"/>
  <c r="AK5" i="2"/>
  <c r="AK4" i="2"/>
  <c r="AK12" i="2"/>
  <c r="AK13" i="2"/>
  <c r="P234" i="2"/>
  <c r="P236" i="2"/>
  <c r="P248" i="2"/>
  <c r="V238" i="2"/>
  <c r="V253" i="2"/>
  <c r="V244" i="2"/>
  <c r="P246" i="2"/>
  <c r="V251" i="2"/>
  <c r="P254" i="2"/>
  <c r="V249" i="2"/>
  <c r="V247" i="2"/>
  <c r="P250" i="2"/>
  <c r="V255" i="2"/>
  <c r="V235" i="2"/>
  <c r="P237" i="2"/>
  <c r="V243" i="2"/>
  <c r="P239" i="2"/>
  <c r="P24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tc={61036273-4365-4DA6-8F73-9FE61598D02F}</author>
    <author>tc={F82F8EC6-0DC6-428A-B264-3714E003451C}</author>
    <author>tc={518499B6-A859-4F0B-8635-5154984D7036}</author>
    <author>tc={F31034D1-C855-4A60-8709-BC24D27CB6E5}</author>
    <author>tc={CD335A1E-67A9-48DB-B620-BC2B103803F1}</author>
  </authors>
  <commentList>
    <comment ref="T55" authorId="0" shapeId="0" xr:uid="{108F5593-AF15-467F-A500-ED06D8AFDE25}">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in Fig. 1 of Pandey et al. (2018) for the days of the reported AOT40 values.</t>
        </r>
      </text>
    </comment>
    <comment ref="V55" authorId="1" shapeId="0" xr:uid="{20C684C0-E07F-417E-ADFA-C49376236586}">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AOT40 adjusted is recalculted with the updated number of days for AOT40 accumulation.</t>
        </r>
      </text>
    </comment>
    <comment ref="A156" authorId="2" shapeId="0" xr:uid="{1178F5CB-A575-4439-988B-C0054F05F656}">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This data is marked to see if it largely changes the parameter estimation or not. If not, it is retained, otherwise, it is separated from other data.</t>
        </r>
      </text>
    </comment>
    <comment ref="P187" authorId="3" shapeId="0" xr:uid="{2309CFA8-FEB5-4789-9956-7408A39950F9}">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1991, all OTCs were supplied with CF air not ambient air. The Est AOT0 is modified accordingly.</t>
        </r>
      </text>
    </comment>
    <comment ref="P190" authorId="4" shapeId="0" xr:uid="{A84D7B14-0A09-4E04-84E4-7CAD143C07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1992, CF OTC was supplied with CF air, but EO3 OTC was supplied with nonfilered ambient air. Est AOT0 was modified accordingly.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tc={61036273-4365-4DA6-8F73-9FE61598D02F}</author>
    <author>tc={F82F8EC6-0DC6-428A-B264-3714E003451C}</author>
    <author>tc={518499B6-A859-4F0B-8635-5154984D7036}</author>
    <author>tc={F31034D1-C855-4A60-8709-BC24D27CB6E5}</author>
    <author>tc={CD335A1E-67A9-48DB-B620-BC2B103803F1}</author>
  </authors>
  <commentList>
    <comment ref="T55" authorId="0" shapeId="0" xr:uid="{2B033FFC-5748-4405-9EB4-81395B05F1E9}">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in Fig. 1 of Pandey et al. (2018) for the days of the reported AOT40 values.</t>
        </r>
      </text>
    </comment>
    <comment ref="V55" authorId="1" shapeId="0" xr:uid="{CD9B3732-88B3-432D-A3BC-D55C5D676812}">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AOT40 adjusted is recalculted with the updated number of days for AOT40 accumulation.</t>
        </r>
      </text>
    </comment>
    <comment ref="A131" authorId="2" shapeId="0" xr:uid="{481F0B9B-024D-4496-A2AF-3012EC0F732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This data is marked to see if it largely changes the parameter estimation or not. If not, it is retained, otherwise, it is separated from other data.</t>
        </r>
      </text>
    </comment>
    <comment ref="P162" authorId="3" shapeId="0" xr:uid="{2E8BF1E2-B4BB-4E58-B6BB-6015AA7F5BA8}">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1991, all OTCs were supplied with CF air not ambient air. The Est AOT0 is modified accordingly.</t>
        </r>
      </text>
    </comment>
    <comment ref="P165" authorId="4" shapeId="0" xr:uid="{F90FE8CE-B778-40F7-8C42-4D7C4E5E879C}">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1992, CF OTC was supplied with CF air, but EO3 OTC was supplied with nonfilered ambient air. Est AOT0 was modified accordingly.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tc={61036273-4365-4DA6-8F73-9FE61598D02F}</author>
    <author>tc={F82F8EC6-0DC6-428A-B264-3714E003451C}</author>
    <author>tc={518499B6-A859-4F0B-8635-5154984D7036}</author>
    <author>tc={F31034D1-C855-4A60-8709-BC24D27CB6E5}</author>
    <author>tc={CD335A1E-67A9-48DB-B620-BC2B103803F1}</author>
  </authors>
  <commentList>
    <comment ref="T22" authorId="0" shapeId="0" xr:uid="{4ADA98DD-7D37-4DC4-8552-C7F39C7CD097}">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in Fig. 1 of Pandey et al. (2018) for the days of the reported AOT40 values.</t>
        </r>
      </text>
    </comment>
    <comment ref="V22" authorId="1" shapeId="0" xr:uid="{BD57568E-0C0E-4AC8-8F89-A3B465DE4D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AOT40 adjusted is recalculted with the updated number of days for AOT40 accumulation.</t>
        </r>
      </text>
    </comment>
    <comment ref="A63" authorId="2" shapeId="0" xr:uid="{2F2F904F-3B44-41B0-9484-044C98FED192}">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This data is marked to see if it largely changes the parameter estimation or not. If not, it is retained, otherwise, it is separated from other data.</t>
        </r>
      </text>
    </comment>
    <comment ref="P210" authorId="3" shapeId="0" xr:uid="{68AECF0B-C35F-4CA0-8C6A-4A1742E741AF}">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1991, all OTCs were supplied with CF air not ambient air. The Est AOT0 is modified accordingly.</t>
        </r>
      </text>
    </comment>
    <comment ref="P212" authorId="4" shapeId="0" xr:uid="{92FCD80D-8E27-4E4B-92FC-7A5E9CF8EA8C}">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1992, CF OTC was supplied with CF air, but EO3 OTC was supplied with nonfilered ambient air. Est AOT0 was modified accordingly.</t>
        </r>
      </text>
    </comment>
  </commentList>
</comments>
</file>

<file path=xl/sharedStrings.xml><?xml version="1.0" encoding="utf-8"?>
<sst xmlns="http://schemas.openxmlformats.org/spreadsheetml/2006/main" count="9007" uniqueCount="282">
  <si>
    <t>Accept</t>
    <phoneticPr fontId="3" type="noConversion"/>
  </si>
  <si>
    <t>Filterreasons</t>
    <phoneticPr fontId="3" type="noConversion"/>
  </si>
  <si>
    <t>Reference</t>
  </si>
  <si>
    <t>PDFnumber</t>
    <phoneticPr fontId="3" type="noConversion"/>
  </si>
  <si>
    <t>DOI</t>
    <phoneticPr fontId="3" type="noConversion"/>
  </si>
  <si>
    <t>Author</t>
  </si>
  <si>
    <t>Area</t>
    <phoneticPr fontId="3" type="noConversion"/>
  </si>
  <si>
    <t>country of experiment</t>
  </si>
  <si>
    <t>species</t>
  </si>
  <si>
    <t>cultivar/genotype</t>
  </si>
  <si>
    <t>exp.Year</t>
  </si>
  <si>
    <t>experimental facility</t>
  </si>
  <si>
    <t>rooting</t>
  </si>
  <si>
    <t>O3Trt</t>
  </si>
  <si>
    <t>Est AOT0</t>
    <phoneticPr fontId="3" type="noConversion"/>
  </si>
  <si>
    <t>AOT40</t>
  </si>
  <si>
    <t>O3 con</t>
    <phoneticPr fontId="3" type="noConversion"/>
  </si>
  <si>
    <t>O3 moniter hour</t>
    <phoneticPr fontId="3" type="noConversion"/>
  </si>
  <si>
    <t>AOT40 Days</t>
    <phoneticPr fontId="3" type="noConversion"/>
  </si>
  <si>
    <t>N</t>
    <phoneticPr fontId="3" type="noConversion"/>
  </si>
  <si>
    <t>AOT40_Adjusted</t>
    <phoneticPr fontId="3" type="noConversion"/>
  </si>
  <si>
    <t>Start day</t>
    <phoneticPr fontId="3" type="noConversion"/>
  </si>
  <si>
    <t>End day</t>
    <phoneticPr fontId="3" type="noConversion"/>
  </si>
  <si>
    <t>yield</t>
  </si>
  <si>
    <t>Units</t>
    <phoneticPr fontId="3" type="noConversion"/>
  </si>
  <si>
    <t>SD</t>
    <phoneticPr fontId="3" type="noConversion"/>
  </si>
  <si>
    <t>SE</t>
    <phoneticPr fontId="3" type="noConversion"/>
  </si>
  <si>
    <t>1000 grain weight</t>
    <phoneticPr fontId="3" type="noConversion"/>
  </si>
  <si>
    <t>Total grain no. ear-1</t>
    <phoneticPr fontId="3" type="noConversion"/>
  </si>
  <si>
    <t>ears no. plant-1</t>
    <phoneticPr fontId="3" type="noConversion"/>
  </si>
  <si>
    <t>2012-118</t>
    <phoneticPr fontId="3" type="noConversion"/>
  </si>
  <si>
    <t>10.1016/j.envpol.2012.07.028</t>
  </si>
  <si>
    <t>Wang</t>
  </si>
  <si>
    <t>China</t>
  </si>
  <si>
    <t>wheat</t>
  </si>
  <si>
    <t>yangmai185</t>
    <phoneticPr fontId="3" type="noConversion"/>
  </si>
  <si>
    <t>OTC</t>
  </si>
  <si>
    <t>field</t>
    <phoneticPr fontId="3" type="noConversion"/>
  </si>
  <si>
    <t>CF</t>
  </si>
  <si>
    <t>g 1000-1</t>
    <phoneticPr fontId="3" type="noConversion"/>
  </si>
  <si>
    <t>no.ear-1</t>
    <phoneticPr fontId="3" type="noConversion"/>
  </si>
  <si>
    <t>no.plant-1</t>
    <phoneticPr fontId="3" type="noConversion"/>
  </si>
  <si>
    <t>NF</t>
  </si>
  <si>
    <t>EO3-1</t>
  </si>
  <si>
    <t>EO3-2</t>
  </si>
  <si>
    <t>jia002</t>
    <phoneticPr fontId="3" type="noConversion"/>
  </si>
  <si>
    <t>2011-133</t>
    <phoneticPr fontId="3" type="noConversion"/>
  </si>
  <si>
    <t>10.1111/j.1365-2486.2011.02400.x</t>
  </si>
  <si>
    <t>Zhu</t>
  </si>
  <si>
    <t>Y15</t>
  </si>
  <si>
    <t>FACE</t>
  </si>
  <si>
    <t>field</t>
  </si>
  <si>
    <t>measured</t>
    <phoneticPr fontId="3" type="noConversion"/>
  </si>
  <si>
    <t>g m-2</t>
  </si>
  <si>
    <t>no. m-2</t>
    <phoneticPr fontId="3" type="noConversion"/>
  </si>
  <si>
    <t>calculate</t>
    <phoneticPr fontId="3" type="noConversion"/>
  </si>
  <si>
    <t>EO3</t>
  </si>
  <si>
    <t>Y16</t>
  </si>
  <si>
    <t>Y19</t>
  </si>
  <si>
    <t>Y2</t>
  </si>
  <si>
    <t>2010-112</t>
  </si>
  <si>
    <t>10.1016/j.envexpbot.2010.04.016</t>
  </si>
  <si>
    <t>Sarkar</t>
  </si>
  <si>
    <t>India</t>
  </si>
  <si>
    <t>HUW510</t>
    <phoneticPr fontId="10"/>
  </si>
  <si>
    <t>estimated days</t>
    <phoneticPr fontId="3" type="noConversion"/>
  </si>
  <si>
    <t>44plant m-2</t>
    <phoneticPr fontId="3" type="noConversion"/>
  </si>
  <si>
    <t>no. plant-1</t>
    <phoneticPr fontId="3" type="noConversion"/>
  </si>
  <si>
    <t>no. hills-1</t>
    <phoneticPr fontId="3" type="noConversion"/>
  </si>
  <si>
    <t>Sonalika</t>
  </si>
  <si>
    <t>2018-139</t>
    <phoneticPr fontId="3" type="noConversion"/>
  </si>
  <si>
    <t>10.1016/j.ecoenv.2018.04.014</t>
  </si>
  <si>
    <t>Pandey</t>
  </si>
  <si>
    <t>HD2967</t>
  </si>
  <si>
    <t>AA</t>
    <phoneticPr fontId="3" type="noConversion"/>
  </si>
  <si>
    <t>EO3</t>
    <phoneticPr fontId="3" type="noConversion"/>
  </si>
  <si>
    <t>2015-100</t>
    <phoneticPr fontId="3" type="noConversion"/>
  </si>
  <si>
    <t>10.4209/aaqr.2013.12.0354</t>
  </si>
  <si>
    <t>Tomer</t>
  </si>
  <si>
    <t>PBW343</t>
  </si>
  <si>
    <t>g m-2</t>
    <phoneticPr fontId="3" type="noConversion"/>
  </si>
  <si>
    <t>2013-76</t>
    <phoneticPr fontId="3" type="noConversion"/>
  </si>
  <si>
    <t>10.1016/j.fcr.2013.02.007</t>
  </si>
  <si>
    <t>Mishra</t>
  </si>
  <si>
    <t>HUW37</t>
    <phoneticPr fontId="3" type="noConversion"/>
  </si>
  <si>
    <t>K9107</t>
    <phoneticPr fontId="3" type="noConversion"/>
  </si>
  <si>
    <t>2019-164</t>
    <phoneticPr fontId="3" type="noConversion"/>
  </si>
  <si>
    <t>10.1016/j.heliyon.2019.e02317</t>
  </si>
  <si>
    <t>Yadav</t>
  </si>
  <si>
    <t>C306</t>
    <phoneticPr fontId="3" type="noConversion"/>
  </si>
  <si>
    <t>HD2967</t>
    <phoneticPr fontId="3" type="noConversion"/>
  </si>
  <si>
    <t>10.1016/j.heliyon.2019.e02317</t>
    <phoneticPr fontId="4"/>
  </si>
  <si>
    <t>2020-13</t>
    <phoneticPr fontId="3" type="noConversion"/>
  </si>
  <si>
    <t>10.1007/s11356-020-08325-y</t>
  </si>
  <si>
    <t>Annesha</t>
    <phoneticPr fontId="3" type="noConversion"/>
  </si>
  <si>
    <t>India</t>
    <phoneticPr fontId="3" type="noConversion"/>
  </si>
  <si>
    <t>wheat</t>
    <phoneticPr fontId="3" type="noConversion"/>
  </si>
  <si>
    <t>OTC</t>
    <phoneticPr fontId="3" type="noConversion"/>
  </si>
  <si>
    <t>no plant-1</t>
    <phoneticPr fontId="3" type="noConversion"/>
  </si>
  <si>
    <t>2019-35</t>
    <phoneticPr fontId="3" type="noConversion"/>
  </si>
  <si>
    <t>10.1016/j.ecoenv.2019.01.030</t>
  </si>
  <si>
    <t>Adeeb</t>
    <phoneticPr fontId="3" type="noConversion"/>
  </si>
  <si>
    <t>DB50</t>
    <phoneticPr fontId="3" type="noConversion"/>
  </si>
  <si>
    <t>NF</t>
    <phoneticPr fontId="3" type="noConversion"/>
  </si>
  <si>
    <t>DB77</t>
    <phoneticPr fontId="3" type="noConversion"/>
  </si>
  <si>
    <t>HD26</t>
    <phoneticPr fontId="3" type="noConversion"/>
  </si>
  <si>
    <t>HD28</t>
    <phoneticPr fontId="3" type="noConversion"/>
  </si>
  <si>
    <t>HD30</t>
    <phoneticPr fontId="3" type="noConversion"/>
  </si>
  <si>
    <t>HU12</t>
    <phoneticPr fontId="3" type="noConversion"/>
  </si>
  <si>
    <t>HU21</t>
    <phoneticPr fontId="3" type="noConversion"/>
  </si>
  <si>
    <t>HU25</t>
    <phoneticPr fontId="3" type="noConversion"/>
  </si>
  <si>
    <t>HU55</t>
    <phoneticPr fontId="3" type="noConversion"/>
  </si>
  <si>
    <t>KH65</t>
    <phoneticPr fontId="3" type="noConversion"/>
  </si>
  <si>
    <t>KUND</t>
    <phoneticPr fontId="3" type="noConversion"/>
  </si>
  <si>
    <t>NI34</t>
    <phoneticPr fontId="3" type="noConversion"/>
  </si>
  <si>
    <t>P502</t>
    <phoneticPr fontId="3" type="noConversion"/>
  </si>
  <si>
    <t>P550</t>
    <phoneticPr fontId="3" type="noConversion"/>
  </si>
  <si>
    <t>2020-48</t>
    <phoneticPr fontId="3" type="noConversion"/>
  </si>
  <si>
    <t>10.1016/j.envpol.2020.113939</t>
  </si>
  <si>
    <t>Durgesh</t>
    <phoneticPr fontId="3" type="noConversion"/>
  </si>
  <si>
    <t>HD3118</t>
    <phoneticPr fontId="3" type="noConversion"/>
  </si>
  <si>
    <t>HUW234</t>
    <phoneticPr fontId="3" type="noConversion"/>
  </si>
  <si>
    <t>2021-X140</t>
    <phoneticPr fontId="3" type="noConversion"/>
  </si>
  <si>
    <t>10.1016/j.fcr.2021.108076</t>
  </si>
  <si>
    <t>HD3086</t>
    <phoneticPr fontId="3" type="noConversion"/>
  </si>
  <si>
    <t>HUW468</t>
    <phoneticPr fontId="3" type="noConversion"/>
  </si>
  <si>
    <t>2020-13</t>
  </si>
  <si>
    <t>1985-207</t>
    <phoneticPr fontId="3" type="noConversion"/>
  </si>
  <si>
    <t>10.1094/Phyto-77-71</t>
  </si>
  <si>
    <t>Kohut</t>
    <phoneticPr fontId="3" type="noConversion"/>
  </si>
  <si>
    <t>North America</t>
    <phoneticPr fontId="3" type="noConversion"/>
  </si>
  <si>
    <t>USA</t>
    <phoneticPr fontId="3" type="noConversion"/>
  </si>
  <si>
    <t>CF</t>
    <phoneticPr fontId="3" type="noConversion"/>
  </si>
  <si>
    <t>row m-2</t>
    <phoneticPr fontId="3" type="noConversion"/>
  </si>
  <si>
    <t>no. ear-1</t>
    <phoneticPr fontId="3" type="noConversion"/>
  </si>
  <si>
    <t>no. m-1</t>
    <phoneticPr fontId="3" type="noConversion"/>
  </si>
  <si>
    <t>EO3-1</t>
    <phoneticPr fontId="3" type="noConversion"/>
  </si>
  <si>
    <t>EO3-2</t>
    <phoneticPr fontId="3" type="noConversion"/>
  </si>
  <si>
    <t>EO3-3</t>
    <phoneticPr fontId="3" type="noConversion"/>
  </si>
  <si>
    <t>1985-215</t>
    <phoneticPr fontId="3" type="noConversion"/>
  </si>
  <si>
    <t>10.1016/0098-8472(85)90005-x</t>
  </si>
  <si>
    <t>Kress</t>
    <phoneticPr fontId="3" type="noConversion"/>
  </si>
  <si>
    <t>Abe</t>
    <phoneticPr fontId="3" type="noConversion"/>
  </si>
  <si>
    <t xml:space="preserve"> no. m-1</t>
    <phoneticPr fontId="3" type="noConversion"/>
  </si>
  <si>
    <t>Arthur-71</t>
    <phoneticPr fontId="3" type="noConversion"/>
  </si>
  <si>
    <t>Roland</t>
    <phoneticPr fontId="3" type="noConversion"/>
  </si>
  <si>
    <t>seeds m-1</t>
    <phoneticPr fontId="3" type="noConversion"/>
  </si>
  <si>
    <t>1996-89/91</t>
    <phoneticPr fontId="3" type="noConversion"/>
  </si>
  <si>
    <t>10.1016/0034-4257(95)00208-1</t>
  </si>
  <si>
    <t>Rudorff</t>
    <phoneticPr fontId="3" type="noConversion"/>
  </si>
  <si>
    <t>Massey</t>
    <phoneticPr fontId="3" type="noConversion"/>
  </si>
  <si>
    <t>EO3(CF)</t>
    <phoneticPr fontId="3" type="noConversion"/>
  </si>
  <si>
    <t>10.1016/0034-4257(95)00208-1</t>
    <phoneticPr fontId="3" type="noConversion"/>
  </si>
  <si>
    <t>Saluda</t>
    <phoneticPr fontId="3" type="noConversion"/>
  </si>
  <si>
    <t>1985-119</t>
    <phoneticPr fontId="3" type="noConversion"/>
  </si>
  <si>
    <t>10.1016/0269-7491(89)90109-7</t>
  </si>
  <si>
    <t>Fuhrer</t>
    <phoneticPr fontId="3" type="noConversion"/>
  </si>
  <si>
    <t xml:space="preserve">Europe </t>
    <phoneticPr fontId="3" type="noConversion"/>
  </si>
  <si>
    <t>Switzerland</t>
    <phoneticPr fontId="3" type="noConversion"/>
  </si>
  <si>
    <t>Albis</t>
  </si>
  <si>
    <t>1991-89</t>
    <phoneticPr fontId="3" type="noConversion"/>
  </si>
  <si>
    <t>10.1016/0269-7491(91)90140-r</t>
  </si>
  <si>
    <t>Pleijel</t>
  </si>
  <si>
    <t>Sweden</t>
  </si>
  <si>
    <t>Drabant</t>
  </si>
  <si>
    <t>8 row m-2</t>
    <phoneticPr fontId="3" type="noConversion"/>
  </si>
  <si>
    <t xml:space="preserve"> no. m-2</t>
    <phoneticPr fontId="3" type="noConversion"/>
  </si>
  <si>
    <t>1992-37</t>
    <phoneticPr fontId="3" type="noConversion"/>
  </si>
  <si>
    <t>10.1111/j.1469-8137.1992.tb01106.x</t>
  </si>
  <si>
    <t>Switzerland</t>
  </si>
  <si>
    <t>5.98 row m-2</t>
    <phoneticPr fontId="3" type="noConversion"/>
  </si>
  <si>
    <t>1996-30</t>
    <phoneticPr fontId="3" type="noConversion"/>
  </si>
  <si>
    <t>10.1016/0167-8809(95)01003-3</t>
  </si>
  <si>
    <t>Finnan</t>
    <phoneticPr fontId="3" type="noConversion"/>
  </si>
  <si>
    <t>Ireland</t>
    <phoneticPr fontId="3" type="noConversion"/>
  </si>
  <si>
    <t>Promessa</t>
    <phoneticPr fontId="3" type="noConversion"/>
  </si>
  <si>
    <t>1997-75</t>
    <phoneticPr fontId="3" type="noConversion"/>
  </si>
  <si>
    <t>10.1093/jxb/48.1.113</t>
    <phoneticPr fontId="3" type="noConversion"/>
  </si>
  <si>
    <t>Mulholland</t>
    <phoneticPr fontId="3" type="noConversion"/>
  </si>
  <si>
    <t>UK</t>
    <phoneticPr fontId="3" type="noConversion"/>
  </si>
  <si>
    <t>Minaret</t>
    <phoneticPr fontId="3" type="noConversion"/>
  </si>
  <si>
    <t>371 plants m-2</t>
    <phoneticPr fontId="3" type="noConversion"/>
  </si>
  <si>
    <t>10.1093/jxb/48.1.113</t>
  </si>
  <si>
    <t>1998-73</t>
    <phoneticPr fontId="3" type="noConversion"/>
  </si>
  <si>
    <t>10.1046/j.1365-2486.1998.00112.x</t>
  </si>
  <si>
    <t>347 plants m-2</t>
    <phoneticPr fontId="3" type="noConversion"/>
  </si>
  <si>
    <t>10.1046/j.1365-2486.1998.00112.x</t>
    <phoneticPr fontId="3" type="noConversion"/>
  </si>
  <si>
    <t>1995-120</t>
    <phoneticPr fontId="3" type="noConversion"/>
  </si>
  <si>
    <t>10.1016/0269-7491(94)p2599-5</t>
  </si>
  <si>
    <t>Mortensen</t>
    <phoneticPr fontId="3" type="noConversion"/>
  </si>
  <si>
    <t>Denmark</t>
    <phoneticPr fontId="3" type="noConversion"/>
  </si>
  <si>
    <t>Ralle</t>
    <phoneticPr fontId="3" type="noConversion"/>
  </si>
  <si>
    <t>400 seeds m-2</t>
    <phoneticPr fontId="3" type="noConversion"/>
  </si>
  <si>
    <t>1998-75</t>
    <phoneticPr fontId="3" type="noConversion"/>
  </si>
  <si>
    <t>10.1046/j.1469-8137.1998.00120.x</t>
  </si>
  <si>
    <t>Ojanperä</t>
  </si>
  <si>
    <t>Finland</t>
  </si>
  <si>
    <t>Satu</t>
  </si>
  <si>
    <t>1998-84</t>
    <phoneticPr fontId="3" type="noConversion"/>
  </si>
  <si>
    <t>10.1016/s0167-8809(97)00167-9</t>
  </si>
  <si>
    <t>Dragon</t>
  </si>
  <si>
    <t>2000-X96</t>
    <phoneticPr fontId="3" type="noConversion"/>
  </si>
  <si>
    <t>10.1034/j.1399-3054.2000.108001061.x</t>
  </si>
  <si>
    <t>Pleijel</t>
    <phoneticPr fontId="3" type="noConversion"/>
  </si>
  <si>
    <t>2006-90</t>
    <phoneticPr fontId="3" type="noConversion"/>
  </si>
  <si>
    <t>10.1016/j.envexpbot.2005.01.004</t>
  </si>
  <si>
    <t>Lantvete</t>
  </si>
  <si>
    <t>2013-18</t>
    <phoneticPr fontId="3" type="noConversion"/>
  </si>
  <si>
    <t>10.1111/jac.12013</t>
  </si>
  <si>
    <t>Burkart</t>
    <phoneticPr fontId="3" type="noConversion"/>
  </si>
  <si>
    <t>Germany</t>
    <phoneticPr fontId="3" type="noConversion"/>
  </si>
  <si>
    <t>Astron</t>
  </si>
  <si>
    <t>Pegasus</t>
  </si>
  <si>
    <t>EXP_ID</t>
    <phoneticPr fontId="3" type="noConversion"/>
  </si>
  <si>
    <t>Total grain no.</t>
    <phoneticPr fontId="3" type="noConversion"/>
  </si>
  <si>
    <t>no.m-2</t>
    <phoneticPr fontId="3" type="noConversion"/>
  </si>
  <si>
    <t>assume 400  plant m-2</t>
    <phoneticPr fontId="3" type="noConversion"/>
  </si>
  <si>
    <t>Lat</t>
    <phoneticPr fontId="3" type="noConversion"/>
  </si>
  <si>
    <t>Lon</t>
    <phoneticPr fontId="3" type="noConversion"/>
  </si>
  <si>
    <t>Europe</t>
    <phoneticPr fontId="3" type="noConversion"/>
  </si>
  <si>
    <t>In Chinese</t>
    <phoneticPr fontId="3" type="noConversion"/>
  </si>
  <si>
    <t>Tong</t>
    <phoneticPr fontId="3" type="noConversion"/>
  </si>
  <si>
    <t>China</t>
    <phoneticPr fontId="3" type="noConversion"/>
  </si>
  <si>
    <t>10． 5846 /stxb201103260385</t>
    <phoneticPr fontId="3" type="noConversion"/>
  </si>
  <si>
    <t>Beinong 9549</t>
    <phoneticPr fontId="3" type="noConversion"/>
  </si>
  <si>
    <t>OTC</t>
    <phoneticPr fontId="3" type="noConversion"/>
  </si>
  <si>
    <t>EO3-1</t>
    <phoneticPr fontId="3" type="noConversion"/>
  </si>
  <si>
    <t>EO3-2</t>
    <phoneticPr fontId="3" type="noConversion"/>
  </si>
  <si>
    <t>EO3-3</t>
    <phoneticPr fontId="3" type="noConversion"/>
  </si>
  <si>
    <t>%</t>
    <phoneticPr fontId="3" type="noConversion"/>
  </si>
  <si>
    <t>Tong</t>
    <phoneticPr fontId="3" type="noConversion"/>
  </si>
  <si>
    <t>ears no. area-1</t>
    <phoneticPr fontId="3" type="noConversion"/>
  </si>
  <si>
    <t>Total grain no. plant-1</t>
    <phoneticPr fontId="3" type="noConversion"/>
  </si>
  <si>
    <t>HI</t>
    <phoneticPr fontId="3" type="noConversion"/>
  </si>
  <si>
    <t>grain no. per spikelet</t>
    <phoneticPr fontId="3" type="noConversion"/>
  </si>
  <si>
    <t>florets no. ear-1</t>
    <phoneticPr fontId="3" type="noConversion"/>
  </si>
  <si>
    <t>Tills</t>
    <phoneticPr fontId="3" type="noConversion"/>
  </si>
  <si>
    <t>grain weight ears-1</t>
    <phoneticPr fontId="3" type="noConversion"/>
  </si>
  <si>
    <t>grain N contetn</t>
    <phoneticPr fontId="3" type="noConversion"/>
  </si>
  <si>
    <t>grain protein contetn</t>
    <phoneticPr fontId="3" type="noConversion"/>
  </si>
  <si>
    <t>starch  contetn</t>
    <phoneticPr fontId="3" type="noConversion"/>
  </si>
  <si>
    <t>ears weight plant-1</t>
    <phoneticPr fontId="3" type="noConversion"/>
  </si>
  <si>
    <t>% of filled grain</t>
    <phoneticPr fontId="3" type="noConversion"/>
  </si>
  <si>
    <t>soluble contetn</t>
    <phoneticPr fontId="3" type="noConversion"/>
  </si>
  <si>
    <t>Asian</t>
    <phoneticPr fontId="3" type="noConversion"/>
  </si>
  <si>
    <t>g plant-1</t>
    <phoneticPr fontId="3" type="noConversion"/>
  </si>
  <si>
    <t>%</t>
  </si>
  <si>
    <t xml:space="preserve">China </t>
  </si>
  <si>
    <t>g spike-1</t>
    <phoneticPr fontId="3" type="noConversion"/>
  </si>
  <si>
    <t>mg g-1</t>
    <phoneticPr fontId="3" type="noConversion"/>
  </si>
  <si>
    <t>calculated</t>
    <phoneticPr fontId="3" type="noConversion"/>
  </si>
  <si>
    <t>g m-1</t>
    <phoneticPr fontId="3" type="noConversion"/>
  </si>
  <si>
    <t>no. spikelet-1</t>
    <phoneticPr fontId="3" type="noConversion"/>
  </si>
  <si>
    <t>g ear-1</t>
    <phoneticPr fontId="3" type="noConversion"/>
  </si>
  <si>
    <t>Europe</t>
  </si>
  <si>
    <t>Start of ozone exposure</t>
    <phoneticPr fontId="3" type="noConversion"/>
  </si>
  <si>
    <t>End of ozone exposure</t>
    <phoneticPr fontId="3" type="noConversion"/>
  </si>
  <si>
    <t>Sowing</t>
    <phoneticPr fontId="3" type="noConversion"/>
  </si>
  <si>
    <t>Harvest</t>
    <phoneticPr fontId="3" type="noConversion"/>
  </si>
  <si>
    <t>Finland</t>
    <phoneticPr fontId="3" type="noConversion"/>
  </si>
  <si>
    <t>Heagle1979</t>
    <phoneticPr fontId="3" type="noConversion"/>
  </si>
  <si>
    <t>10.1139/b79-250</t>
    <phoneticPr fontId="3" type="noConversion"/>
  </si>
  <si>
    <t>Heagle</t>
    <phoneticPr fontId="3" type="noConversion"/>
  </si>
  <si>
    <t>soft  red wheat</t>
    <phoneticPr fontId="3" type="noConversion"/>
  </si>
  <si>
    <t>Blueboy</t>
    <phoneticPr fontId="3" type="noConversion"/>
  </si>
  <si>
    <t>Coker47-27</t>
    <phoneticPr fontId="3" type="noConversion"/>
  </si>
  <si>
    <t>Holly</t>
    <phoneticPr fontId="3" type="noConversion"/>
  </si>
  <si>
    <t>Oasis</t>
    <phoneticPr fontId="3" type="noConversion"/>
  </si>
  <si>
    <t>combined cultivars</t>
    <phoneticPr fontId="3" type="noConversion"/>
  </si>
  <si>
    <t>g 100-1</t>
    <phoneticPr fontId="3" type="noConversion"/>
  </si>
  <si>
    <t>mid-anthesis to maturity</t>
    <phoneticPr fontId="3" type="noConversion"/>
  </si>
  <si>
    <t>mid-anthesis date</t>
    <phoneticPr fontId="3" type="noConversion"/>
  </si>
  <si>
    <t>Heading date</t>
    <phoneticPr fontId="3" type="noConversion"/>
  </si>
  <si>
    <t>Note of flowering</t>
    <phoneticPr fontId="3" type="noConversion"/>
  </si>
  <si>
    <t>Yao et al.,  2008</t>
    <phoneticPr fontId="3" type="noConversion"/>
  </si>
  <si>
    <t>Tong 2011</t>
    <phoneticPr fontId="3" type="noConversion"/>
  </si>
  <si>
    <t>Feng et al., 2011</t>
    <phoneticPr fontId="3" type="noConversion"/>
  </si>
  <si>
    <t>Days of growing</t>
    <phoneticPr fontId="3" type="noConversion"/>
  </si>
  <si>
    <t>Days of fumigation</t>
    <phoneticPr fontId="3" type="noConversion"/>
  </si>
  <si>
    <t xml:space="preserve">from start of O3 elevation to mid-anthesis </t>
    <phoneticPr fontId="3" type="noConversion"/>
  </si>
  <si>
    <t xml:space="preserve">from mid-anthesis to end of O3 elevation </t>
    <phoneticPr fontId="3" type="noConversion"/>
  </si>
  <si>
    <t>assume 24  plant m-2</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</si>
</sst>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0000000"/>
    <numFmt numFmtId="178" formatCode="0.0_ "/>
  </numFmts>
  <fonts count="14" x14ac:knownFonts="1">
    <font>
      <sz val="11"/>
      <color theme="1"/>
      <name val="等线"/>
      <family val="2"/>
      <scheme val="minor"/>
    </font>
    <font>
      <sz val="11"/>
      <color rgb="FF006100"/>
      <name val="等线"/>
      <family val="2"/>
      <charset val="134"/>
      <scheme val="minor"/>
    </font>
    <font>
      <b/>
      <sz val="12"/>
      <name val="Times New Roman"/>
      <family val="1"/>
    </font>
    <font>
      <sz val="9"/>
      <name val="等线"/>
      <family val="3"/>
      <charset val="134"/>
      <scheme val="minor"/>
    </font>
    <font>
      <sz val="6"/>
      <name val="等线"/>
      <family val="3"/>
      <charset val="128"/>
      <scheme val="minor"/>
    </font>
    <font>
      <b/>
      <sz val="12"/>
      <color rgb="FFFF0000"/>
      <name val="Times New Roman"/>
      <family val="1"/>
    </font>
    <font>
      <sz val="12"/>
      <name val="Times New Roman"/>
      <family val="1"/>
    </font>
    <font>
      <sz val="11"/>
      <name val="Times New Roman"/>
      <family val="1"/>
    </font>
    <font>
      <sz val="12"/>
      <color rgb="FFFF0000"/>
      <name val="Times New Roman"/>
      <family val="1"/>
    </font>
    <font>
      <sz val="12"/>
      <name val="Arial"/>
      <family val="2"/>
    </font>
    <font>
      <sz val="6"/>
      <name val="等线"/>
      <family val="2"/>
      <charset val="128"/>
      <scheme val="minor"/>
    </font>
    <font>
      <sz val="11"/>
      <color rgb="FFFF0000"/>
      <name val="Times New Roman"/>
      <family val="1"/>
    </font>
    <font>
      <sz val="11"/>
      <color rgb="FFFF0000"/>
      <name val="等线"/>
      <family val="2"/>
      <scheme val="minor"/>
    </font>
    <font>
      <sz val="12"/>
      <color theme="1"/>
      <name val="等线"/>
      <family val="2"/>
      <scheme val="minor"/>
    </font>
  </fonts>
  <fills count="6">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 fillId="2" borderId="0" applyNumberFormat="0" applyBorder="0" applyAlignment="0" applyProtection="0">
      <alignment vertical="center"/>
    </xf>
  </cellStyleXfs>
  <cellXfs count="39">
    <xf numFmtId="0" fontId="0" fillId="0" borderId="0" xfId="0"/>
    <xf numFmtId="0" fontId="2" fillId="3" borderId="0" xfId="0" applyFont="1" applyFill="1" applyAlignment="1">
      <alignment horizontal="right" vertical="center"/>
    </xf>
    <xf numFmtId="0" fontId="5" fillId="4" borderId="0" xfId="0" applyFont="1" applyFill="1" applyAlignment="1">
      <alignment horizontal="right" vertical="center"/>
    </xf>
    <xf numFmtId="0" fontId="2" fillId="4" borderId="0" xfId="0" applyFont="1" applyFill="1" applyAlignment="1">
      <alignment horizontal="right" vertical="center"/>
    </xf>
    <xf numFmtId="0" fontId="5" fillId="5" borderId="0" xfId="0" applyFont="1" applyFill="1" applyAlignment="1">
      <alignment horizontal="right" vertical="center"/>
    </xf>
    <xf numFmtId="0" fontId="2" fillId="5" borderId="0" xfId="0" applyFont="1" applyFill="1" applyAlignment="1">
      <alignment horizontal="right" vertical="center"/>
    </xf>
    <xf numFmtId="0" fontId="6" fillId="0" borderId="0" xfId="0" applyFont="1" applyFill="1" applyAlignment="1">
      <alignment horizontal="right"/>
    </xf>
    <xf numFmtId="0" fontId="6" fillId="0" borderId="0" xfId="0" applyFont="1" applyFill="1" applyAlignment="1">
      <alignment horizontal="right" vertical="center"/>
    </xf>
    <xf numFmtId="0" fontId="7" fillId="0" borderId="0" xfId="0" applyFont="1" applyFill="1" applyAlignment="1">
      <alignment horizontal="right" vertical="center"/>
    </xf>
    <xf numFmtId="0" fontId="7" fillId="0" borderId="0" xfId="0" applyFont="1" applyFill="1" applyAlignment="1">
      <alignment horizontal="right"/>
    </xf>
    <xf numFmtId="14" fontId="6" fillId="0" borderId="0" xfId="0" applyNumberFormat="1" applyFont="1" applyFill="1" applyAlignment="1">
      <alignment horizontal="right"/>
    </xf>
    <xf numFmtId="0" fontId="8" fillId="0" borderId="0" xfId="0" applyFont="1" applyFill="1" applyAlignment="1">
      <alignment horizontal="right" vertical="center"/>
    </xf>
    <xf numFmtId="0" fontId="8" fillId="0" borderId="0" xfId="0" applyFont="1" applyFill="1" applyAlignment="1">
      <alignment horizontal="right"/>
    </xf>
    <xf numFmtId="0" fontId="0" fillId="0" borderId="0" xfId="0" applyFill="1" applyAlignment="1">
      <alignment horizontal="right"/>
    </xf>
    <xf numFmtId="176" fontId="6" fillId="0" borderId="0" xfId="0" applyNumberFormat="1" applyFont="1" applyFill="1" applyAlignment="1">
      <alignment horizontal="right" vertical="center"/>
    </xf>
    <xf numFmtId="178" fontId="6" fillId="0" borderId="0" xfId="0" quotePrefix="1" applyNumberFormat="1" applyFont="1" applyFill="1" applyAlignment="1">
      <alignment horizontal="right" vertical="center"/>
    </xf>
    <xf numFmtId="177" fontId="6" fillId="0" borderId="0" xfId="0" applyNumberFormat="1" applyFont="1" applyFill="1" applyAlignment="1">
      <alignment horizontal="right"/>
    </xf>
    <xf numFmtId="0" fontId="7" fillId="0" borderId="0" xfId="1" applyFont="1" applyFill="1" applyAlignment="1">
      <alignment horizontal="right"/>
    </xf>
    <xf numFmtId="176" fontId="9" fillId="0" borderId="0" xfId="0" applyNumberFormat="1" applyFont="1" applyFill="1" applyAlignment="1">
      <alignment horizontal="right" vertical="center"/>
    </xf>
    <xf numFmtId="2" fontId="11" fillId="0" borderId="0" xfId="0" applyNumberFormat="1" applyFont="1" applyFill="1" applyAlignment="1">
      <alignment horizontal="right"/>
    </xf>
    <xf numFmtId="2" fontId="7" fillId="0" borderId="0" xfId="0" applyNumberFormat="1" applyFont="1" applyFill="1" applyAlignment="1">
      <alignment horizontal="right"/>
    </xf>
    <xf numFmtId="176" fontId="7" fillId="0" borderId="0" xfId="0" applyNumberFormat="1" applyFont="1" applyFill="1" applyAlignment="1">
      <alignment horizontal="right"/>
    </xf>
    <xf numFmtId="1" fontId="11" fillId="0" borderId="0" xfId="0" applyNumberFormat="1" applyFont="1" applyFill="1" applyAlignment="1">
      <alignment horizontal="right"/>
    </xf>
    <xf numFmtId="0" fontId="13" fillId="0" borderId="0" xfId="0" applyFont="1"/>
    <xf numFmtId="0" fontId="12" fillId="0" borderId="0" xfId="0" applyFont="1"/>
    <xf numFmtId="14" fontId="8" fillId="0" borderId="0" xfId="0" applyNumberFormat="1" applyFont="1" applyFill="1" applyAlignment="1">
      <alignment horizontal="right"/>
    </xf>
    <xf numFmtId="0" fontId="0" fillId="0" borderId="0" xfId="0" applyFill="1"/>
    <xf numFmtId="14" fontId="12" fillId="0" borderId="0" xfId="0" applyNumberFormat="1" applyFont="1" applyFill="1"/>
    <xf numFmtId="0" fontId="0" fillId="0" borderId="0" xfId="0" applyNumberFormat="1" applyFill="1"/>
    <xf numFmtId="0" fontId="12" fillId="0" borderId="0" xfId="0" applyFont="1" applyFill="1"/>
    <xf numFmtId="0" fontId="6" fillId="0" borderId="0" xfId="0" applyFont="1" applyFill="1"/>
    <xf numFmtId="0" fontId="7" fillId="0" borderId="0" xfId="0" applyFont="1" applyFill="1" applyAlignment="1">
      <alignment vertical="center"/>
    </xf>
    <xf numFmtId="0" fontId="6" fillId="0" borderId="0" xfId="0" applyFont="1" applyFill="1" applyAlignment="1">
      <alignment vertical="center"/>
    </xf>
    <xf numFmtId="0" fontId="7" fillId="0" borderId="0" xfId="0" applyFont="1" applyFill="1" applyAlignment="1">
      <alignment horizontal="left"/>
    </xf>
    <xf numFmtId="14" fontId="8" fillId="0" borderId="0" xfId="0" applyNumberFormat="1" applyFont="1" applyFill="1" applyAlignment="1">
      <alignment horizontal="right" vertical="center"/>
    </xf>
    <xf numFmtId="176" fontId="8" fillId="0" borderId="0" xfId="0" applyNumberFormat="1" applyFont="1" applyFill="1" applyAlignment="1">
      <alignment horizontal="right" vertical="center"/>
    </xf>
    <xf numFmtId="14" fontId="0" fillId="0" borderId="0" xfId="0" applyNumberFormat="1" applyFill="1"/>
    <xf numFmtId="0" fontId="12" fillId="0" borderId="0" xfId="0" applyNumberFormat="1" applyFont="1" applyFill="1"/>
    <xf numFmtId="0" fontId="13" fillId="0" borderId="0" xfId="0" applyFont="1" applyFill="1"/>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9E24-4F19-4D2F-A9D4-EA234C9FDEE5}">
  <sheetPr filterMode="1"/>
  <dimension ref="A1:BH261"/>
  <sheetViews>
    <sheetView tabSelected="1" topLeftCell="AB1" zoomScale="85" zoomScaleNormal="85" workbookViewId="0">
      <selection activeCell="AG271" sqref="AG271:AW271"/>
    </sheetView>
  </sheetViews>
  <sheetFormatPr defaultColWidth="9.88671875" defaultRowHeight="15.6" x14ac:dyDescent="0.3"/>
  <cols>
    <col min="1" max="1" width="8.33203125" bestFit="1" customWidth="1"/>
    <col min="2" max="2" width="15.5546875" bestFit="1" customWidth="1"/>
    <col min="3" max="3" width="11.6640625" bestFit="1" customWidth="1"/>
    <col min="4" max="4" width="14" bestFit="1" customWidth="1"/>
    <col min="5" max="5" width="37.88671875" bestFit="1" customWidth="1"/>
    <col min="6" max="6" width="36.88671875" customWidth="1"/>
    <col min="7" max="7" width="12.109375" bestFit="1" customWidth="1"/>
    <col min="8" max="8" width="15.6640625" customWidth="1"/>
    <col min="9" max="9" width="24.44140625" customWidth="1"/>
    <col min="10" max="10" width="15.21875" bestFit="1" customWidth="1"/>
    <col min="11" max="11" width="19.6640625" bestFit="1" customWidth="1"/>
    <col min="12" max="12" width="10.21875" bestFit="1" customWidth="1"/>
    <col min="13" max="13" width="23.21875" bestFit="1" customWidth="1"/>
    <col min="14" max="14" width="9.109375" bestFit="1" customWidth="1"/>
    <col min="15" max="15" width="10" bestFit="1" customWidth="1"/>
    <col min="16" max="16" width="15.109375" bestFit="1" customWidth="1"/>
    <col min="17" max="18" width="13.33203125" bestFit="1" customWidth="1"/>
    <col min="19" max="19" width="18.88671875" bestFit="1" customWidth="1"/>
    <col min="20" max="20" width="14.109375" bestFit="1" customWidth="1"/>
    <col min="21" max="21" width="3.33203125" bestFit="1" customWidth="1"/>
    <col min="22" max="22" width="18.88671875" customWidth="1"/>
    <col min="23" max="23" width="15.21875" bestFit="1" customWidth="1"/>
    <col min="24" max="24" width="11.33203125" bestFit="1" customWidth="1"/>
    <col min="25" max="25" width="15.109375" bestFit="1" customWidth="1"/>
    <col min="26" max="26" width="7" style="23" bestFit="1" customWidth="1"/>
    <col min="27" max="27" width="23.109375" bestFit="1" customWidth="1"/>
    <col min="28" max="28" width="15.109375" bestFit="1" customWidth="1"/>
    <col min="29" max="29" width="20.33203125" style="24" bestFit="1" customWidth="1"/>
    <col min="30" max="30" width="10" bestFit="1" customWidth="1"/>
    <col min="31" max="32" width="15.109375" bestFit="1" customWidth="1"/>
    <col min="33" max="33" width="22.88671875" style="24" bestFit="1" customWidth="1"/>
    <col min="34" max="34" width="21.77734375" bestFit="1" customWidth="1"/>
    <col min="35" max="35" width="15.109375" bestFit="1" customWidth="1"/>
    <col min="36" max="36" width="6.5546875" bestFit="1" customWidth="1"/>
    <col min="37" max="37" width="17.33203125" bestFit="1" customWidth="1"/>
    <col min="38" max="38" width="11.33203125" bestFit="1" customWidth="1"/>
    <col min="39" max="40" width="15.109375" bestFit="1" customWidth="1"/>
    <col min="41" max="41" width="16.5546875" bestFit="1" customWidth="1"/>
    <col min="42" max="42" width="11.33203125" bestFit="1" customWidth="1"/>
    <col min="43" max="43" width="4.5546875" bestFit="1" customWidth="1"/>
    <col min="44" max="44" width="10.88671875" customWidth="1"/>
    <col min="45" max="45" width="15.109375" bestFit="1" customWidth="1"/>
    <col min="46" max="46" width="16.109375" bestFit="1" customWidth="1"/>
    <col min="47" max="47" width="12.6640625" customWidth="1"/>
    <col min="48" max="48" width="11.33203125" customWidth="1"/>
    <col min="49" max="49" width="25.44140625" customWidth="1"/>
    <col min="50" max="50" width="24.33203125" customWidth="1"/>
    <col min="51" max="51" width="9" bestFit="1" customWidth="1"/>
    <col min="52" max="52" width="9.44140625" bestFit="1" customWidth="1"/>
    <col min="53" max="53" width="18.33203125" style="24" bestFit="1" customWidth="1"/>
    <col min="54" max="54" width="25.44140625" bestFit="1" customWidth="1"/>
    <col min="55" max="55" width="24.33203125" bestFit="1" customWidth="1"/>
    <col min="56" max="56" width="20.88671875" bestFit="1" customWidth="1"/>
    <col min="57" max="57" width="14.88671875" bestFit="1" customWidth="1"/>
    <col min="58" max="58" width="19.6640625" bestFit="1" customWidth="1"/>
    <col min="59" max="59" width="27.44140625" bestFit="1" customWidth="1"/>
    <col min="60" max="60" width="19.6640625" bestFit="1" customWidth="1"/>
  </cols>
  <sheetData>
    <row r="1" spans="1:60" x14ac:dyDescent="0.25">
      <c r="A1" s="1" t="s">
        <v>0</v>
      </c>
      <c r="B1" s="1" t="s">
        <v>1</v>
      </c>
      <c r="C1" s="1" t="s">
        <v>2</v>
      </c>
      <c r="D1" s="1" t="s">
        <v>3</v>
      </c>
      <c r="E1" s="1" t="s">
        <v>4</v>
      </c>
      <c r="F1" s="1" t="s">
        <v>213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2" t="s">
        <v>23</v>
      </c>
      <c r="Z1" s="3" t="s">
        <v>24</v>
      </c>
      <c r="AA1" s="3" t="s">
        <v>25</v>
      </c>
      <c r="AB1" s="3" t="s">
        <v>26</v>
      </c>
      <c r="AC1" s="4" t="s">
        <v>27</v>
      </c>
      <c r="AD1" s="5" t="s">
        <v>24</v>
      </c>
      <c r="AE1" s="5" t="s">
        <v>25</v>
      </c>
      <c r="AF1" s="5" t="s">
        <v>26</v>
      </c>
      <c r="AG1" s="2" t="s">
        <v>28</v>
      </c>
      <c r="AH1" s="3" t="s">
        <v>24</v>
      </c>
      <c r="AI1" s="3" t="s">
        <v>25</v>
      </c>
      <c r="AJ1" s="3" t="s">
        <v>26</v>
      </c>
      <c r="AK1" s="4" t="s">
        <v>29</v>
      </c>
      <c r="AL1" s="5" t="s">
        <v>24</v>
      </c>
      <c r="AM1" s="5" t="s">
        <v>25</v>
      </c>
      <c r="AN1" s="5" t="s">
        <v>26</v>
      </c>
      <c r="AO1" s="4" t="s">
        <v>214</v>
      </c>
      <c r="AP1" s="5" t="s">
        <v>24</v>
      </c>
      <c r="AQ1" s="5" t="s">
        <v>25</v>
      </c>
      <c r="AR1" s="5" t="s">
        <v>26</v>
      </c>
      <c r="AS1" s="5" t="s">
        <v>217</v>
      </c>
      <c r="AT1" s="5" t="s">
        <v>218</v>
      </c>
      <c r="AU1" s="5" t="s">
        <v>257</v>
      </c>
      <c r="AV1" s="5" t="s">
        <v>258</v>
      </c>
      <c r="AW1" s="5" t="s">
        <v>255</v>
      </c>
      <c r="AX1" s="5" t="s">
        <v>256</v>
      </c>
      <c r="AY1" s="5" t="s">
        <v>257</v>
      </c>
      <c r="AZ1" s="5" t="s">
        <v>258</v>
      </c>
      <c r="BA1" s="5" t="s">
        <v>277</v>
      </c>
      <c r="BB1" s="5" t="s">
        <v>255</v>
      </c>
      <c r="BC1" s="5" t="s">
        <v>256</v>
      </c>
      <c r="BD1" s="5" t="s">
        <v>278</v>
      </c>
      <c r="BE1" s="5" t="s">
        <v>272</v>
      </c>
      <c r="BF1" s="5" t="s">
        <v>271</v>
      </c>
      <c r="BG1" s="5" t="s">
        <v>270</v>
      </c>
      <c r="BH1" s="5" t="s">
        <v>273</v>
      </c>
    </row>
    <row r="2" spans="1:60" s="26" customFormat="1" hidden="1" x14ac:dyDescent="0.3">
      <c r="A2" s="6">
        <v>1</v>
      </c>
      <c r="B2" s="6"/>
      <c r="C2" s="7">
        <v>14</v>
      </c>
      <c r="D2" s="8" t="s">
        <v>30</v>
      </c>
      <c r="E2" s="9" t="s">
        <v>31</v>
      </c>
      <c r="F2" s="9" t="str">
        <f t="shared" ref="F2:F65" si="0">D2&amp;K2&amp;L2&amp;M2</f>
        <v>2012-118yangmai1852004OTC</v>
      </c>
      <c r="G2" s="7" t="s">
        <v>32</v>
      </c>
      <c r="H2" s="7" t="s">
        <v>33</v>
      </c>
      <c r="I2" s="7" t="s">
        <v>33</v>
      </c>
      <c r="J2" s="7" t="s">
        <v>34</v>
      </c>
      <c r="K2" s="7" t="s">
        <v>35</v>
      </c>
      <c r="L2" s="7">
        <v>2004</v>
      </c>
      <c r="M2" s="7" t="s">
        <v>36</v>
      </c>
      <c r="N2" s="7" t="s">
        <v>37</v>
      </c>
      <c r="O2" s="7" t="s">
        <v>38</v>
      </c>
      <c r="P2" s="7"/>
      <c r="Q2" s="7">
        <v>0</v>
      </c>
      <c r="R2" s="7"/>
      <c r="S2" s="7">
        <v>8</v>
      </c>
      <c r="T2" s="7">
        <f t="shared" ref="T2:T16" si="1">X2-W2+1</f>
        <v>65</v>
      </c>
      <c r="U2" s="7">
        <v>3</v>
      </c>
      <c r="V2" s="6">
        <f t="shared" ref="V2:V33" si="2">IF(T2&lt;=90,Q2,Q2/T2*90)</f>
        <v>0</v>
      </c>
      <c r="W2" s="10">
        <v>38061</v>
      </c>
      <c r="X2" s="10">
        <v>38125</v>
      </c>
      <c r="Y2" s="11">
        <f>1.29*400</f>
        <v>516</v>
      </c>
      <c r="Z2" s="6" t="s">
        <v>53</v>
      </c>
      <c r="AA2" s="6" t="s">
        <v>216</v>
      </c>
      <c r="AB2" s="6"/>
      <c r="AC2" s="11">
        <v>45.75</v>
      </c>
      <c r="AD2" s="7" t="s">
        <v>39</v>
      </c>
      <c r="AE2" s="6"/>
      <c r="AF2" s="6"/>
      <c r="AG2" s="12">
        <v>25.81</v>
      </c>
      <c r="AH2" s="7" t="s">
        <v>40</v>
      </c>
      <c r="AI2" s="6"/>
      <c r="AJ2" s="6"/>
      <c r="AK2" s="12">
        <f t="shared" ref="AK2:AK16" si="3">Y2/AC2*1000/AG2</f>
        <v>436.9890943273989</v>
      </c>
      <c r="AL2" s="7" t="s">
        <v>41</v>
      </c>
      <c r="AM2" s="6"/>
      <c r="AN2" s="6"/>
      <c r="AO2" s="12">
        <f t="shared" ref="AO2:AO48" si="4">Y2/AC2*1000</f>
        <v>11278.688524590165</v>
      </c>
      <c r="AP2" s="7" t="s">
        <v>41</v>
      </c>
      <c r="AQ2" s="6"/>
      <c r="AR2" s="6"/>
      <c r="AS2" s="31">
        <f t="shared" ref="AS2:AS16" si="5">31+53/60</f>
        <v>31.883333333333333</v>
      </c>
      <c r="AT2" s="31">
        <f t="shared" ref="AT2:AT16" si="6">121+18/60</f>
        <v>121.3</v>
      </c>
      <c r="AU2" s="27">
        <v>37909</v>
      </c>
      <c r="AV2" s="27">
        <v>38130</v>
      </c>
      <c r="AW2" s="25">
        <v>38061</v>
      </c>
      <c r="AX2" s="25">
        <v>38125</v>
      </c>
      <c r="AY2" s="28">
        <f t="shared" ref="AY2:AY40" si="7">AU2-INT(YEAR(AV2)&amp;"/1/1")+1</f>
        <v>-77</v>
      </c>
      <c r="AZ2" s="28">
        <f t="shared" ref="AZ2:AZ40" si="8">AV2-INT(YEAR(AV2)&amp;"/1/1")+1</f>
        <v>144</v>
      </c>
      <c r="BA2" s="37">
        <f t="shared" ref="BA2:BA40" si="9">AZ2-AY2+1</f>
        <v>222</v>
      </c>
      <c r="BB2" s="28">
        <f t="shared" ref="BB2:BB40" si="10">AW2-INT(YEAR(AW2)&amp;"/1/1")+1</f>
        <v>75</v>
      </c>
      <c r="BC2" s="28">
        <f t="shared" ref="BC2:BC40" si="11">AX2-INT(YEAR(AX2)&amp;"/1/1")+1</f>
        <v>139</v>
      </c>
      <c r="BD2" s="26">
        <f t="shared" ref="BD2:BD40" si="12">BC2-BB2+1</f>
        <v>65</v>
      </c>
    </row>
    <row r="3" spans="1:60" s="26" customFormat="1" hidden="1" x14ac:dyDescent="0.3">
      <c r="A3" s="6">
        <v>1</v>
      </c>
      <c r="B3" s="6"/>
      <c r="C3" s="7">
        <v>14</v>
      </c>
      <c r="D3" s="8" t="s">
        <v>30</v>
      </c>
      <c r="E3" s="9" t="s">
        <v>31</v>
      </c>
      <c r="F3" s="9" t="str">
        <f t="shared" si="0"/>
        <v>2012-118yangmai1852004OTC</v>
      </c>
      <c r="G3" s="7" t="s">
        <v>32</v>
      </c>
      <c r="H3" s="7" t="s">
        <v>33</v>
      </c>
      <c r="I3" s="7" t="s">
        <v>33</v>
      </c>
      <c r="J3" s="7" t="s">
        <v>34</v>
      </c>
      <c r="K3" s="7" t="s">
        <v>35</v>
      </c>
      <c r="L3" s="7">
        <v>2004</v>
      </c>
      <c r="M3" s="7" t="s">
        <v>36</v>
      </c>
      <c r="N3" s="7" t="s">
        <v>37</v>
      </c>
      <c r="O3" s="7" t="s">
        <v>42</v>
      </c>
      <c r="P3" s="7"/>
      <c r="Q3" s="7">
        <v>3.82</v>
      </c>
      <c r="R3" s="7"/>
      <c r="S3" s="7">
        <v>8</v>
      </c>
      <c r="T3" s="7">
        <f t="shared" si="1"/>
        <v>65</v>
      </c>
      <c r="U3" s="7">
        <v>3</v>
      </c>
      <c r="V3" s="6">
        <f t="shared" si="2"/>
        <v>3.82</v>
      </c>
      <c r="W3" s="10">
        <v>38061</v>
      </c>
      <c r="X3" s="10">
        <v>38125</v>
      </c>
      <c r="Y3" s="11">
        <f>1.41*400</f>
        <v>564</v>
      </c>
      <c r="Z3" s="6" t="s">
        <v>53</v>
      </c>
      <c r="AA3" s="6" t="s">
        <v>216</v>
      </c>
      <c r="AB3" s="6"/>
      <c r="AC3" s="11">
        <v>46.5</v>
      </c>
      <c r="AD3" s="7" t="s">
        <v>39</v>
      </c>
      <c r="AE3" s="6"/>
      <c r="AF3" s="6"/>
      <c r="AG3" s="12">
        <v>27.82</v>
      </c>
      <c r="AH3" s="7" t="s">
        <v>40</v>
      </c>
      <c r="AI3" s="6"/>
      <c r="AJ3" s="6"/>
      <c r="AK3" s="12">
        <f t="shared" si="3"/>
        <v>435.9824679390552</v>
      </c>
      <c r="AL3" s="7" t="s">
        <v>41</v>
      </c>
      <c r="AM3" s="6"/>
      <c r="AN3" s="6"/>
      <c r="AO3" s="12">
        <f t="shared" si="4"/>
        <v>12129.032258064515</v>
      </c>
      <c r="AP3" s="7" t="s">
        <v>41</v>
      </c>
      <c r="AQ3" s="6"/>
      <c r="AR3" s="6"/>
      <c r="AS3" s="31">
        <f t="shared" si="5"/>
        <v>31.883333333333333</v>
      </c>
      <c r="AT3" s="31">
        <f t="shared" si="6"/>
        <v>121.3</v>
      </c>
      <c r="AU3" s="27">
        <v>37909</v>
      </c>
      <c r="AV3" s="27">
        <v>38130</v>
      </c>
      <c r="AW3" s="25">
        <v>38061</v>
      </c>
      <c r="AX3" s="25">
        <v>38125</v>
      </c>
      <c r="AY3" s="28">
        <f t="shared" si="7"/>
        <v>-77</v>
      </c>
      <c r="AZ3" s="28">
        <f t="shared" si="8"/>
        <v>144</v>
      </c>
      <c r="BA3" s="37">
        <f t="shared" si="9"/>
        <v>222</v>
      </c>
      <c r="BB3" s="28">
        <f t="shared" si="10"/>
        <v>75</v>
      </c>
      <c r="BC3" s="28">
        <f t="shared" si="11"/>
        <v>139</v>
      </c>
      <c r="BD3" s="26">
        <f t="shared" si="12"/>
        <v>65</v>
      </c>
    </row>
    <row r="4" spans="1:60" s="26" customFormat="1" hidden="1" x14ac:dyDescent="0.3">
      <c r="A4" s="6">
        <v>1</v>
      </c>
      <c r="B4" s="6"/>
      <c r="C4" s="7">
        <v>14</v>
      </c>
      <c r="D4" s="8" t="s">
        <v>30</v>
      </c>
      <c r="E4" s="9" t="s">
        <v>31</v>
      </c>
      <c r="F4" s="9" t="str">
        <f t="shared" si="0"/>
        <v>2012-118yangmai1852004OTC</v>
      </c>
      <c r="G4" s="7" t="s">
        <v>32</v>
      </c>
      <c r="H4" s="7" t="s">
        <v>33</v>
      </c>
      <c r="I4" s="7" t="s">
        <v>33</v>
      </c>
      <c r="J4" s="7" t="s">
        <v>34</v>
      </c>
      <c r="K4" s="7" t="s">
        <v>35</v>
      </c>
      <c r="L4" s="7">
        <v>2004</v>
      </c>
      <c r="M4" s="7" t="s">
        <v>36</v>
      </c>
      <c r="N4" s="7" t="s">
        <v>37</v>
      </c>
      <c r="O4" s="7" t="s">
        <v>43</v>
      </c>
      <c r="P4" s="7"/>
      <c r="Q4" s="7">
        <v>22.61</v>
      </c>
      <c r="R4" s="7"/>
      <c r="S4" s="7">
        <v>8</v>
      </c>
      <c r="T4" s="7">
        <f t="shared" si="1"/>
        <v>65</v>
      </c>
      <c r="U4" s="7">
        <v>3</v>
      </c>
      <c r="V4" s="6">
        <f t="shared" si="2"/>
        <v>22.61</v>
      </c>
      <c r="W4" s="10">
        <v>38061</v>
      </c>
      <c r="X4" s="10">
        <v>38125</v>
      </c>
      <c r="Y4" s="11">
        <f>0.54*400</f>
        <v>216</v>
      </c>
      <c r="Z4" s="6" t="s">
        <v>53</v>
      </c>
      <c r="AA4" s="6" t="s">
        <v>216</v>
      </c>
      <c r="AB4" s="6"/>
      <c r="AC4" s="11">
        <v>27.18</v>
      </c>
      <c r="AD4" s="7" t="s">
        <v>39</v>
      </c>
      <c r="AE4" s="6"/>
      <c r="AF4" s="6"/>
      <c r="AG4" s="12">
        <v>23.37</v>
      </c>
      <c r="AH4" s="7" t="s">
        <v>40</v>
      </c>
      <c r="AI4" s="6"/>
      <c r="AJ4" s="6"/>
      <c r="AK4" s="12">
        <f t="shared" si="3"/>
        <v>340.05219801239485</v>
      </c>
      <c r="AL4" s="7" t="s">
        <v>41</v>
      </c>
      <c r="AM4" s="6"/>
      <c r="AN4" s="6"/>
      <c r="AO4" s="12">
        <f t="shared" si="4"/>
        <v>7947.0198675496686</v>
      </c>
      <c r="AP4" s="7" t="s">
        <v>41</v>
      </c>
      <c r="AQ4" s="6"/>
      <c r="AR4" s="6"/>
      <c r="AS4" s="31">
        <f t="shared" si="5"/>
        <v>31.883333333333333</v>
      </c>
      <c r="AT4" s="31">
        <f t="shared" si="6"/>
        <v>121.3</v>
      </c>
      <c r="AU4" s="27">
        <v>37909</v>
      </c>
      <c r="AV4" s="27">
        <v>38130</v>
      </c>
      <c r="AW4" s="25">
        <v>38061</v>
      </c>
      <c r="AX4" s="25">
        <v>38125</v>
      </c>
      <c r="AY4" s="28">
        <f t="shared" si="7"/>
        <v>-77</v>
      </c>
      <c r="AZ4" s="28">
        <f t="shared" si="8"/>
        <v>144</v>
      </c>
      <c r="BA4" s="37">
        <f t="shared" si="9"/>
        <v>222</v>
      </c>
      <c r="BB4" s="28">
        <f t="shared" si="10"/>
        <v>75</v>
      </c>
      <c r="BC4" s="28">
        <f t="shared" si="11"/>
        <v>139</v>
      </c>
      <c r="BD4" s="26">
        <f t="shared" si="12"/>
        <v>65</v>
      </c>
    </row>
    <row r="5" spans="1:60" s="26" customFormat="1" hidden="1" x14ac:dyDescent="0.3">
      <c r="A5" s="6">
        <v>1</v>
      </c>
      <c r="B5" s="6"/>
      <c r="C5" s="7">
        <v>14</v>
      </c>
      <c r="D5" s="8" t="s">
        <v>30</v>
      </c>
      <c r="E5" s="9" t="s">
        <v>31</v>
      </c>
      <c r="F5" s="9" t="str">
        <f t="shared" si="0"/>
        <v>2012-118jia0022006OTC</v>
      </c>
      <c r="G5" s="7" t="s">
        <v>32</v>
      </c>
      <c r="H5" s="7" t="s">
        <v>33</v>
      </c>
      <c r="I5" s="7" t="s">
        <v>33</v>
      </c>
      <c r="J5" s="7" t="s">
        <v>34</v>
      </c>
      <c r="K5" s="7" t="s">
        <v>45</v>
      </c>
      <c r="L5" s="7">
        <v>2006</v>
      </c>
      <c r="M5" s="7" t="s">
        <v>36</v>
      </c>
      <c r="N5" s="7" t="s">
        <v>37</v>
      </c>
      <c r="O5" s="7" t="s">
        <v>38</v>
      </c>
      <c r="P5" s="7"/>
      <c r="Q5" s="7">
        <v>0</v>
      </c>
      <c r="R5" s="6"/>
      <c r="S5" s="7">
        <v>8</v>
      </c>
      <c r="T5" s="7">
        <f t="shared" si="1"/>
        <v>47</v>
      </c>
      <c r="U5" s="7">
        <v>3</v>
      </c>
      <c r="V5" s="6">
        <f t="shared" si="2"/>
        <v>0</v>
      </c>
      <c r="W5" s="10">
        <v>38789</v>
      </c>
      <c r="X5" s="10">
        <v>38835</v>
      </c>
      <c r="Y5" s="11">
        <f>1.52*400</f>
        <v>608</v>
      </c>
      <c r="Z5" s="6" t="s">
        <v>53</v>
      </c>
      <c r="AA5" s="6" t="s">
        <v>216</v>
      </c>
      <c r="AB5" s="7">
        <v>7.0000000000000007E-2</v>
      </c>
      <c r="AC5" s="11">
        <v>37.43</v>
      </c>
      <c r="AD5" s="7" t="s">
        <v>39</v>
      </c>
      <c r="AE5" s="6"/>
      <c r="AF5" s="6">
        <v>1.37</v>
      </c>
      <c r="AG5" s="11">
        <v>46.9</v>
      </c>
      <c r="AH5" s="7" t="s">
        <v>40</v>
      </c>
      <c r="AI5" s="6"/>
      <c r="AJ5" s="6">
        <v>3.93</v>
      </c>
      <c r="AK5" s="12">
        <f t="shared" si="3"/>
        <v>346.34658469797495</v>
      </c>
      <c r="AL5" s="7" t="s">
        <v>41</v>
      </c>
      <c r="AM5" s="6"/>
      <c r="AN5" s="6"/>
      <c r="AO5" s="12">
        <f t="shared" si="4"/>
        <v>16243.654822335024</v>
      </c>
      <c r="AP5" s="7" t="s">
        <v>41</v>
      </c>
      <c r="AQ5" s="6"/>
      <c r="AR5" s="6"/>
      <c r="AS5" s="31">
        <f t="shared" si="5"/>
        <v>31.883333333333333</v>
      </c>
      <c r="AT5" s="31">
        <f t="shared" si="6"/>
        <v>121.3</v>
      </c>
      <c r="AU5" s="27">
        <v>38663</v>
      </c>
      <c r="AV5" s="27">
        <v>38853</v>
      </c>
      <c r="AW5" s="25">
        <v>38789</v>
      </c>
      <c r="AX5" s="25">
        <v>38835</v>
      </c>
      <c r="AY5" s="28">
        <f t="shared" si="7"/>
        <v>-54</v>
      </c>
      <c r="AZ5" s="28">
        <f t="shared" si="8"/>
        <v>136</v>
      </c>
      <c r="BA5" s="37">
        <f t="shared" si="9"/>
        <v>191</v>
      </c>
      <c r="BB5" s="28">
        <f t="shared" si="10"/>
        <v>72</v>
      </c>
      <c r="BC5" s="28">
        <f t="shared" si="11"/>
        <v>118</v>
      </c>
      <c r="BD5" s="26">
        <f t="shared" si="12"/>
        <v>47</v>
      </c>
      <c r="BF5" s="36">
        <v>38817</v>
      </c>
      <c r="BG5" s="26">
        <f>AV5-BF5+1</f>
        <v>37</v>
      </c>
      <c r="BH5" s="26" t="s">
        <v>274</v>
      </c>
    </row>
    <row r="6" spans="1:60" s="26" customFormat="1" hidden="1" x14ac:dyDescent="0.3">
      <c r="A6" s="6">
        <v>1</v>
      </c>
      <c r="B6" s="6"/>
      <c r="C6" s="7">
        <v>14</v>
      </c>
      <c r="D6" s="8" t="s">
        <v>30</v>
      </c>
      <c r="E6" s="9" t="s">
        <v>31</v>
      </c>
      <c r="F6" s="9" t="str">
        <f t="shared" si="0"/>
        <v>2012-118jia0022006OTC</v>
      </c>
      <c r="G6" s="7" t="s">
        <v>32</v>
      </c>
      <c r="H6" s="7" t="s">
        <v>33</v>
      </c>
      <c r="I6" s="7" t="s">
        <v>33</v>
      </c>
      <c r="J6" s="7" t="s">
        <v>34</v>
      </c>
      <c r="K6" s="7" t="s">
        <v>45</v>
      </c>
      <c r="L6" s="7">
        <v>2006</v>
      </c>
      <c r="M6" s="7" t="s">
        <v>36</v>
      </c>
      <c r="N6" s="7" t="s">
        <v>37</v>
      </c>
      <c r="O6" s="7" t="s">
        <v>42</v>
      </c>
      <c r="P6" s="7"/>
      <c r="Q6" s="7">
        <v>2.5</v>
      </c>
      <c r="R6" s="6"/>
      <c r="S6" s="7">
        <v>8</v>
      </c>
      <c r="T6" s="7">
        <f t="shared" si="1"/>
        <v>47</v>
      </c>
      <c r="U6" s="7">
        <v>3</v>
      </c>
      <c r="V6" s="6">
        <f t="shared" si="2"/>
        <v>2.5</v>
      </c>
      <c r="W6" s="10">
        <v>38789</v>
      </c>
      <c r="X6" s="10">
        <v>38835</v>
      </c>
      <c r="Y6" s="11">
        <f>1.35*400</f>
        <v>540</v>
      </c>
      <c r="Z6" s="6" t="s">
        <v>53</v>
      </c>
      <c r="AA6" s="6" t="s">
        <v>216</v>
      </c>
      <c r="AB6" s="7">
        <v>0.17</v>
      </c>
      <c r="AC6" s="11">
        <v>32.01</v>
      </c>
      <c r="AD6" s="7" t="s">
        <v>39</v>
      </c>
      <c r="AE6" s="6"/>
      <c r="AF6" s="6">
        <v>0.78</v>
      </c>
      <c r="AG6" s="11">
        <v>46.24</v>
      </c>
      <c r="AH6" s="7" t="s">
        <v>40</v>
      </c>
      <c r="AI6" s="6"/>
      <c r="AJ6" s="6">
        <v>4.25</v>
      </c>
      <c r="AK6" s="12">
        <f t="shared" si="3"/>
        <v>364.82976232557087</v>
      </c>
      <c r="AL6" s="7" t="s">
        <v>41</v>
      </c>
      <c r="AM6" s="6"/>
      <c r="AN6" s="6"/>
      <c r="AO6" s="12">
        <f t="shared" si="4"/>
        <v>16869.728209934397</v>
      </c>
      <c r="AP6" s="7" t="s">
        <v>41</v>
      </c>
      <c r="AQ6" s="6"/>
      <c r="AR6" s="6"/>
      <c r="AS6" s="31">
        <f t="shared" si="5"/>
        <v>31.883333333333333</v>
      </c>
      <c r="AT6" s="31">
        <f t="shared" si="6"/>
        <v>121.3</v>
      </c>
      <c r="AU6" s="27">
        <v>38663</v>
      </c>
      <c r="AV6" s="27">
        <v>38853</v>
      </c>
      <c r="AW6" s="25">
        <v>38789</v>
      </c>
      <c r="AX6" s="25">
        <v>38835</v>
      </c>
      <c r="AY6" s="28">
        <f t="shared" si="7"/>
        <v>-54</v>
      </c>
      <c r="AZ6" s="28">
        <f t="shared" si="8"/>
        <v>136</v>
      </c>
      <c r="BA6" s="37">
        <f t="shared" si="9"/>
        <v>191</v>
      </c>
      <c r="BB6" s="28">
        <f t="shared" si="10"/>
        <v>72</v>
      </c>
      <c r="BC6" s="28">
        <f t="shared" si="11"/>
        <v>118</v>
      </c>
      <c r="BD6" s="26">
        <f t="shared" si="12"/>
        <v>47</v>
      </c>
      <c r="BF6" s="36">
        <v>38817</v>
      </c>
      <c r="BG6" s="26">
        <f>AV6-BF6+1</f>
        <v>37</v>
      </c>
      <c r="BH6" s="26" t="s">
        <v>274</v>
      </c>
    </row>
    <row r="7" spans="1:60" s="26" customFormat="1" hidden="1" x14ac:dyDescent="0.3">
      <c r="A7" s="6">
        <v>1</v>
      </c>
      <c r="B7" s="6"/>
      <c r="C7" s="7">
        <v>14</v>
      </c>
      <c r="D7" s="8" t="s">
        <v>30</v>
      </c>
      <c r="E7" s="9" t="s">
        <v>31</v>
      </c>
      <c r="F7" s="9" t="str">
        <f t="shared" si="0"/>
        <v>2012-118jia0022006OTC</v>
      </c>
      <c r="G7" s="7" t="s">
        <v>32</v>
      </c>
      <c r="H7" s="7" t="s">
        <v>33</v>
      </c>
      <c r="I7" s="7" t="s">
        <v>33</v>
      </c>
      <c r="J7" s="7" t="s">
        <v>34</v>
      </c>
      <c r="K7" s="7" t="s">
        <v>45</v>
      </c>
      <c r="L7" s="7">
        <v>2006</v>
      </c>
      <c r="M7" s="7" t="s">
        <v>36</v>
      </c>
      <c r="N7" s="7" t="s">
        <v>37</v>
      </c>
      <c r="O7" s="7" t="s">
        <v>43</v>
      </c>
      <c r="P7" s="7"/>
      <c r="Q7" s="7">
        <v>14.27</v>
      </c>
      <c r="R7" s="6"/>
      <c r="S7" s="7">
        <v>8</v>
      </c>
      <c r="T7" s="7">
        <f t="shared" si="1"/>
        <v>47</v>
      </c>
      <c r="U7" s="7">
        <v>3</v>
      </c>
      <c r="V7" s="6">
        <f t="shared" si="2"/>
        <v>14.27</v>
      </c>
      <c r="W7" s="10">
        <v>38789</v>
      </c>
      <c r="X7" s="10">
        <v>38835</v>
      </c>
      <c r="Y7" s="11">
        <f>1.1*400</f>
        <v>440.00000000000006</v>
      </c>
      <c r="Z7" s="6" t="s">
        <v>53</v>
      </c>
      <c r="AA7" s="6" t="s">
        <v>216</v>
      </c>
      <c r="AB7" s="7">
        <v>0.15</v>
      </c>
      <c r="AC7" s="11">
        <v>29.71</v>
      </c>
      <c r="AD7" s="7" t="s">
        <v>39</v>
      </c>
      <c r="AE7" s="6"/>
      <c r="AF7" s="6">
        <v>1.2</v>
      </c>
      <c r="AG7" s="11">
        <v>33.5</v>
      </c>
      <c r="AH7" s="7" t="s">
        <v>40</v>
      </c>
      <c r="AI7" s="6"/>
      <c r="AJ7" s="6">
        <v>3.29</v>
      </c>
      <c r="AK7" s="12">
        <f t="shared" si="3"/>
        <v>442.08442807838964</v>
      </c>
      <c r="AL7" s="7" t="s">
        <v>41</v>
      </c>
      <c r="AM7" s="6"/>
      <c r="AN7" s="6"/>
      <c r="AO7" s="12">
        <f t="shared" si="4"/>
        <v>14809.828340626053</v>
      </c>
      <c r="AP7" s="7" t="s">
        <v>41</v>
      </c>
      <c r="AQ7" s="6"/>
      <c r="AR7" s="6"/>
      <c r="AS7" s="31">
        <f t="shared" si="5"/>
        <v>31.883333333333333</v>
      </c>
      <c r="AT7" s="31">
        <f t="shared" si="6"/>
        <v>121.3</v>
      </c>
      <c r="AU7" s="27">
        <v>38663</v>
      </c>
      <c r="AV7" s="27">
        <v>38853</v>
      </c>
      <c r="AW7" s="25">
        <v>38789</v>
      </c>
      <c r="AX7" s="25">
        <v>38835</v>
      </c>
      <c r="AY7" s="28">
        <f t="shared" si="7"/>
        <v>-54</v>
      </c>
      <c r="AZ7" s="28">
        <f t="shared" si="8"/>
        <v>136</v>
      </c>
      <c r="BA7" s="37">
        <f t="shared" si="9"/>
        <v>191</v>
      </c>
      <c r="BB7" s="28">
        <f t="shared" si="10"/>
        <v>72</v>
      </c>
      <c r="BC7" s="28">
        <f t="shared" si="11"/>
        <v>118</v>
      </c>
      <c r="BD7" s="26">
        <f t="shared" si="12"/>
        <v>47</v>
      </c>
      <c r="BF7" s="36">
        <v>38817</v>
      </c>
      <c r="BG7" s="26">
        <f>AV7-BF7+1</f>
        <v>37</v>
      </c>
      <c r="BH7" s="26" t="s">
        <v>274</v>
      </c>
    </row>
    <row r="8" spans="1:60" s="26" customFormat="1" hidden="1" x14ac:dyDescent="0.3">
      <c r="A8" s="6">
        <v>1</v>
      </c>
      <c r="B8" s="6"/>
      <c r="C8" s="7">
        <v>14</v>
      </c>
      <c r="D8" s="8" t="s">
        <v>30</v>
      </c>
      <c r="E8" s="9" t="s">
        <v>31</v>
      </c>
      <c r="F8" s="9" t="str">
        <f t="shared" si="0"/>
        <v>2012-118jia0022006OTC</v>
      </c>
      <c r="G8" s="7" t="s">
        <v>32</v>
      </c>
      <c r="H8" s="7" t="s">
        <v>33</v>
      </c>
      <c r="I8" s="7" t="s">
        <v>33</v>
      </c>
      <c r="J8" s="7" t="s">
        <v>34</v>
      </c>
      <c r="K8" s="7" t="s">
        <v>45</v>
      </c>
      <c r="L8" s="7">
        <v>2006</v>
      </c>
      <c r="M8" s="7" t="s">
        <v>36</v>
      </c>
      <c r="N8" s="7" t="s">
        <v>37</v>
      </c>
      <c r="O8" s="7" t="s">
        <v>44</v>
      </c>
      <c r="P8" s="7"/>
      <c r="Q8" s="7">
        <v>24.22</v>
      </c>
      <c r="R8" s="6"/>
      <c r="S8" s="7">
        <v>8</v>
      </c>
      <c r="T8" s="7">
        <f t="shared" si="1"/>
        <v>47</v>
      </c>
      <c r="U8" s="7">
        <v>3</v>
      </c>
      <c r="V8" s="6">
        <f t="shared" si="2"/>
        <v>24.22</v>
      </c>
      <c r="W8" s="10">
        <v>38789</v>
      </c>
      <c r="X8" s="10">
        <v>38835</v>
      </c>
      <c r="Y8" s="11">
        <f>0.91*400</f>
        <v>364</v>
      </c>
      <c r="Z8" s="6" t="s">
        <v>53</v>
      </c>
      <c r="AA8" s="6" t="s">
        <v>216</v>
      </c>
      <c r="AB8" s="7">
        <v>0.05</v>
      </c>
      <c r="AC8" s="11">
        <v>24.05</v>
      </c>
      <c r="AD8" s="7" t="s">
        <v>39</v>
      </c>
      <c r="AE8" s="6"/>
      <c r="AF8" s="6">
        <v>0.75</v>
      </c>
      <c r="AG8" s="11">
        <v>24.13</v>
      </c>
      <c r="AH8" s="7" t="s">
        <v>40</v>
      </c>
      <c r="AI8" s="6"/>
      <c r="AJ8" s="6">
        <v>3.75</v>
      </c>
      <c r="AK8" s="12">
        <f t="shared" si="3"/>
        <v>627.23311790862556</v>
      </c>
      <c r="AL8" s="7" t="s">
        <v>41</v>
      </c>
      <c r="AM8" s="6"/>
      <c r="AN8" s="6"/>
      <c r="AO8" s="12">
        <f t="shared" si="4"/>
        <v>15135.135135135135</v>
      </c>
      <c r="AP8" s="7" t="s">
        <v>41</v>
      </c>
      <c r="AQ8" s="6"/>
      <c r="AR8" s="6"/>
      <c r="AS8" s="31">
        <f t="shared" si="5"/>
        <v>31.883333333333333</v>
      </c>
      <c r="AT8" s="31">
        <f t="shared" si="6"/>
        <v>121.3</v>
      </c>
      <c r="AU8" s="27">
        <v>38663</v>
      </c>
      <c r="AV8" s="27">
        <v>38853</v>
      </c>
      <c r="AW8" s="25">
        <v>38789</v>
      </c>
      <c r="AX8" s="25">
        <v>38835</v>
      </c>
      <c r="AY8" s="28">
        <f t="shared" si="7"/>
        <v>-54</v>
      </c>
      <c r="AZ8" s="28">
        <f t="shared" si="8"/>
        <v>136</v>
      </c>
      <c r="BA8" s="37">
        <f t="shared" si="9"/>
        <v>191</v>
      </c>
      <c r="BB8" s="28">
        <f t="shared" si="10"/>
        <v>72</v>
      </c>
      <c r="BC8" s="28">
        <f t="shared" si="11"/>
        <v>118</v>
      </c>
      <c r="BD8" s="26">
        <f t="shared" si="12"/>
        <v>47</v>
      </c>
      <c r="BF8" s="36">
        <v>38817</v>
      </c>
      <c r="BG8" s="26">
        <f>AV8-BF8+1</f>
        <v>37</v>
      </c>
      <c r="BH8" s="26" t="s">
        <v>274</v>
      </c>
    </row>
    <row r="9" spans="1:60" s="26" customFormat="1" hidden="1" x14ac:dyDescent="0.3">
      <c r="A9" s="6">
        <v>1</v>
      </c>
      <c r="B9" s="6"/>
      <c r="C9" s="7">
        <v>14</v>
      </c>
      <c r="D9" s="8" t="s">
        <v>30</v>
      </c>
      <c r="E9" s="9" t="s">
        <v>31</v>
      </c>
      <c r="F9" s="9" t="str">
        <f t="shared" si="0"/>
        <v>2012-118jia0022007OTC</v>
      </c>
      <c r="G9" s="7" t="s">
        <v>32</v>
      </c>
      <c r="H9" s="7" t="s">
        <v>33</v>
      </c>
      <c r="I9" s="7" t="s">
        <v>33</v>
      </c>
      <c r="J9" s="7" t="s">
        <v>34</v>
      </c>
      <c r="K9" s="7" t="s">
        <v>45</v>
      </c>
      <c r="L9" s="6">
        <v>2007</v>
      </c>
      <c r="M9" s="7" t="s">
        <v>36</v>
      </c>
      <c r="N9" s="7" t="s">
        <v>37</v>
      </c>
      <c r="O9" s="7" t="s">
        <v>38</v>
      </c>
      <c r="P9" s="7"/>
      <c r="Q9" s="7">
        <v>0</v>
      </c>
      <c r="R9" s="6"/>
      <c r="S9" s="7">
        <v>8</v>
      </c>
      <c r="T9" s="7">
        <f t="shared" si="1"/>
        <v>55</v>
      </c>
      <c r="U9" s="7">
        <v>3</v>
      </c>
      <c r="V9" s="6">
        <f t="shared" si="2"/>
        <v>0</v>
      </c>
      <c r="W9" s="10">
        <v>39167</v>
      </c>
      <c r="X9" s="10">
        <v>39221</v>
      </c>
      <c r="Y9" s="11">
        <f>1.65*400</f>
        <v>660</v>
      </c>
      <c r="Z9" s="6" t="s">
        <v>53</v>
      </c>
      <c r="AA9" s="6" t="s">
        <v>216</v>
      </c>
      <c r="AB9" s="7">
        <v>0.37</v>
      </c>
      <c r="AC9" s="11">
        <v>43.62</v>
      </c>
      <c r="AD9" s="7" t="s">
        <v>39</v>
      </c>
      <c r="AE9" s="6"/>
      <c r="AF9" s="6">
        <v>1.9</v>
      </c>
      <c r="AG9" s="11">
        <v>39.409999999999997</v>
      </c>
      <c r="AH9" s="7" t="s">
        <v>40</v>
      </c>
      <c r="AI9" s="6"/>
      <c r="AJ9" s="6">
        <v>4.03</v>
      </c>
      <c r="AK9" s="12">
        <f t="shared" si="3"/>
        <v>383.92981483763089</v>
      </c>
      <c r="AL9" s="7" t="s">
        <v>41</v>
      </c>
      <c r="AM9" s="6"/>
      <c r="AN9" s="6"/>
      <c r="AO9" s="12">
        <f t="shared" si="4"/>
        <v>15130.674002751031</v>
      </c>
      <c r="AP9" s="7" t="s">
        <v>41</v>
      </c>
      <c r="AQ9" s="6"/>
      <c r="AR9" s="6"/>
      <c r="AS9" s="31">
        <f t="shared" si="5"/>
        <v>31.883333333333333</v>
      </c>
      <c r="AT9" s="31">
        <f t="shared" si="6"/>
        <v>121.3</v>
      </c>
      <c r="AU9" s="27">
        <v>39036</v>
      </c>
      <c r="AV9" s="27">
        <v>39230</v>
      </c>
      <c r="AW9" s="25">
        <v>39167</v>
      </c>
      <c r="AX9" s="25">
        <v>39221</v>
      </c>
      <c r="AY9" s="28">
        <f t="shared" si="7"/>
        <v>-46</v>
      </c>
      <c r="AZ9" s="28">
        <f t="shared" si="8"/>
        <v>148</v>
      </c>
      <c r="BA9" s="37">
        <f t="shared" si="9"/>
        <v>195</v>
      </c>
      <c r="BB9" s="28">
        <f t="shared" si="10"/>
        <v>85</v>
      </c>
      <c r="BC9" s="28">
        <f t="shared" si="11"/>
        <v>139</v>
      </c>
      <c r="BD9" s="26">
        <f t="shared" si="12"/>
        <v>55</v>
      </c>
    </row>
    <row r="10" spans="1:60" s="26" customFormat="1" hidden="1" x14ac:dyDescent="0.3">
      <c r="A10" s="6">
        <v>1</v>
      </c>
      <c r="B10" s="6"/>
      <c r="C10" s="7">
        <v>14</v>
      </c>
      <c r="D10" s="8" t="s">
        <v>30</v>
      </c>
      <c r="E10" s="9" t="s">
        <v>31</v>
      </c>
      <c r="F10" s="9" t="str">
        <f t="shared" si="0"/>
        <v>2012-118jia0022007OTC</v>
      </c>
      <c r="G10" s="7" t="s">
        <v>32</v>
      </c>
      <c r="H10" s="7" t="s">
        <v>33</v>
      </c>
      <c r="I10" s="7" t="s">
        <v>33</v>
      </c>
      <c r="J10" s="7" t="s">
        <v>34</v>
      </c>
      <c r="K10" s="7" t="s">
        <v>45</v>
      </c>
      <c r="L10" s="6">
        <v>2007</v>
      </c>
      <c r="M10" s="7" t="s">
        <v>36</v>
      </c>
      <c r="N10" s="7" t="s">
        <v>37</v>
      </c>
      <c r="O10" s="7" t="s">
        <v>42</v>
      </c>
      <c r="P10" s="7"/>
      <c r="Q10" s="7">
        <v>0.21</v>
      </c>
      <c r="R10" s="6"/>
      <c r="S10" s="7">
        <v>8</v>
      </c>
      <c r="T10" s="7">
        <f t="shared" si="1"/>
        <v>55</v>
      </c>
      <c r="U10" s="7">
        <v>3</v>
      </c>
      <c r="V10" s="6">
        <f t="shared" si="2"/>
        <v>0.21</v>
      </c>
      <c r="W10" s="10">
        <v>39167</v>
      </c>
      <c r="X10" s="10">
        <v>39221</v>
      </c>
      <c r="Y10" s="11">
        <f>1.61*400</f>
        <v>644</v>
      </c>
      <c r="Z10" s="6" t="s">
        <v>53</v>
      </c>
      <c r="AA10" s="6" t="s">
        <v>216</v>
      </c>
      <c r="AB10" s="7">
        <v>0.4</v>
      </c>
      <c r="AC10" s="11">
        <v>42.16</v>
      </c>
      <c r="AD10" s="7" t="s">
        <v>39</v>
      </c>
      <c r="AE10" s="6"/>
      <c r="AF10" s="6">
        <v>0.73</v>
      </c>
      <c r="AG10" s="11">
        <v>40.58</v>
      </c>
      <c r="AH10" s="7" t="s">
        <v>40</v>
      </c>
      <c r="AI10" s="6"/>
      <c r="AJ10" s="6">
        <v>7.5</v>
      </c>
      <c r="AK10" s="12">
        <f t="shared" si="3"/>
        <v>376.42046118754348</v>
      </c>
      <c r="AL10" s="7" t="s">
        <v>41</v>
      </c>
      <c r="AM10" s="6"/>
      <c r="AN10" s="6"/>
      <c r="AO10" s="12">
        <f t="shared" si="4"/>
        <v>15275.142314990515</v>
      </c>
      <c r="AP10" s="7" t="s">
        <v>41</v>
      </c>
      <c r="AQ10" s="6"/>
      <c r="AR10" s="6"/>
      <c r="AS10" s="31">
        <f t="shared" si="5"/>
        <v>31.883333333333333</v>
      </c>
      <c r="AT10" s="31">
        <f t="shared" si="6"/>
        <v>121.3</v>
      </c>
      <c r="AU10" s="27">
        <v>39036</v>
      </c>
      <c r="AV10" s="27">
        <v>39230</v>
      </c>
      <c r="AW10" s="25">
        <v>39167</v>
      </c>
      <c r="AX10" s="25">
        <v>39221</v>
      </c>
      <c r="AY10" s="28">
        <f t="shared" si="7"/>
        <v>-46</v>
      </c>
      <c r="AZ10" s="28">
        <f t="shared" si="8"/>
        <v>148</v>
      </c>
      <c r="BA10" s="37">
        <f t="shared" si="9"/>
        <v>195</v>
      </c>
      <c r="BB10" s="28">
        <f t="shared" si="10"/>
        <v>85</v>
      </c>
      <c r="BC10" s="28">
        <f t="shared" si="11"/>
        <v>139</v>
      </c>
      <c r="BD10" s="26">
        <f t="shared" si="12"/>
        <v>55</v>
      </c>
    </row>
    <row r="11" spans="1:60" s="26" customFormat="1" hidden="1" x14ac:dyDescent="0.3">
      <c r="A11" s="6">
        <v>1</v>
      </c>
      <c r="B11" s="6"/>
      <c r="C11" s="7">
        <v>14</v>
      </c>
      <c r="D11" s="8" t="s">
        <v>30</v>
      </c>
      <c r="E11" s="9" t="s">
        <v>31</v>
      </c>
      <c r="F11" s="9" t="str">
        <f t="shared" si="0"/>
        <v>2012-118jia0022007OTC</v>
      </c>
      <c r="G11" s="7" t="s">
        <v>32</v>
      </c>
      <c r="H11" s="7" t="s">
        <v>33</v>
      </c>
      <c r="I11" s="7" t="s">
        <v>33</v>
      </c>
      <c r="J11" s="7" t="s">
        <v>34</v>
      </c>
      <c r="K11" s="7" t="s">
        <v>45</v>
      </c>
      <c r="L11" s="6">
        <v>2007</v>
      </c>
      <c r="M11" s="7" t="s">
        <v>36</v>
      </c>
      <c r="N11" s="7" t="s">
        <v>37</v>
      </c>
      <c r="O11" s="7" t="s">
        <v>43</v>
      </c>
      <c r="P11" s="7"/>
      <c r="Q11" s="7">
        <v>1.58</v>
      </c>
      <c r="R11" s="6"/>
      <c r="S11" s="7">
        <v>8</v>
      </c>
      <c r="T11" s="7">
        <f t="shared" si="1"/>
        <v>55</v>
      </c>
      <c r="U11" s="7">
        <v>3</v>
      </c>
      <c r="V11" s="6">
        <f t="shared" si="2"/>
        <v>1.58</v>
      </c>
      <c r="W11" s="10">
        <v>39167</v>
      </c>
      <c r="X11" s="10">
        <v>39221</v>
      </c>
      <c r="Y11" s="11">
        <f>1.51*400</f>
        <v>604</v>
      </c>
      <c r="Z11" s="6" t="s">
        <v>53</v>
      </c>
      <c r="AA11" s="6" t="s">
        <v>216</v>
      </c>
      <c r="AB11" s="7">
        <v>0.33</v>
      </c>
      <c r="AC11" s="11">
        <v>41.74</v>
      </c>
      <c r="AD11" s="7" t="s">
        <v>39</v>
      </c>
      <c r="AE11" s="6"/>
      <c r="AF11" s="6">
        <v>0.49</v>
      </c>
      <c r="AG11" s="11">
        <v>36.590000000000003</v>
      </c>
      <c r="AH11" s="7" t="s">
        <v>40</v>
      </c>
      <c r="AI11" s="6"/>
      <c r="AJ11" s="6">
        <v>4.03</v>
      </c>
      <c r="AK11" s="12">
        <f t="shared" si="3"/>
        <v>395.47777709536757</v>
      </c>
      <c r="AL11" s="7" t="s">
        <v>41</v>
      </c>
      <c r="AM11" s="6"/>
      <c r="AN11" s="6"/>
      <c r="AO11" s="12">
        <f t="shared" si="4"/>
        <v>14470.531863919501</v>
      </c>
      <c r="AP11" s="7" t="s">
        <v>41</v>
      </c>
      <c r="AQ11" s="6"/>
      <c r="AR11" s="6"/>
      <c r="AS11" s="31">
        <f t="shared" si="5"/>
        <v>31.883333333333333</v>
      </c>
      <c r="AT11" s="31">
        <f t="shared" si="6"/>
        <v>121.3</v>
      </c>
      <c r="AU11" s="27">
        <v>39036</v>
      </c>
      <c r="AV11" s="27">
        <v>39230</v>
      </c>
      <c r="AW11" s="25">
        <v>39167</v>
      </c>
      <c r="AX11" s="25">
        <v>39221</v>
      </c>
      <c r="AY11" s="28">
        <f t="shared" si="7"/>
        <v>-46</v>
      </c>
      <c r="AZ11" s="28">
        <f t="shared" si="8"/>
        <v>148</v>
      </c>
      <c r="BA11" s="37">
        <f t="shared" si="9"/>
        <v>195</v>
      </c>
      <c r="BB11" s="28">
        <f t="shared" si="10"/>
        <v>85</v>
      </c>
      <c r="BC11" s="28">
        <f t="shared" si="11"/>
        <v>139</v>
      </c>
      <c r="BD11" s="26">
        <f t="shared" si="12"/>
        <v>55</v>
      </c>
    </row>
    <row r="12" spans="1:60" s="26" customFormat="1" hidden="1" x14ac:dyDescent="0.3">
      <c r="A12" s="6">
        <v>1</v>
      </c>
      <c r="B12" s="6"/>
      <c r="C12" s="7">
        <v>14</v>
      </c>
      <c r="D12" s="8" t="s">
        <v>30</v>
      </c>
      <c r="E12" s="9" t="s">
        <v>31</v>
      </c>
      <c r="F12" s="9" t="str">
        <f t="shared" si="0"/>
        <v>2012-118jia0022007OTC</v>
      </c>
      <c r="G12" s="7" t="s">
        <v>32</v>
      </c>
      <c r="H12" s="7" t="s">
        <v>33</v>
      </c>
      <c r="I12" s="7" t="s">
        <v>33</v>
      </c>
      <c r="J12" s="7" t="s">
        <v>34</v>
      </c>
      <c r="K12" s="7" t="s">
        <v>45</v>
      </c>
      <c r="L12" s="6">
        <v>2007</v>
      </c>
      <c r="M12" s="7" t="s">
        <v>36</v>
      </c>
      <c r="N12" s="7" t="s">
        <v>37</v>
      </c>
      <c r="O12" s="7" t="s">
        <v>44</v>
      </c>
      <c r="P12" s="7"/>
      <c r="Q12" s="7">
        <v>9.17</v>
      </c>
      <c r="R12" s="6"/>
      <c r="S12" s="7">
        <v>8</v>
      </c>
      <c r="T12" s="7">
        <f t="shared" si="1"/>
        <v>55</v>
      </c>
      <c r="U12" s="7">
        <v>3</v>
      </c>
      <c r="V12" s="6">
        <f t="shared" si="2"/>
        <v>9.17</v>
      </c>
      <c r="W12" s="10">
        <v>39167</v>
      </c>
      <c r="X12" s="10">
        <v>39221</v>
      </c>
      <c r="Y12" s="11">
        <f>0.99*400</f>
        <v>396</v>
      </c>
      <c r="Z12" s="6" t="s">
        <v>53</v>
      </c>
      <c r="AA12" s="6" t="s">
        <v>216</v>
      </c>
      <c r="AB12" s="7">
        <v>0.26</v>
      </c>
      <c r="AC12" s="11">
        <v>25.63</v>
      </c>
      <c r="AD12" s="7" t="s">
        <v>39</v>
      </c>
      <c r="AE12" s="6"/>
      <c r="AF12" s="6">
        <v>1.03</v>
      </c>
      <c r="AG12" s="11">
        <v>32.39</v>
      </c>
      <c r="AH12" s="7" t="s">
        <v>40</v>
      </c>
      <c r="AI12" s="6"/>
      <c r="AJ12" s="6">
        <v>5.22</v>
      </c>
      <c r="AK12" s="12">
        <f t="shared" si="3"/>
        <v>477.01894957777199</v>
      </c>
      <c r="AL12" s="7" t="s">
        <v>41</v>
      </c>
      <c r="AM12" s="6"/>
      <c r="AN12" s="6"/>
      <c r="AO12" s="12">
        <f t="shared" si="4"/>
        <v>15450.643776824036</v>
      </c>
      <c r="AP12" s="7" t="s">
        <v>41</v>
      </c>
      <c r="AQ12" s="6"/>
      <c r="AR12" s="6"/>
      <c r="AS12" s="31">
        <f t="shared" si="5"/>
        <v>31.883333333333333</v>
      </c>
      <c r="AT12" s="31">
        <f t="shared" si="6"/>
        <v>121.3</v>
      </c>
      <c r="AU12" s="27">
        <v>39036</v>
      </c>
      <c r="AV12" s="27">
        <v>39230</v>
      </c>
      <c r="AW12" s="25">
        <v>39167</v>
      </c>
      <c r="AX12" s="25">
        <v>39221</v>
      </c>
      <c r="AY12" s="28">
        <f t="shared" si="7"/>
        <v>-46</v>
      </c>
      <c r="AZ12" s="28">
        <f t="shared" si="8"/>
        <v>148</v>
      </c>
      <c r="BA12" s="37">
        <f t="shared" si="9"/>
        <v>195</v>
      </c>
      <c r="BB12" s="28">
        <f t="shared" si="10"/>
        <v>85</v>
      </c>
      <c r="BC12" s="28">
        <f t="shared" si="11"/>
        <v>139</v>
      </c>
      <c r="BD12" s="26">
        <f t="shared" si="12"/>
        <v>55</v>
      </c>
    </row>
    <row r="13" spans="1:60" s="26" customFormat="1" hidden="1" x14ac:dyDescent="0.3">
      <c r="A13" s="6">
        <v>1</v>
      </c>
      <c r="B13" s="6"/>
      <c r="C13" s="7">
        <v>14</v>
      </c>
      <c r="D13" s="8" t="s">
        <v>30</v>
      </c>
      <c r="E13" s="9" t="s">
        <v>31</v>
      </c>
      <c r="F13" s="9" t="str">
        <f t="shared" si="0"/>
        <v>2012-118jia0022008OTC</v>
      </c>
      <c r="G13" s="7" t="s">
        <v>32</v>
      </c>
      <c r="H13" s="7" t="s">
        <v>33</v>
      </c>
      <c r="I13" s="7" t="s">
        <v>33</v>
      </c>
      <c r="J13" s="7" t="s">
        <v>34</v>
      </c>
      <c r="K13" s="7" t="s">
        <v>45</v>
      </c>
      <c r="L13" s="6">
        <v>2008</v>
      </c>
      <c r="M13" s="7" t="s">
        <v>36</v>
      </c>
      <c r="N13" s="7" t="s">
        <v>37</v>
      </c>
      <c r="O13" s="7" t="s">
        <v>38</v>
      </c>
      <c r="P13" s="7"/>
      <c r="Q13" s="7">
        <v>0.1</v>
      </c>
      <c r="R13" s="6"/>
      <c r="S13" s="7">
        <v>8</v>
      </c>
      <c r="T13" s="7">
        <f t="shared" si="1"/>
        <v>55</v>
      </c>
      <c r="U13" s="7">
        <v>3</v>
      </c>
      <c r="V13" s="6">
        <f t="shared" si="2"/>
        <v>0.1</v>
      </c>
      <c r="W13" s="10">
        <v>39527</v>
      </c>
      <c r="X13" s="10">
        <v>39581</v>
      </c>
      <c r="Y13" s="11">
        <f>1.57*400</f>
        <v>628</v>
      </c>
      <c r="Z13" s="6" t="s">
        <v>53</v>
      </c>
      <c r="AA13" s="6" t="s">
        <v>216</v>
      </c>
      <c r="AB13" s="7">
        <v>0.11</v>
      </c>
      <c r="AC13" s="11">
        <v>43.05</v>
      </c>
      <c r="AD13" s="7" t="s">
        <v>39</v>
      </c>
      <c r="AE13" s="6"/>
      <c r="AF13" s="6">
        <v>2.98</v>
      </c>
      <c r="AG13" s="11">
        <v>36.549999999999997</v>
      </c>
      <c r="AH13" s="7" t="s">
        <v>40</v>
      </c>
      <c r="AI13" s="6"/>
      <c r="AJ13" s="6">
        <v>1.33</v>
      </c>
      <c r="AK13" s="12">
        <f t="shared" si="3"/>
        <v>399.11597083529955</v>
      </c>
      <c r="AL13" s="7" t="s">
        <v>41</v>
      </c>
      <c r="AM13" s="6"/>
      <c r="AN13" s="6"/>
      <c r="AO13" s="12">
        <f t="shared" si="4"/>
        <v>14587.688734030198</v>
      </c>
      <c r="AP13" s="7" t="s">
        <v>41</v>
      </c>
      <c r="AQ13" s="6"/>
      <c r="AR13" s="6"/>
      <c r="AS13" s="31">
        <f t="shared" si="5"/>
        <v>31.883333333333333</v>
      </c>
      <c r="AT13" s="31">
        <f t="shared" si="6"/>
        <v>121.3</v>
      </c>
      <c r="AU13" s="27">
        <v>39404</v>
      </c>
      <c r="AV13" s="27">
        <v>39599</v>
      </c>
      <c r="AW13" s="25">
        <v>39527</v>
      </c>
      <c r="AX13" s="25">
        <v>39581</v>
      </c>
      <c r="AY13" s="28">
        <f t="shared" si="7"/>
        <v>-43</v>
      </c>
      <c r="AZ13" s="28">
        <f t="shared" si="8"/>
        <v>152</v>
      </c>
      <c r="BA13" s="37">
        <f t="shared" si="9"/>
        <v>196</v>
      </c>
      <c r="BB13" s="28">
        <f t="shared" si="10"/>
        <v>80</v>
      </c>
      <c r="BC13" s="28">
        <f t="shared" si="11"/>
        <v>134</v>
      </c>
      <c r="BD13" s="26">
        <f t="shared" si="12"/>
        <v>55</v>
      </c>
    </row>
    <row r="14" spans="1:60" s="26" customFormat="1" hidden="1" x14ac:dyDescent="0.3">
      <c r="A14" s="6">
        <v>1</v>
      </c>
      <c r="B14" s="6"/>
      <c r="C14" s="7">
        <v>14</v>
      </c>
      <c r="D14" s="8" t="s">
        <v>30</v>
      </c>
      <c r="E14" s="9" t="s">
        <v>31</v>
      </c>
      <c r="F14" s="9" t="str">
        <f t="shared" si="0"/>
        <v>2012-118jia0022008OTC</v>
      </c>
      <c r="G14" s="7" t="s">
        <v>32</v>
      </c>
      <c r="H14" s="7" t="s">
        <v>33</v>
      </c>
      <c r="I14" s="7" t="s">
        <v>33</v>
      </c>
      <c r="J14" s="7" t="s">
        <v>34</v>
      </c>
      <c r="K14" s="7" t="s">
        <v>45</v>
      </c>
      <c r="L14" s="6">
        <v>2008</v>
      </c>
      <c r="M14" s="7" t="s">
        <v>36</v>
      </c>
      <c r="N14" s="7" t="s">
        <v>37</v>
      </c>
      <c r="O14" s="7" t="s">
        <v>42</v>
      </c>
      <c r="P14" s="7"/>
      <c r="Q14" s="7">
        <v>0.15</v>
      </c>
      <c r="R14" s="6"/>
      <c r="S14" s="7">
        <v>8</v>
      </c>
      <c r="T14" s="7">
        <f t="shared" si="1"/>
        <v>55</v>
      </c>
      <c r="U14" s="7">
        <v>3</v>
      </c>
      <c r="V14" s="6">
        <f t="shared" si="2"/>
        <v>0.15</v>
      </c>
      <c r="W14" s="10">
        <v>39527</v>
      </c>
      <c r="X14" s="10">
        <v>39581</v>
      </c>
      <c r="Y14" s="11">
        <f>1.55*400</f>
        <v>620</v>
      </c>
      <c r="Z14" s="6" t="s">
        <v>53</v>
      </c>
      <c r="AA14" s="6" t="s">
        <v>216</v>
      </c>
      <c r="AB14" s="7">
        <v>0.04</v>
      </c>
      <c r="AC14" s="11">
        <v>44.69</v>
      </c>
      <c r="AD14" s="7" t="s">
        <v>39</v>
      </c>
      <c r="AE14" s="6"/>
      <c r="AF14" s="6">
        <v>1.67</v>
      </c>
      <c r="AG14" s="11">
        <v>35.5</v>
      </c>
      <c r="AH14" s="7" t="s">
        <v>40</v>
      </c>
      <c r="AI14" s="6"/>
      <c r="AJ14" s="6">
        <v>1.59</v>
      </c>
      <c r="AK14" s="12">
        <f t="shared" si="3"/>
        <v>390.79858430061233</v>
      </c>
      <c r="AL14" s="7" t="s">
        <v>41</v>
      </c>
      <c r="AM14" s="6"/>
      <c r="AN14" s="6"/>
      <c r="AO14" s="12">
        <f t="shared" si="4"/>
        <v>13873.349742671739</v>
      </c>
      <c r="AP14" s="7" t="s">
        <v>41</v>
      </c>
      <c r="AQ14" s="6"/>
      <c r="AR14" s="6"/>
      <c r="AS14" s="31">
        <f t="shared" si="5"/>
        <v>31.883333333333333</v>
      </c>
      <c r="AT14" s="31">
        <f t="shared" si="6"/>
        <v>121.3</v>
      </c>
      <c r="AU14" s="27">
        <v>39404</v>
      </c>
      <c r="AV14" s="27">
        <v>39599</v>
      </c>
      <c r="AW14" s="25">
        <v>39527</v>
      </c>
      <c r="AX14" s="25">
        <v>39581</v>
      </c>
      <c r="AY14" s="28">
        <f t="shared" si="7"/>
        <v>-43</v>
      </c>
      <c r="AZ14" s="28">
        <f t="shared" si="8"/>
        <v>152</v>
      </c>
      <c r="BA14" s="37">
        <f t="shared" si="9"/>
        <v>196</v>
      </c>
      <c r="BB14" s="28">
        <f t="shared" si="10"/>
        <v>80</v>
      </c>
      <c r="BC14" s="28">
        <f t="shared" si="11"/>
        <v>134</v>
      </c>
      <c r="BD14" s="26">
        <f t="shared" si="12"/>
        <v>55</v>
      </c>
    </row>
    <row r="15" spans="1:60" s="26" customFormat="1" hidden="1" x14ac:dyDescent="0.3">
      <c r="A15" s="6">
        <v>1</v>
      </c>
      <c r="B15" s="6"/>
      <c r="C15" s="7">
        <v>14</v>
      </c>
      <c r="D15" s="8" t="s">
        <v>30</v>
      </c>
      <c r="E15" s="9" t="s">
        <v>31</v>
      </c>
      <c r="F15" s="9" t="str">
        <f t="shared" si="0"/>
        <v>2012-118jia0022008OTC</v>
      </c>
      <c r="G15" s="7" t="s">
        <v>32</v>
      </c>
      <c r="H15" s="7" t="s">
        <v>33</v>
      </c>
      <c r="I15" s="7" t="s">
        <v>33</v>
      </c>
      <c r="J15" s="7" t="s">
        <v>34</v>
      </c>
      <c r="K15" s="7" t="s">
        <v>45</v>
      </c>
      <c r="L15" s="6">
        <v>2008</v>
      </c>
      <c r="M15" s="7" t="s">
        <v>36</v>
      </c>
      <c r="N15" s="7" t="s">
        <v>37</v>
      </c>
      <c r="O15" s="7" t="s">
        <v>43</v>
      </c>
      <c r="P15" s="7"/>
      <c r="Q15" s="7">
        <v>15.32</v>
      </c>
      <c r="R15" s="6"/>
      <c r="S15" s="7">
        <v>8</v>
      </c>
      <c r="T15" s="7">
        <f t="shared" si="1"/>
        <v>55</v>
      </c>
      <c r="U15" s="7">
        <v>3</v>
      </c>
      <c r="V15" s="6">
        <f t="shared" si="2"/>
        <v>15.32</v>
      </c>
      <c r="W15" s="10">
        <v>39527</v>
      </c>
      <c r="X15" s="10">
        <v>39581</v>
      </c>
      <c r="Y15" s="11">
        <f>0.86*400</f>
        <v>344</v>
      </c>
      <c r="Z15" s="6" t="s">
        <v>53</v>
      </c>
      <c r="AA15" s="6" t="s">
        <v>216</v>
      </c>
      <c r="AB15" s="7">
        <v>0.15</v>
      </c>
      <c r="AC15" s="11">
        <v>31.25</v>
      </c>
      <c r="AD15" s="7" t="s">
        <v>39</v>
      </c>
      <c r="AE15" s="6"/>
      <c r="AF15" s="6">
        <v>2.74</v>
      </c>
      <c r="AG15" s="11">
        <v>27.49</v>
      </c>
      <c r="AH15" s="7" t="s">
        <v>40</v>
      </c>
      <c r="AI15" s="6"/>
      <c r="AJ15" s="6">
        <v>4.55</v>
      </c>
      <c r="AK15" s="12">
        <f t="shared" si="3"/>
        <v>400.43652237177156</v>
      </c>
      <c r="AL15" s="7" t="s">
        <v>41</v>
      </c>
      <c r="AM15" s="6"/>
      <c r="AN15" s="6"/>
      <c r="AO15" s="12">
        <f t="shared" si="4"/>
        <v>11008</v>
      </c>
      <c r="AP15" s="7" t="s">
        <v>41</v>
      </c>
      <c r="AQ15" s="6"/>
      <c r="AR15" s="6"/>
      <c r="AS15" s="31">
        <f t="shared" si="5"/>
        <v>31.883333333333333</v>
      </c>
      <c r="AT15" s="31">
        <f t="shared" si="6"/>
        <v>121.3</v>
      </c>
      <c r="AU15" s="27">
        <v>39404</v>
      </c>
      <c r="AV15" s="27">
        <v>39599</v>
      </c>
      <c r="AW15" s="25">
        <v>39527</v>
      </c>
      <c r="AX15" s="25">
        <v>39581</v>
      </c>
      <c r="AY15" s="28">
        <f t="shared" si="7"/>
        <v>-43</v>
      </c>
      <c r="AZ15" s="28">
        <f t="shared" si="8"/>
        <v>152</v>
      </c>
      <c r="BA15" s="37">
        <f t="shared" si="9"/>
        <v>196</v>
      </c>
      <c r="BB15" s="28">
        <f t="shared" si="10"/>
        <v>80</v>
      </c>
      <c r="BC15" s="28">
        <f t="shared" si="11"/>
        <v>134</v>
      </c>
      <c r="BD15" s="26">
        <f t="shared" si="12"/>
        <v>55</v>
      </c>
    </row>
    <row r="16" spans="1:60" s="26" customFormat="1" hidden="1" x14ac:dyDescent="0.3">
      <c r="A16" s="6">
        <v>1</v>
      </c>
      <c r="B16" s="6"/>
      <c r="C16" s="7">
        <v>14</v>
      </c>
      <c r="D16" s="8" t="s">
        <v>30</v>
      </c>
      <c r="E16" s="9" t="s">
        <v>31</v>
      </c>
      <c r="F16" s="9" t="str">
        <f t="shared" si="0"/>
        <v>2012-118jia0022008OTC</v>
      </c>
      <c r="G16" s="7" t="s">
        <v>32</v>
      </c>
      <c r="H16" s="7" t="s">
        <v>33</v>
      </c>
      <c r="I16" s="7" t="s">
        <v>33</v>
      </c>
      <c r="J16" s="7" t="s">
        <v>34</v>
      </c>
      <c r="K16" s="7" t="s">
        <v>45</v>
      </c>
      <c r="L16" s="6">
        <v>2008</v>
      </c>
      <c r="M16" s="7" t="s">
        <v>36</v>
      </c>
      <c r="N16" s="7" t="s">
        <v>37</v>
      </c>
      <c r="O16" s="7" t="s">
        <v>44</v>
      </c>
      <c r="P16" s="7"/>
      <c r="Q16" s="7">
        <v>27.67</v>
      </c>
      <c r="R16" s="6"/>
      <c r="S16" s="7">
        <v>8</v>
      </c>
      <c r="T16" s="7">
        <f t="shared" si="1"/>
        <v>55</v>
      </c>
      <c r="U16" s="7">
        <v>3</v>
      </c>
      <c r="V16" s="6">
        <f t="shared" si="2"/>
        <v>27.67</v>
      </c>
      <c r="W16" s="10">
        <v>39527</v>
      </c>
      <c r="X16" s="10">
        <v>39581</v>
      </c>
      <c r="Y16" s="11">
        <f>0.58*400</f>
        <v>231.99999999999997</v>
      </c>
      <c r="Z16" s="6" t="s">
        <v>53</v>
      </c>
      <c r="AA16" s="6" t="s">
        <v>216</v>
      </c>
      <c r="AB16" s="7">
        <v>0.02</v>
      </c>
      <c r="AC16" s="11">
        <v>27.25</v>
      </c>
      <c r="AD16" s="7" t="s">
        <v>39</v>
      </c>
      <c r="AE16" s="6"/>
      <c r="AF16" s="6">
        <v>2.34</v>
      </c>
      <c r="AG16" s="11">
        <v>21.44</v>
      </c>
      <c r="AH16" s="7" t="s">
        <v>40</v>
      </c>
      <c r="AI16" s="6"/>
      <c r="AJ16" s="6">
        <v>2.21</v>
      </c>
      <c r="AK16" s="12">
        <f t="shared" si="3"/>
        <v>397.09708339038741</v>
      </c>
      <c r="AL16" s="7" t="s">
        <v>41</v>
      </c>
      <c r="AM16" s="6"/>
      <c r="AN16" s="6"/>
      <c r="AO16" s="12">
        <f t="shared" si="4"/>
        <v>8513.7614678899063</v>
      </c>
      <c r="AP16" s="7" t="s">
        <v>41</v>
      </c>
      <c r="AQ16" s="6"/>
      <c r="AR16" s="6"/>
      <c r="AS16" s="31">
        <f t="shared" si="5"/>
        <v>31.883333333333333</v>
      </c>
      <c r="AT16" s="31">
        <f t="shared" si="6"/>
        <v>121.3</v>
      </c>
      <c r="AU16" s="27">
        <v>39404</v>
      </c>
      <c r="AV16" s="27">
        <v>39599</v>
      </c>
      <c r="AW16" s="25">
        <v>39527</v>
      </c>
      <c r="AX16" s="25">
        <v>39581</v>
      </c>
      <c r="AY16" s="28">
        <f t="shared" si="7"/>
        <v>-43</v>
      </c>
      <c r="AZ16" s="28">
        <f t="shared" si="8"/>
        <v>152</v>
      </c>
      <c r="BA16" s="37">
        <f t="shared" si="9"/>
        <v>196</v>
      </c>
      <c r="BB16" s="28">
        <f t="shared" si="10"/>
        <v>80</v>
      </c>
      <c r="BC16" s="28">
        <f t="shared" si="11"/>
        <v>134</v>
      </c>
      <c r="BD16" s="26">
        <f t="shared" si="12"/>
        <v>55</v>
      </c>
    </row>
    <row r="17" spans="1:60" s="26" customFormat="1" hidden="1" x14ac:dyDescent="0.3">
      <c r="A17" s="6">
        <v>1</v>
      </c>
      <c r="B17" s="6"/>
      <c r="C17" s="7">
        <v>52</v>
      </c>
      <c r="D17" s="7" t="s">
        <v>46</v>
      </c>
      <c r="E17" s="13" t="s">
        <v>47</v>
      </c>
      <c r="F17" s="9" t="str">
        <f t="shared" si="0"/>
        <v>2011-133Y152007FACE</v>
      </c>
      <c r="G17" s="7" t="s">
        <v>48</v>
      </c>
      <c r="H17" s="7" t="s">
        <v>33</v>
      </c>
      <c r="I17" s="7" t="s">
        <v>33</v>
      </c>
      <c r="J17" s="7" t="s">
        <v>34</v>
      </c>
      <c r="K17" s="7" t="s">
        <v>49</v>
      </c>
      <c r="L17" s="7">
        <v>2007</v>
      </c>
      <c r="M17" s="7" t="s">
        <v>50</v>
      </c>
      <c r="N17" s="7" t="s">
        <v>51</v>
      </c>
      <c r="O17" s="7" t="s">
        <v>42</v>
      </c>
      <c r="P17" s="7">
        <f>R17/1.01*1.08</f>
        <v>49.615841584158417</v>
      </c>
      <c r="Q17" s="18">
        <v>7.27</v>
      </c>
      <c r="R17" s="6">
        <v>46.4</v>
      </c>
      <c r="S17" s="6">
        <v>7</v>
      </c>
      <c r="T17" s="6">
        <v>75</v>
      </c>
      <c r="U17" s="6">
        <v>3</v>
      </c>
      <c r="V17" s="6">
        <f t="shared" si="2"/>
        <v>7.27</v>
      </c>
      <c r="W17" s="6" t="s">
        <v>52</v>
      </c>
      <c r="X17" s="6"/>
      <c r="Y17" s="12">
        <v>863.55140186915901</v>
      </c>
      <c r="Z17" s="6" t="s">
        <v>53</v>
      </c>
      <c r="AA17" s="6">
        <v>32.710280373831949</v>
      </c>
      <c r="AB17" s="6"/>
      <c r="AC17" s="12">
        <v>47.772511848341203</v>
      </c>
      <c r="AD17" s="7" t="s">
        <v>39</v>
      </c>
      <c r="AE17" s="6">
        <v>0.99526066350709641</v>
      </c>
      <c r="AF17" s="6"/>
      <c r="AG17" s="12">
        <v>32.535211267605597</v>
      </c>
      <c r="AH17" s="7" t="s">
        <v>40</v>
      </c>
      <c r="AI17" s="6">
        <v>0.98591549295780112</v>
      </c>
      <c r="AJ17" s="6"/>
      <c r="AK17" s="12">
        <v>593.30143540669906</v>
      </c>
      <c r="AL17" s="6" t="s">
        <v>54</v>
      </c>
      <c r="AM17" s="6">
        <v>34.449760765549968</v>
      </c>
      <c r="AN17" s="6"/>
      <c r="AO17" s="12">
        <f t="shared" si="4"/>
        <v>18076.323987538955</v>
      </c>
      <c r="AP17" s="7" t="s">
        <v>215</v>
      </c>
      <c r="AQ17" s="6"/>
      <c r="AR17" s="6"/>
      <c r="AS17" s="32">
        <f t="shared" ref="AS17:AS40" si="13">32+35/60</f>
        <v>32.583333333333336</v>
      </c>
      <c r="AT17" s="32">
        <f t="shared" ref="AT17:AT40" si="14">119+42/60</f>
        <v>119.7</v>
      </c>
      <c r="AU17" s="27">
        <v>39026</v>
      </c>
      <c r="AV17" s="27">
        <v>39234</v>
      </c>
      <c r="AW17" s="27">
        <v>39186</v>
      </c>
      <c r="AX17" s="27">
        <v>39224</v>
      </c>
      <c r="AY17" s="28">
        <f t="shared" si="7"/>
        <v>-56</v>
      </c>
      <c r="AZ17" s="28">
        <f t="shared" si="8"/>
        <v>152</v>
      </c>
      <c r="BA17" s="37">
        <f t="shared" si="9"/>
        <v>209</v>
      </c>
      <c r="BB17" s="28">
        <f t="shared" si="10"/>
        <v>104</v>
      </c>
      <c r="BC17" s="28">
        <f t="shared" si="11"/>
        <v>142</v>
      </c>
      <c r="BD17" s="26">
        <f t="shared" si="12"/>
        <v>39</v>
      </c>
    </row>
    <row r="18" spans="1:60" s="26" customFormat="1" hidden="1" x14ac:dyDescent="0.3">
      <c r="A18" s="6">
        <v>1</v>
      </c>
      <c r="B18" s="6"/>
      <c r="C18" s="7">
        <v>52</v>
      </c>
      <c r="D18" s="7" t="s">
        <v>46</v>
      </c>
      <c r="E18" s="13" t="s">
        <v>47</v>
      </c>
      <c r="F18" s="9" t="str">
        <f t="shared" si="0"/>
        <v>2011-133Y152007FACE</v>
      </c>
      <c r="G18" s="7" t="s">
        <v>48</v>
      </c>
      <c r="H18" s="7" t="s">
        <v>33</v>
      </c>
      <c r="I18" s="7" t="s">
        <v>33</v>
      </c>
      <c r="J18" s="7" t="s">
        <v>34</v>
      </c>
      <c r="K18" s="7" t="s">
        <v>49</v>
      </c>
      <c r="L18" s="7">
        <v>2007</v>
      </c>
      <c r="M18" s="7" t="s">
        <v>50</v>
      </c>
      <c r="N18" s="7" t="s">
        <v>51</v>
      </c>
      <c r="O18" s="7" t="s">
        <v>56</v>
      </c>
      <c r="P18" s="6">
        <f>(7*R18+5*0.976*R17)/12*T18*12/1000+R17/1.01*(90-T18)*12/1000</f>
        <v>55.124206930693063</v>
      </c>
      <c r="Q18" s="18">
        <v>13.8865</v>
      </c>
      <c r="R18" s="6">
        <v>56.9</v>
      </c>
      <c r="S18" s="6">
        <v>7</v>
      </c>
      <c r="T18" s="6">
        <v>75</v>
      </c>
      <c r="U18" s="6">
        <v>3</v>
      </c>
      <c r="V18" s="6">
        <f t="shared" si="2"/>
        <v>13.8865</v>
      </c>
      <c r="W18" s="6" t="s">
        <v>52</v>
      </c>
      <c r="X18" s="6"/>
      <c r="Y18" s="12">
        <v>732.71028037383201</v>
      </c>
      <c r="Z18" s="6" t="s">
        <v>53</v>
      </c>
      <c r="AA18" s="6">
        <v>19.626168224298969</v>
      </c>
      <c r="AB18" s="6"/>
      <c r="AC18" s="12">
        <v>40.142180094786703</v>
      </c>
      <c r="AD18" s="7" t="s">
        <v>39</v>
      </c>
      <c r="AE18" s="6">
        <v>2.3222748815165986</v>
      </c>
      <c r="AF18" s="6"/>
      <c r="AG18" s="12">
        <v>31.8779342723005</v>
      </c>
      <c r="AH18" s="7" t="s">
        <v>40</v>
      </c>
      <c r="AI18" s="6">
        <v>1.3145539906102996</v>
      </c>
      <c r="AJ18" s="6"/>
      <c r="AK18" s="12">
        <v>623.92344497607701</v>
      </c>
      <c r="AL18" s="6" t="s">
        <v>54</v>
      </c>
      <c r="AM18" s="6">
        <v>68.899521531099936</v>
      </c>
      <c r="AN18" s="6"/>
      <c r="AO18" s="12">
        <f t="shared" si="4"/>
        <v>18252.877114389452</v>
      </c>
      <c r="AP18" s="7" t="s">
        <v>215</v>
      </c>
      <c r="AQ18" s="6"/>
      <c r="AR18" s="6"/>
      <c r="AS18" s="32">
        <f t="shared" si="13"/>
        <v>32.583333333333336</v>
      </c>
      <c r="AT18" s="32">
        <f t="shared" si="14"/>
        <v>119.7</v>
      </c>
      <c r="AU18" s="27">
        <v>39026</v>
      </c>
      <c r="AV18" s="27">
        <v>39234</v>
      </c>
      <c r="AW18" s="27">
        <v>39186</v>
      </c>
      <c r="AX18" s="27">
        <v>39224</v>
      </c>
      <c r="AY18" s="28">
        <f t="shared" si="7"/>
        <v>-56</v>
      </c>
      <c r="AZ18" s="28">
        <f t="shared" si="8"/>
        <v>152</v>
      </c>
      <c r="BA18" s="37">
        <f t="shared" si="9"/>
        <v>209</v>
      </c>
      <c r="BB18" s="28">
        <f t="shared" si="10"/>
        <v>104</v>
      </c>
      <c r="BC18" s="28">
        <f t="shared" si="11"/>
        <v>142</v>
      </c>
      <c r="BD18" s="26">
        <f t="shared" si="12"/>
        <v>39</v>
      </c>
    </row>
    <row r="19" spans="1:60" s="26" customFormat="1" hidden="1" x14ac:dyDescent="0.3">
      <c r="A19" s="6">
        <v>1</v>
      </c>
      <c r="B19" s="6"/>
      <c r="C19" s="7">
        <v>52</v>
      </c>
      <c r="D19" s="7" t="s">
        <v>46</v>
      </c>
      <c r="E19" s="13" t="s">
        <v>47</v>
      </c>
      <c r="F19" s="9" t="str">
        <f t="shared" si="0"/>
        <v>2011-133Y162007FACE</v>
      </c>
      <c r="G19" s="7" t="s">
        <v>48</v>
      </c>
      <c r="H19" s="7" t="s">
        <v>33</v>
      </c>
      <c r="I19" s="7" t="s">
        <v>33</v>
      </c>
      <c r="J19" s="7" t="s">
        <v>34</v>
      </c>
      <c r="K19" s="7" t="s">
        <v>57</v>
      </c>
      <c r="L19" s="7">
        <v>2007</v>
      </c>
      <c r="M19" s="7" t="s">
        <v>50</v>
      </c>
      <c r="N19" s="7" t="s">
        <v>51</v>
      </c>
      <c r="O19" s="7" t="s">
        <v>42</v>
      </c>
      <c r="P19" s="7">
        <f>R19/1.01*1.08</f>
        <v>49.615841584158417</v>
      </c>
      <c r="Q19" s="18">
        <v>7.75</v>
      </c>
      <c r="R19" s="6">
        <v>46.4</v>
      </c>
      <c r="S19" s="6">
        <v>7</v>
      </c>
      <c r="T19" s="6">
        <v>75</v>
      </c>
      <c r="U19" s="6">
        <v>3</v>
      </c>
      <c r="V19" s="6">
        <f t="shared" si="2"/>
        <v>7.75</v>
      </c>
      <c r="W19" s="6" t="s">
        <v>52</v>
      </c>
      <c r="X19" s="6"/>
      <c r="Y19" s="12">
        <v>843.9252336448601</v>
      </c>
      <c r="Z19" s="6" t="s">
        <v>53</v>
      </c>
      <c r="AA19" s="6">
        <v>65.420560747663004</v>
      </c>
      <c r="AB19" s="6"/>
      <c r="AC19" s="12">
        <v>43.791469194312803</v>
      </c>
      <c r="AD19" s="7" t="s">
        <v>39</v>
      </c>
      <c r="AE19" s="6">
        <v>1.6587677725117942</v>
      </c>
      <c r="AF19" s="6"/>
      <c r="AG19" s="12">
        <v>44.037558685446001</v>
      </c>
      <c r="AH19" s="7" t="s">
        <v>40</v>
      </c>
      <c r="AI19" s="6">
        <v>0.98591549295780112</v>
      </c>
      <c r="AJ19" s="6"/>
      <c r="AK19" s="12">
        <v>459.33014354067001</v>
      </c>
      <c r="AL19" s="6" t="s">
        <v>54</v>
      </c>
      <c r="AM19" s="6">
        <v>15.311004784688976</v>
      </c>
      <c r="AN19" s="6"/>
      <c r="AO19" s="12">
        <f t="shared" si="4"/>
        <v>19271.452846219207</v>
      </c>
      <c r="AP19" s="7" t="s">
        <v>215</v>
      </c>
      <c r="AQ19" s="6"/>
      <c r="AR19" s="6"/>
      <c r="AS19" s="32">
        <f t="shared" si="13"/>
        <v>32.583333333333336</v>
      </c>
      <c r="AT19" s="32">
        <f t="shared" si="14"/>
        <v>119.7</v>
      </c>
      <c r="AU19" s="27">
        <v>39026</v>
      </c>
      <c r="AV19" s="27">
        <v>39234</v>
      </c>
      <c r="AW19" s="27">
        <v>39186</v>
      </c>
      <c r="AX19" s="27">
        <v>39224</v>
      </c>
      <c r="AY19" s="28">
        <f t="shared" si="7"/>
        <v>-56</v>
      </c>
      <c r="AZ19" s="28">
        <f t="shared" si="8"/>
        <v>152</v>
      </c>
      <c r="BA19" s="37">
        <f t="shared" si="9"/>
        <v>209</v>
      </c>
      <c r="BB19" s="28">
        <f t="shared" si="10"/>
        <v>104</v>
      </c>
      <c r="BC19" s="28">
        <f t="shared" si="11"/>
        <v>142</v>
      </c>
      <c r="BD19" s="26">
        <f t="shared" si="12"/>
        <v>39</v>
      </c>
    </row>
    <row r="20" spans="1:60" s="26" customFormat="1" hidden="1" x14ac:dyDescent="0.3">
      <c r="A20" s="6">
        <v>1</v>
      </c>
      <c r="B20" s="6"/>
      <c r="C20" s="7">
        <v>52</v>
      </c>
      <c r="D20" s="7" t="s">
        <v>46</v>
      </c>
      <c r="E20" s="13" t="s">
        <v>47</v>
      </c>
      <c r="F20" s="9" t="str">
        <f t="shared" si="0"/>
        <v>2011-133Y162007FACE</v>
      </c>
      <c r="G20" s="7" t="s">
        <v>48</v>
      </c>
      <c r="H20" s="7" t="s">
        <v>33</v>
      </c>
      <c r="I20" s="7" t="s">
        <v>33</v>
      </c>
      <c r="J20" s="7" t="s">
        <v>34</v>
      </c>
      <c r="K20" s="7" t="s">
        <v>57</v>
      </c>
      <c r="L20" s="7">
        <v>2007</v>
      </c>
      <c r="M20" s="7" t="s">
        <v>50</v>
      </c>
      <c r="N20" s="7" t="s">
        <v>51</v>
      </c>
      <c r="O20" s="7" t="s">
        <v>56</v>
      </c>
      <c r="P20" s="6">
        <f>(7*R20+5*0.976*R19)/12*T20*12/1000+R19/1.01*(90-T20)*12/1000</f>
        <v>55.124206930693063</v>
      </c>
      <c r="Q20" s="18">
        <v>14.6637</v>
      </c>
      <c r="R20" s="6">
        <v>56.9</v>
      </c>
      <c r="S20" s="6">
        <v>7</v>
      </c>
      <c r="T20" s="6">
        <v>75</v>
      </c>
      <c r="U20" s="6">
        <v>3</v>
      </c>
      <c r="V20" s="6">
        <f t="shared" si="2"/>
        <v>14.6637</v>
      </c>
      <c r="W20" s="6" t="s">
        <v>52</v>
      </c>
      <c r="X20" s="6"/>
      <c r="Y20" s="12">
        <v>680.37383177570098</v>
      </c>
      <c r="Z20" s="6" t="s">
        <v>53</v>
      </c>
      <c r="AA20" s="6">
        <v>78.504672897195988</v>
      </c>
      <c r="AB20" s="6"/>
      <c r="AC20" s="12">
        <v>38.151658767772503</v>
      </c>
      <c r="AD20" s="7" t="s">
        <v>39</v>
      </c>
      <c r="AE20" s="6">
        <v>0.66350710900479726</v>
      </c>
      <c r="AF20" s="6"/>
      <c r="AG20" s="12">
        <v>44.037558685446001</v>
      </c>
      <c r="AH20" s="7" t="s">
        <v>40</v>
      </c>
      <c r="AI20" s="6">
        <v>2.3004694835681008</v>
      </c>
      <c r="AJ20" s="6"/>
      <c r="AK20" s="12">
        <v>463.15789473684202</v>
      </c>
      <c r="AL20" s="6" t="s">
        <v>54</v>
      </c>
      <c r="AM20" s="6">
        <v>45.933014354066984</v>
      </c>
      <c r="AN20" s="6"/>
      <c r="AO20" s="12">
        <f t="shared" si="4"/>
        <v>17833.401056481111</v>
      </c>
      <c r="AP20" s="7" t="s">
        <v>215</v>
      </c>
      <c r="AQ20" s="6"/>
      <c r="AR20" s="6"/>
      <c r="AS20" s="32">
        <f t="shared" si="13"/>
        <v>32.583333333333336</v>
      </c>
      <c r="AT20" s="32">
        <f t="shared" si="14"/>
        <v>119.7</v>
      </c>
      <c r="AU20" s="27">
        <v>39026</v>
      </c>
      <c r="AV20" s="27">
        <v>39234</v>
      </c>
      <c r="AW20" s="27">
        <v>39186</v>
      </c>
      <c r="AX20" s="27">
        <v>39224</v>
      </c>
      <c r="AY20" s="28">
        <f t="shared" si="7"/>
        <v>-56</v>
      </c>
      <c r="AZ20" s="28">
        <f t="shared" si="8"/>
        <v>152</v>
      </c>
      <c r="BA20" s="37">
        <f t="shared" si="9"/>
        <v>209</v>
      </c>
      <c r="BB20" s="28">
        <f t="shared" si="10"/>
        <v>104</v>
      </c>
      <c r="BC20" s="28">
        <f t="shared" si="11"/>
        <v>142</v>
      </c>
      <c r="BD20" s="26">
        <f t="shared" si="12"/>
        <v>39</v>
      </c>
    </row>
    <row r="21" spans="1:60" s="26" customFormat="1" hidden="1" x14ac:dyDescent="0.3">
      <c r="A21" s="6">
        <v>1</v>
      </c>
      <c r="B21" s="6"/>
      <c r="C21" s="7">
        <v>52</v>
      </c>
      <c r="D21" s="7" t="s">
        <v>46</v>
      </c>
      <c r="E21" s="13" t="s">
        <v>47</v>
      </c>
      <c r="F21" s="9" t="str">
        <f t="shared" si="0"/>
        <v>2011-133Y192007FACE</v>
      </c>
      <c r="G21" s="7" t="s">
        <v>48</v>
      </c>
      <c r="H21" s="7" t="s">
        <v>33</v>
      </c>
      <c r="I21" s="7" t="s">
        <v>33</v>
      </c>
      <c r="J21" s="7" t="s">
        <v>34</v>
      </c>
      <c r="K21" s="7" t="s">
        <v>58</v>
      </c>
      <c r="L21" s="7">
        <v>2007</v>
      </c>
      <c r="M21" s="7" t="s">
        <v>50</v>
      </c>
      <c r="N21" s="7" t="s">
        <v>51</v>
      </c>
      <c r="O21" s="7" t="s">
        <v>42</v>
      </c>
      <c r="P21" s="7">
        <f>R21/1.01*1.08</f>
        <v>49.615841584158417</v>
      </c>
      <c r="Q21" s="18">
        <v>8.4130000000000003</v>
      </c>
      <c r="R21" s="6">
        <v>46.4</v>
      </c>
      <c r="S21" s="6">
        <v>7</v>
      </c>
      <c r="T21" s="6">
        <v>75</v>
      </c>
      <c r="U21" s="6">
        <v>3</v>
      </c>
      <c r="V21" s="6">
        <f t="shared" si="2"/>
        <v>8.4130000000000003</v>
      </c>
      <c r="W21" s="6" t="s">
        <v>52</v>
      </c>
      <c r="X21" s="6"/>
      <c r="Y21" s="12">
        <v>713.0841121495331</v>
      </c>
      <c r="Z21" s="6" t="s">
        <v>53</v>
      </c>
      <c r="AA21" s="6">
        <v>26.168224299064956</v>
      </c>
      <c r="AB21" s="6"/>
      <c r="AC21" s="12">
        <v>38.8151658767773</v>
      </c>
      <c r="AD21" s="7" t="s">
        <v>39</v>
      </c>
      <c r="AE21" s="6">
        <v>2.3222748815164991</v>
      </c>
      <c r="AF21" s="6"/>
      <c r="AG21" s="12">
        <v>36.478873239436602</v>
      </c>
      <c r="AH21" s="7" t="s">
        <v>40</v>
      </c>
      <c r="AI21" s="6">
        <v>0.65727699530519601</v>
      </c>
      <c r="AJ21" s="6"/>
      <c r="AK21" s="12">
        <v>524.40191387559798</v>
      </c>
      <c r="AL21" s="6" t="s">
        <v>54</v>
      </c>
      <c r="AM21" s="6">
        <v>42.105263157895024</v>
      </c>
      <c r="AN21" s="6"/>
      <c r="AO21" s="12">
        <f t="shared" si="4"/>
        <v>18371.275660995274</v>
      </c>
      <c r="AP21" s="7" t="s">
        <v>215</v>
      </c>
      <c r="AQ21" s="6"/>
      <c r="AR21" s="6"/>
      <c r="AS21" s="32">
        <f t="shared" si="13"/>
        <v>32.583333333333336</v>
      </c>
      <c r="AT21" s="32">
        <f t="shared" si="14"/>
        <v>119.7</v>
      </c>
      <c r="AU21" s="27">
        <v>39026</v>
      </c>
      <c r="AV21" s="27">
        <v>39234</v>
      </c>
      <c r="AW21" s="27">
        <v>39186</v>
      </c>
      <c r="AX21" s="27">
        <v>39224</v>
      </c>
      <c r="AY21" s="28">
        <f t="shared" si="7"/>
        <v>-56</v>
      </c>
      <c r="AZ21" s="28">
        <f t="shared" si="8"/>
        <v>152</v>
      </c>
      <c r="BA21" s="37">
        <f t="shared" si="9"/>
        <v>209</v>
      </c>
      <c r="BB21" s="28">
        <f t="shared" si="10"/>
        <v>104</v>
      </c>
      <c r="BC21" s="28">
        <f t="shared" si="11"/>
        <v>142</v>
      </c>
      <c r="BD21" s="26">
        <f t="shared" si="12"/>
        <v>39</v>
      </c>
    </row>
    <row r="22" spans="1:60" s="26" customFormat="1" hidden="1" x14ac:dyDescent="0.3">
      <c r="A22" s="6">
        <v>1</v>
      </c>
      <c r="B22" s="6"/>
      <c r="C22" s="7">
        <v>52</v>
      </c>
      <c r="D22" s="7" t="s">
        <v>46</v>
      </c>
      <c r="E22" s="13" t="s">
        <v>47</v>
      </c>
      <c r="F22" s="9" t="str">
        <f t="shared" si="0"/>
        <v>2011-133Y192007FACE</v>
      </c>
      <c r="G22" s="7" t="s">
        <v>48</v>
      </c>
      <c r="H22" s="7" t="s">
        <v>33</v>
      </c>
      <c r="I22" s="7" t="s">
        <v>33</v>
      </c>
      <c r="J22" s="7" t="s">
        <v>34</v>
      </c>
      <c r="K22" s="7" t="s">
        <v>58</v>
      </c>
      <c r="L22" s="7">
        <v>2007</v>
      </c>
      <c r="M22" s="7" t="s">
        <v>50</v>
      </c>
      <c r="N22" s="7" t="s">
        <v>51</v>
      </c>
      <c r="O22" s="7" t="s">
        <v>56</v>
      </c>
      <c r="P22" s="6">
        <f>(7*R22+5*0.976*R21)/12*T22*12/1000+R21/1.01*(90-T22)*12/1000</f>
        <v>55.124206930693063</v>
      </c>
      <c r="Q22" s="18">
        <v>15.313599999999999</v>
      </c>
      <c r="R22" s="6">
        <v>56.9</v>
      </c>
      <c r="S22" s="6">
        <v>7</v>
      </c>
      <c r="T22" s="6">
        <v>75</v>
      </c>
      <c r="U22" s="6">
        <v>3</v>
      </c>
      <c r="V22" s="6">
        <f t="shared" si="2"/>
        <v>15.313599999999999</v>
      </c>
      <c r="W22" s="6" t="s">
        <v>52</v>
      </c>
      <c r="X22" s="6"/>
      <c r="Y22" s="12">
        <v>575.70093457943904</v>
      </c>
      <c r="Z22" s="6" t="s">
        <v>53</v>
      </c>
      <c r="AA22" s="6">
        <v>26.168224299065955</v>
      </c>
      <c r="AB22" s="6"/>
      <c r="AC22" s="12">
        <v>29.1943127962085</v>
      </c>
      <c r="AD22" s="7" t="s">
        <v>39</v>
      </c>
      <c r="AE22" s="6">
        <v>0.66350710900480081</v>
      </c>
      <c r="AF22" s="6"/>
      <c r="AG22" s="12">
        <v>37.464788732394403</v>
      </c>
      <c r="AH22" s="7" t="s">
        <v>40</v>
      </c>
      <c r="AI22" s="6">
        <v>0.32863849765259801</v>
      </c>
      <c r="AJ22" s="6"/>
      <c r="AK22" s="12">
        <v>608.61244019138803</v>
      </c>
      <c r="AL22" s="6" t="s">
        <v>54</v>
      </c>
      <c r="AM22" s="6">
        <v>7.6555023923439194</v>
      </c>
      <c r="AN22" s="6"/>
      <c r="AO22" s="12">
        <f t="shared" si="4"/>
        <v>19719.626168224313</v>
      </c>
      <c r="AP22" s="7" t="s">
        <v>215</v>
      </c>
      <c r="AQ22" s="6"/>
      <c r="AR22" s="6"/>
      <c r="AS22" s="32">
        <f t="shared" si="13"/>
        <v>32.583333333333336</v>
      </c>
      <c r="AT22" s="32">
        <f t="shared" si="14"/>
        <v>119.7</v>
      </c>
      <c r="AU22" s="27">
        <v>39026</v>
      </c>
      <c r="AV22" s="27">
        <v>39234</v>
      </c>
      <c r="AW22" s="27">
        <v>39186</v>
      </c>
      <c r="AX22" s="27">
        <v>39224</v>
      </c>
      <c r="AY22" s="28">
        <f t="shared" si="7"/>
        <v>-56</v>
      </c>
      <c r="AZ22" s="28">
        <f t="shared" si="8"/>
        <v>152</v>
      </c>
      <c r="BA22" s="37">
        <f t="shared" si="9"/>
        <v>209</v>
      </c>
      <c r="BB22" s="28">
        <f t="shared" si="10"/>
        <v>104</v>
      </c>
      <c r="BC22" s="28">
        <f t="shared" si="11"/>
        <v>142</v>
      </c>
      <c r="BD22" s="26">
        <f t="shared" si="12"/>
        <v>39</v>
      </c>
    </row>
    <row r="23" spans="1:60" s="26" customFormat="1" hidden="1" x14ac:dyDescent="0.3">
      <c r="A23" s="6">
        <v>1</v>
      </c>
      <c r="B23" s="6"/>
      <c r="C23" s="7">
        <v>52</v>
      </c>
      <c r="D23" s="7" t="s">
        <v>46</v>
      </c>
      <c r="E23" s="13" t="s">
        <v>47</v>
      </c>
      <c r="F23" s="9" t="str">
        <f t="shared" si="0"/>
        <v>2011-133Y22007FACE</v>
      </c>
      <c r="G23" s="7" t="s">
        <v>48</v>
      </c>
      <c r="H23" s="7" t="s">
        <v>33</v>
      </c>
      <c r="I23" s="7" t="s">
        <v>33</v>
      </c>
      <c r="J23" s="7" t="s">
        <v>34</v>
      </c>
      <c r="K23" s="7" t="s">
        <v>59</v>
      </c>
      <c r="L23" s="7">
        <v>2007</v>
      </c>
      <c r="M23" s="7" t="s">
        <v>50</v>
      </c>
      <c r="N23" s="7" t="s">
        <v>51</v>
      </c>
      <c r="O23" s="7" t="s">
        <v>42</v>
      </c>
      <c r="P23" s="7">
        <f>R23/1.01*1.08</f>
        <v>49.615841584158417</v>
      </c>
      <c r="Q23" s="18">
        <v>7.7503000000000002</v>
      </c>
      <c r="R23" s="6">
        <v>46.4</v>
      </c>
      <c r="S23" s="6">
        <v>7</v>
      </c>
      <c r="T23" s="6">
        <v>75</v>
      </c>
      <c r="U23" s="6">
        <v>3</v>
      </c>
      <c r="V23" s="6">
        <f t="shared" si="2"/>
        <v>7.7503000000000002</v>
      </c>
      <c r="W23" s="6" t="s">
        <v>52</v>
      </c>
      <c r="X23" s="6"/>
      <c r="Y23" s="12">
        <v>765.42056074766401</v>
      </c>
      <c r="Z23" s="6" t="s">
        <v>53</v>
      </c>
      <c r="AA23" s="6">
        <v>65.420560747663004</v>
      </c>
      <c r="AB23" s="6"/>
      <c r="AC23" s="12">
        <v>43.459715639810398</v>
      </c>
      <c r="AD23" s="7" t="s">
        <v>39</v>
      </c>
      <c r="AE23" s="6">
        <v>1.9905213270141999</v>
      </c>
      <c r="AF23" s="6"/>
      <c r="AG23" s="12">
        <v>40.751173708920199</v>
      </c>
      <c r="AH23" s="7" t="s">
        <v>40</v>
      </c>
      <c r="AI23" s="6">
        <v>1.9718309859155028</v>
      </c>
      <c r="AJ23" s="6"/>
      <c r="AK23" s="12">
        <v>501.43540669856498</v>
      </c>
      <c r="AL23" s="6" t="s">
        <v>54</v>
      </c>
      <c r="AM23" s="6">
        <v>22.966507177033009</v>
      </c>
      <c r="AN23" s="6"/>
      <c r="AO23" s="12">
        <f t="shared" si="4"/>
        <v>17612.185203681267</v>
      </c>
      <c r="AP23" s="7" t="s">
        <v>215</v>
      </c>
      <c r="AQ23" s="6"/>
      <c r="AR23" s="6"/>
      <c r="AS23" s="32">
        <f t="shared" si="13"/>
        <v>32.583333333333336</v>
      </c>
      <c r="AT23" s="32">
        <f t="shared" si="14"/>
        <v>119.7</v>
      </c>
      <c r="AU23" s="27">
        <v>39026</v>
      </c>
      <c r="AV23" s="27">
        <v>39234</v>
      </c>
      <c r="AW23" s="27">
        <v>39186</v>
      </c>
      <c r="AX23" s="27">
        <v>39224</v>
      </c>
      <c r="AY23" s="28">
        <f t="shared" si="7"/>
        <v>-56</v>
      </c>
      <c r="AZ23" s="28">
        <f t="shared" si="8"/>
        <v>152</v>
      </c>
      <c r="BA23" s="37">
        <f t="shared" si="9"/>
        <v>209</v>
      </c>
      <c r="BB23" s="28">
        <f t="shared" si="10"/>
        <v>104</v>
      </c>
      <c r="BC23" s="28">
        <f t="shared" si="11"/>
        <v>142</v>
      </c>
      <c r="BD23" s="26">
        <f t="shared" si="12"/>
        <v>39</v>
      </c>
    </row>
    <row r="24" spans="1:60" s="26" customFormat="1" hidden="1" x14ac:dyDescent="0.3">
      <c r="A24" s="6">
        <v>1</v>
      </c>
      <c r="B24" s="6"/>
      <c r="C24" s="7">
        <v>52</v>
      </c>
      <c r="D24" s="7" t="s">
        <v>46</v>
      </c>
      <c r="E24" s="13" t="s">
        <v>47</v>
      </c>
      <c r="F24" s="9" t="str">
        <f t="shared" si="0"/>
        <v>2011-133Y22007FACE</v>
      </c>
      <c r="G24" s="7" t="s">
        <v>48</v>
      </c>
      <c r="H24" s="7" t="s">
        <v>33</v>
      </c>
      <c r="I24" s="7" t="s">
        <v>33</v>
      </c>
      <c r="J24" s="7" t="s">
        <v>34</v>
      </c>
      <c r="K24" s="7" t="s">
        <v>59</v>
      </c>
      <c r="L24" s="7">
        <v>2007</v>
      </c>
      <c r="M24" s="7" t="s">
        <v>50</v>
      </c>
      <c r="N24" s="7" t="s">
        <v>51</v>
      </c>
      <c r="O24" s="7" t="s">
        <v>56</v>
      </c>
      <c r="P24" s="6">
        <f>(7*R24+5*0.976*R23)/12*T24*12/1000+R23/1.01*(90-T24)*12/1000</f>
        <v>55.124206930693063</v>
      </c>
      <c r="Q24" s="18">
        <v>14.6637</v>
      </c>
      <c r="R24" s="6">
        <v>56.9</v>
      </c>
      <c r="S24" s="6">
        <v>7</v>
      </c>
      <c r="T24" s="6">
        <v>75</v>
      </c>
      <c r="U24" s="6">
        <v>3</v>
      </c>
      <c r="V24" s="6">
        <f t="shared" si="2"/>
        <v>14.6637</v>
      </c>
      <c r="W24" s="6" t="s">
        <v>52</v>
      </c>
      <c r="X24" s="6"/>
      <c r="Y24" s="12">
        <v>569.158878504673</v>
      </c>
      <c r="Z24" s="6" t="s">
        <v>53</v>
      </c>
      <c r="AA24" s="6">
        <v>52.336448598131028</v>
      </c>
      <c r="AB24" s="6"/>
      <c r="AC24" s="12">
        <v>33.838862559241697</v>
      </c>
      <c r="AD24" s="7" t="s">
        <v>39</v>
      </c>
      <c r="AE24" s="6">
        <v>3.9810426540283999</v>
      </c>
      <c r="AF24" s="6"/>
      <c r="AG24" s="12">
        <v>35.164319248826303</v>
      </c>
      <c r="AH24" s="7" t="s">
        <v>40</v>
      </c>
      <c r="AI24" s="6">
        <v>1.9718309859154957</v>
      </c>
      <c r="AJ24" s="6"/>
      <c r="AK24" s="12">
        <v>509.09090909090901</v>
      </c>
      <c r="AL24" s="6" t="s">
        <v>54</v>
      </c>
      <c r="AM24" s="6">
        <v>49.760765550238943</v>
      </c>
      <c r="AN24" s="6"/>
      <c r="AO24" s="12">
        <f t="shared" si="4"/>
        <v>16819.681143485439</v>
      </c>
      <c r="AP24" s="7" t="s">
        <v>215</v>
      </c>
      <c r="AQ24" s="6"/>
      <c r="AR24" s="6"/>
      <c r="AS24" s="32">
        <f t="shared" si="13"/>
        <v>32.583333333333336</v>
      </c>
      <c r="AT24" s="32">
        <f t="shared" si="14"/>
        <v>119.7</v>
      </c>
      <c r="AU24" s="27">
        <v>39026</v>
      </c>
      <c r="AV24" s="27">
        <v>39234</v>
      </c>
      <c r="AW24" s="27">
        <v>39186</v>
      </c>
      <c r="AX24" s="27">
        <v>39224</v>
      </c>
      <c r="AY24" s="28">
        <f t="shared" si="7"/>
        <v>-56</v>
      </c>
      <c r="AZ24" s="28">
        <f t="shared" si="8"/>
        <v>152</v>
      </c>
      <c r="BA24" s="37">
        <f t="shared" si="9"/>
        <v>209</v>
      </c>
      <c r="BB24" s="28">
        <f t="shared" si="10"/>
        <v>104</v>
      </c>
      <c r="BC24" s="28">
        <f t="shared" si="11"/>
        <v>142</v>
      </c>
      <c r="BD24" s="26">
        <f t="shared" si="12"/>
        <v>39</v>
      </c>
    </row>
    <row r="25" spans="1:60" s="26" customFormat="1" hidden="1" x14ac:dyDescent="0.3">
      <c r="A25" s="6">
        <v>1</v>
      </c>
      <c r="B25" s="6"/>
      <c r="C25" s="7">
        <v>52</v>
      </c>
      <c r="D25" s="7" t="s">
        <v>46</v>
      </c>
      <c r="E25" s="13" t="s">
        <v>47</v>
      </c>
      <c r="F25" s="9" t="str">
        <f t="shared" si="0"/>
        <v>2011-133Y152008FACE</v>
      </c>
      <c r="G25" s="7" t="s">
        <v>48</v>
      </c>
      <c r="H25" s="7" t="s">
        <v>33</v>
      </c>
      <c r="I25" s="7" t="s">
        <v>33</v>
      </c>
      <c r="J25" s="7" t="s">
        <v>34</v>
      </c>
      <c r="K25" s="7" t="s">
        <v>49</v>
      </c>
      <c r="L25" s="7">
        <v>2008</v>
      </c>
      <c r="M25" s="7" t="s">
        <v>50</v>
      </c>
      <c r="N25" s="7" t="s">
        <v>51</v>
      </c>
      <c r="O25" s="7" t="s">
        <v>42</v>
      </c>
      <c r="P25" s="7">
        <f>R25/1.01*1.08</f>
        <v>49.188118811881189</v>
      </c>
      <c r="Q25" s="7">
        <v>8.2789999999999999</v>
      </c>
      <c r="R25" s="7">
        <v>46</v>
      </c>
      <c r="S25" s="7">
        <v>7</v>
      </c>
      <c r="T25" s="7">
        <v>75</v>
      </c>
      <c r="U25" s="6">
        <v>3</v>
      </c>
      <c r="V25" s="6">
        <f t="shared" si="2"/>
        <v>8.2789999999999999</v>
      </c>
      <c r="W25" s="6" t="s">
        <v>52</v>
      </c>
      <c r="X25" s="6"/>
      <c r="Y25" s="12">
        <v>985.9154929577461</v>
      </c>
      <c r="Z25" s="6" t="s">
        <v>53</v>
      </c>
      <c r="AA25" s="6">
        <v>26.291079812204021</v>
      </c>
      <c r="AB25" s="6"/>
      <c r="AC25" s="12">
        <v>44</v>
      </c>
      <c r="AD25" s="7" t="s">
        <v>39</v>
      </c>
      <c r="AE25" s="6">
        <v>0.66666666666669983</v>
      </c>
      <c r="AF25" s="6"/>
      <c r="AG25" s="12">
        <v>40.751173708920199</v>
      </c>
      <c r="AH25" s="7" t="s">
        <v>40</v>
      </c>
      <c r="AI25" s="6">
        <v>0.32863849765259801</v>
      </c>
      <c r="AJ25" s="6"/>
      <c r="AK25" s="12">
        <v>547.36842105263202</v>
      </c>
      <c r="AL25" s="6" t="s">
        <v>54</v>
      </c>
      <c r="AM25" s="6">
        <v>11.483253588515936</v>
      </c>
      <c r="AN25" s="6"/>
      <c r="AO25" s="12">
        <f t="shared" si="4"/>
        <v>22407.17029449423</v>
      </c>
      <c r="AP25" s="7" t="s">
        <v>215</v>
      </c>
      <c r="AQ25" s="6"/>
      <c r="AR25" s="6"/>
      <c r="AS25" s="32">
        <f t="shared" si="13"/>
        <v>32.583333333333336</v>
      </c>
      <c r="AT25" s="32">
        <f t="shared" si="14"/>
        <v>119.7</v>
      </c>
      <c r="AU25" s="27">
        <v>39401</v>
      </c>
      <c r="AV25" s="27">
        <v>39603</v>
      </c>
      <c r="AW25" s="27">
        <v>39512</v>
      </c>
      <c r="AX25" s="27">
        <v>39594</v>
      </c>
      <c r="AY25" s="28">
        <f t="shared" si="7"/>
        <v>-46</v>
      </c>
      <c r="AZ25" s="28">
        <f t="shared" si="8"/>
        <v>156</v>
      </c>
      <c r="BA25" s="37">
        <f t="shared" si="9"/>
        <v>203</v>
      </c>
      <c r="BB25" s="28">
        <f t="shared" si="10"/>
        <v>65</v>
      </c>
      <c r="BC25" s="28">
        <f t="shared" si="11"/>
        <v>147</v>
      </c>
      <c r="BD25" s="26">
        <f t="shared" si="12"/>
        <v>83</v>
      </c>
      <c r="BF25" s="36">
        <v>39567</v>
      </c>
      <c r="BG25" s="26">
        <f t="shared" ref="BG25:BG32" si="15">AV25-BF25+1</f>
        <v>37</v>
      </c>
      <c r="BH25" s="26" t="s">
        <v>276</v>
      </c>
    </row>
    <row r="26" spans="1:60" s="26" customFormat="1" hidden="1" x14ac:dyDescent="0.3">
      <c r="A26" s="6">
        <v>1</v>
      </c>
      <c r="B26" s="6"/>
      <c r="C26" s="7">
        <v>52</v>
      </c>
      <c r="D26" s="7" t="s">
        <v>46</v>
      </c>
      <c r="E26" s="13" t="s">
        <v>47</v>
      </c>
      <c r="F26" s="9" t="str">
        <f t="shared" si="0"/>
        <v>2011-133Y152008FACE</v>
      </c>
      <c r="G26" s="7" t="s">
        <v>48</v>
      </c>
      <c r="H26" s="7" t="s">
        <v>33</v>
      </c>
      <c r="I26" s="7" t="s">
        <v>33</v>
      </c>
      <c r="J26" s="7" t="s">
        <v>34</v>
      </c>
      <c r="K26" s="7" t="s">
        <v>49</v>
      </c>
      <c r="L26" s="7">
        <v>2008</v>
      </c>
      <c r="M26" s="7" t="s">
        <v>50</v>
      </c>
      <c r="N26" s="7" t="s">
        <v>51</v>
      </c>
      <c r="O26" s="7" t="s">
        <v>56</v>
      </c>
      <c r="P26" s="6">
        <f>(7*R26+5*0.976*R25)/12*T26*12/1000+R25/1.01*(90-T26)*12/1000</f>
        <v>55.274019801980202</v>
      </c>
      <c r="Q26" s="7">
        <v>16.7821</v>
      </c>
      <c r="R26" s="7">
        <v>57.6</v>
      </c>
      <c r="S26" s="7">
        <v>7</v>
      </c>
      <c r="T26" s="7">
        <v>75</v>
      </c>
      <c r="U26" s="6">
        <v>3</v>
      </c>
      <c r="V26" s="6">
        <f t="shared" si="2"/>
        <v>16.7821</v>
      </c>
      <c r="W26" s="6" t="s">
        <v>52</v>
      </c>
      <c r="X26" s="6"/>
      <c r="Y26" s="12">
        <v>795.305164319249</v>
      </c>
      <c r="Z26" s="6" t="s">
        <v>53</v>
      </c>
      <c r="AA26" s="6">
        <v>72.300469483567937</v>
      </c>
      <c r="AB26" s="6"/>
      <c r="AC26" s="12">
        <v>36</v>
      </c>
      <c r="AD26" s="7" t="s">
        <v>39</v>
      </c>
      <c r="AE26" s="6">
        <v>4.3333333333333002</v>
      </c>
      <c r="AF26" s="6"/>
      <c r="AG26" s="12">
        <v>38.779342723004703</v>
      </c>
      <c r="AH26" s="7" t="s">
        <v>40</v>
      </c>
      <c r="AI26" s="6">
        <v>0.65727699530519601</v>
      </c>
      <c r="AJ26" s="6"/>
      <c r="AK26" s="12">
        <v>570.33492822966502</v>
      </c>
      <c r="AL26" s="6" t="s">
        <v>54</v>
      </c>
      <c r="AM26" s="6">
        <v>22.966507177034032</v>
      </c>
      <c r="AN26" s="6"/>
      <c r="AO26" s="12">
        <f t="shared" si="4"/>
        <v>22091.810119979142</v>
      </c>
      <c r="AP26" s="7" t="s">
        <v>215</v>
      </c>
      <c r="AQ26" s="6"/>
      <c r="AR26" s="6"/>
      <c r="AS26" s="32">
        <f t="shared" si="13"/>
        <v>32.583333333333336</v>
      </c>
      <c r="AT26" s="32">
        <f t="shared" si="14"/>
        <v>119.7</v>
      </c>
      <c r="AU26" s="27">
        <v>39401</v>
      </c>
      <c r="AV26" s="27">
        <v>39603</v>
      </c>
      <c r="AW26" s="27">
        <v>39512</v>
      </c>
      <c r="AX26" s="27">
        <v>39594</v>
      </c>
      <c r="AY26" s="28">
        <f t="shared" si="7"/>
        <v>-46</v>
      </c>
      <c r="AZ26" s="28">
        <f t="shared" si="8"/>
        <v>156</v>
      </c>
      <c r="BA26" s="37">
        <f t="shared" si="9"/>
        <v>203</v>
      </c>
      <c r="BB26" s="28">
        <f t="shared" si="10"/>
        <v>65</v>
      </c>
      <c r="BC26" s="28">
        <f t="shared" si="11"/>
        <v>147</v>
      </c>
      <c r="BD26" s="26">
        <f t="shared" si="12"/>
        <v>83</v>
      </c>
      <c r="BF26" s="36">
        <v>39567</v>
      </c>
      <c r="BG26" s="26">
        <f t="shared" si="15"/>
        <v>37</v>
      </c>
      <c r="BH26" s="26" t="s">
        <v>276</v>
      </c>
    </row>
    <row r="27" spans="1:60" s="26" customFormat="1" hidden="1" x14ac:dyDescent="0.3">
      <c r="A27" s="6">
        <v>1</v>
      </c>
      <c r="B27" s="6"/>
      <c r="C27" s="7">
        <v>52</v>
      </c>
      <c r="D27" s="7" t="s">
        <v>46</v>
      </c>
      <c r="E27" s="13" t="s">
        <v>47</v>
      </c>
      <c r="F27" s="9" t="str">
        <f t="shared" si="0"/>
        <v>2011-133Y162008FACE</v>
      </c>
      <c r="G27" s="7" t="s">
        <v>48</v>
      </c>
      <c r="H27" s="7" t="s">
        <v>33</v>
      </c>
      <c r="I27" s="7" t="s">
        <v>33</v>
      </c>
      <c r="J27" s="7" t="s">
        <v>34</v>
      </c>
      <c r="K27" s="7" t="s">
        <v>57</v>
      </c>
      <c r="L27" s="7">
        <v>2008</v>
      </c>
      <c r="M27" s="7" t="s">
        <v>50</v>
      </c>
      <c r="N27" s="7" t="s">
        <v>51</v>
      </c>
      <c r="O27" s="7" t="s">
        <v>42</v>
      </c>
      <c r="P27" s="7">
        <f>R27/1.01*1.08</f>
        <v>49.188118811881189</v>
      </c>
      <c r="Q27" s="7">
        <v>8.4710000000000001</v>
      </c>
      <c r="R27" s="7">
        <v>46</v>
      </c>
      <c r="S27" s="7">
        <v>7</v>
      </c>
      <c r="T27" s="7">
        <v>75</v>
      </c>
      <c r="U27" s="6">
        <v>3</v>
      </c>
      <c r="V27" s="6">
        <f t="shared" si="2"/>
        <v>8.4710000000000001</v>
      </c>
      <c r="W27" s="6" t="s">
        <v>52</v>
      </c>
      <c r="X27" s="6"/>
      <c r="Y27" s="12">
        <v>887.32394366197195</v>
      </c>
      <c r="Z27" s="6" t="s">
        <v>53</v>
      </c>
      <c r="AA27" s="6">
        <v>52.582159624413038</v>
      </c>
      <c r="AB27" s="6"/>
      <c r="AC27" s="12">
        <v>44</v>
      </c>
      <c r="AD27" s="7" t="s">
        <v>39</v>
      </c>
      <c r="AE27" s="6">
        <v>0.66666666666669983</v>
      </c>
      <c r="AF27" s="6"/>
      <c r="AG27" s="12">
        <v>45.680751173708899</v>
      </c>
      <c r="AH27" s="7" t="s">
        <v>40</v>
      </c>
      <c r="AI27" s="6">
        <v>1.9718309859155028</v>
      </c>
      <c r="AJ27" s="6"/>
      <c r="AK27" s="12">
        <v>440.19138755980902</v>
      </c>
      <c r="AL27" s="6" t="s">
        <v>54</v>
      </c>
      <c r="AM27" s="6">
        <v>7.6555023923439762</v>
      </c>
      <c r="AN27" s="6"/>
      <c r="AO27" s="12">
        <f t="shared" si="4"/>
        <v>20166.45326504482</v>
      </c>
      <c r="AP27" s="7" t="s">
        <v>215</v>
      </c>
      <c r="AQ27" s="6"/>
      <c r="AR27" s="6"/>
      <c r="AS27" s="32">
        <f t="shared" si="13"/>
        <v>32.583333333333336</v>
      </c>
      <c r="AT27" s="32">
        <f t="shared" si="14"/>
        <v>119.7</v>
      </c>
      <c r="AU27" s="27">
        <v>39401</v>
      </c>
      <c r="AV27" s="27">
        <v>39603</v>
      </c>
      <c r="AW27" s="27">
        <v>39512</v>
      </c>
      <c r="AX27" s="27">
        <v>39594</v>
      </c>
      <c r="AY27" s="28">
        <f t="shared" si="7"/>
        <v>-46</v>
      </c>
      <c r="AZ27" s="28">
        <f t="shared" si="8"/>
        <v>156</v>
      </c>
      <c r="BA27" s="37">
        <f t="shared" si="9"/>
        <v>203</v>
      </c>
      <c r="BB27" s="28">
        <f t="shared" si="10"/>
        <v>65</v>
      </c>
      <c r="BC27" s="28">
        <f t="shared" si="11"/>
        <v>147</v>
      </c>
      <c r="BD27" s="26">
        <f t="shared" si="12"/>
        <v>83</v>
      </c>
      <c r="BF27" s="36">
        <v>39567</v>
      </c>
      <c r="BG27" s="26">
        <f t="shared" si="15"/>
        <v>37</v>
      </c>
      <c r="BH27" s="26" t="s">
        <v>276</v>
      </c>
    </row>
    <row r="28" spans="1:60" s="26" customFormat="1" hidden="1" x14ac:dyDescent="0.3">
      <c r="A28" s="6">
        <v>1</v>
      </c>
      <c r="B28" s="6"/>
      <c r="C28" s="7">
        <v>52</v>
      </c>
      <c r="D28" s="7" t="s">
        <v>46</v>
      </c>
      <c r="E28" s="13" t="s">
        <v>47</v>
      </c>
      <c r="F28" s="9" t="str">
        <f t="shared" si="0"/>
        <v>2011-133Y162008FACE</v>
      </c>
      <c r="G28" s="7" t="s">
        <v>48</v>
      </c>
      <c r="H28" s="7" t="s">
        <v>33</v>
      </c>
      <c r="I28" s="7" t="s">
        <v>33</v>
      </c>
      <c r="J28" s="7" t="s">
        <v>34</v>
      </c>
      <c r="K28" s="7" t="s">
        <v>57</v>
      </c>
      <c r="L28" s="7">
        <v>2008</v>
      </c>
      <c r="M28" s="7" t="s">
        <v>50</v>
      </c>
      <c r="N28" s="7" t="s">
        <v>51</v>
      </c>
      <c r="O28" s="7" t="s">
        <v>56</v>
      </c>
      <c r="P28" s="6">
        <f>(7*R28+5*0.976*R27)/12*T28*12/1000+R27/1.01*(90-T28)*12/1000</f>
        <v>55.274019801980202</v>
      </c>
      <c r="Q28" s="7">
        <v>16.742999999999999</v>
      </c>
      <c r="R28" s="7">
        <v>57.6</v>
      </c>
      <c r="S28" s="7">
        <v>7</v>
      </c>
      <c r="T28" s="7">
        <v>75</v>
      </c>
      <c r="U28" s="6">
        <v>3</v>
      </c>
      <c r="V28" s="6">
        <f t="shared" si="2"/>
        <v>16.742999999999999</v>
      </c>
      <c r="W28" s="6" t="s">
        <v>52</v>
      </c>
      <c r="X28" s="6"/>
      <c r="Y28" s="12">
        <v>736.15023474178395</v>
      </c>
      <c r="Z28" s="6" t="s">
        <v>53</v>
      </c>
      <c r="AA28" s="6">
        <v>26.29107981220702</v>
      </c>
      <c r="AB28" s="6"/>
      <c r="AC28" s="12">
        <v>38</v>
      </c>
      <c r="AD28" s="7" t="s">
        <v>39</v>
      </c>
      <c r="AE28" s="6">
        <v>1.6666666666666998</v>
      </c>
      <c r="AF28" s="6"/>
      <c r="AG28" s="12">
        <v>44.366197183098599</v>
      </c>
      <c r="AH28" s="7" t="s">
        <v>40</v>
      </c>
      <c r="AI28" s="6">
        <v>1.6431924882628977</v>
      </c>
      <c r="AJ28" s="6"/>
      <c r="AK28" s="12">
        <v>436.36363636363598</v>
      </c>
      <c r="AL28" s="6" t="s">
        <v>54</v>
      </c>
      <c r="AM28" s="6">
        <v>3.8277511961730397</v>
      </c>
      <c r="AN28" s="6"/>
      <c r="AO28" s="12">
        <f t="shared" si="4"/>
        <v>19372.374598467999</v>
      </c>
      <c r="AP28" s="7" t="s">
        <v>215</v>
      </c>
      <c r="AQ28" s="6"/>
      <c r="AR28" s="6"/>
      <c r="AS28" s="32">
        <f t="shared" si="13"/>
        <v>32.583333333333336</v>
      </c>
      <c r="AT28" s="32">
        <f t="shared" si="14"/>
        <v>119.7</v>
      </c>
      <c r="AU28" s="27">
        <v>39401</v>
      </c>
      <c r="AV28" s="27">
        <v>39603</v>
      </c>
      <c r="AW28" s="27">
        <v>39512</v>
      </c>
      <c r="AX28" s="27">
        <v>39594</v>
      </c>
      <c r="AY28" s="28">
        <f t="shared" si="7"/>
        <v>-46</v>
      </c>
      <c r="AZ28" s="28">
        <f t="shared" si="8"/>
        <v>156</v>
      </c>
      <c r="BA28" s="37">
        <f t="shared" si="9"/>
        <v>203</v>
      </c>
      <c r="BB28" s="28">
        <f t="shared" si="10"/>
        <v>65</v>
      </c>
      <c r="BC28" s="28">
        <f t="shared" si="11"/>
        <v>147</v>
      </c>
      <c r="BD28" s="26">
        <f t="shared" si="12"/>
        <v>83</v>
      </c>
      <c r="BF28" s="36">
        <v>39567</v>
      </c>
      <c r="BG28" s="26">
        <f t="shared" si="15"/>
        <v>37</v>
      </c>
      <c r="BH28" s="26" t="s">
        <v>276</v>
      </c>
    </row>
    <row r="29" spans="1:60" s="26" customFormat="1" hidden="1" x14ac:dyDescent="0.3">
      <c r="A29" s="6">
        <v>1</v>
      </c>
      <c r="B29" s="6"/>
      <c r="C29" s="7">
        <v>52</v>
      </c>
      <c r="D29" s="7" t="s">
        <v>46</v>
      </c>
      <c r="E29" s="13" t="s">
        <v>47</v>
      </c>
      <c r="F29" s="9" t="str">
        <f t="shared" si="0"/>
        <v>2011-133Y192008FACE</v>
      </c>
      <c r="G29" s="7" t="s">
        <v>48</v>
      </c>
      <c r="H29" s="7" t="s">
        <v>33</v>
      </c>
      <c r="I29" s="7" t="s">
        <v>33</v>
      </c>
      <c r="J29" s="7" t="s">
        <v>34</v>
      </c>
      <c r="K29" s="7" t="s">
        <v>58</v>
      </c>
      <c r="L29" s="7">
        <v>2008</v>
      </c>
      <c r="M29" s="7" t="s">
        <v>50</v>
      </c>
      <c r="N29" s="7" t="s">
        <v>51</v>
      </c>
      <c r="O29" s="7" t="s">
        <v>42</v>
      </c>
      <c r="P29" s="7">
        <f>R29/1.01*1.08</f>
        <v>49.188118811881189</v>
      </c>
      <c r="Q29" s="7">
        <v>9.1110000000000007</v>
      </c>
      <c r="R29" s="7">
        <v>46</v>
      </c>
      <c r="S29" s="7">
        <v>7</v>
      </c>
      <c r="T29" s="7">
        <v>75</v>
      </c>
      <c r="U29" s="6">
        <v>3</v>
      </c>
      <c r="V29" s="6">
        <f t="shared" si="2"/>
        <v>9.1110000000000007</v>
      </c>
      <c r="W29" s="6" t="s">
        <v>52</v>
      </c>
      <c r="X29" s="6"/>
      <c r="Y29" s="12">
        <v>841.31455399060997</v>
      </c>
      <c r="Z29" s="6" t="s">
        <v>53</v>
      </c>
      <c r="AA29" s="6">
        <v>19.718309859155013</v>
      </c>
      <c r="AB29" s="6"/>
      <c r="AC29" s="12">
        <v>41.3333333333333</v>
      </c>
      <c r="AD29" s="7" t="s">
        <v>39</v>
      </c>
      <c r="AE29" s="6">
        <v>2</v>
      </c>
      <c r="AF29" s="6"/>
      <c r="AG29" s="12">
        <v>41.7370892018779</v>
      </c>
      <c r="AH29" s="7" t="s">
        <v>40</v>
      </c>
      <c r="AI29" s="6">
        <v>2.3004694835681008</v>
      </c>
      <c r="AJ29" s="6"/>
      <c r="AK29" s="12">
        <v>489.95215311004802</v>
      </c>
      <c r="AL29" s="6" t="s">
        <v>54</v>
      </c>
      <c r="AM29" s="6">
        <v>38.277511961721984</v>
      </c>
      <c r="AN29" s="6"/>
      <c r="AO29" s="12">
        <f t="shared" si="4"/>
        <v>20354.384370740579</v>
      </c>
      <c r="AP29" s="7" t="s">
        <v>215</v>
      </c>
      <c r="AQ29" s="6"/>
      <c r="AR29" s="6"/>
      <c r="AS29" s="32">
        <f t="shared" si="13"/>
        <v>32.583333333333336</v>
      </c>
      <c r="AT29" s="32">
        <f t="shared" si="14"/>
        <v>119.7</v>
      </c>
      <c r="AU29" s="27">
        <v>39401</v>
      </c>
      <c r="AV29" s="27">
        <v>39603</v>
      </c>
      <c r="AW29" s="27">
        <v>39512</v>
      </c>
      <c r="AX29" s="27">
        <v>39594</v>
      </c>
      <c r="AY29" s="28">
        <f t="shared" si="7"/>
        <v>-46</v>
      </c>
      <c r="AZ29" s="28">
        <f t="shared" si="8"/>
        <v>156</v>
      </c>
      <c r="BA29" s="37">
        <f t="shared" si="9"/>
        <v>203</v>
      </c>
      <c r="BB29" s="28">
        <f t="shared" si="10"/>
        <v>65</v>
      </c>
      <c r="BC29" s="28">
        <f t="shared" si="11"/>
        <v>147</v>
      </c>
      <c r="BD29" s="26">
        <f t="shared" si="12"/>
        <v>83</v>
      </c>
      <c r="BF29" s="36">
        <v>39567</v>
      </c>
      <c r="BG29" s="26">
        <f t="shared" si="15"/>
        <v>37</v>
      </c>
      <c r="BH29" s="26" t="s">
        <v>276</v>
      </c>
    </row>
    <row r="30" spans="1:60" s="26" customFormat="1" hidden="1" x14ac:dyDescent="0.3">
      <c r="A30" s="6">
        <v>1</v>
      </c>
      <c r="B30" s="6"/>
      <c r="C30" s="7">
        <v>52</v>
      </c>
      <c r="D30" s="7" t="s">
        <v>46</v>
      </c>
      <c r="E30" s="13" t="s">
        <v>47</v>
      </c>
      <c r="F30" s="9" t="str">
        <f t="shared" si="0"/>
        <v>2011-133Y192008FACE</v>
      </c>
      <c r="G30" s="7" t="s">
        <v>48</v>
      </c>
      <c r="H30" s="7" t="s">
        <v>33</v>
      </c>
      <c r="I30" s="7" t="s">
        <v>33</v>
      </c>
      <c r="J30" s="7" t="s">
        <v>34</v>
      </c>
      <c r="K30" s="7" t="s">
        <v>58</v>
      </c>
      <c r="L30" s="7">
        <v>2008</v>
      </c>
      <c r="M30" s="7" t="s">
        <v>50</v>
      </c>
      <c r="N30" s="7" t="s">
        <v>51</v>
      </c>
      <c r="O30" s="7" t="s">
        <v>56</v>
      </c>
      <c r="P30" s="6">
        <f>(7*R30+5*0.976*R29)/12*T30*12/1000+R29/1.01*(90-T30)*12/1000</f>
        <v>55.274019801980202</v>
      </c>
      <c r="Q30" s="7">
        <v>17.272200000000002</v>
      </c>
      <c r="R30" s="7">
        <v>57.6</v>
      </c>
      <c r="S30" s="7">
        <v>7</v>
      </c>
      <c r="T30" s="7">
        <v>75</v>
      </c>
      <c r="U30" s="6">
        <v>3</v>
      </c>
      <c r="V30" s="6">
        <f t="shared" si="2"/>
        <v>17.272200000000002</v>
      </c>
      <c r="W30" s="6" t="s">
        <v>52</v>
      </c>
      <c r="X30" s="6"/>
      <c r="Y30" s="12">
        <v>545.53990610328594</v>
      </c>
      <c r="Z30" s="6" t="s">
        <v>53</v>
      </c>
      <c r="AA30" s="6">
        <v>46.00938967136203</v>
      </c>
      <c r="AB30" s="6"/>
      <c r="AC30" s="12">
        <v>29.3333333333333</v>
      </c>
      <c r="AD30" s="7" t="s">
        <v>39</v>
      </c>
      <c r="AE30" s="6">
        <v>2.3333333333333997</v>
      </c>
      <c r="AF30" s="6"/>
      <c r="AG30" s="12">
        <v>37.136150234741798</v>
      </c>
      <c r="AH30" s="7" t="s">
        <v>40</v>
      </c>
      <c r="AI30" s="6">
        <v>0.65727699530520312</v>
      </c>
      <c r="AJ30" s="6"/>
      <c r="AK30" s="12">
        <v>512.91866028708102</v>
      </c>
      <c r="AL30" s="6" t="s">
        <v>54</v>
      </c>
      <c r="AM30" s="6">
        <v>42.105263157895024</v>
      </c>
      <c r="AN30" s="6"/>
      <c r="AO30" s="12">
        <f t="shared" si="4"/>
        <v>18597.951344430225</v>
      </c>
      <c r="AP30" s="7" t="s">
        <v>215</v>
      </c>
      <c r="AQ30" s="6"/>
      <c r="AR30" s="6"/>
      <c r="AS30" s="32">
        <f t="shared" si="13"/>
        <v>32.583333333333336</v>
      </c>
      <c r="AT30" s="32">
        <f t="shared" si="14"/>
        <v>119.7</v>
      </c>
      <c r="AU30" s="27">
        <v>39401</v>
      </c>
      <c r="AV30" s="27">
        <v>39603</v>
      </c>
      <c r="AW30" s="27">
        <v>39512</v>
      </c>
      <c r="AX30" s="27">
        <v>39594</v>
      </c>
      <c r="AY30" s="28">
        <f t="shared" si="7"/>
        <v>-46</v>
      </c>
      <c r="AZ30" s="28">
        <f t="shared" si="8"/>
        <v>156</v>
      </c>
      <c r="BA30" s="37">
        <f t="shared" si="9"/>
        <v>203</v>
      </c>
      <c r="BB30" s="28">
        <f t="shared" si="10"/>
        <v>65</v>
      </c>
      <c r="BC30" s="28">
        <f t="shared" si="11"/>
        <v>147</v>
      </c>
      <c r="BD30" s="26">
        <f t="shared" si="12"/>
        <v>83</v>
      </c>
      <c r="BF30" s="36">
        <v>39567</v>
      </c>
      <c r="BG30" s="26">
        <f t="shared" si="15"/>
        <v>37</v>
      </c>
      <c r="BH30" s="26" t="s">
        <v>276</v>
      </c>
    </row>
    <row r="31" spans="1:60" s="26" customFormat="1" hidden="1" x14ac:dyDescent="0.3">
      <c r="A31" s="6">
        <v>1</v>
      </c>
      <c r="B31" s="6"/>
      <c r="C31" s="7">
        <v>52</v>
      </c>
      <c r="D31" s="7" t="s">
        <v>46</v>
      </c>
      <c r="E31" s="13" t="s">
        <v>47</v>
      </c>
      <c r="F31" s="9" t="str">
        <f t="shared" si="0"/>
        <v>2011-133Y22008FACE</v>
      </c>
      <c r="G31" s="7" t="s">
        <v>48</v>
      </c>
      <c r="H31" s="7" t="s">
        <v>33</v>
      </c>
      <c r="I31" s="7" t="s">
        <v>33</v>
      </c>
      <c r="J31" s="7" t="s">
        <v>34</v>
      </c>
      <c r="K31" s="7" t="s">
        <v>59</v>
      </c>
      <c r="L31" s="7">
        <v>2008</v>
      </c>
      <c r="M31" s="7" t="s">
        <v>50</v>
      </c>
      <c r="N31" s="7" t="s">
        <v>51</v>
      </c>
      <c r="O31" s="7" t="s">
        <v>42</v>
      </c>
      <c r="P31" s="7">
        <f>R31/1.01*1.08</f>
        <v>49.188118811881189</v>
      </c>
      <c r="Q31" s="7">
        <v>8.4710000000000001</v>
      </c>
      <c r="R31" s="7">
        <v>46</v>
      </c>
      <c r="S31" s="7">
        <v>7</v>
      </c>
      <c r="T31" s="7">
        <v>75</v>
      </c>
      <c r="U31" s="6">
        <v>3</v>
      </c>
      <c r="V31" s="6">
        <f t="shared" si="2"/>
        <v>8.4710000000000001</v>
      </c>
      <c r="W31" s="6" t="s">
        <v>52</v>
      </c>
      <c r="X31" s="6"/>
      <c r="Y31" s="12">
        <v>874.178403755869</v>
      </c>
      <c r="Z31" s="6" t="s">
        <v>53</v>
      </c>
      <c r="AA31" s="6">
        <v>46.009389671361035</v>
      </c>
      <c r="AB31" s="6"/>
      <c r="AC31" s="12">
        <v>43.6666666666667</v>
      </c>
      <c r="AD31" s="7" t="s">
        <v>39</v>
      </c>
      <c r="AE31" s="6">
        <v>0.66666666666660035</v>
      </c>
      <c r="AF31" s="6"/>
      <c r="AG31" s="12">
        <v>41.408450704225402</v>
      </c>
      <c r="AH31" s="7" t="s">
        <v>40</v>
      </c>
      <c r="AI31" s="6">
        <v>1.9718309859153962</v>
      </c>
      <c r="AJ31" s="6"/>
      <c r="AK31" s="12">
        <v>486.124401913876</v>
      </c>
      <c r="AL31" s="6" t="s">
        <v>54</v>
      </c>
      <c r="AM31" s="6">
        <v>11.483253588515993</v>
      </c>
      <c r="AN31" s="6"/>
      <c r="AO31" s="12">
        <f t="shared" si="4"/>
        <v>20019.352757767974</v>
      </c>
      <c r="AP31" s="7" t="s">
        <v>215</v>
      </c>
      <c r="AQ31" s="6"/>
      <c r="AR31" s="6"/>
      <c r="AS31" s="32">
        <f t="shared" si="13"/>
        <v>32.583333333333336</v>
      </c>
      <c r="AT31" s="32">
        <f t="shared" si="14"/>
        <v>119.7</v>
      </c>
      <c r="AU31" s="27">
        <v>39401</v>
      </c>
      <c r="AV31" s="27">
        <v>39603</v>
      </c>
      <c r="AW31" s="27">
        <v>39512</v>
      </c>
      <c r="AX31" s="27">
        <v>39594</v>
      </c>
      <c r="AY31" s="28">
        <f t="shared" si="7"/>
        <v>-46</v>
      </c>
      <c r="AZ31" s="28">
        <f t="shared" si="8"/>
        <v>156</v>
      </c>
      <c r="BA31" s="37">
        <f t="shared" si="9"/>
        <v>203</v>
      </c>
      <c r="BB31" s="28">
        <f t="shared" si="10"/>
        <v>65</v>
      </c>
      <c r="BC31" s="28">
        <f t="shared" si="11"/>
        <v>147</v>
      </c>
      <c r="BD31" s="26">
        <f t="shared" si="12"/>
        <v>83</v>
      </c>
      <c r="BF31" s="36">
        <v>39567</v>
      </c>
      <c r="BG31" s="26">
        <f t="shared" si="15"/>
        <v>37</v>
      </c>
      <c r="BH31" s="26" t="s">
        <v>276</v>
      </c>
    </row>
    <row r="32" spans="1:60" s="26" customFormat="1" hidden="1" x14ac:dyDescent="0.3">
      <c r="A32" s="6">
        <v>1</v>
      </c>
      <c r="B32" s="6"/>
      <c r="C32" s="7">
        <v>52</v>
      </c>
      <c r="D32" s="7" t="s">
        <v>46</v>
      </c>
      <c r="E32" s="13" t="s">
        <v>47</v>
      </c>
      <c r="F32" s="9" t="str">
        <f t="shared" si="0"/>
        <v>2011-133Y22008FACE</v>
      </c>
      <c r="G32" s="7" t="s">
        <v>48</v>
      </c>
      <c r="H32" s="7" t="s">
        <v>33</v>
      </c>
      <c r="I32" s="7" t="s">
        <v>33</v>
      </c>
      <c r="J32" s="7" t="s">
        <v>34</v>
      </c>
      <c r="K32" s="7" t="s">
        <v>59</v>
      </c>
      <c r="L32" s="7">
        <v>2008</v>
      </c>
      <c r="M32" s="7" t="s">
        <v>50</v>
      </c>
      <c r="N32" s="7" t="s">
        <v>51</v>
      </c>
      <c r="O32" s="7" t="s">
        <v>56</v>
      </c>
      <c r="P32" s="6">
        <f>(7*R32+5*0.976*R31)/12*T32*12/1000+R31/1.01*(90-T32)*12/1000</f>
        <v>55.274019801980202</v>
      </c>
      <c r="Q32" s="7">
        <v>16.742999999999999</v>
      </c>
      <c r="R32" s="7">
        <v>57.6</v>
      </c>
      <c r="S32" s="7">
        <v>7</v>
      </c>
      <c r="T32" s="7">
        <v>75</v>
      </c>
      <c r="U32" s="6">
        <v>3</v>
      </c>
      <c r="V32" s="6">
        <f t="shared" si="2"/>
        <v>16.742999999999999</v>
      </c>
      <c r="W32" s="6" t="s">
        <v>52</v>
      </c>
      <c r="X32" s="6"/>
      <c r="Y32" s="12">
        <v>663.84976525821605</v>
      </c>
      <c r="Z32" s="6" t="s">
        <v>53</v>
      </c>
      <c r="AA32" s="6">
        <v>72.300469483567937</v>
      </c>
      <c r="AB32" s="6"/>
      <c r="AC32" s="12">
        <v>33.6666666666667</v>
      </c>
      <c r="AD32" s="7" t="s">
        <v>39</v>
      </c>
      <c r="AE32" s="6">
        <v>5</v>
      </c>
      <c r="AF32" s="6"/>
      <c r="AG32" s="12">
        <v>40.751173708920199</v>
      </c>
      <c r="AH32" s="7" t="s">
        <v>40</v>
      </c>
      <c r="AI32" s="6">
        <v>0.98591549295770164</v>
      </c>
      <c r="AJ32" s="6"/>
      <c r="AK32" s="12">
        <v>486.124401913876</v>
      </c>
      <c r="AL32" s="6" t="s">
        <v>54</v>
      </c>
      <c r="AM32" s="6">
        <v>19.138755980860992</v>
      </c>
      <c r="AN32" s="6"/>
      <c r="AO32" s="12">
        <f t="shared" si="4"/>
        <v>19718.309859154913</v>
      </c>
      <c r="AP32" s="7" t="s">
        <v>215</v>
      </c>
      <c r="AQ32" s="6"/>
      <c r="AR32" s="6"/>
      <c r="AS32" s="32">
        <f t="shared" si="13"/>
        <v>32.583333333333336</v>
      </c>
      <c r="AT32" s="32">
        <f t="shared" si="14"/>
        <v>119.7</v>
      </c>
      <c r="AU32" s="27">
        <v>39401</v>
      </c>
      <c r="AV32" s="27">
        <v>39603</v>
      </c>
      <c r="AW32" s="27">
        <v>39512</v>
      </c>
      <c r="AX32" s="27">
        <v>39594</v>
      </c>
      <c r="AY32" s="28">
        <f t="shared" si="7"/>
        <v>-46</v>
      </c>
      <c r="AZ32" s="28">
        <f t="shared" si="8"/>
        <v>156</v>
      </c>
      <c r="BA32" s="37">
        <f t="shared" si="9"/>
        <v>203</v>
      </c>
      <c r="BB32" s="28">
        <f t="shared" si="10"/>
        <v>65</v>
      </c>
      <c r="BC32" s="28">
        <f t="shared" si="11"/>
        <v>147</v>
      </c>
      <c r="BD32" s="26">
        <f t="shared" si="12"/>
        <v>83</v>
      </c>
      <c r="BF32" s="36">
        <v>39567</v>
      </c>
      <c r="BG32" s="26">
        <f t="shared" si="15"/>
        <v>37</v>
      </c>
      <c r="BH32" s="26" t="s">
        <v>276</v>
      </c>
    </row>
    <row r="33" spans="1:56" s="26" customFormat="1" hidden="1" x14ac:dyDescent="0.3">
      <c r="A33" s="6">
        <v>1</v>
      </c>
      <c r="B33" s="6"/>
      <c r="C33" s="7">
        <v>52</v>
      </c>
      <c r="D33" s="7" t="s">
        <v>46</v>
      </c>
      <c r="E33" s="13" t="s">
        <v>47</v>
      </c>
      <c r="F33" s="9" t="str">
        <f t="shared" si="0"/>
        <v>2011-133Y152009FACE</v>
      </c>
      <c r="G33" s="7" t="s">
        <v>48</v>
      </c>
      <c r="H33" s="7" t="s">
        <v>33</v>
      </c>
      <c r="I33" s="7" t="s">
        <v>33</v>
      </c>
      <c r="J33" s="7" t="s">
        <v>34</v>
      </c>
      <c r="K33" s="7" t="s">
        <v>49</v>
      </c>
      <c r="L33" s="7">
        <v>2009</v>
      </c>
      <c r="M33" s="7" t="s">
        <v>50</v>
      </c>
      <c r="N33" s="7" t="s">
        <v>51</v>
      </c>
      <c r="O33" s="7" t="s">
        <v>42</v>
      </c>
      <c r="P33" s="7">
        <f>R33/1.01*1.08</f>
        <v>47.691089108910894</v>
      </c>
      <c r="Q33" s="7">
        <v>6.6849999999999996</v>
      </c>
      <c r="R33" s="7">
        <v>44.6</v>
      </c>
      <c r="S33" s="7">
        <v>7</v>
      </c>
      <c r="T33" s="7">
        <v>75</v>
      </c>
      <c r="U33" s="6">
        <v>3</v>
      </c>
      <c r="V33" s="6">
        <f t="shared" si="2"/>
        <v>6.6849999999999996</v>
      </c>
      <c r="W33" s="6" t="s">
        <v>52</v>
      </c>
      <c r="X33" s="6"/>
      <c r="Y33" s="12">
        <v>644.131455399061</v>
      </c>
      <c r="Z33" s="6" t="s">
        <v>53</v>
      </c>
      <c r="AA33" s="6">
        <v>26.291079812206021</v>
      </c>
      <c r="AB33" s="6"/>
      <c r="AC33" s="12">
        <v>43.6666666666667</v>
      </c>
      <c r="AD33" s="7" t="s">
        <v>39</v>
      </c>
      <c r="AE33" s="6">
        <v>0.66666666666660035</v>
      </c>
      <c r="AF33" s="6"/>
      <c r="AG33" s="12">
        <v>37.641509433962298</v>
      </c>
      <c r="AH33" s="7" t="s">
        <v>40</v>
      </c>
      <c r="AI33" s="6">
        <v>0.99056603773580321</v>
      </c>
      <c r="AJ33" s="6"/>
      <c r="AK33" s="12">
        <v>432.53588516746402</v>
      </c>
      <c r="AL33" s="6" t="s">
        <v>54</v>
      </c>
      <c r="AM33" s="6">
        <v>15.311004784688976</v>
      </c>
      <c r="AN33" s="6"/>
      <c r="AO33" s="12">
        <f t="shared" si="4"/>
        <v>14751.102032039553</v>
      </c>
      <c r="AP33" s="7" t="s">
        <v>215</v>
      </c>
      <c r="AQ33" s="6"/>
      <c r="AR33" s="6"/>
      <c r="AS33" s="32">
        <f t="shared" si="13"/>
        <v>32.583333333333336</v>
      </c>
      <c r="AT33" s="32">
        <f t="shared" si="14"/>
        <v>119.7</v>
      </c>
      <c r="AU33" s="27">
        <v>39771</v>
      </c>
      <c r="AV33" s="27">
        <v>39966</v>
      </c>
      <c r="AW33" s="27">
        <v>39873</v>
      </c>
      <c r="AX33" s="27">
        <v>39957</v>
      </c>
      <c r="AY33" s="28">
        <f t="shared" si="7"/>
        <v>-42</v>
      </c>
      <c r="AZ33" s="28">
        <f t="shared" si="8"/>
        <v>153</v>
      </c>
      <c r="BA33" s="37">
        <f t="shared" si="9"/>
        <v>196</v>
      </c>
      <c r="BB33" s="28">
        <f t="shared" si="10"/>
        <v>60</v>
      </c>
      <c r="BC33" s="28">
        <f t="shared" si="11"/>
        <v>144</v>
      </c>
      <c r="BD33" s="26">
        <f t="shared" si="12"/>
        <v>85</v>
      </c>
    </row>
    <row r="34" spans="1:56" s="26" customFormat="1" hidden="1" x14ac:dyDescent="0.3">
      <c r="A34" s="6">
        <v>1</v>
      </c>
      <c r="B34" s="6"/>
      <c r="C34" s="7">
        <v>52</v>
      </c>
      <c r="D34" s="7" t="s">
        <v>46</v>
      </c>
      <c r="E34" s="13" t="s">
        <v>47</v>
      </c>
      <c r="F34" s="9" t="str">
        <f t="shared" si="0"/>
        <v>2011-133Y152009FACE</v>
      </c>
      <c r="G34" s="7" t="s">
        <v>48</v>
      </c>
      <c r="H34" s="7" t="s">
        <v>33</v>
      </c>
      <c r="I34" s="7" t="s">
        <v>33</v>
      </c>
      <c r="J34" s="7" t="s">
        <v>34</v>
      </c>
      <c r="K34" s="7" t="s">
        <v>49</v>
      </c>
      <c r="L34" s="7">
        <v>2009</v>
      </c>
      <c r="M34" s="7" t="s">
        <v>50</v>
      </c>
      <c r="N34" s="7" t="s">
        <v>51</v>
      </c>
      <c r="O34" s="7" t="s">
        <v>56</v>
      </c>
      <c r="P34" s="6">
        <f>(7*R34+5*0.976*R33)/12*T34*12/1000+R33/1.01*(90-T34)*12/1000</f>
        <v>54.354614851485145</v>
      </c>
      <c r="Q34" s="7">
        <v>14.805400000000001</v>
      </c>
      <c r="R34" s="7">
        <v>57.3</v>
      </c>
      <c r="S34" s="7">
        <v>7</v>
      </c>
      <c r="T34" s="7">
        <v>75</v>
      </c>
      <c r="U34" s="6">
        <v>3</v>
      </c>
      <c r="V34" s="6">
        <f t="shared" ref="V34:V68" si="16">IF(T34&lt;=90,Q34,Q34/T34*90)</f>
        <v>14.805400000000001</v>
      </c>
      <c r="W34" s="6" t="s">
        <v>52</v>
      </c>
      <c r="X34" s="6"/>
      <c r="Y34" s="12">
        <v>558.68544600938992</v>
      </c>
      <c r="Z34" s="6" t="s">
        <v>53</v>
      </c>
      <c r="AA34" s="6">
        <v>19.718309859155013</v>
      </c>
      <c r="AB34" s="6"/>
      <c r="AC34" s="12">
        <v>37.3333333333333</v>
      </c>
      <c r="AD34" s="7" t="s">
        <v>39</v>
      </c>
      <c r="AE34" s="6">
        <v>2.6666666666666998</v>
      </c>
      <c r="AF34" s="6"/>
      <c r="AG34" s="12">
        <v>37.641509433962298</v>
      </c>
      <c r="AH34" s="7" t="s">
        <v>40</v>
      </c>
      <c r="AI34" s="6">
        <v>0.99056603773580321</v>
      </c>
      <c r="AJ34" s="6"/>
      <c r="AK34" s="12">
        <v>428.708133971292</v>
      </c>
      <c r="AL34" s="6" t="s">
        <v>54</v>
      </c>
      <c r="AM34" s="6">
        <v>3.8277511961720165</v>
      </c>
      <c r="AN34" s="6"/>
      <c r="AO34" s="12">
        <f t="shared" si="4"/>
        <v>14964.788732394385</v>
      </c>
      <c r="AP34" s="7" t="s">
        <v>215</v>
      </c>
      <c r="AQ34" s="6"/>
      <c r="AR34" s="6"/>
      <c r="AS34" s="32">
        <f t="shared" si="13"/>
        <v>32.583333333333336</v>
      </c>
      <c r="AT34" s="32">
        <f t="shared" si="14"/>
        <v>119.7</v>
      </c>
      <c r="AU34" s="27">
        <v>39771</v>
      </c>
      <c r="AV34" s="27">
        <v>39966</v>
      </c>
      <c r="AW34" s="27">
        <v>39873</v>
      </c>
      <c r="AX34" s="27">
        <v>39957</v>
      </c>
      <c r="AY34" s="28">
        <f t="shared" si="7"/>
        <v>-42</v>
      </c>
      <c r="AZ34" s="28">
        <f t="shared" si="8"/>
        <v>153</v>
      </c>
      <c r="BA34" s="37">
        <f t="shared" si="9"/>
        <v>196</v>
      </c>
      <c r="BB34" s="28">
        <f t="shared" si="10"/>
        <v>60</v>
      </c>
      <c r="BC34" s="28">
        <f t="shared" si="11"/>
        <v>144</v>
      </c>
      <c r="BD34" s="26">
        <f t="shared" si="12"/>
        <v>85</v>
      </c>
    </row>
    <row r="35" spans="1:56" s="26" customFormat="1" hidden="1" x14ac:dyDescent="0.3">
      <c r="A35" s="6">
        <v>1</v>
      </c>
      <c r="B35" s="6"/>
      <c r="C35" s="7">
        <v>52</v>
      </c>
      <c r="D35" s="7" t="s">
        <v>46</v>
      </c>
      <c r="E35" s="13" t="s">
        <v>47</v>
      </c>
      <c r="F35" s="9" t="str">
        <f t="shared" si="0"/>
        <v>2011-133Y162009FACE</v>
      </c>
      <c r="G35" s="7" t="s">
        <v>48</v>
      </c>
      <c r="H35" s="7" t="s">
        <v>33</v>
      </c>
      <c r="I35" s="7" t="s">
        <v>33</v>
      </c>
      <c r="J35" s="7" t="s">
        <v>34</v>
      </c>
      <c r="K35" s="7" t="s">
        <v>57</v>
      </c>
      <c r="L35" s="7">
        <v>2009</v>
      </c>
      <c r="M35" s="7" t="s">
        <v>50</v>
      </c>
      <c r="N35" s="7" t="s">
        <v>51</v>
      </c>
      <c r="O35" s="7" t="s">
        <v>42</v>
      </c>
      <c r="P35" s="7">
        <f>R35/1.01*1.08</f>
        <v>47.691089108910894</v>
      </c>
      <c r="Q35" s="7">
        <v>6.9059999999999997</v>
      </c>
      <c r="R35" s="7">
        <v>44.6</v>
      </c>
      <c r="S35" s="7">
        <v>7</v>
      </c>
      <c r="T35" s="7">
        <v>75</v>
      </c>
      <c r="U35" s="6">
        <v>3</v>
      </c>
      <c r="V35" s="6">
        <f t="shared" si="16"/>
        <v>6.9059999999999997</v>
      </c>
      <c r="W35" s="6" t="s">
        <v>52</v>
      </c>
      <c r="X35" s="6"/>
      <c r="Y35" s="12">
        <v>637.55868544600901</v>
      </c>
      <c r="Z35" s="6" t="s">
        <v>53</v>
      </c>
      <c r="AA35" s="6">
        <v>26.29107981220702</v>
      </c>
      <c r="AB35" s="6"/>
      <c r="AC35" s="12">
        <v>42.6666666666667</v>
      </c>
      <c r="AD35" s="7" t="s">
        <v>39</v>
      </c>
      <c r="AE35" s="6">
        <v>0.33333333333330017</v>
      </c>
      <c r="AF35" s="6"/>
      <c r="AG35" s="12">
        <v>39.292452830188701</v>
      </c>
      <c r="AH35" s="7" t="s">
        <v>40</v>
      </c>
      <c r="AI35" s="6">
        <v>1.6509433962264026</v>
      </c>
      <c r="AJ35" s="6"/>
      <c r="AK35" s="12">
        <v>394.25837320574198</v>
      </c>
      <c r="AL35" s="6" t="s">
        <v>54</v>
      </c>
      <c r="AM35" s="6">
        <v>19.138755980861049</v>
      </c>
      <c r="AN35" s="6"/>
      <c r="AO35" s="12">
        <f t="shared" si="4"/>
        <v>14942.781690140824</v>
      </c>
      <c r="AP35" s="7" t="s">
        <v>215</v>
      </c>
      <c r="AQ35" s="6"/>
      <c r="AR35" s="6"/>
      <c r="AS35" s="32">
        <f t="shared" si="13"/>
        <v>32.583333333333336</v>
      </c>
      <c r="AT35" s="32">
        <f t="shared" si="14"/>
        <v>119.7</v>
      </c>
      <c r="AU35" s="27">
        <v>39771</v>
      </c>
      <c r="AV35" s="27">
        <v>39966</v>
      </c>
      <c r="AW35" s="27">
        <v>39873</v>
      </c>
      <c r="AX35" s="27">
        <v>39957</v>
      </c>
      <c r="AY35" s="28">
        <f t="shared" si="7"/>
        <v>-42</v>
      </c>
      <c r="AZ35" s="28">
        <f t="shared" si="8"/>
        <v>153</v>
      </c>
      <c r="BA35" s="37">
        <f t="shared" si="9"/>
        <v>196</v>
      </c>
      <c r="BB35" s="28">
        <f t="shared" si="10"/>
        <v>60</v>
      </c>
      <c r="BC35" s="28">
        <f t="shared" si="11"/>
        <v>144</v>
      </c>
      <c r="BD35" s="26">
        <f t="shared" si="12"/>
        <v>85</v>
      </c>
    </row>
    <row r="36" spans="1:56" s="26" customFormat="1" hidden="1" x14ac:dyDescent="0.3">
      <c r="A36" s="6">
        <v>1</v>
      </c>
      <c r="B36" s="6"/>
      <c r="C36" s="7">
        <v>52</v>
      </c>
      <c r="D36" s="7" t="s">
        <v>46</v>
      </c>
      <c r="E36" s="13" t="s">
        <v>47</v>
      </c>
      <c r="F36" s="9" t="str">
        <f t="shared" si="0"/>
        <v>2011-133Y162009FACE</v>
      </c>
      <c r="G36" s="7" t="s">
        <v>48</v>
      </c>
      <c r="H36" s="7" t="s">
        <v>33</v>
      </c>
      <c r="I36" s="7" t="s">
        <v>33</v>
      </c>
      <c r="J36" s="7" t="s">
        <v>34</v>
      </c>
      <c r="K36" s="7" t="s">
        <v>57</v>
      </c>
      <c r="L36" s="7">
        <v>2009</v>
      </c>
      <c r="M36" s="7" t="s">
        <v>50</v>
      </c>
      <c r="N36" s="7" t="s">
        <v>51</v>
      </c>
      <c r="O36" s="7" t="s">
        <v>56</v>
      </c>
      <c r="P36" s="6">
        <f>(7*R36+5*0.976*R35)/12*T36*12/1000+R35/1.01*(90-T36)*12/1000</f>
        <v>54.354614851485145</v>
      </c>
      <c r="Q36" s="7">
        <v>15.1297</v>
      </c>
      <c r="R36" s="7">
        <v>57.3</v>
      </c>
      <c r="S36" s="7">
        <v>7</v>
      </c>
      <c r="T36" s="7">
        <v>75</v>
      </c>
      <c r="U36" s="6">
        <v>3</v>
      </c>
      <c r="V36" s="6">
        <f t="shared" si="16"/>
        <v>15.1297</v>
      </c>
      <c r="W36" s="6" t="s">
        <v>52</v>
      </c>
      <c r="X36" s="6"/>
      <c r="Y36" s="12">
        <v>512.67605633802805</v>
      </c>
      <c r="Z36" s="6" t="s">
        <v>53</v>
      </c>
      <c r="AA36" s="6">
        <v>13.145539906103011</v>
      </c>
      <c r="AB36" s="6"/>
      <c r="AC36" s="12">
        <v>36</v>
      </c>
      <c r="AD36" s="7" t="s">
        <v>39</v>
      </c>
      <c r="AE36" s="6">
        <v>2.3333333333333002</v>
      </c>
      <c r="AF36" s="6"/>
      <c r="AG36" s="12">
        <v>39.9528301886793</v>
      </c>
      <c r="AH36" s="7" t="s">
        <v>40</v>
      </c>
      <c r="AI36" s="6">
        <v>1.9811320754715993</v>
      </c>
      <c r="AJ36" s="6"/>
      <c r="AK36" s="12">
        <v>375.11961722488002</v>
      </c>
      <c r="AL36" s="6" t="s">
        <v>54</v>
      </c>
      <c r="AM36" s="6">
        <v>22.966507177033975</v>
      </c>
      <c r="AN36" s="6"/>
      <c r="AO36" s="12">
        <f t="shared" si="4"/>
        <v>14241.001564945223</v>
      </c>
      <c r="AP36" s="7" t="s">
        <v>215</v>
      </c>
      <c r="AQ36" s="6"/>
      <c r="AR36" s="6"/>
      <c r="AS36" s="32">
        <f t="shared" si="13"/>
        <v>32.583333333333336</v>
      </c>
      <c r="AT36" s="32">
        <f t="shared" si="14"/>
        <v>119.7</v>
      </c>
      <c r="AU36" s="27">
        <v>39771</v>
      </c>
      <c r="AV36" s="27">
        <v>39966</v>
      </c>
      <c r="AW36" s="27">
        <v>39873</v>
      </c>
      <c r="AX36" s="27">
        <v>39957</v>
      </c>
      <c r="AY36" s="28">
        <f t="shared" si="7"/>
        <v>-42</v>
      </c>
      <c r="AZ36" s="28">
        <f t="shared" si="8"/>
        <v>153</v>
      </c>
      <c r="BA36" s="37">
        <f t="shared" si="9"/>
        <v>196</v>
      </c>
      <c r="BB36" s="28">
        <f t="shared" si="10"/>
        <v>60</v>
      </c>
      <c r="BC36" s="28">
        <f t="shared" si="11"/>
        <v>144</v>
      </c>
      <c r="BD36" s="26">
        <f t="shared" si="12"/>
        <v>85</v>
      </c>
    </row>
    <row r="37" spans="1:56" s="26" customFormat="1" hidden="1" x14ac:dyDescent="0.3">
      <c r="A37" s="6">
        <v>1</v>
      </c>
      <c r="B37" s="6"/>
      <c r="C37" s="7">
        <v>52</v>
      </c>
      <c r="D37" s="7" t="s">
        <v>46</v>
      </c>
      <c r="E37" s="13" t="s">
        <v>47</v>
      </c>
      <c r="F37" s="9" t="str">
        <f t="shared" si="0"/>
        <v>2011-133Y192009FACE</v>
      </c>
      <c r="G37" s="7" t="s">
        <v>48</v>
      </c>
      <c r="H37" s="7" t="s">
        <v>33</v>
      </c>
      <c r="I37" s="7" t="s">
        <v>33</v>
      </c>
      <c r="J37" s="7" t="s">
        <v>34</v>
      </c>
      <c r="K37" s="7" t="s">
        <v>58</v>
      </c>
      <c r="L37" s="7">
        <v>2009</v>
      </c>
      <c r="M37" s="7" t="s">
        <v>50</v>
      </c>
      <c r="N37" s="7" t="s">
        <v>51</v>
      </c>
      <c r="O37" s="7" t="s">
        <v>42</v>
      </c>
      <c r="P37" s="7">
        <f>R37/1.01*1.08</f>
        <v>47.691089108910894</v>
      </c>
      <c r="Q37" s="7">
        <v>7.8869999999999996</v>
      </c>
      <c r="R37" s="7">
        <v>44.6</v>
      </c>
      <c r="S37" s="7">
        <v>7</v>
      </c>
      <c r="T37" s="7">
        <v>75</v>
      </c>
      <c r="U37" s="6">
        <v>3</v>
      </c>
      <c r="V37" s="6">
        <f t="shared" si="16"/>
        <v>7.8869999999999996</v>
      </c>
      <c r="W37" s="6" t="s">
        <v>52</v>
      </c>
      <c r="X37" s="6"/>
      <c r="Y37" s="12">
        <v>532.3943661971831</v>
      </c>
      <c r="Z37" s="6" t="s">
        <v>53</v>
      </c>
      <c r="AA37" s="6">
        <v>26.29107981220691</v>
      </c>
      <c r="AB37" s="6"/>
      <c r="AC37" s="12">
        <v>44.6666666666667</v>
      </c>
      <c r="AD37" s="7" t="s">
        <v>39</v>
      </c>
      <c r="AE37" s="6">
        <v>0.33333333333330017</v>
      </c>
      <c r="AF37" s="6"/>
      <c r="AG37" s="12">
        <v>38.632075471698101</v>
      </c>
      <c r="AH37" s="7" t="s">
        <v>40</v>
      </c>
      <c r="AI37" s="6">
        <v>0.99056603773589558</v>
      </c>
      <c r="AJ37" s="6"/>
      <c r="AK37" s="12">
        <v>325.35885167464102</v>
      </c>
      <c r="AL37" s="6" t="s">
        <v>54</v>
      </c>
      <c r="AM37" s="6">
        <v>11.483253588516959</v>
      </c>
      <c r="AN37" s="6"/>
      <c r="AO37" s="12">
        <f t="shared" si="4"/>
        <v>11919.276855160806</v>
      </c>
      <c r="AP37" s="7" t="s">
        <v>215</v>
      </c>
      <c r="AQ37" s="6"/>
      <c r="AR37" s="6"/>
      <c r="AS37" s="32">
        <f t="shared" si="13"/>
        <v>32.583333333333336</v>
      </c>
      <c r="AT37" s="32">
        <f t="shared" si="14"/>
        <v>119.7</v>
      </c>
      <c r="AU37" s="27">
        <v>39771</v>
      </c>
      <c r="AV37" s="27">
        <v>39966</v>
      </c>
      <c r="AW37" s="27">
        <v>39873</v>
      </c>
      <c r="AX37" s="27">
        <v>39957</v>
      </c>
      <c r="AY37" s="28">
        <f t="shared" si="7"/>
        <v>-42</v>
      </c>
      <c r="AZ37" s="28">
        <f t="shared" si="8"/>
        <v>153</v>
      </c>
      <c r="BA37" s="37">
        <f t="shared" si="9"/>
        <v>196</v>
      </c>
      <c r="BB37" s="28">
        <f t="shared" si="10"/>
        <v>60</v>
      </c>
      <c r="BC37" s="28">
        <f t="shared" si="11"/>
        <v>144</v>
      </c>
      <c r="BD37" s="26">
        <f t="shared" si="12"/>
        <v>85</v>
      </c>
    </row>
    <row r="38" spans="1:56" s="26" customFormat="1" hidden="1" x14ac:dyDescent="0.3">
      <c r="A38" s="6">
        <v>1</v>
      </c>
      <c r="B38" s="6"/>
      <c r="C38" s="7">
        <v>52</v>
      </c>
      <c r="D38" s="7" t="s">
        <v>46</v>
      </c>
      <c r="E38" s="13" t="s">
        <v>47</v>
      </c>
      <c r="F38" s="9" t="str">
        <f t="shared" si="0"/>
        <v>2011-133Y192009FACE</v>
      </c>
      <c r="G38" s="7" t="s">
        <v>48</v>
      </c>
      <c r="H38" s="7" t="s">
        <v>33</v>
      </c>
      <c r="I38" s="7" t="s">
        <v>33</v>
      </c>
      <c r="J38" s="7" t="s">
        <v>34</v>
      </c>
      <c r="K38" s="7" t="s">
        <v>58</v>
      </c>
      <c r="L38" s="7">
        <v>2009</v>
      </c>
      <c r="M38" s="7" t="s">
        <v>50</v>
      </c>
      <c r="N38" s="7" t="s">
        <v>51</v>
      </c>
      <c r="O38" s="7" t="s">
        <v>56</v>
      </c>
      <c r="P38" s="6">
        <f>(7*R38+5*0.976*R37)/12*T38*12/1000+R37/1.01*(90-T38)*12/1000</f>
        <v>54.354614851485145</v>
      </c>
      <c r="Q38" s="7">
        <v>15.508699999999999</v>
      </c>
      <c r="R38" s="7">
        <v>57.3</v>
      </c>
      <c r="S38" s="7">
        <v>7</v>
      </c>
      <c r="T38" s="7">
        <v>75</v>
      </c>
      <c r="U38" s="6">
        <v>3</v>
      </c>
      <c r="V38" s="6">
        <f t="shared" si="16"/>
        <v>15.508699999999999</v>
      </c>
      <c r="W38" s="6" t="s">
        <v>52</v>
      </c>
      <c r="X38" s="6"/>
      <c r="Y38" s="12">
        <v>479.81220657277004</v>
      </c>
      <c r="Z38" s="6" t="s">
        <v>53</v>
      </c>
      <c r="AA38" s="6">
        <v>19.71830985915496</v>
      </c>
      <c r="AB38" s="6"/>
      <c r="AC38" s="12">
        <v>35</v>
      </c>
      <c r="AD38" s="7" t="s">
        <v>39</v>
      </c>
      <c r="AE38" s="6">
        <v>1.3333333333333002</v>
      </c>
      <c r="AF38" s="6"/>
      <c r="AG38" s="12">
        <v>36.981132075471699</v>
      </c>
      <c r="AH38" s="7" t="s">
        <v>40</v>
      </c>
      <c r="AI38" s="6">
        <v>0.66037735849059942</v>
      </c>
      <c r="AJ38" s="6"/>
      <c r="AK38" s="12">
        <v>405.74162679425802</v>
      </c>
      <c r="AL38" s="6" t="s">
        <v>54</v>
      </c>
      <c r="AM38" s="6">
        <v>15.311004784688976</v>
      </c>
      <c r="AN38" s="6"/>
      <c r="AO38" s="12">
        <f t="shared" si="4"/>
        <v>13708.92018779343</v>
      </c>
      <c r="AP38" s="7" t="s">
        <v>215</v>
      </c>
      <c r="AQ38" s="6"/>
      <c r="AR38" s="6"/>
      <c r="AS38" s="32">
        <f t="shared" si="13"/>
        <v>32.583333333333336</v>
      </c>
      <c r="AT38" s="32">
        <f t="shared" si="14"/>
        <v>119.7</v>
      </c>
      <c r="AU38" s="27">
        <v>39771</v>
      </c>
      <c r="AV38" s="27">
        <v>39966</v>
      </c>
      <c r="AW38" s="27">
        <v>39873</v>
      </c>
      <c r="AX38" s="27">
        <v>39957</v>
      </c>
      <c r="AY38" s="28">
        <f t="shared" si="7"/>
        <v>-42</v>
      </c>
      <c r="AZ38" s="28">
        <f t="shared" si="8"/>
        <v>153</v>
      </c>
      <c r="BA38" s="37">
        <f t="shared" si="9"/>
        <v>196</v>
      </c>
      <c r="BB38" s="28">
        <f t="shared" si="10"/>
        <v>60</v>
      </c>
      <c r="BC38" s="28">
        <f t="shared" si="11"/>
        <v>144</v>
      </c>
      <c r="BD38" s="26">
        <f t="shared" si="12"/>
        <v>85</v>
      </c>
    </row>
    <row r="39" spans="1:56" s="26" customFormat="1" hidden="1" x14ac:dyDescent="0.3">
      <c r="A39" s="6">
        <v>1</v>
      </c>
      <c r="B39" s="6"/>
      <c r="C39" s="7">
        <v>52</v>
      </c>
      <c r="D39" s="7" t="s">
        <v>46</v>
      </c>
      <c r="E39" s="13" t="s">
        <v>47</v>
      </c>
      <c r="F39" s="9" t="str">
        <f t="shared" si="0"/>
        <v>2011-133Y22009FACE</v>
      </c>
      <c r="G39" s="7" t="s">
        <v>48</v>
      </c>
      <c r="H39" s="7" t="s">
        <v>33</v>
      </c>
      <c r="I39" s="7" t="s">
        <v>33</v>
      </c>
      <c r="J39" s="7" t="s">
        <v>34</v>
      </c>
      <c r="K39" s="7" t="s">
        <v>59</v>
      </c>
      <c r="L39" s="7">
        <v>2009</v>
      </c>
      <c r="M39" s="7" t="s">
        <v>50</v>
      </c>
      <c r="N39" s="7" t="s">
        <v>51</v>
      </c>
      <c r="O39" s="7" t="s">
        <v>42</v>
      </c>
      <c r="P39" s="7">
        <f>R39/1.01*1.08</f>
        <v>47.691089108910894</v>
      </c>
      <c r="Q39" s="7">
        <v>6.9059999999999997</v>
      </c>
      <c r="R39" s="7">
        <v>44.6</v>
      </c>
      <c r="S39" s="7">
        <v>7</v>
      </c>
      <c r="T39" s="7">
        <v>75</v>
      </c>
      <c r="U39" s="6">
        <v>3</v>
      </c>
      <c r="V39" s="6">
        <f t="shared" si="16"/>
        <v>6.9059999999999997</v>
      </c>
      <c r="W39" s="6" t="s">
        <v>52</v>
      </c>
      <c r="X39" s="6"/>
      <c r="Y39" s="12">
        <v>729.57746478873196</v>
      </c>
      <c r="Z39" s="6" t="s">
        <v>53</v>
      </c>
      <c r="AA39" s="6">
        <v>13.145539906104009</v>
      </c>
      <c r="AB39" s="6"/>
      <c r="AC39" s="12">
        <v>45.6666666666667</v>
      </c>
      <c r="AD39" s="7" t="s">
        <v>39</v>
      </c>
      <c r="AE39" s="6">
        <v>1</v>
      </c>
      <c r="AF39" s="6"/>
      <c r="AG39" s="12">
        <v>37.971698113207601</v>
      </c>
      <c r="AH39" s="7" t="s">
        <v>40</v>
      </c>
      <c r="AI39" s="6">
        <v>1.6509433962263955</v>
      </c>
      <c r="AJ39" s="6"/>
      <c r="AK39" s="12">
        <v>436.36363636363598</v>
      </c>
      <c r="AL39" s="6" t="s">
        <v>54</v>
      </c>
      <c r="AM39" s="6">
        <v>22.966507177034032</v>
      </c>
      <c r="AN39" s="6"/>
      <c r="AO39" s="12">
        <f t="shared" si="4"/>
        <v>15976.14886398682</v>
      </c>
      <c r="AP39" s="7" t="s">
        <v>215</v>
      </c>
      <c r="AQ39" s="6"/>
      <c r="AR39" s="6"/>
      <c r="AS39" s="32">
        <f t="shared" si="13"/>
        <v>32.583333333333336</v>
      </c>
      <c r="AT39" s="32">
        <f t="shared" si="14"/>
        <v>119.7</v>
      </c>
      <c r="AU39" s="27">
        <v>39771</v>
      </c>
      <c r="AV39" s="27">
        <v>39966</v>
      </c>
      <c r="AW39" s="27">
        <v>39873</v>
      </c>
      <c r="AX39" s="27">
        <v>39957</v>
      </c>
      <c r="AY39" s="28">
        <f t="shared" si="7"/>
        <v>-42</v>
      </c>
      <c r="AZ39" s="28">
        <f t="shared" si="8"/>
        <v>153</v>
      </c>
      <c r="BA39" s="37">
        <f t="shared" si="9"/>
        <v>196</v>
      </c>
      <c r="BB39" s="28">
        <f t="shared" si="10"/>
        <v>60</v>
      </c>
      <c r="BC39" s="28">
        <f t="shared" si="11"/>
        <v>144</v>
      </c>
      <c r="BD39" s="26">
        <f t="shared" si="12"/>
        <v>85</v>
      </c>
    </row>
    <row r="40" spans="1:56" s="26" customFormat="1" hidden="1" x14ac:dyDescent="0.3">
      <c r="A40" s="6">
        <v>1</v>
      </c>
      <c r="B40" s="6"/>
      <c r="C40" s="7">
        <v>52</v>
      </c>
      <c r="D40" s="7" t="s">
        <v>46</v>
      </c>
      <c r="E40" s="13" t="s">
        <v>47</v>
      </c>
      <c r="F40" s="9" t="str">
        <f t="shared" si="0"/>
        <v>2011-133Y22009FACE</v>
      </c>
      <c r="G40" s="7" t="s">
        <v>48</v>
      </c>
      <c r="H40" s="7" t="s">
        <v>33</v>
      </c>
      <c r="I40" s="7" t="s">
        <v>33</v>
      </c>
      <c r="J40" s="7" t="s">
        <v>34</v>
      </c>
      <c r="K40" s="7" t="s">
        <v>59</v>
      </c>
      <c r="L40" s="7">
        <v>2009</v>
      </c>
      <c r="M40" s="7" t="s">
        <v>50</v>
      </c>
      <c r="N40" s="7" t="s">
        <v>51</v>
      </c>
      <c r="O40" s="7" t="s">
        <v>56</v>
      </c>
      <c r="P40" s="6">
        <f>(7*R40+5*0.976*R39)/12*T40*12/1000+R39/1.01*(90-T40)*12/1000</f>
        <v>54.354614851485145</v>
      </c>
      <c r="Q40" s="7">
        <v>15.1297</v>
      </c>
      <c r="R40" s="7">
        <v>57.3</v>
      </c>
      <c r="S40" s="7">
        <v>7</v>
      </c>
      <c r="T40" s="7">
        <v>75</v>
      </c>
      <c r="U40" s="6">
        <v>3</v>
      </c>
      <c r="V40" s="6">
        <f t="shared" si="16"/>
        <v>15.1297</v>
      </c>
      <c r="W40" s="6" t="s">
        <v>52</v>
      </c>
      <c r="X40" s="6"/>
      <c r="Y40" s="12">
        <v>532.3943661971831</v>
      </c>
      <c r="Z40" s="6" t="s">
        <v>53</v>
      </c>
      <c r="AA40" s="6">
        <v>26.29107981220691</v>
      </c>
      <c r="AB40" s="6"/>
      <c r="AC40" s="12">
        <v>35.3333333333333</v>
      </c>
      <c r="AD40" s="7" t="s">
        <v>39</v>
      </c>
      <c r="AE40" s="6">
        <v>3</v>
      </c>
      <c r="AF40" s="6"/>
      <c r="AG40" s="12">
        <v>36.320754716981099</v>
      </c>
      <c r="AH40" s="7" t="s">
        <v>40</v>
      </c>
      <c r="AI40" s="6">
        <v>0.99056603773590268</v>
      </c>
      <c r="AJ40" s="6"/>
      <c r="AK40" s="12">
        <v>451.67464114832501</v>
      </c>
      <c r="AL40" s="6" t="s">
        <v>54</v>
      </c>
      <c r="AM40" s="6">
        <v>7.6555023923449994</v>
      </c>
      <c r="AN40" s="6"/>
      <c r="AO40" s="12">
        <f t="shared" si="4"/>
        <v>15067.765081052366</v>
      </c>
      <c r="AP40" s="7" t="s">
        <v>215</v>
      </c>
      <c r="AQ40" s="6"/>
      <c r="AR40" s="6"/>
      <c r="AS40" s="32">
        <f t="shared" si="13"/>
        <v>32.583333333333336</v>
      </c>
      <c r="AT40" s="32">
        <f t="shared" si="14"/>
        <v>119.7</v>
      </c>
      <c r="AU40" s="27">
        <v>39771</v>
      </c>
      <c r="AV40" s="27">
        <v>39966</v>
      </c>
      <c r="AW40" s="27">
        <v>39873</v>
      </c>
      <c r="AX40" s="27">
        <v>39957</v>
      </c>
      <c r="AY40" s="28">
        <f t="shared" si="7"/>
        <v>-42</v>
      </c>
      <c r="AZ40" s="28">
        <f t="shared" si="8"/>
        <v>153</v>
      </c>
      <c r="BA40" s="37">
        <f t="shared" si="9"/>
        <v>196</v>
      </c>
      <c r="BB40" s="28">
        <f t="shared" si="10"/>
        <v>60</v>
      </c>
      <c r="BC40" s="28">
        <f t="shared" si="11"/>
        <v>144</v>
      </c>
      <c r="BD40" s="26">
        <f t="shared" si="12"/>
        <v>85</v>
      </c>
    </row>
    <row r="41" spans="1:56" s="26" customFormat="1" hidden="1" x14ac:dyDescent="0.3">
      <c r="A41" s="6">
        <v>1</v>
      </c>
      <c r="B41" s="6"/>
      <c r="C41" s="6">
        <v>16</v>
      </c>
      <c r="D41" s="9" t="s">
        <v>60</v>
      </c>
      <c r="E41" s="9" t="s">
        <v>61</v>
      </c>
      <c r="F41" s="9" t="str">
        <f t="shared" si="0"/>
        <v>2010-112HUW5102007OTC</v>
      </c>
      <c r="G41" s="6" t="s">
        <v>62</v>
      </c>
      <c r="H41" s="6" t="s">
        <v>95</v>
      </c>
      <c r="I41" s="6" t="s">
        <v>63</v>
      </c>
      <c r="J41" s="6" t="s">
        <v>34</v>
      </c>
      <c r="K41" s="7" t="s">
        <v>64</v>
      </c>
      <c r="L41" s="7">
        <v>2007</v>
      </c>
      <c r="M41" s="6" t="s">
        <v>36</v>
      </c>
      <c r="N41" s="6" t="s">
        <v>51</v>
      </c>
      <c r="O41" s="7" t="s">
        <v>38</v>
      </c>
      <c r="P41" s="7">
        <f t="shared" ref="P41:P54" si="17">R41*1.08</f>
        <v>5.0760000000000005</v>
      </c>
      <c r="Q41" s="14">
        <v>0</v>
      </c>
      <c r="R41" s="6">
        <v>4.7</v>
      </c>
      <c r="S41" s="6">
        <v>12</v>
      </c>
      <c r="T41" s="6">
        <v>90</v>
      </c>
      <c r="U41" s="6">
        <v>3</v>
      </c>
      <c r="V41" s="6">
        <f t="shared" si="16"/>
        <v>0</v>
      </c>
      <c r="W41" s="14" t="s">
        <v>65</v>
      </c>
      <c r="X41" s="14"/>
      <c r="Y41" s="12">
        <v>458.33330000000001</v>
      </c>
      <c r="Z41" s="7" t="s">
        <v>53</v>
      </c>
      <c r="AA41" s="6" t="s">
        <v>66</v>
      </c>
      <c r="AB41" s="6">
        <v>52.521008403361009</v>
      </c>
      <c r="AC41" s="12">
        <v>34.128677479927461</v>
      </c>
      <c r="AD41" s="7" t="s">
        <v>39</v>
      </c>
      <c r="AE41" s="6" t="s">
        <v>55</v>
      </c>
      <c r="AF41" s="6"/>
      <c r="AG41" s="12">
        <v>25.48936602989119</v>
      </c>
      <c r="AH41" s="6" t="s">
        <v>55</v>
      </c>
      <c r="AI41" s="6"/>
      <c r="AJ41" s="6"/>
      <c r="AK41" s="12">
        <f>AO41/AG41</f>
        <v>526.86933059231683</v>
      </c>
      <c r="AL41" s="6" t="s">
        <v>54</v>
      </c>
      <c r="AM41" s="6"/>
      <c r="AN41" s="6"/>
      <c r="AO41" s="12">
        <f t="shared" si="4"/>
        <v>13429.565217391313</v>
      </c>
      <c r="AP41" s="7" t="s">
        <v>215</v>
      </c>
      <c r="AQ41" s="6"/>
      <c r="AR41" s="6"/>
      <c r="AS41" s="33">
        <f t="shared" ref="AS41:AS58" si="18">25+14/60</f>
        <v>25.233333333333334</v>
      </c>
      <c r="AT41" s="33">
        <f t="shared" ref="AT41:AT58" si="19">82+3/60</f>
        <v>82.05</v>
      </c>
      <c r="AU41" s="29"/>
      <c r="AV41" s="29"/>
      <c r="AW41" s="34"/>
      <c r="AX41" s="35"/>
      <c r="AY41" s="28"/>
      <c r="AZ41" s="28"/>
      <c r="BA41" s="37"/>
      <c r="BB41" s="28"/>
      <c r="BC41" s="28"/>
    </row>
    <row r="42" spans="1:56" s="26" customFormat="1" hidden="1" x14ac:dyDescent="0.3">
      <c r="A42" s="6">
        <v>1</v>
      </c>
      <c r="B42" s="6"/>
      <c r="C42" s="6">
        <v>16</v>
      </c>
      <c r="D42" s="9" t="s">
        <v>60</v>
      </c>
      <c r="E42" s="9" t="s">
        <v>61</v>
      </c>
      <c r="F42" s="9" t="str">
        <f t="shared" si="0"/>
        <v>2010-112HUW5102007OTC</v>
      </c>
      <c r="G42" s="6" t="s">
        <v>62</v>
      </c>
      <c r="H42" s="6" t="s">
        <v>95</v>
      </c>
      <c r="I42" s="6" t="s">
        <v>63</v>
      </c>
      <c r="J42" s="6" t="s">
        <v>34</v>
      </c>
      <c r="K42" s="7" t="s">
        <v>64</v>
      </c>
      <c r="L42" s="7">
        <v>2007</v>
      </c>
      <c r="M42" s="6" t="s">
        <v>36</v>
      </c>
      <c r="N42" s="6" t="s">
        <v>51</v>
      </c>
      <c r="O42" s="7" t="s">
        <v>42</v>
      </c>
      <c r="P42" s="7">
        <f t="shared" si="17"/>
        <v>48.923999999999999</v>
      </c>
      <c r="Q42" s="14">
        <v>7.9</v>
      </c>
      <c r="R42" s="6">
        <v>45.3</v>
      </c>
      <c r="S42" s="6">
        <v>12</v>
      </c>
      <c r="T42" s="6">
        <v>90</v>
      </c>
      <c r="U42" s="6">
        <v>3</v>
      </c>
      <c r="V42" s="6">
        <f t="shared" si="16"/>
        <v>7.9</v>
      </c>
      <c r="W42" s="14" t="s">
        <v>65</v>
      </c>
      <c r="X42" s="14"/>
      <c r="Y42" s="12">
        <v>367.75360000000001</v>
      </c>
      <c r="Z42" s="7" t="s">
        <v>53</v>
      </c>
      <c r="AA42" s="6" t="s">
        <v>66</v>
      </c>
      <c r="AB42" s="6">
        <v>33.613445378151994</v>
      </c>
      <c r="AC42" s="12">
        <v>30.955690235690234</v>
      </c>
      <c r="AD42" s="7" t="s">
        <v>39</v>
      </c>
      <c r="AE42" s="6" t="s">
        <v>55</v>
      </c>
      <c r="AF42" s="6"/>
      <c r="AG42" s="12">
        <v>27.98695706218702</v>
      </c>
      <c r="AH42" s="6" t="s">
        <v>55</v>
      </c>
      <c r="AI42" s="6"/>
      <c r="AJ42" s="6"/>
      <c r="AK42" s="12">
        <f t="shared" ref="AK42:AK48" si="20">AO42/AG42</f>
        <v>424.48344682855799</v>
      </c>
      <c r="AL42" s="6" t="s">
        <v>54</v>
      </c>
      <c r="AM42" s="6"/>
      <c r="AN42" s="6"/>
      <c r="AO42" s="12">
        <f t="shared" si="4"/>
        <v>11880</v>
      </c>
      <c r="AP42" s="7" t="s">
        <v>215</v>
      </c>
      <c r="AQ42" s="6"/>
      <c r="AR42" s="6"/>
      <c r="AS42" s="33">
        <f t="shared" si="18"/>
        <v>25.233333333333334</v>
      </c>
      <c r="AT42" s="33">
        <f t="shared" si="19"/>
        <v>82.05</v>
      </c>
      <c r="AU42" s="29"/>
      <c r="AV42" s="29"/>
      <c r="AW42" s="34"/>
      <c r="AX42" s="35"/>
      <c r="AY42" s="28"/>
      <c r="AZ42" s="28"/>
      <c r="BA42" s="37"/>
      <c r="BB42" s="28"/>
      <c r="BC42" s="28"/>
    </row>
    <row r="43" spans="1:56" s="26" customFormat="1" hidden="1" x14ac:dyDescent="0.3">
      <c r="A43" s="6">
        <v>1</v>
      </c>
      <c r="B43" s="6"/>
      <c r="C43" s="6">
        <v>16</v>
      </c>
      <c r="D43" s="9" t="s">
        <v>60</v>
      </c>
      <c r="E43" s="9" t="s">
        <v>61</v>
      </c>
      <c r="F43" s="9" t="str">
        <f t="shared" si="0"/>
        <v>2010-112HUW5102007OTC</v>
      </c>
      <c r="G43" s="6" t="s">
        <v>62</v>
      </c>
      <c r="H43" s="6" t="s">
        <v>95</v>
      </c>
      <c r="I43" s="6" t="s">
        <v>63</v>
      </c>
      <c r="J43" s="6" t="s">
        <v>34</v>
      </c>
      <c r="K43" s="7" t="s">
        <v>64</v>
      </c>
      <c r="L43" s="7">
        <v>2007</v>
      </c>
      <c r="M43" s="6" t="s">
        <v>36</v>
      </c>
      <c r="N43" s="6" t="s">
        <v>51</v>
      </c>
      <c r="O43" s="7" t="s">
        <v>43</v>
      </c>
      <c r="P43" s="7">
        <f t="shared" si="17"/>
        <v>54.432000000000002</v>
      </c>
      <c r="Q43" s="14">
        <v>10.4</v>
      </c>
      <c r="R43" s="6">
        <v>50.4</v>
      </c>
      <c r="S43" s="6">
        <v>12</v>
      </c>
      <c r="T43" s="6">
        <v>90</v>
      </c>
      <c r="U43" s="6">
        <v>3</v>
      </c>
      <c r="V43" s="6">
        <f t="shared" si="16"/>
        <v>10.4</v>
      </c>
      <c r="W43" s="14" t="s">
        <v>65</v>
      </c>
      <c r="X43" s="14"/>
      <c r="Y43" s="12">
        <v>288.04349999999999</v>
      </c>
      <c r="Z43" s="7" t="s">
        <v>53</v>
      </c>
      <c r="AA43" s="6" t="s">
        <v>66</v>
      </c>
      <c r="AB43" s="6">
        <v>23.109243697478973</v>
      </c>
      <c r="AC43" s="12">
        <v>28.844481452455639</v>
      </c>
      <c r="AD43" s="7" t="s">
        <v>39</v>
      </c>
      <c r="AE43" s="6" t="s">
        <v>55</v>
      </c>
      <c r="AF43" s="6"/>
      <c r="AG43" s="12">
        <v>32.807286118711687</v>
      </c>
      <c r="AH43" s="6" t="s">
        <v>55</v>
      </c>
      <c r="AI43" s="6"/>
      <c r="AJ43" s="6"/>
      <c r="AK43" s="12">
        <f t="shared" si="20"/>
        <v>304.38625494310975</v>
      </c>
      <c r="AL43" s="6" t="s">
        <v>54</v>
      </c>
      <c r="AM43" s="6"/>
      <c r="AN43" s="6"/>
      <c r="AO43" s="12">
        <f t="shared" si="4"/>
        <v>9986.0869565217217</v>
      </c>
      <c r="AP43" s="7" t="s">
        <v>215</v>
      </c>
      <c r="AQ43" s="6"/>
      <c r="AR43" s="6"/>
      <c r="AS43" s="33">
        <f t="shared" si="18"/>
        <v>25.233333333333334</v>
      </c>
      <c r="AT43" s="33">
        <f t="shared" si="19"/>
        <v>82.05</v>
      </c>
      <c r="AU43" s="29"/>
      <c r="AV43" s="29"/>
      <c r="AW43" s="34"/>
      <c r="AX43" s="35"/>
      <c r="AY43" s="28"/>
      <c r="AZ43" s="28"/>
      <c r="BA43" s="37"/>
      <c r="BB43" s="28"/>
      <c r="BC43" s="28"/>
    </row>
    <row r="44" spans="1:56" s="26" customFormat="1" hidden="1" x14ac:dyDescent="0.3">
      <c r="A44" s="6">
        <v>1</v>
      </c>
      <c r="B44" s="6"/>
      <c r="C44" s="6">
        <v>16</v>
      </c>
      <c r="D44" s="9" t="s">
        <v>60</v>
      </c>
      <c r="E44" s="9" t="s">
        <v>61</v>
      </c>
      <c r="F44" s="9" t="str">
        <f t="shared" si="0"/>
        <v>2010-112HUW5102007OTC</v>
      </c>
      <c r="G44" s="6" t="s">
        <v>62</v>
      </c>
      <c r="H44" s="6" t="s">
        <v>95</v>
      </c>
      <c r="I44" s="6" t="s">
        <v>63</v>
      </c>
      <c r="J44" s="6" t="s">
        <v>34</v>
      </c>
      <c r="K44" s="7" t="s">
        <v>64</v>
      </c>
      <c r="L44" s="7">
        <v>2007</v>
      </c>
      <c r="M44" s="6" t="s">
        <v>36</v>
      </c>
      <c r="N44" s="6" t="s">
        <v>51</v>
      </c>
      <c r="O44" s="7" t="s">
        <v>44</v>
      </c>
      <c r="P44" s="7">
        <f t="shared" si="17"/>
        <v>60.048000000000009</v>
      </c>
      <c r="Q44" s="14">
        <v>13.1</v>
      </c>
      <c r="R44" s="6">
        <v>55.6</v>
      </c>
      <c r="S44" s="6">
        <v>12</v>
      </c>
      <c r="T44" s="6">
        <v>90</v>
      </c>
      <c r="U44" s="6">
        <v>3</v>
      </c>
      <c r="V44" s="6">
        <f t="shared" si="16"/>
        <v>13.1</v>
      </c>
      <c r="W44" s="14" t="s">
        <v>65</v>
      </c>
      <c r="X44" s="14"/>
      <c r="Y44" s="12">
        <v>260.86959999999999</v>
      </c>
      <c r="Z44" s="7" t="s">
        <v>53</v>
      </c>
      <c r="AA44" s="6" t="s">
        <v>66</v>
      </c>
      <c r="AB44" s="6">
        <v>12.605042016806976</v>
      </c>
      <c r="AC44" s="12">
        <v>27.056280663780626</v>
      </c>
      <c r="AD44" s="7" t="s">
        <v>39</v>
      </c>
      <c r="AE44" s="6" t="s">
        <v>55</v>
      </c>
      <c r="AF44" s="6"/>
      <c r="AG44" s="12">
        <v>40.364343325875709</v>
      </c>
      <c r="AH44" s="6" t="s">
        <v>55</v>
      </c>
      <c r="AI44" s="6"/>
      <c r="AJ44" s="6"/>
      <c r="AK44" s="12">
        <f t="shared" si="20"/>
        <v>238.86773166588156</v>
      </c>
      <c r="AL44" s="6" t="s">
        <v>54</v>
      </c>
      <c r="AM44" s="6"/>
      <c r="AN44" s="6"/>
      <c r="AO44" s="12">
        <f t="shared" si="4"/>
        <v>9641.7391304347966</v>
      </c>
      <c r="AP44" s="7" t="s">
        <v>215</v>
      </c>
      <c r="AQ44" s="6"/>
      <c r="AR44" s="6"/>
      <c r="AS44" s="33">
        <f t="shared" si="18"/>
        <v>25.233333333333334</v>
      </c>
      <c r="AT44" s="33">
        <f t="shared" si="19"/>
        <v>82.05</v>
      </c>
      <c r="AU44" s="29"/>
      <c r="AV44" s="29"/>
      <c r="AW44" s="34"/>
      <c r="AX44" s="35"/>
      <c r="AY44" s="28"/>
      <c r="AZ44" s="28"/>
      <c r="BA44" s="37"/>
      <c r="BB44" s="28"/>
      <c r="BC44" s="28"/>
    </row>
    <row r="45" spans="1:56" s="26" customFormat="1" hidden="1" x14ac:dyDescent="0.3">
      <c r="A45" s="6">
        <v>1</v>
      </c>
      <c r="B45" s="6"/>
      <c r="C45" s="6">
        <v>16</v>
      </c>
      <c r="D45" s="9" t="s">
        <v>60</v>
      </c>
      <c r="E45" s="9" t="s">
        <v>61</v>
      </c>
      <c r="F45" s="9" t="str">
        <f t="shared" si="0"/>
        <v>2010-112Sonalika2007OTC</v>
      </c>
      <c r="G45" s="6" t="s">
        <v>62</v>
      </c>
      <c r="H45" s="6" t="s">
        <v>95</v>
      </c>
      <c r="I45" s="6" t="s">
        <v>63</v>
      </c>
      <c r="J45" s="6" t="s">
        <v>34</v>
      </c>
      <c r="K45" s="7" t="s">
        <v>69</v>
      </c>
      <c r="L45" s="7">
        <v>2007</v>
      </c>
      <c r="M45" s="6" t="s">
        <v>36</v>
      </c>
      <c r="N45" s="6" t="s">
        <v>51</v>
      </c>
      <c r="O45" s="7" t="s">
        <v>38</v>
      </c>
      <c r="P45" s="7">
        <f t="shared" si="17"/>
        <v>5.0760000000000005</v>
      </c>
      <c r="Q45" s="14">
        <v>0</v>
      </c>
      <c r="R45" s="6">
        <v>4.7</v>
      </c>
      <c r="S45" s="6">
        <v>12</v>
      </c>
      <c r="T45" s="6">
        <v>90</v>
      </c>
      <c r="U45" s="6">
        <v>3</v>
      </c>
      <c r="V45" s="6">
        <f t="shared" si="16"/>
        <v>0</v>
      </c>
      <c r="W45" s="14" t="s">
        <v>65</v>
      </c>
      <c r="X45" s="14"/>
      <c r="Y45" s="12">
        <v>501.47058823529397</v>
      </c>
      <c r="Z45" s="7" t="s">
        <v>53</v>
      </c>
      <c r="AA45" s="6" t="s">
        <v>66</v>
      </c>
      <c r="AB45" s="6">
        <v>46.218487394958004</v>
      </c>
      <c r="AC45" s="12">
        <v>37.66269438810005</v>
      </c>
      <c r="AD45" s="7" t="s">
        <v>39</v>
      </c>
      <c r="AE45" s="6" t="s">
        <v>55</v>
      </c>
      <c r="AF45" s="6"/>
      <c r="AG45" s="12">
        <v>26.983358586507215</v>
      </c>
      <c r="AH45" s="6" t="s">
        <v>55</v>
      </c>
      <c r="AI45" s="6"/>
      <c r="AJ45" s="6"/>
      <c r="AK45" s="12">
        <f t="shared" si="20"/>
        <v>493.4442303025092</v>
      </c>
      <c r="AL45" s="6" t="s">
        <v>54</v>
      </c>
      <c r="AM45" s="6"/>
      <c r="AN45" s="6"/>
      <c r="AO45" s="12">
        <f t="shared" si="4"/>
        <v>13314.782608695656</v>
      </c>
      <c r="AP45" s="7" t="s">
        <v>215</v>
      </c>
      <c r="AQ45" s="6"/>
      <c r="AR45" s="6"/>
      <c r="AS45" s="33">
        <f t="shared" si="18"/>
        <v>25.233333333333334</v>
      </c>
      <c r="AT45" s="33">
        <f t="shared" si="19"/>
        <v>82.05</v>
      </c>
      <c r="AU45" s="29"/>
      <c r="AV45" s="29"/>
      <c r="AW45" s="34"/>
      <c r="AX45" s="35"/>
      <c r="AY45" s="28"/>
      <c r="AZ45" s="28"/>
      <c r="BA45" s="37"/>
      <c r="BB45" s="28"/>
      <c r="BC45" s="28"/>
    </row>
    <row r="46" spans="1:56" s="26" customFormat="1" hidden="1" x14ac:dyDescent="0.3">
      <c r="A46" s="6">
        <v>1</v>
      </c>
      <c r="B46" s="6"/>
      <c r="C46" s="6">
        <v>16</v>
      </c>
      <c r="D46" s="9" t="s">
        <v>60</v>
      </c>
      <c r="E46" s="9" t="s">
        <v>61</v>
      </c>
      <c r="F46" s="9" t="str">
        <f t="shared" si="0"/>
        <v>2010-112Sonalika2007OTC</v>
      </c>
      <c r="G46" s="6" t="s">
        <v>62</v>
      </c>
      <c r="H46" s="6" t="s">
        <v>95</v>
      </c>
      <c r="I46" s="6" t="s">
        <v>63</v>
      </c>
      <c r="J46" s="6" t="s">
        <v>34</v>
      </c>
      <c r="K46" s="7" t="s">
        <v>69</v>
      </c>
      <c r="L46" s="7">
        <v>2007</v>
      </c>
      <c r="M46" s="6" t="s">
        <v>36</v>
      </c>
      <c r="N46" s="6" t="s">
        <v>51</v>
      </c>
      <c r="O46" s="7" t="s">
        <v>42</v>
      </c>
      <c r="P46" s="7">
        <f t="shared" si="17"/>
        <v>48.923999999999999</v>
      </c>
      <c r="Q46" s="14">
        <v>7.9</v>
      </c>
      <c r="R46" s="6">
        <v>45.3</v>
      </c>
      <c r="S46" s="6">
        <v>12</v>
      </c>
      <c r="T46" s="6">
        <v>90</v>
      </c>
      <c r="U46" s="6">
        <v>3</v>
      </c>
      <c r="V46" s="6">
        <f t="shared" si="16"/>
        <v>7.9</v>
      </c>
      <c r="W46" s="14" t="s">
        <v>65</v>
      </c>
      <c r="X46" s="14"/>
      <c r="Y46" s="12">
        <v>445.39215686274503</v>
      </c>
      <c r="Z46" s="7" t="s">
        <v>53</v>
      </c>
      <c r="AA46" s="6" t="s">
        <v>66</v>
      </c>
      <c r="AB46" s="6">
        <v>37.81512605042002</v>
      </c>
      <c r="AC46" s="12">
        <v>40.845373237014051</v>
      </c>
      <c r="AD46" s="7" t="s">
        <v>39</v>
      </c>
      <c r="AE46" s="6" t="s">
        <v>55</v>
      </c>
      <c r="AF46" s="6"/>
      <c r="AG46" s="12">
        <v>25.402819437028814</v>
      </c>
      <c r="AH46" s="6" t="s">
        <v>55</v>
      </c>
      <c r="AI46" s="6"/>
      <c r="AJ46" s="6"/>
      <c r="AK46" s="12">
        <f t="shared" si="20"/>
        <v>429.25738432766548</v>
      </c>
      <c r="AL46" s="6" t="s">
        <v>54</v>
      </c>
      <c r="AM46" s="6"/>
      <c r="AN46" s="6"/>
      <c r="AO46" s="12">
        <f t="shared" si="4"/>
        <v>10904.347826086969</v>
      </c>
      <c r="AP46" s="7" t="s">
        <v>215</v>
      </c>
      <c r="AQ46" s="6"/>
      <c r="AR46" s="6"/>
      <c r="AS46" s="33">
        <f t="shared" si="18"/>
        <v>25.233333333333334</v>
      </c>
      <c r="AT46" s="33">
        <f t="shared" si="19"/>
        <v>82.05</v>
      </c>
      <c r="AU46" s="29"/>
      <c r="AV46" s="29"/>
      <c r="AW46" s="34"/>
      <c r="AX46" s="35"/>
      <c r="AY46" s="28"/>
      <c r="AZ46" s="28"/>
      <c r="BA46" s="37"/>
      <c r="BB46" s="28"/>
      <c r="BC46" s="28"/>
    </row>
    <row r="47" spans="1:56" s="26" customFormat="1" hidden="1" x14ac:dyDescent="0.3">
      <c r="A47" s="6">
        <v>1</v>
      </c>
      <c r="B47" s="6"/>
      <c r="C47" s="6">
        <v>16</v>
      </c>
      <c r="D47" s="9" t="s">
        <v>60</v>
      </c>
      <c r="E47" s="9" t="s">
        <v>61</v>
      </c>
      <c r="F47" s="9" t="str">
        <f t="shared" si="0"/>
        <v>2010-112Sonalika2007OTC</v>
      </c>
      <c r="G47" s="6" t="s">
        <v>62</v>
      </c>
      <c r="H47" s="6" t="s">
        <v>95</v>
      </c>
      <c r="I47" s="6" t="s">
        <v>63</v>
      </c>
      <c r="J47" s="6" t="s">
        <v>34</v>
      </c>
      <c r="K47" s="7" t="s">
        <v>69</v>
      </c>
      <c r="L47" s="7">
        <v>2007</v>
      </c>
      <c r="M47" s="6" t="s">
        <v>36</v>
      </c>
      <c r="N47" s="6" t="s">
        <v>51</v>
      </c>
      <c r="O47" s="7" t="s">
        <v>43</v>
      </c>
      <c r="P47" s="7">
        <f t="shared" si="17"/>
        <v>54.432000000000002</v>
      </c>
      <c r="Q47" s="14">
        <v>10.4</v>
      </c>
      <c r="R47" s="6">
        <v>50.4</v>
      </c>
      <c r="S47" s="6">
        <v>12</v>
      </c>
      <c r="T47" s="6">
        <v>90</v>
      </c>
      <c r="U47" s="6">
        <v>3</v>
      </c>
      <c r="V47" s="6">
        <f t="shared" si="16"/>
        <v>10.4</v>
      </c>
      <c r="W47" s="14" t="s">
        <v>65</v>
      </c>
      <c r="X47" s="14"/>
      <c r="Y47" s="12">
        <v>378.52941176470603</v>
      </c>
      <c r="Z47" s="7" t="s">
        <v>53</v>
      </c>
      <c r="AA47" s="6" t="s">
        <v>66</v>
      </c>
      <c r="AB47" s="6">
        <v>35.714285714284983</v>
      </c>
      <c r="AC47" s="12">
        <v>38.797577854671232</v>
      </c>
      <c r="AD47" s="7" t="s">
        <v>39</v>
      </c>
      <c r="AE47" s="6" t="s">
        <v>55</v>
      </c>
      <c r="AF47" s="6"/>
      <c r="AG47" s="12">
        <v>29.599050350575602</v>
      </c>
      <c r="AH47" s="6" t="s">
        <v>55</v>
      </c>
      <c r="AI47" s="6"/>
      <c r="AJ47" s="6"/>
      <c r="AK47" s="12">
        <f t="shared" si="20"/>
        <v>329.62279612260329</v>
      </c>
      <c r="AL47" s="6" t="s">
        <v>54</v>
      </c>
      <c r="AM47" s="6"/>
      <c r="AN47" s="6"/>
      <c r="AO47" s="12">
        <f t="shared" si="4"/>
        <v>9756.5217391304504</v>
      </c>
      <c r="AP47" s="7" t="s">
        <v>215</v>
      </c>
      <c r="AQ47" s="6"/>
      <c r="AR47" s="6"/>
      <c r="AS47" s="33">
        <f t="shared" si="18"/>
        <v>25.233333333333334</v>
      </c>
      <c r="AT47" s="33">
        <f t="shared" si="19"/>
        <v>82.05</v>
      </c>
      <c r="AU47" s="29"/>
      <c r="AV47" s="29"/>
      <c r="AW47" s="34"/>
      <c r="AX47" s="35"/>
      <c r="AY47" s="28"/>
      <c r="AZ47" s="28"/>
      <c r="BA47" s="37"/>
      <c r="BB47" s="28"/>
      <c r="BC47" s="28"/>
    </row>
    <row r="48" spans="1:56" s="26" customFormat="1" hidden="1" x14ac:dyDescent="0.3">
      <c r="A48" s="6">
        <v>1</v>
      </c>
      <c r="B48" s="6"/>
      <c r="C48" s="6">
        <v>16</v>
      </c>
      <c r="D48" s="9" t="s">
        <v>60</v>
      </c>
      <c r="E48" s="9" t="s">
        <v>61</v>
      </c>
      <c r="F48" s="9" t="str">
        <f t="shared" si="0"/>
        <v>2010-112Sonalika2007OTC</v>
      </c>
      <c r="G48" s="6" t="s">
        <v>62</v>
      </c>
      <c r="H48" s="6" t="s">
        <v>95</v>
      </c>
      <c r="I48" s="6" t="s">
        <v>63</v>
      </c>
      <c r="J48" s="6" t="s">
        <v>34</v>
      </c>
      <c r="K48" s="7" t="s">
        <v>69</v>
      </c>
      <c r="L48" s="7">
        <v>2007</v>
      </c>
      <c r="M48" s="6" t="s">
        <v>36</v>
      </c>
      <c r="N48" s="6" t="s">
        <v>51</v>
      </c>
      <c r="O48" s="7" t="s">
        <v>44</v>
      </c>
      <c r="P48" s="7">
        <f t="shared" si="17"/>
        <v>60.048000000000009</v>
      </c>
      <c r="Q48" s="14">
        <v>13.1</v>
      </c>
      <c r="R48" s="6">
        <v>55.6</v>
      </c>
      <c r="S48" s="6">
        <v>12</v>
      </c>
      <c r="T48" s="6">
        <v>90</v>
      </c>
      <c r="U48" s="6">
        <v>3</v>
      </c>
      <c r="V48" s="6">
        <f t="shared" si="16"/>
        <v>13.1</v>
      </c>
      <c r="W48" s="14" t="s">
        <v>65</v>
      </c>
      <c r="X48" s="14"/>
      <c r="Y48" s="12">
        <v>308.43137254902001</v>
      </c>
      <c r="Z48" s="7" t="s">
        <v>53</v>
      </c>
      <c r="AA48" s="6" t="s">
        <v>66</v>
      </c>
      <c r="AB48" s="6">
        <v>37.81512605042002</v>
      </c>
      <c r="AC48" s="12">
        <v>34.672148429264269</v>
      </c>
      <c r="AD48" s="7" t="s">
        <v>39</v>
      </c>
      <c r="AE48" s="6" t="s">
        <v>55</v>
      </c>
      <c r="AF48" s="6"/>
      <c r="AG48" s="12">
        <v>32.834253218017082</v>
      </c>
      <c r="AH48" s="6" t="s">
        <v>55</v>
      </c>
      <c r="AI48" s="6"/>
      <c r="AJ48" s="6"/>
      <c r="AK48" s="12">
        <f t="shared" si="20"/>
        <v>270.92597827173165</v>
      </c>
      <c r="AL48" s="6" t="s">
        <v>54</v>
      </c>
      <c r="AM48" s="6"/>
      <c r="AN48" s="6"/>
      <c r="AO48" s="12">
        <f t="shared" si="4"/>
        <v>8895.6521739130312</v>
      </c>
      <c r="AP48" s="7" t="s">
        <v>215</v>
      </c>
      <c r="AQ48" s="6"/>
      <c r="AR48" s="6"/>
      <c r="AS48" s="33">
        <f t="shared" si="18"/>
        <v>25.233333333333334</v>
      </c>
      <c r="AT48" s="33">
        <f t="shared" si="19"/>
        <v>82.05</v>
      </c>
      <c r="AU48" s="29"/>
      <c r="AV48" s="29"/>
      <c r="AW48" s="34"/>
      <c r="AX48" s="35"/>
      <c r="AY48" s="28"/>
      <c r="AZ48" s="28"/>
      <c r="BA48" s="37"/>
      <c r="BB48" s="28"/>
      <c r="BC48" s="28"/>
    </row>
    <row r="49" spans="1:59" s="26" customFormat="1" hidden="1" x14ac:dyDescent="0.3">
      <c r="A49" s="6">
        <v>1</v>
      </c>
      <c r="B49" s="6"/>
      <c r="C49" s="6">
        <v>16</v>
      </c>
      <c r="D49" s="9" t="s">
        <v>60</v>
      </c>
      <c r="E49" s="9" t="s">
        <v>61</v>
      </c>
      <c r="F49" s="9" t="str">
        <f t="shared" si="0"/>
        <v>2010-112Sonalika2008OTC</v>
      </c>
      <c r="G49" s="6" t="s">
        <v>62</v>
      </c>
      <c r="H49" s="6" t="s">
        <v>95</v>
      </c>
      <c r="I49" s="6" t="s">
        <v>63</v>
      </c>
      <c r="J49" s="6" t="s">
        <v>34</v>
      </c>
      <c r="K49" s="7" t="s">
        <v>69</v>
      </c>
      <c r="L49" s="7">
        <v>2008</v>
      </c>
      <c r="M49" s="6" t="s">
        <v>36</v>
      </c>
      <c r="N49" s="6" t="s">
        <v>51</v>
      </c>
      <c r="O49" s="7" t="s">
        <v>38</v>
      </c>
      <c r="P49" s="7">
        <f t="shared" si="17"/>
        <v>5.2920000000000007</v>
      </c>
      <c r="Q49" s="14">
        <v>0</v>
      </c>
      <c r="R49" s="6">
        <v>4.9000000000000004</v>
      </c>
      <c r="S49" s="6">
        <v>12</v>
      </c>
      <c r="T49" s="6">
        <v>90</v>
      </c>
      <c r="U49" s="6">
        <v>3</v>
      </c>
      <c r="V49" s="6">
        <f t="shared" si="16"/>
        <v>0</v>
      </c>
      <c r="W49" s="14" t="s">
        <v>65</v>
      </c>
      <c r="X49" s="14"/>
      <c r="Y49" s="12">
        <v>525.2324000000001</v>
      </c>
      <c r="Z49" s="7" t="s">
        <v>53</v>
      </c>
      <c r="AA49" s="6"/>
      <c r="AB49" s="6"/>
      <c r="AC49" s="12"/>
      <c r="AD49" s="7"/>
      <c r="AE49" s="6"/>
      <c r="AF49" s="6"/>
      <c r="AG49" s="12"/>
      <c r="AH49" s="6"/>
      <c r="AI49" s="6"/>
      <c r="AJ49" s="6"/>
      <c r="AK49" s="12"/>
      <c r="AL49" s="6"/>
      <c r="AM49" s="6"/>
      <c r="AN49" s="6"/>
      <c r="AO49" s="12"/>
      <c r="AP49" s="6"/>
      <c r="AQ49" s="6"/>
      <c r="AR49" s="6"/>
      <c r="AS49" s="33">
        <f t="shared" si="18"/>
        <v>25.233333333333334</v>
      </c>
      <c r="AT49" s="33">
        <f t="shared" si="19"/>
        <v>82.05</v>
      </c>
      <c r="AU49" s="29"/>
      <c r="AV49" s="29"/>
      <c r="AW49" s="34"/>
      <c r="AX49" s="35"/>
      <c r="AY49" s="28"/>
      <c r="AZ49" s="28"/>
      <c r="BA49" s="37"/>
      <c r="BB49" s="28"/>
      <c r="BC49" s="28"/>
    </row>
    <row r="50" spans="1:59" s="26" customFormat="1" hidden="1" x14ac:dyDescent="0.3">
      <c r="A50" s="6">
        <v>1</v>
      </c>
      <c r="B50" s="6"/>
      <c r="C50" s="6">
        <v>16</v>
      </c>
      <c r="D50" s="9" t="s">
        <v>60</v>
      </c>
      <c r="E50" s="9" t="s">
        <v>61</v>
      </c>
      <c r="F50" s="9" t="str">
        <f t="shared" si="0"/>
        <v>2010-112Sonalika2008OTC</v>
      </c>
      <c r="G50" s="6" t="s">
        <v>62</v>
      </c>
      <c r="H50" s="6" t="s">
        <v>95</v>
      </c>
      <c r="I50" s="6" t="s">
        <v>63</v>
      </c>
      <c r="J50" s="6" t="s">
        <v>34</v>
      </c>
      <c r="K50" s="7" t="s">
        <v>69</v>
      </c>
      <c r="L50" s="7">
        <v>2008</v>
      </c>
      <c r="M50" s="6" t="s">
        <v>36</v>
      </c>
      <c r="N50" s="6" t="s">
        <v>51</v>
      </c>
      <c r="O50" s="7" t="s">
        <v>42</v>
      </c>
      <c r="P50" s="7">
        <f t="shared" si="17"/>
        <v>51.084000000000003</v>
      </c>
      <c r="Q50" s="14">
        <v>8.6999999999999993</v>
      </c>
      <c r="R50" s="6">
        <v>47.3</v>
      </c>
      <c r="S50" s="6">
        <v>12</v>
      </c>
      <c r="T50" s="6">
        <v>90</v>
      </c>
      <c r="U50" s="6">
        <v>3</v>
      </c>
      <c r="V50" s="6">
        <f t="shared" si="16"/>
        <v>8.6999999999999993</v>
      </c>
      <c r="W50" s="14" t="s">
        <v>65</v>
      </c>
      <c r="X50" s="14"/>
      <c r="Y50" s="12">
        <v>443.11642222222213</v>
      </c>
      <c r="Z50" s="7" t="s">
        <v>53</v>
      </c>
      <c r="AA50" s="6"/>
      <c r="AB50" s="6"/>
      <c r="AC50" s="12"/>
      <c r="AD50" s="7"/>
      <c r="AE50" s="6"/>
      <c r="AF50" s="6"/>
      <c r="AG50" s="12"/>
      <c r="AH50" s="6"/>
      <c r="AI50" s="6"/>
      <c r="AJ50" s="6"/>
      <c r="AK50" s="12"/>
      <c r="AL50" s="6"/>
      <c r="AM50" s="6"/>
      <c r="AN50" s="6"/>
      <c r="AO50" s="12"/>
      <c r="AP50" s="6"/>
      <c r="AQ50" s="6"/>
      <c r="AR50" s="6"/>
      <c r="AS50" s="33">
        <f t="shared" si="18"/>
        <v>25.233333333333334</v>
      </c>
      <c r="AT50" s="33">
        <f t="shared" si="19"/>
        <v>82.05</v>
      </c>
      <c r="AU50" s="29"/>
      <c r="AV50" s="29"/>
      <c r="AW50" s="34"/>
      <c r="AX50" s="35"/>
      <c r="AY50" s="28"/>
      <c r="AZ50" s="28"/>
      <c r="BA50" s="37"/>
      <c r="BB50" s="28"/>
      <c r="BC50" s="28"/>
    </row>
    <row r="51" spans="1:59" s="26" customFormat="1" hidden="1" x14ac:dyDescent="0.3">
      <c r="A51" s="6">
        <v>1</v>
      </c>
      <c r="B51" s="6"/>
      <c r="C51" s="6">
        <v>16</v>
      </c>
      <c r="D51" s="9" t="s">
        <v>60</v>
      </c>
      <c r="E51" s="9" t="s">
        <v>61</v>
      </c>
      <c r="F51" s="9" t="str">
        <f t="shared" si="0"/>
        <v>2010-112Sonalika2008OTC</v>
      </c>
      <c r="G51" s="6" t="s">
        <v>62</v>
      </c>
      <c r="H51" s="6" t="s">
        <v>95</v>
      </c>
      <c r="I51" s="6" t="s">
        <v>63</v>
      </c>
      <c r="J51" s="6" t="s">
        <v>34</v>
      </c>
      <c r="K51" s="7" t="s">
        <v>69</v>
      </c>
      <c r="L51" s="7">
        <v>2008</v>
      </c>
      <c r="M51" s="6" t="s">
        <v>36</v>
      </c>
      <c r="N51" s="6" t="s">
        <v>51</v>
      </c>
      <c r="O51" s="7" t="s">
        <v>44</v>
      </c>
      <c r="P51" s="7">
        <f t="shared" si="17"/>
        <v>61.452000000000005</v>
      </c>
      <c r="Q51" s="14">
        <v>14.4</v>
      </c>
      <c r="R51" s="6">
        <v>56.9</v>
      </c>
      <c r="S51" s="6">
        <v>12</v>
      </c>
      <c r="T51" s="6">
        <v>90</v>
      </c>
      <c r="U51" s="6">
        <v>3</v>
      </c>
      <c r="V51" s="6">
        <f t="shared" si="16"/>
        <v>14.4</v>
      </c>
      <c r="W51" s="14" t="s">
        <v>65</v>
      </c>
      <c r="X51" s="14"/>
      <c r="Y51" s="12">
        <v>286.85258888888887</v>
      </c>
      <c r="Z51" s="7" t="s">
        <v>53</v>
      </c>
      <c r="AA51" s="6"/>
      <c r="AB51" s="6"/>
      <c r="AC51" s="12"/>
      <c r="AD51" s="7"/>
      <c r="AE51" s="6"/>
      <c r="AF51" s="6"/>
      <c r="AG51" s="12"/>
      <c r="AH51" s="6"/>
      <c r="AI51" s="6"/>
      <c r="AJ51" s="6"/>
      <c r="AK51" s="12"/>
      <c r="AL51" s="6"/>
      <c r="AM51" s="6"/>
      <c r="AN51" s="6"/>
      <c r="AO51" s="12"/>
      <c r="AP51" s="6"/>
      <c r="AQ51" s="6"/>
      <c r="AR51" s="6"/>
      <c r="AS51" s="33">
        <f t="shared" si="18"/>
        <v>25.233333333333334</v>
      </c>
      <c r="AT51" s="33">
        <f t="shared" si="19"/>
        <v>82.05</v>
      </c>
      <c r="AU51" s="29"/>
      <c r="AV51" s="29"/>
      <c r="AW51" s="34"/>
      <c r="AX51" s="35"/>
      <c r="AY51" s="28"/>
      <c r="AZ51" s="28"/>
      <c r="BA51" s="37"/>
      <c r="BB51" s="28"/>
      <c r="BC51" s="28"/>
    </row>
    <row r="52" spans="1:59" s="26" customFormat="1" hidden="1" x14ac:dyDescent="0.3">
      <c r="A52" s="6">
        <v>1</v>
      </c>
      <c r="B52" s="6"/>
      <c r="C52" s="6">
        <v>16</v>
      </c>
      <c r="D52" s="9" t="s">
        <v>60</v>
      </c>
      <c r="E52" s="9" t="s">
        <v>61</v>
      </c>
      <c r="F52" s="9" t="str">
        <f t="shared" si="0"/>
        <v>2010-112HUW5102008OTC</v>
      </c>
      <c r="G52" s="6" t="s">
        <v>62</v>
      </c>
      <c r="H52" s="6" t="s">
        <v>95</v>
      </c>
      <c r="I52" s="6" t="s">
        <v>63</v>
      </c>
      <c r="J52" s="6" t="s">
        <v>34</v>
      </c>
      <c r="K52" s="7" t="s">
        <v>64</v>
      </c>
      <c r="L52" s="7">
        <v>2008</v>
      </c>
      <c r="M52" s="6" t="s">
        <v>36</v>
      </c>
      <c r="N52" s="6" t="s">
        <v>51</v>
      </c>
      <c r="O52" s="7" t="s">
        <v>38</v>
      </c>
      <c r="P52" s="7">
        <f t="shared" si="17"/>
        <v>5.2920000000000007</v>
      </c>
      <c r="Q52" s="14">
        <v>0</v>
      </c>
      <c r="R52" s="6">
        <v>4.9000000000000004</v>
      </c>
      <c r="S52" s="6">
        <v>12</v>
      </c>
      <c r="T52" s="6">
        <v>90</v>
      </c>
      <c r="U52" s="6">
        <v>3</v>
      </c>
      <c r="V52" s="6">
        <f t="shared" si="16"/>
        <v>0</v>
      </c>
      <c r="W52" s="14" t="s">
        <v>65</v>
      </c>
      <c r="X52" s="14"/>
      <c r="Y52" s="12">
        <v>366.52236666666664</v>
      </c>
      <c r="Z52" s="7" t="s">
        <v>53</v>
      </c>
      <c r="AA52" s="6"/>
      <c r="AB52" s="6"/>
      <c r="AC52" s="12"/>
      <c r="AD52" s="7"/>
      <c r="AE52" s="6"/>
      <c r="AF52" s="6"/>
      <c r="AG52" s="12"/>
      <c r="AH52" s="6"/>
      <c r="AI52" s="6"/>
      <c r="AJ52" s="6"/>
      <c r="AK52" s="12"/>
      <c r="AL52" s="6"/>
      <c r="AM52" s="6"/>
      <c r="AN52" s="6"/>
      <c r="AO52" s="12"/>
      <c r="AP52" s="6"/>
      <c r="AQ52" s="6"/>
      <c r="AR52" s="6"/>
      <c r="AS52" s="33">
        <f t="shared" si="18"/>
        <v>25.233333333333334</v>
      </c>
      <c r="AT52" s="33">
        <f t="shared" si="19"/>
        <v>82.05</v>
      </c>
      <c r="AU52" s="29"/>
      <c r="AV52" s="29"/>
      <c r="AW52" s="34"/>
      <c r="AX52" s="35"/>
      <c r="AY52" s="28"/>
      <c r="AZ52" s="28"/>
      <c r="BA52" s="37"/>
      <c r="BB52" s="28"/>
      <c r="BC52" s="28"/>
    </row>
    <row r="53" spans="1:59" s="26" customFormat="1" hidden="1" x14ac:dyDescent="0.3">
      <c r="A53" s="6">
        <v>1</v>
      </c>
      <c r="B53" s="6"/>
      <c r="C53" s="6">
        <v>16</v>
      </c>
      <c r="D53" s="9" t="s">
        <v>60</v>
      </c>
      <c r="E53" s="9" t="s">
        <v>61</v>
      </c>
      <c r="F53" s="9" t="str">
        <f t="shared" si="0"/>
        <v>2010-112HUW5102008OTC</v>
      </c>
      <c r="G53" s="6" t="s">
        <v>62</v>
      </c>
      <c r="H53" s="6" t="s">
        <v>95</v>
      </c>
      <c r="I53" s="6" t="s">
        <v>63</v>
      </c>
      <c r="J53" s="6" t="s">
        <v>34</v>
      </c>
      <c r="K53" s="7" t="s">
        <v>64</v>
      </c>
      <c r="L53" s="7">
        <v>2008</v>
      </c>
      <c r="M53" s="6" t="s">
        <v>36</v>
      </c>
      <c r="N53" s="6" t="s">
        <v>51</v>
      </c>
      <c r="O53" s="7" t="s">
        <v>42</v>
      </c>
      <c r="P53" s="7">
        <f t="shared" si="17"/>
        <v>51.084000000000003</v>
      </c>
      <c r="Q53" s="14">
        <v>8.6999999999999993</v>
      </c>
      <c r="R53" s="6">
        <v>47.3</v>
      </c>
      <c r="S53" s="6">
        <v>12</v>
      </c>
      <c r="T53" s="6">
        <v>90</v>
      </c>
      <c r="U53" s="6">
        <v>3</v>
      </c>
      <c r="V53" s="6">
        <f t="shared" si="16"/>
        <v>8.6999999999999993</v>
      </c>
      <c r="W53" s="14" t="s">
        <v>65</v>
      </c>
      <c r="X53" s="14"/>
      <c r="Y53" s="12">
        <v>396.37937272727271</v>
      </c>
      <c r="Z53" s="7" t="s">
        <v>53</v>
      </c>
      <c r="AA53" s="6"/>
      <c r="AB53" s="6"/>
      <c r="AC53" s="12"/>
      <c r="AD53" s="7"/>
      <c r="AE53" s="6"/>
      <c r="AF53" s="6"/>
      <c r="AG53" s="12"/>
      <c r="AH53" s="6"/>
      <c r="AI53" s="6"/>
      <c r="AJ53" s="6"/>
      <c r="AK53" s="12"/>
      <c r="AL53" s="6"/>
      <c r="AM53" s="6"/>
      <c r="AN53" s="6"/>
      <c r="AO53" s="12"/>
      <c r="AP53" s="6"/>
      <c r="AQ53" s="6"/>
      <c r="AR53" s="6"/>
      <c r="AS53" s="33">
        <f t="shared" si="18"/>
        <v>25.233333333333334</v>
      </c>
      <c r="AT53" s="33">
        <f t="shared" si="19"/>
        <v>82.05</v>
      </c>
      <c r="AU53" s="29"/>
      <c r="AV53" s="29"/>
      <c r="AW53" s="34"/>
      <c r="AX53" s="35"/>
      <c r="AY53" s="28"/>
      <c r="AZ53" s="28"/>
      <c r="BA53" s="37"/>
      <c r="BB53" s="28"/>
      <c r="BC53" s="28"/>
    </row>
    <row r="54" spans="1:59" s="26" customFormat="1" hidden="1" x14ac:dyDescent="0.3">
      <c r="A54" s="6">
        <v>1</v>
      </c>
      <c r="B54" s="6"/>
      <c r="C54" s="6">
        <v>16</v>
      </c>
      <c r="D54" s="9" t="s">
        <v>60</v>
      </c>
      <c r="E54" s="9" t="s">
        <v>61</v>
      </c>
      <c r="F54" s="9" t="str">
        <f t="shared" si="0"/>
        <v>2010-112HUW5102008OTC</v>
      </c>
      <c r="G54" s="6" t="s">
        <v>62</v>
      </c>
      <c r="H54" s="6" t="s">
        <v>95</v>
      </c>
      <c r="I54" s="6" t="s">
        <v>63</v>
      </c>
      <c r="J54" s="6" t="s">
        <v>34</v>
      </c>
      <c r="K54" s="7" t="s">
        <v>64</v>
      </c>
      <c r="L54" s="7">
        <v>2008</v>
      </c>
      <c r="M54" s="6" t="s">
        <v>36</v>
      </c>
      <c r="N54" s="6" t="s">
        <v>51</v>
      </c>
      <c r="O54" s="7" t="s">
        <v>44</v>
      </c>
      <c r="P54" s="7">
        <f t="shared" si="17"/>
        <v>61.452000000000005</v>
      </c>
      <c r="Q54" s="14">
        <v>14.4</v>
      </c>
      <c r="R54" s="6">
        <v>56.9</v>
      </c>
      <c r="S54" s="6">
        <v>12</v>
      </c>
      <c r="T54" s="6">
        <v>90</v>
      </c>
      <c r="U54" s="6">
        <v>3</v>
      </c>
      <c r="V54" s="6">
        <f t="shared" si="16"/>
        <v>14.4</v>
      </c>
      <c r="W54" s="14" t="s">
        <v>65</v>
      </c>
      <c r="X54" s="14"/>
      <c r="Y54" s="12">
        <v>258.00866250000001</v>
      </c>
      <c r="Z54" s="7" t="s">
        <v>53</v>
      </c>
      <c r="AA54" s="6"/>
      <c r="AB54" s="6"/>
      <c r="AC54" s="12"/>
      <c r="AD54" s="7"/>
      <c r="AE54" s="6"/>
      <c r="AF54" s="6"/>
      <c r="AG54" s="12"/>
      <c r="AH54" s="6"/>
      <c r="AI54" s="6"/>
      <c r="AJ54" s="6"/>
      <c r="AK54" s="12"/>
      <c r="AL54" s="6"/>
      <c r="AM54" s="6"/>
      <c r="AN54" s="6"/>
      <c r="AO54" s="12"/>
      <c r="AP54" s="6"/>
      <c r="AQ54" s="6"/>
      <c r="AR54" s="6"/>
      <c r="AS54" s="33">
        <f t="shared" si="18"/>
        <v>25.233333333333334</v>
      </c>
      <c r="AT54" s="33">
        <f t="shared" si="19"/>
        <v>82.05</v>
      </c>
      <c r="AU54" s="29"/>
      <c r="AV54" s="29"/>
      <c r="AW54" s="34"/>
      <c r="AX54" s="35"/>
      <c r="AY54" s="28"/>
      <c r="AZ54" s="28"/>
      <c r="BA54" s="37"/>
      <c r="BB54" s="28"/>
      <c r="BC54" s="28"/>
    </row>
    <row r="55" spans="1:59" s="26" customFormat="1" hidden="1" x14ac:dyDescent="0.3">
      <c r="A55" s="6">
        <v>1</v>
      </c>
      <c r="B55" s="6"/>
      <c r="C55" s="6">
        <v>17</v>
      </c>
      <c r="D55" s="6" t="s">
        <v>70</v>
      </c>
      <c r="E55" s="13" t="s">
        <v>71</v>
      </c>
      <c r="F55" s="9" t="str">
        <f t="shared" si="0"/>
        <v>2018-139HD29672016OTC</v>
      </c>
      <c r="G55" s="6" t="s">
        <v>72</v>
      </c>
      <c r="H55" s="6" t="s">
        <v>95</v>
      </c>
      <c r="I55" s="6" t="s">
        <v>63</v>
      </c>
      <c r="J55" s="6" t="s">
        <v>34</v>
      </c>
      <c r="K55" s="6" t="s">
        <v>73</v>
      </c>
      <c r="L55" s="6">
        <v>2016</v>
      </c>
      <c r="M55" s="6" t="s">
        <v>36</v>
      </c>
      <c r="N55" s="6" t="s">
        <v>51</v>
      </c>
      <c r="O55" s="6" t="s">
        <v>74</v>
      </c>
      <c r="P55" s="7">
        <f>R55/1.01*1.08</f>
        <v>56.031683168316832</v>
      </c>
      <c r="Q55" s="6">
        <v>11.9</v>
      </c>
      <c r="R55" s="6">
        <v>52.4</v>
      </c>
      <c r="S55" s="6">
        <v>8</v>
      </c>
      <c r="T55" s="7">
        <v>119</v>
      </c>
      <c r="U55" s="6">
        <v>3</v>
      </c>
      <c r="V55" s="16">
        <f t="shared" si="16"/>
        <v>9</v>
      </c>
      <c r="W55" s="10">
        <v>42682</v>
      </c>
      <c r="X55" s="10">
        <v>42814</v>
      </c>
      <c r="Y55" s="12">
        <f>8.33333333333333*400</f>
        <v>3333.3333333333321</v>
      </c>
      <c r="Z55" s="6" t="s">
        <v>80</v>
      </c>
      <c r="AA55" s="6" t="s">
        <v>216</v>
      </c>
      <c r="AB55" s="6">
        <v>0.55555555555555891</v>
      </c>
      <c r="AC55" s="12">
        <v>47.142857142857103</v>
      </c>
      <c r="AD55" s="7" t="s">
        <v>39</v>
      </c>
      <c r="AE55" s="6"/>
      <c r="AF55" s="6">
        <v>1.7857142857142989</v>
      </c>
      <c r="AG55" s="12"/>
      <c r="AH55" s="6"/>
      <c r="AI55" s="6"/>
      <c r="AJ55" s="6"/>
      <c r="AK55" s="12"/>
      <c r="AL55" s="6"/>
      <c r="AM55" s="6"/>
      <c r="AN55" s="6"/>
      <c r="AO55" s="12">
        <f t="shared" ref="AO55:AO78" si="21">Y55/AC55*1000</f>
        <v>70707.070707070743</v>
      </c>
      <c r="AP55" s="6" t="s">
        <v>67</v>
      </c>
      <c r="AQ55" s="6"/>
      <c r="AR55" s="6"/>
      <c r="AS55" s="30">
        <f t="shared" si="18"/>
        <v>25.233333333333334</v>
      </c>
      <c r="AT55" s="30">
        <f t="shared" si="19"/>
        <v>82.05</v>
      </c>
      <c r="AU55" s="27">
        <f>AV55-121</f>
        <v>42693</v>
      </c>
      <c r="AV55" s="25">
        <v>42814</v>
      </c>
      <c r="AW55" s="25">
        <v>42705</v>
      </c>
      <c r="AX55" s="25">
        <v>42814</v>
      </c>
      <c r="AY55" s="28">
        <f t="shared" ref="AY55:AY86" si="22">AU55-INT(YEAR(AV55)&amp;"/1/1")+1</f>
        <v>-42</v>
      </c>
      <c r="AZ55" s="28">
        <f t="shared" ref="AZ55:AZ86" si="23">AV55-INT(YEAR(AV55)&amp;"/1/1")+1</f>
        <v>79</v>
      </c>
      <c r="BA55" s="37">
        <f t="shared" ref="BA55:BA86" si="24">AZ55-AY55+1</f>
        <v>122</v>
      </c>
      <c r="BB55" s="28">
        <f t="shared" ref="BB55:BB86" si="25">AW55-INT(YEAR(AX55)&amp;"/1/1")+1</f>
        <v>-30</v>
      </c>
      <c r="BC55" s="28">
        <f t="shared" ref="BC55:BC118" si="26">AX55-INT(YEAR(AX55)&amp;"/1/1")+1</f>
        <v>79</v>
      </c>
      <c r="BD55" s="26">
        <f t="shared" ref="BD55:BD118" si="27">BC55-BB55+1</f>
        <v>110</v>
      </c>
      <c r="BF55" s="36">
        <f>AU55+80+5</f>
        <v>42778</v>
      </c>
      <c r="BG55" s="26">
        <f t="shared" ref="BG55:BG64" si="28">AV55-BF55+1</f>
        <v>37</v>
      </c>
    </row>
    <row r="56" spans="1:59" s="26" customFormat="1" hidden="1" x14ac:dyDescent="0.3">
      <c r="A56" s="6">
        <v>1</v>
      </c>
      <c r="B56" s="6"/>
      <c r="C56" s="6">
        <v>17</v>
      </c>
      <c r="D56" s="6" t="s">
        <v>70</v>
      </c>
      <c r="E56" s="13" t="s">
        <v>71</v>
      </c>
      <c r="F56" s="9" t="str">
        <f t="shared" si="0"/>
        <v>2018-139HD29672016OTC</v>
      </c>
      <c r="G56" s="6" t="s">
        <v>72</v>
      </c>
      <c r="H56" s="6" t="s">
        <v>95</v>
      </c>
      <c r="I56" s="6" t="s">
        <v>63</v>
      </c>
      <c r="J56" s="6" t="s">
        <v>34</v>
      </c>
      <c r="K56" s="6" t="s">
        <v>73</v>
      </c>
      <c r="L56" s="6">
        <v>2016</v>
      </c>
      <c r="M56" s="6" t="s">
        <v>36</v>
      </c>
      <c r="N56" s="6" t="s">
        <v>51</v>
      </c>
      <c r="O56" s="6" t="s">
        <v>75</v>
      </c>
      <c r="P56" s="7">
        <f>(8 * R56+ 4 * 0.97*R55) / 12*1.08</f>
        <v>61.210079999999998</v>
      </c>
      <c r="Q56" s="6">
        <v>18.3</v>
      </c>
      <c r="R56" s="6">
        <v>59.6</v>
      </c>
      <c r="S56" s="6">
        <v>8</v>
      </c>
      <c r="T56" s="7">
        <v>115</v>
      </c>
      <c r="U56" s="6">
        <v>3</v>
      </c>
      <c r="V56" s="16">
        <f t="shared" si="16"/>
        <v>14.321739130434784</v>
      </c>
      <c r="W56" s="10">
        <v>42682</v>
      </c>
      <c r="X56" s="10">
        <v>42795</v>
      </c>
      <c r="Y56" s="12">
        <f>8.2716049382716*400</f>
        <v>3308.6419753086402</v>
      </c>
      <c r="Z56" s="6" t="s">
        <v>80</v>
      </c>
      <c r="AA56" s="6" t="s">
        <v>216</v>
      </c>
      <c r="AB56" s="6">
        <v>0.37037037037036846</v>
      </c>
      <c r="AC56" s="12">
        <v>48.928571428571402</v>
      </c>
      <c r="AD56" s="7" t="s">
        <v>39</v>
      </c>
      <c r="AE56" s="6"/>
      <c r="AF56" s="6">
        <v>1.4285714285714946</v>
      </c>
      <c r="AG56" s="12"/>
      <c r="AH56" s="6"/>
      <c r="AI56" s="6"/>
      <c r="AJ56" s="6"/>
      <c r="AK56" s="12"/>
      <c r="AL56" s="6"/>
      <c r="AM56" s="6"/>
      <c r="AN56" s="6"/>
      <c r="AO56" s="12">
        <f t="shared" si="21"/>
        <v>67621.879787329905</v>
      </c>
      <c r="AP56" s="6" t="s">
        <v>67</v>
      </c>
      <c r="AQ56" s="6"/>
      <c r="AR56" s="6"/>
      <c r="AS56" s="30">
        <f t="shared" si="18"/>
        <v>25.233333333333334</v>
      </c>
      <c r="AT56" s="30">
        <f t="shared" si="19"/>
        <v>82.05</v>
      </c>
      <c r="AU56" s="27">
        <v>42693</v>
      </c>
      <c r="AV56" s="25">
        <v>42814</v>
      </c>
      <c r="AW56" s="25">
        <v>42705</v>
      </c>
      <c r="AX56" s="25">
        <v>42795</v>
      </c>
      <c r="AY56" s="28">
        <f t="shared" si="22"/>
        <v>-42</v>
      </c>
      <c r="AZ56" s="28">
        <f t="shared" si="23"/>
        <v>79</v>
      </c>
      <c r="BA56" s="37">
        <f t="shared" si="24"/>
        <v>122</v>
      </c>
      <c r="BB56" s="28">
        <f t="shared" si="25"/>
        <v>-30</v>
      </c>
      <c r="BC56" s="28">
        <f t="shared" si="26"/>
        <v>60</v>
      </c>
      <c r="BD56" s="26">
        <f t="shared" si="27"/>
        <v>91</v>
      </c>
      <c r="BF56" s="36">
        <f>AU56+80+5</f>
        <v>42778</v>
      </c>
      <c r="BG56" s="26">
        <f t="shared" si="28"/>
        <v>37</v>
      </c>
    </row>
    <row r="57" spans="1:59" s="26" customFormat="1" hidden="1" x14ac:dyDescent="0.3">
      <c r="A57" s="6">
        <v>1</v>
      </c>
      <c r="B57" s="6"/>
      <c r="C57" s="6">
        <v>17</v>
      </c>
      <c r="D57" s="6" t="s">
        <v>70</v>
      </c>
      <c r="E57" s="13" t="s">
        <v>71</v>
      </c>
      <c r="F57" s="9" t="str">
        <f t="shared" si="0"/>
        <v>2018-139Sonalika2016OTC</v>
      </c>
      <c r="G57" s="6" t="s">
        <v>72</v>
      </c>
      <c r="H57" s="6" t="s">
        <v>95</v>
      </c>
      <c r="I57" s="6" t="s">
        <v>63</v>
      </c>
      <c r="J57" s="6" t="s">
        <v>34</v>
      </c>
      <c r="K57" s="6" t="s">
        <v>69</v>
      </c>
      <c r="L57" s="6">
        <v>2016</v>
      </c>
      <c r="M57" s="6" t="s">
        <v>36</v>
      </c>
      <c r="N57" s="6" t="s">
        <v>51</v>
      </c>
      <c r="O57" s="6" t="s">
        <v>74</v>
      </c>
      <c r="P57" s="7">
        <f>R57/1.01*1.08</f>
        <v>56.031683168316832</v>
      </c>
      <c r="Q57" s="6">
        <v>11.9</v>
      </c>
      <c r="R57" s="6">
        <v>52.4</v>
      </c>
      <c r="S57" s="6">
        <v>8</v>
      </c>
      <c r="T57" s="7">
        <v>119</v>
      </c>
      <c r="U57" s="6">
        <v>3</v>
      </c>
      <c r="V57" s="16">
        <f t="shared" si="16"/>
        <v>9</v>
      </c>
      <c r="W57" s="10">
        <v>42682</v>
      </c>
      <c r="X57" s="10">
        <v>42814</v>
      </c>
      <c r="Y57" s="12">
        <f>6.79012345679012*400</f>
        <v>2716.0493827160481</v>
      </c>
      <c r="Z57" s="6" t="s">
        <v>80</v>
      </c>
      <c r="AA57" s="6" t="s">
        <v>216</v>
      </c>
      <c r="AB57" s="6">
        <v>0.4320987654320998</v>
      </c>
      <c r="AC57" s="12">
        <v>52.5</v>
      </c>
      <c r="AD57" s="7" t="s">
        <v>39</v>
      </c>
      <c r="AE57" s="6"/>
      <c r="AF57" s="6">
        <v>1.7857142857142989</v>
      </c>
      <c r="AG57" s="12"/>
      <c r="AH57" s="6"/>
      <c r="AI57" s="6"/>
      <c r="AJ57" s="6"/>
      <c r="AK57" s="12"/>
      <c r="AL57" s="6"/>
      <c r="AM57" s="6"/>
      <c r="AN57" s="6"/>
      <c r="AO57" s="12">
        <f t="shared" si="21"/>
        <v>51734.273956496152</v>
      </c>
      <c r="AP57" s="6" t="s">
        <v>67</v>
      </c>
      <c r="AQ57" s="6"/>
      <c r="AR57" s="6"/>
      <c r="AS57" s="30">
        <f t="shared" si="18"/>
        <v>25.233333333333334</v>
      </c>
      <c r="AT57" s="30">
        <f t="shared" si="19"/>
        <v>82.05</v>
      </c>
      <c r="AU57" s="27">
        <f>AV57-111</f>
        <v>42703</v>
      </c>
      <c r="AV57" s="25">
        <v>42814</v>
      </c>
      <c r="AW57" s="25">
        <v>42705</v>
      </c>
      <c r="AX57" s="25">
        <v>42814</v>
      </c>
      <c r="AY57" s="28">
        <f t="shared" si="22"/>
        <v>-32</v>
      </c>
      <c r="AZ57" s="28">
        <f t="shared" si="23"/>
        <v>79</v>
      </c>
      <c r="BA57" s="37">
        <f t="shared" si="24"/>
        <v>112</v>
      </c>
      <c r="BB57" s="28">
        <f t="shared" si="25"/>
        <v>-30</v>
      </c>
      <c r="BC57" s="28">
        <f t="shared" si="26"/>
        <v>79</v>
      </c>
      <c r="BD57" s="26">
        <f t="shared" si="27"/>
        <v>110</v>
      </c>
      <c r="BF57" s="36">
        <f>AU57+80+5</f>
        <v>42788</v>
      </c>
      <c r="BG57" s="26">
        <f t="shared" si="28"/>
        <v>27</v>
      </c>
    </row>
    <row r="58" spans="1:59" s="26" customFormat="1" hidden="1" x14ac:dyDescent="0.3">
      <c r="A58" s="6">
        <v>1</v>
      </c>
      <c r="B58" s="6"/>
      <c r="C58" s="6">
        <v>17</v>
      </c>
      <c r="D58" s="6" t="s">
        <v>70</v>
      </c>
      <c r="E58" s="13" t="s">
        <v>71</v>
      </c>
      <c r="F58" s="9" t="str">
        <f t="shared" si="0"/>
        <v>2018-139Sonalika2016OTC</v>
      </c>
      <c r="G58" s="6" t="s">
        <v>72</v>
      </c>
      <c r="H58" s="6" t="s">
        <v>95</v>
      </c>
      <c r="I58" s="6" t="s">
        <v>63</v>
      </c>
      <c r="J58" s="6" t="s">
        <v>34</v>
      </c>
      <c r="K58" s="6" t="s">
        <v>69</v>
      </c>
      <c r="L58" s="6">
        <v>2016</v>
      </c>
      <c r="M58" s="6" t="s">
        <v>36</v>
      </c>
      <c r="N58" s="6" t="s">
        <v>51</v>
      </c>
      <c r="O58" s="6" t="s">
        <v>75</v>
      </c>
      <c r="P58" s="7">
        <f>(8 * R58+ 4 * 0.97*R57) / 12*1.08</f>
        <v>61.210079999999998</v>
      </c>
      <c r="Q58" s="6">
        <v>18.3</v>
      </c>
      <c r="R58" s="6">
        <v>59.6</v>
      </c>
      <c r="S58" s="6">
        <v>8</v>
      </c>
      <c r="T58" s="7">
        <v>115</v>
      </c>
      <c r="U58" s="6">
        <v>3</v>
      </c>
      <c r="V58" s="16">
        <f t="shared" si="16"/>
        <v>14.321739130434784</v>
      </c>
      <c r="W58" s="10">
        <v>42682</v>
      </c>
      <c r="X58" s="10">
        <v>42795</v>
      </c>
      <c r="Y58" s="12">
        <f>5.49382716049383*400</f>
        <v>2197.5308641975321</v>
      </c>
      <c r="Z58" s="6" t="s">
        <v>80</v>
      </c>
      <c r="AA58" s="6" t="s">
        <v>216</v>
      </c>
      <c r="AB58" s="6">
        <v>0.30864197530863979</v>
      </c>
      <c r="AC58" s="12">
        <v>50.714285714285701</v>
      </c>
      <c r="AD58" s="7" t="s">
        <v>39</v>
      </c>
      <c r="AE58" s="6"/>
      <c r="AF58" s="6">
        <v>1.0714285714285978</v>
      </c>
      <c r="AG58" s="12"/>
      <c r="AH58" s="6"/>
      <c r="AI58" s="6"/>
      <c r="AJ58" s="6"/>
      <c r="AK58" s="12"/>
      <c r="AL58" s="6"/>
      <c r="AM58" s="6"/>
      <c r="AN58" s="6"/>
      <c r="AO58" s="12">
        <f t="shared" si="21"/>
        <v>43331.594505303467</v>
      </c>
      <c r="AP58" s="6" t="s">
        <v>67</v>
      </c>
      <c r="AQ58" s="6"/>
      <c r="AR58" s="6"/>
      <c r="AS58" s="30">
        <f t="shared" si="18"/>
        <v>25.233333333333334</v>
      </c>
      <c r="AT58" s="30">
        <f t="shared" si="19"/>
        <v>82.05</v>
      </c>
      <c r="AU58" s="27">
        <v>42703</v>
      </c>
      <c r="AV58" s="25">
        <v>42814</v>
      </c>
      <c r="AW58" s="25">
        <v>42705</v>
      </c>
      <c r="AX58" s="25">
        <v>42795</v>
      </c>
      <c r="AY58" s="28">
        <f t="shared" si="22"/>
        <v>-32</v>
      </c>
      <c r="AZ58" s="28">
        <f t="shared" si="23"/>
        <v>79</v>
      </c>
      <c r="BA58" s="37">
        <f t="shared" si="24"/>
        <v>112</v>
      </c>
      <c r="BB58" s="28">
        <f t="shared" si="25"/>
        <v>-30</v>
      </c>
      <c r="BC58" s="28">
        <f t="shared" si="26"/>
        <v>60</v>
      </c>
      <c r="BD58" s="26">
        <f t="shared" si="27"/>
        <v>91</v>
      </c>
      <c r="BF58" s="36">
        <f>AU58+80+5</f>
        <v>42788</v>
      </c>
      <c r="BG58" s="26">
        <f t="shared" si="28"/>
        <v>27</v>
      </c>
    </row>
    <row r="59" spans="1:59" s="26" customFormat="1" hidden="1" x14ac:dyDescent="0.3">
      <c r="A59" s="6">
        <v>1</v>
      </c>
      <c r="B59" s="6"/>
      <c r="C59" s="7">
        <v>26</v>
      </c>
      <c r="D59" s="7" t="s">
        <v>76</v>
      </c>
      <c r="E59" s="13" t="s">
        <v>77</v>
      </c>
      <c r="F59" s="9" t="str">
        <f t="shared" si="0"/>
        <v>2015-100PBW3432008OTC</v>
      </c>
      <c r="G59" s="7" t="s">
        <v>78</v>
      </c>
      <c r="H59" s="6" t="s">
        <v>95</v>
      </c>
      <c r="I59" s="7" t="s">
        <v>63</v>
      </c>
      <c r="J59" s="7" t="s">
        <v>34</v>
      </c>
      <c r="K59" s="7" t="s">
        <v>79</v>
      </c>
      <c r="L59" s="7">
        <v>2008</v>
      </c>
      <c r="M59" s="7" t="s">
        <v>36</v>
      </c>
      <c r="N59" s="7" t="s">
        <v>51</v>
      </c>
      <c r="O59" s="7" t="s">
        <v>42</v>
      </c>
      <c r="P59" s="7">
        <f>R59/1.01*1.08</f>
        <v>33.041584158415837</v>
      </c>
      <c r="Q59" s="7">
        <v>2.0499999999999998</v>
      </c>
      <c r="R59" s="7">
        <v>30.9</v>
      </c>
      <c r="S59" s="7">
        <v>7</v>
      </c>
      <c r="T59" s="7">
        <v>123</v>
      </c>
      <c r="U59" s="6">
        <v>3</v>
      </c>
      <c r="V59" s="6">
        <f t="shared" si="16"/>
        <v>1.5</v>
      </c>
      <c r="W59" s="6" t="s">
        <v>52</v>
      </c>
      <c r="X59" s="6"/>
      <c r="Y59" s="11">
        <v>439</v>
      </c>
      <c r="Z59" s="6" t="s">
        <v>80</v>
      </c>
      <c r="AA59" s="6"/>
      <c r="AB59" s="6">
        <v>5.3</v>
      </c>
      <c r="AC59" s="12">
        <v>42.8</v>
      </c>
      <c r="AD59" s="7" t="s">
        <v>39</v>
      </c>
      <c r="AE59" s="6"/>
      <c r="AF59" s="6">
        <v>0.5</v>
      </c>
      <c r="AG59" s="12">
        <v>52.3</v>
      </c>
      <c r="AH59" s="7" t="s">
        <v>40</v>
      </c>
      <c r="AI59" s="6"/>
      <c r="AJ59" s="6">
        <v>0.5</v>
      </c>
      <c r="AK59" s="12">
        <v>10.8</v>
      </c>
      <c r="AL59" s="7" t="s">
        <v>68</v>
      </c>
      <c r="AM59" s="6"/>
      <c r="AN59" s="6">
        <v>0.1</v>
      </c>
      <c r="AO59" s="12">
        <f t="shared" si="21"/>
        <v>10257.009345794395</v>
      </c>
      <c r="AP59" s="6" t="s">
        <v>54</v>
      </c>
      <c r="AQ59" s="6"/>
      <c r="AR59" s="6"/>
      <c r="AS59" s="32">
        <f t="shared" ref="AS59:AS64" si="29">28+40/60</f>
        <v>28.666666666666668</v>
      </c>
      <c r="AT59" s="32">
        <f t="shared" ref="AT59:AT64" si="30">77+12/60</f>
        <v>77.2</v>
      </c>
      <c r="AU59" s="27">
        <f>AV59-122</f>
        <v>39796</v>
      </c>
      <c r="AV59" s="25">
        <v>39918</v>
      </c>
      <c r="AW59" s="25">
        <v>39783</v>
      </c>
      <c r="AX59" s="25">
        <v>39918</v>
      </c>
      <c r="AY59" s="28">
        <f t="shared" si="22"/>
        <v>-17</v>
      </c>
      <c r="AZ59" s="28">
        <f t="shared" si="23"/>
        <v>105</v>
      </c>
      <c r="BA59" s="37">
        <f t="shared" si="24"/>
        <v>123</v>
      </c>
      <c r="BB59" s="28">
        <f t="shared" si="25"/>
        <v>-30</v>
      </c>
      <c r="BC59" s="28">
        <f t="shared" si="26"/>
        <v>105</v>
      </c>
      <c r="BD59" s="26">
        <f t="shared" si="27"/>
        <v>136</v>
      </c>
      <c r="BF59" s="36">
        <f>AU59+69+5</f>
        <v>39870</v>
      </c>
      <c r="BG59" s="26">
        <f t="shared" si="28"/>
        <v>49</v>
      </c>
    </row>
    <row r="60" spans="1:59" s="26" customFormat="1" hidden="1" x14ac:dyDescent="0.3">
      <c r="A60" s="6">
        <v>1</v>
      </c>
      <c r="B60" s="6"/>
      <c r="C60" s="7">
        <v>26</v>
      </c>
      <c r="D60" s="7" t="s">
        <v>76</v>
      </c>
      <c r="E60" s="13" t="s">
        <v>77</v>
      </c>
      <c r="F60" s="9" t="str">
        <f t="shared" si="0"/>
        <v>2015-100PBW3432008OTC</v>
      </c>
      <c r="G60" s="7" t="s">
        <v>78</v>
      </c>
      <c r="H60" s="6" t="s">
        <v>95</v>
      </c>
      <c r="I60" s="7" t="s">
        <v>63</v>
      </c>
      <c r="J60" s="7" t="s">
        <v>34</v>
      </c>
      <c r="K60" s="7" t="s">
        <v>79</v>
      </c>
      <c r="L60" s="7">
        <v>2008</v>
      </c>
      <c r="M60" s="7" t="s">
        <v>36</v>
      </c>
      <c r="N60" s="7" t="s">
        <v>51</v>
      </c>
      <c r="O60" s="7" t="s">
        <v>38</v>
      </c>
      <c r="P60" s="7">
        <f>R60/1.01*1.08</f>
        <v>5.6138613861386144</v>
      </c>
      <c r="Q60" s="7">
        <v>0</v>
      </c>
      <c r="R60" s="7">
        <v>5.25</v>
      </c>
      <c r="S60" s="7">
        <v>7</v>
      </c>
      <c r="T60" s="7">
        <v>123</v>
      </c>
      <c r="U60" s="6">
        <v>3</v>
      </c>
      <c r="V60" s="6">
        <f t="shared" si="16"/>
        <v>0</v>
      </c>
      <c r="W60" s="6" t="s">
        <v>52</v>
      </c>
      <c r="X60" s="6"/>
      <c r="Y60" s="11">
        <v>527</v>
      </c>
      <c r="Z60" s="6" t="s">
        <v>80</v>
      </c>
      <c r="AA60" s="6"/>
      <c r="AB60" s="6">
        <v>7.8</v>
      </c>
      <c r="AC60" s="12">
        <v>45.3</v>
      </c>
      <c r="AD60" s="7" t="s">
        <v>39</v>
      </c>
      <c r="AE60" s="6"/>
      <c r="AF60" s="6">
        <v>1.1000000000000001</v>
      </c>
      <c r="AG60" s="12">
        <v>56.3</v>
      </c>
      <c r="AH60" s="7" t="s">
        <v>40</v>
      </c>
      <c r="AI60" s="6"/>
      <c r="AJ60" s="6">
        <v>0.5</v>
      </c>
      <c r="AK60" s="12">
        <v>12</v>
      </c>
      <c r="AL60" s="7" t="s">
        <v>68</v>
      </c>
      <c r="AM60" s="6"/>
      <c r="AN60" s="6">
        <v>0.2</v>
      </c>
      <c r="AO60" s="12">
        <f t="shared" si="21"/>
        <v>11633.55408388521</v>
      </c>
      <c r="AP60" s="6" t="s">
        <v>54</v>
      </c>
      <c r="AQ60" s="6"/>
      <c r="AR60" s="6"/>
      <c r="AS60" s="32">
        <f t="shared" si="29"/>
        <v>28.666666666666668</v>
      </c>
      <c r="AT60" s="32">
        <f t="shared" si="30"/>
        <v>77.2</v>
      </c>
      <c r="AU60" s="27">
        <f>AV60-122</f>
        <v>39796</v>
      </c>
      <c r="AV60" s="25">
        <v>39918</v>
      </c>
      <c r="AW60" s="25">
        <v>39783</v>
      </c>
      <c r="AX60" s="25">
        <v>39918</v>
      </c>
      <c r="AY60" s="28">
        <f t="shared" si="22"/>
        <v>-17</v>
      </c>
      <c r="AZ60" s="28">
        <f t="shared" si="23"/>
        <v>105</v>
      </c>
      <c r="BA60" s="37">
        <f t="shared" si="24"/>
        <v>123</v>
      </c>
      <c r="BB60" s="28">
        <f t="shared" si="25"/>
        <v>-30</v>
      </c>
      <c r="BC60" s="28">
        <f t="shared" si="26"/>
        <v>105</v>
      </c>
      <c r="BD60" s="26">
        <f t="shared" si="27"/>
        <v>136</v>
      </c>
      <c r="BF60" s="36">
        <f>AU60+69+5</f>
        <v>39870</v>
      </c>
      <c r="BG60" s="26">
        <f t="shared" si="28"/>
        <v>49</v>
      </c>
    </row>
    <row r="61" spans="1:59" s="26" customFormat="1" hidden="1" x14ac:dyDescent="0.3">
      <c r="A61" s="6">
        <v>1</v>
      </c>
      <c r="B61" s="6"/>
      <c r="C61" s="7">
        <v>26</v>
      </c>
      <c r="D61" s="7" t="s">
        <v>76</v>
      </c>
      <c r="E61" s="13" t="s">
        <v>77</v>
      </c>
      <c r="F61" s="9" t="str">
        <f t="shared" si="0"/>
        <v>2015-100PBW3432008OTC</v>
      </c>
      <c r="G61" s="7" t="s">
        <v>78</v>
      </c>
      <c r="H61" s="6" t="s">
        <v>95</v>
      </c>
      <c r="I61" s="7" t="s">
        <v>63</v>
      </c>
      <c r="J61" s="7" t="s">
        <v>34</v>
      </c>
      <c r="K61" s="7" t="s">
        <v>79</v>
      </c>
      <c r="L61" s="7">
        <v>2008</v>
      </c>
      <c r="M61" s="7" t="s">
        <v>36</v>
      </c>
      <c r="N61" s="7" t="s">
        <v>51</v>
      </c>
      <c r="O61" s="7" t="s">
        <v>56</v>
      </c>
      <c r="P61" s="7">
        <f>(7*R61+5*0.976*R59)/12*1.08</f>
        <v>50.867280000000001</v>
      </c>
      <c r="Q61" s="7">
        <v>16.62</v>
      </c>
      <c r="R61" s="7">
        <v>59.2</v>
      </c>
      <c r="S61" s="7">
        <v>7</v>
      </c>
      <c r="T61" s="7">
        <v>123</v>
      </c>
      <c r="U61" s="6">
        <v>3</v>
      </c>
      <c r="V61" s="6">
        <f t="shared" si="16"/>
        <v>12.160975609756099</v>
      </c>
      <c r="W61" s="6" t="s">
        <v>52</v>
      </c>
      <c r="X61" s="6"/>
      <c r="Y61" s="11">
        <v>369</v>
      </c>
      <c r="Z61" s="6" t="s">
        <v>80</v>
      </c>
      <c r="AA61" s="6"/>
      <c r="AB61" s="6">
        <v>8.5</v>
      </c>
      <c r="AC61" s="12">
        <v>37.6</v>
      </c>
      <c r="AD61" s="7" t="s">
        <v>39</v>
      </c>
      <c r="AE61" s="6"/>
      <c r="AF61" s="6">
        <v>0.1</v>
      </c>
      <c r="AG61" s="12">
        <v>48.5</v>
      </c>
      <c r="AH61" s="7" t="s">
        <v>40</v>
      </c>
      <c r="AI61" s="6"/>
      <c r="AJ61" s="6">
        <v>0.1</v>
      </c>
      <c r="AK61" s="12">
        <v>9.5</v>
      </c>
      <c r="AL61" s="7" t="s">
        <v>68</v>
      </c>
      <c r="AM61" s="6"/>
      <c r="AN61" s="6">
        <v>0.04</v>
      </c>
      <c r="AO61" s="12">
        <f t="shared" si="21"/>
        <v>9813.8297872340409</v>
      </c>
      <c r="AP61" s="6" t="s">
        <v>54</v>
      </c>
      <c r="AQ61" s="6"/>
      <c r="AR61" s="6"/>
      <c r="AS61" s="32">
        <f t="shared" si="29"/>
        <v>28.666666666666668</v>
      </c>
      <c r="AT61" s="32">
        <f t="shared" si="30"/>
        <v>77.2</v>
      </c>
      <c r="AU61" s="27">
        <f>AV61-122</f>
        <v>39796</v>
      </c>
      <c r="AV61" s="25">
        <v>39918</v>
      </c>
      <c r="AW61" s="25">
        <v>39783</v>
      </c>
      <c r="AX61" s="25">
        <v>39918</v>
      </c>
      <c r="AY61" s="28">
        <f t="shared" si="22"/>
        <v>-17</v>
      </c>
      <c r="AZ61" s="28">
        <f t="shared" si="23"/>
        <v>105</v>
      </c>
      <c r="BA61" s="37">
        <f t="shared" si="24"/>
        <v>123</v>
      </c>
      <c r="BB61" s="28">
        <f t="shared" si="25"/>
        <v>-30</v>
      </c>
      <c r="BC61" s="28">
        <f t="shared" si="26"/>
        <v>105</v>
      </c>
      <c r="BD61" s="26">
        <f t="shared" si="27"/>
        <v>136</v>
      </c>
      <c r="BF61" s="36">
        <f>AU61+69+5</f>
        <v>39870</v>
      </c>
      <c r="BG61" s="26">
        <f t="shared" si="28"/>
        <v>49</v>
      </c>
    </row>
    <row r="62" spans="1:59" s="26" customFormat="1" hidden="1" x14ac:dyDescent="0.3">
      <c r="A62" s="6">
        <v>1</v>
      </c>
      <c r="B62" s="6"/>
      <c r="C62" s="7">
        <v>26</v>
      </c>
      <c r="D62" s="7" t="s">
        <v>76</v>
      </c>
      <c r="E62" s="13" t="s">
        <v>77</v>
      </c>
      <c r="F62" s="9" t="str">
        <f t="shared" si="0"/>
        <v>2015-100PBW3432009OTC</v>
      </c>
      <c r="G62" s="7" t="s">
        <v>78</v>
      </c>
      <c r="H62" s="6" t="s">
        <v>95</v>
      </c>
      <c r="I62" s="7" t="s">
        <v>63</v>
      </c>
      <c r="J62" s="7" t="s">
        <v>34</v>
      </c>
      <c r="K62" s="7" t="s">
        <v>79</v>
      </c>
      <c r="L62" s="7">
        <v>2009</v>
      </c>
      <c r="M62" s="7" t="s">
        <v>36</v>
      </c>
      <c r="N62" s="7" t="s">
        <v>51</v>
      </c>
      <c r="O62" s="7" t="s">
        <v>42</v>
      </c>
      <c r="P62" s="7">
        <f>R62/1.01*1.08</f>
        <v>37.318811881188125</v>
      </c>
      <c r="Q62" s="7">
        <v>2.39</v>
      </c>
      <c r="R62" s="7">
        <v>34.9</v>
      </c>
      <c r="S62" s="7">
        <v>7</v>
      </c>
      <c r="T62" s="7">
        <v>135</v>
      </c>
      <c r="U62" s="6">
        <v>3</v>
      </c>
      <c r="V62" s="6">
        <f t="shared" si="16"/>
        <v>1.5933333333333333</v>
      </c>
      <c r="W62" s="6" t="s">
        <v>52</v>
      </c>
      <c r="X62" s="6"/>
      <c r="Y62" s="11">
        <v>423</v>
      </c>
      <c r="Z62" s="6" t="s">
        <v>80</v>
      </c>
      <c r="AA62" s="6"/>
      <c r="AB62" s="6">
        <v>5.0999999999999996</v>
      </c>
      <c r="AC62" s="12">
        <v>42.1</v>
      </c>
      <c r="AD62" s="7" t="s">
        <v>39</v>
      </c>
      <c r="AE62" s="6"/>
      <c r="AF62" s="6">
        <v>0.43</v>
      </c>
      <c r="AG62" s="12">
        <v>44.8</v>
      </c>
      <c r="AH62" s="7" t="s">
        <v>40</v>
      </c>
      <c r="AI62" s="6"/>
      <c r="AJ62" s="6">
        <v>0.88</v>
      </c>
      <c r="AK62" s="12">
        <v>10.9</v>
      </c>
      <c r="AL62" s="7" t="s">
        <v>68</v>
      </c>
      <c r="AM62" s="6"/>
      <c r="AN62" s="6">
        <v>0.1</v>
      </c>
      <c r="AO62" s="12">
        <f t="shared" si="21"/>
        <v>10047.505938242279</v>
      </c>
      <c r="AP62" s="6" t="s">
        <v>54</v>
      </c>
      <c r="AQ62" s="6"/>
      <c r="AR62" s="6"/>
      <c r="AS62" s="32">
        <f t="shared" si="29"/>
        <v>28.666666666666668</v>
      </c>
      <c r="AT62" s="32">
        <f t="shared" si="30"/>
        <v>77.2</v>
      </c>
      <c r="AU62" s="27">
        <f>AV62-134</f>
        <v>40159</v>
      </c>
      <c r="AV62" s="25">
        <v>40293</v>
      </c>
      <c r="AW62" s="25">
        <v>40148</v>
      </c>
      <c r="AX62" s="25">
        <v>40293</v>
      </c>
      <c r="AY62" s="28">
        <f t="shared" si="22"/>
        <v>-19</v>
      </c>
      <c r="AZ62" s="28">
        <f t="shared" si="23"/>
        <v>115</v>
      </c>
      <c r="BA62" s="37">
        <f t="shared" si="24"/>
        <v>135</v>
      </c>
      <c r="BB62" s="28">
        <f t="shared" si="25"/>
        <v>-30</v>
      </c>
      <c r="BC62" s="28">
        <f t="shared" si="26"/>
        <v>115</v>
      </c>
      <c r="BD62" s="26">
        <f t="shared" si="27"/>
        <v>146</v>
      </c>
      <c r="BF62" s="36">
        <f>AU62+71+5</f>
        <v>40235</v>
      </c>
      <c r="BG62" s="26">
        <f t="shared" si="28"/>
        <v>59</v>
      </c>
    </row>
    <row r="63" spans="1:59" s="26" customFormat="1" hidden="1" x14ac:dyDescent="0.3">
      <c r="A63" s="6">
        <v>1</v>
      </c>
      <c r="B63" s="6"/>
      <c r="C63" s="7">
        <v>26</v>
      </c>
      <c r="D63" s="7" t="s">
        <v>76</v>
      </c>
      <c r="E63" s="13" t="s">
        <v>77</v>
      </c>
      <c r="F63" s="9" t="str">
        <f t="shared" si="0"/>
        <v>2015-100PBW3432009OTC</v>
      </c>
      <c r="G63" s="7" t="s">
        <v>78</v>
      </c>
      <c r="H63" s="6" t="s">
        <v>95</v>
      </c>
      <c r="I63" s="7" t="s">
        <v>63</v>
      </c>
      <c r="J63" s="7" t="s">
        <v>34</v>
      </c>
      <c r="K63" s="7" t="s">
        <v>79</v>
      </c>
      <c r="L63" s="7">
        <v>2009</v>
      </c>
      <c r="M63" s="7" t="s">
        <v>36</v>
      </c>
      <c r="N63" s="7" t="s">
        <v>51</v>
      </c>
      <c r="O63" s="7" t="s">
        <v>38</v>
      </c>
      <c r="P63" s="7">
        <f>R63/1.01*1.08</f>
        <v>8.2229702970297041</v>
      </c>
      <c r="Q63" s="7">
        <v>0</v>
      </c>
      <c r="R63" s="7">
        <v>7.69</v>
      </c>
      <c r="S63" s="7">
        <v>7</v>
      </c>
      <c r="T63" s="7">
        <v>135</v>
      </c>
      <c r="U63" s="6">
        <v>3</v>
      </c>
      <c r="V63" s="6">
        <f t="shared" si="16"/>
        <v>0</v>
      </c>
      <c r="W63" s="6" t="s">
        <v>52</v>
      </c>
      <c r="X63" s="6"/>
      <c r="Y63" s="11">
        <v>499</v>
      </c>
      <c r="Z63" s="6" t="s">
        <v>80</v>
      </c>
      <c r="AA63" s="6"/>
      <c r="AB63" s="6">
        <v>8</v>
      </c>
      <c r="AC63" s="12">
        <v>43.5</v>
      </c>
      <c r="AD63" s="7" t="s">
        <v>39</v>
      </c>
      <c r="AE63" s="6"/>
      <c r="AF63" s="6">
        <v>2.17</v>
      </c>
      <c r="AG63" s="12">
        <v>48.1</v>
      </c>
      <c r="AH63" s="7" t="s">
        <v>40</v>
      </c>
      <c r="AI63" s="6"/>
      <c r="AJ63" s="6">
        <v>0.45</v>
      </c>
      <c r="AK63" s="12">
        <v>11.8</v>
      </c>
      <c r="AL63" s="7" t="s">
        <v>68</v>
      </c>
      <c r="AM63" s="6"/>
      <c r="AN63" s="6">
        <v>0.2</v>
      </c>
      <c r="AO63" s="12">
        <f t="shared" si="21"/>
        <v>11471.264367816091</v>
      </c>
      <c r="AP63" s="6" t="s">
        <v>54</v>
      </c>
      <c r="AQ63" s="6"/>
      <c r="AR63" s="6"/>
      <c r="AS63" s="32">
        <f t="shared" si="29"/>
        <v>28.666666666666668</v>
      </c>
      <c r="AT63" s="32">
        <f t="shared" si="30"/>
        <v>77.2</v>
      </c>
      <c r="AU63" s="27">
        <f>AV63-134</f>
        <v>40159</v>
      </c>
      <c r="AV63" s="25">
        <v>40293</v>
      </c>
      <c r="AW63" s="25">
        <v>40148</v>
      </c>
      <c r="AX63" s="25">
        <v>40293</v>
      </c>
      <c r="AY63" s="28">
        <f t="shared" si="22"/>
        <v>-19</v>
      </c>
      <c r="AZ63" s="28">
        <f t="shared" si="23"/>
        <v>115</v>
      </c>
      <c r="BA63" s="37">
        <f t="shared" si="24"/>
        <v>135</v>
      </c>
      <c r="BB63" s="28">
        <f t="shared" si="25"/>
        <v>-30</v>
      </c>
      <c r="BC63" s="28">
        <f t="shared" si="26"/>
        <v>115</v>
      </c>
      <c r="BD63" s="26">
        <f t="shared" si="27"/>
        <v>146</v>
      </c>
      <c r="BF63" s="36">
        <f>AU63+71+5</f>
        <v>40235</v>
      </c>
      <c r="BG63" s="26">
        <f t="shared" si="28"/>
        <v>59</v>
      </c>
    </row>
    <row r="64" spans="1:59" s="26" customFormat="1" hidden="1" x14ac:dyDescent="0.3">
      <c r="A64" s="6">
        <v>1</v>
      </c>
      <c r="B64" s="6"/>
      <c r="C64" s="7">
        <v>26</v>
      </c>
      <c r="D64" s="7" t="s">
        <v>76</v>
      </c>
      <c r="E64" s="13" t="s">
        <v>77</v>
      </c>
      <c r="F64" s="9" t="str">
        <f t="shared" si="0"/>
        <v>2015-100PBW3432009OTC</v>
      </c>
      <c r="G64" s="7" t="s">
        <v>78</v>
      </c>
      <c r="H64" s="6" t="s">
        <v>95</v>
      </c>
      <c r="I64" s="7" t="s">
        <v>63</v>
      </c>
      <c r="J64" s="7" t="s">
        <v>34</v>
      </c>
      <c r="K64" s="7" t="s">
        <v>79</v>
      </c>
      <c r="L64" s="7">
        <v>2009</v>
      </c>
      <c r="M64" s="7" t="s">
        <v>36</v>
      </c>
      <c r="N64" s="7" t="s">
        <v>51</v>
      </c>
      <c r="O64" s="7" t="s">
        <v>56</v>
      </c>
      <c r="P64" s="7">
        <f>(7*R64+5*0.976*R62)/12*1.08</f>
        <v>56.498580000000004</v>
      </c>
      <c r="Q64" s="7">
        <v>17.96</v>
      </c>
      <c r="R64" s="7">
        <v>65.349999999999994</v>
      </c>
      <c r="S64" s="7">
        <v>7</v>
      </c>
      <c r="T64" s="7">
        <v>135</v>
      </c>
      <c r="U64" s="6">
        <v>3</v>
      </c>
      <c r="V64" s="6">
        <f t="shared" si="16"/>
        <v>11.973333333333333</v>
      </c>
      <c r="W64" s="6" t="s">
        <v>52</v>
      </c>
      <c r="X64" s="6"/>
      <c r="Y64" s="11">
        <v>345</v>
      </c>
      <c r="Z64" s="6" t="s">
        <v>80</v>
      </c>
      <c r="AA64" s="6"/>
      <c r="AB64" s="6">
        <v>7.5</v>
      </c>
      <c r="AC64" s="12">
        <v>37.1</v>
      </c>
      <c r="AD64" s="7" t="s">
        <v>39</v>
      </c>
      <c r="AE64" s="6"/>
      <c r="AF64" s="6">
        <v>0.1</v>
      </c>
      <c r="AG64" s="12">
        <v>40.799999999999997</v>
      </c>
      <c r="AH64" s="7" t="s">
        <v>40</v>
      </c>
      <c r="AI64" s="6"/>
      <c r="AJ64" s="6">
        <v>0.17</v>
      </c>
      <c r="AK64" s="12">
        <v>9.8000000000000007</v>
      </c>
      <c r="AL64" s="7" t="s">
        <v>68</v>
      </c>
      <c r="AM64" s="6"/>
      <c r="AN64" s="6">
        <v>0.01</v>
      </c>
      <c r="AO64" s="12">
        <f t="shared" si="21"/>
        <v>9299.1913746630726</v>
      </c>
      <c r="AP64" s="6" t="s">
        <v>54</v>
      </c>
      <c r="AQ64" s="6"/>
      <c r="AR64" s="6"/>
      <c r="AS64" s="32">
        <f t="shared" si="29"/>
        <v>28.666666666666668</v>
      </c>
      <c r="AT64" s="32">
        <f t="shared" si="30"/>
        <v>77.2</v>
      </c>
      <c r="AU64" s="27">
        <f>AV64-134</f>
        <v>40159</v>
      </c>
      <c r="AV64" s="25">
        <v>40293</v>
      </c>
      <c r="AW64" s="25">
        <v>40148</v>
      </c>
      <c r="AX64" s="25">
        <v>40293</v>
      </c>
      <c r="AY64" s="28">
        <f t="shared" si="22"/>
        <v>-19</v>
      </c>
      <c r="AZ64" s="28">
        <f t="shared" si="23"/>
        <v>115</v>
      </c>
      <c r="BA64" s="37">
        <f t="shared" si="24"/>
        <v>135</v>
      </c>
      <c r="BB64" s="28">
        <f t="shared" si="25"/>
        <v>-30</v>
      </c>
      <c r="BC64" s="28">
        <f t="shared" si="26"/>
        <v>115</v>
      </c>
      <c r="BD64" s="26">
        <f t="shared" si="27"/>
        <v>146</v>
      </c>
      <c r="BF64" s="36">
        <f>AU64+71+5</f>
        <v>40235</v>
      </c>
      <c r="BG64" s="26">
        <f t="shared" si="28"/>
        <v>59</v>
      </c>
    </row>
    <row r="65" spans="1:59" s="26" customFormat="1" x14ac:dyDescent="0.3">
      <c r="A65" s="6">
        <v>1</v>
      </c>
      <c r="B65" s="6"/>
      <c r="C65" s="7">
        <v>49</v>
      </c>
      <c r="D65" s="7" t="s">
        <v>81</v>
      </c>
      <c r="E65" s="13" t="s">
        <v>82</v>
      </c>
      <c r="F65" s="9" t="str">
        <f t="shared" si="0"/>
        <v>2013-76HUW372011OTC</v>
      </c>
      <c r="G65" s="7" t="s">
        <v>83</v>
      </c>
      <c r="H65" s="6" t="s">
        <v>95</v>
      </c>
      <c r="I65" s="7" t="s">
        <v>63</v>
      </c>
      <c r="J65" s="7" t="s">
        <v>34</v>
      </c>
      <c r="K65" s="7" t="s">
        <v>84</v>
      </c>
      <c r="L65" s="7">
        <v>2011</v>
      </c>
      <c r="M65" s="7" t="s">
        <v>36</v>
      </c>
      <c r="N65" s="7" t="s">
        <v>51</v>
      </c>
      <c r="O65" s="7" t="s">
        <v>42</v>
      </c>
      <c r="P65" s="7">
        <f>R65/1.01*1.08</f>
        <v>51.754455445544558</v>
      </c>
      <c r="Q65" s="18">
        <v>5.0999999999999996</v>
      </c>
      <c r="R65" s="6">
        <v>48.4</v>
      </c>
      <c r="S65" s="6">
        <v>8</v>
      </c>
      <c r="T65" s="6">
        <v>125</v>
      </c>
      <c r="U65" s="6">
        <v>3</v>
      </c>
      <c r="V65" s="6">
        <f t="shared" si="16"/>
        <v>3.6719999999999997</v>
      </c>
      <c r="W65" s="6" t="s">
        <v>52</v>
      </c>
      <c r="X65" s="6"/>
      <c r="Y65" s="12">
        <f>4.2972972972973*400</f>
        <v>1718.9189189189201</v>
      </c>
      <c r="Z65" s="6" t="s">
        <v>80</v>
      </c>
      <c r="AA65" s="6" t="s">
        <v>216</v>
      </c>
      <c r="AB65" s="6">
        <v>4.0540540540540349E-2</v>
      </c>
      <c r="AC65" s="12">
        <v>41.6730038022814</v>
      </c>
      <c r="AD65" s="7" t="s">
        <v>39</v>
      </c>
      <c r="AE65" s="6"/>
      <c r="AF65" s="6">
        <v>0.45627376425849775</v>
      </c>
      <c r="AG65" s="12">
        <f>AO65/AK65</f>
        <v>27.182769133725831</v>
      </c>
      <c r="AH65" s="7" t="s">
        <v>40</v>
      </c>
      <c r="AI65" s="6"/>
      <c r="AJ65" s="6"/>
      <c r="AK65" s="12">
        <v>4.7106598984771599</v>
      </c>
      <c r="AL65" s="6" t="s">
        <v>67</v>
      </c>
      <c r="AM65" s="6"/>
      <c r="AN65" s="6">
        <v>0.20304568527918043</v>
      </c>
      <c r="AO65" s="12">
        <v>128.048780487805</v>
      </c>
      <c r="AP65" s="6" t="s">
        <v>67</v>
      </c>
      <c r="AQ65" s="6"/>
      <c r="AR65" s="6">
        <v>1.5243902439019905</v>
      </c>
      <c r="AS65" s="32">
        <f>25+8/60</f>
        <v>25.133333333333333</v>
      </c>
      <c r="AT65" s="32">
        <f>83+1/60</f>
        <v>83.016666666666666</v>
      </c>
      <c r="AU65" s="25">
        <f>AV65-125</f>
        <v>40523</v>
      </c>
      <c r="AV65" s="25">
        <v>40648</v>
      </c>
      <c r="AW65" s="25">
        <f>AX65-125</f>
        <v>40523</v>
      </c>
      <c r="AX65" s="25">
        <v>40648</v>
      </c>
      <c r="AY65" s="28">
        <f t="shared" si="22"/>
        <v>-20</v>
      </c>
      <c r="AZ65" s="28">
        <f t="shared" si="23"/>
        <v>105</v>
      </c>
      <c r="BA65" s="37">
        <f t="shared" si="24"/>
        <v>126</v>
      </c>
      <c r="BB65" s="28">
        <f t="shared" si="25"/>
        <v>-20</v>
      </c>
      <c r="BC65" s="28">
        <f t="shared" si="26"/>
        <v>105</v>
      </c>
      <c r="BD65" s="26">
        <f t="shared" si="27"/>
        <v>126</v>
      </c>
    </row>
    <row r="66" spans="1:59" s="26" customFormat="1" x14ac:dyDescent="0.3">
      <c r="A66" s="6">
        <v>1</v>
      </c>
      <c r="B66" s="6"/>
      <c r="C66" s="7">
        <v>49</v>
      </c>
      <c r="D66" s="7" t="s">
        <v>81</v>
      </c>
      <c r="E66" s="13" t="s">
        <v>82</v>
      </c>
      <c r="F66" s="9" t="str">
        <f t="shared" ref="F66:F129" si="31">D66&amp;K66&amp;L66&amp;M66</f>
        <v>2013-76HUW372011OTC</v>
      </c>
      <c r="G66" s="7" t="s">
        <v>83</v>
      </c>
      <c r="H66" s="6" t="s">
        <v>95</v>
      </c>
      <c r="I66" s="7" t="s">
        <v>63</v>
      </c>
      <c r="J66" s="7" t="s">
        <v>34</v>
      </c>
      <c r="K66" s="7" t="s">
        <v>84</v>
      </c>
      <c r="L66" s="7">
        <v>2011</v>
      </c>
      <c r="M66" s="7" t="s">
        <v>36</v>
      </c>
      <c r="N66" s="7" t="s">
        <v>51</v>
      </c>
      <c r="O66" s="15" t="s">
        <v>75</v>
      </c>
      <c r="P66" s="7">
        <f>(8 * R66+ 4 * 0.97*R65) / 12*1.08</f>
        <v>56.645280000000007</v>
      </c>
      <c r="Q66" s="18">
        <v>8.4</v>
      </c>
      <c r="R66" s="6">
        <v>55.2</v>
      </c>
      <c r="S66" s="6">
        <v>8</v>
      </c>
      <c r="T66" s="6">
        <v>125</v>
      </c>
      <c r="U66" s="6">
        <v>3</v>
      </c>
      <c r="V66" s="6">
        <f t="shared" si="16"/>
        <v>6.0480000000000009</v>
      </c>
      <c r="W66" s="6" t="s">
        <v>52</v>
      </c>
      <c r="X66" s="6"/>
      <c r="Y66" s="12">
        <f>2.59459459459459*400</f>
        <v>1037.8378378378359</v>
      </c>
      <c r="Z66" s="6" t="s">
        <v>80</v>
      </c>
      <c r="AA66" s="6" t="s">
        <v>216</v>
      </c>
      <c r="AB66" s="6">
        <v>4.0540540540550118E-2</v>
      </c>
      <c r="AC66" s="12">
        <v>34.372623574144498</v>
      </c>
      <c r="AD66" s="7" t="s">
        <v>39</v>
      </c>
      <c r="AE66" s="6"/>
      <c r="AF66" s="6">
        <v>0.91254752851710208</v>
      </c>
      <c r="AG66" s="12">
        <f>AO66/AK66</f>
        <v>28.371827141236523</v>
      </c>
      <c r="AH66" s="7" t="s">
        <v>40</v>
      </c>
      <c r="AI66" s="6"/>
      <c r="AJ66" s="6"/>
      <c r="AK66" s="12">
        <v>3.4923857868020298</v>
      </c>
      <c r="AL66" s="6" t="s">
        <v>67</v>
      </c>
      <c r="AM66" s="6"/>
      <c r="AN66" s="6">
        <v>0.1624365482233503</v>
      </c>
      <c r="AO66" s="12">
        <v>99.085365853658502</v>
      </c>
      <c r="AP66" s="6" t="s">
        <v>67</v>
      </c>
      <c r="AQ66" s="6"/>
      <c r="AR66" s="6">
        <v>3.0487804878044926</v>
      </c>
      <c r="AS66" s="32">
        <f>25+8/60</f>
        <v>25.133333333333333</v>
      </c>
      <c r="AT66" s="32">
        <f>83+1/60</f>
        <v>83.016666666666666</v>
      </c>
      <c r="AU66" s="25">
        <f>AV66-125</f>
        <v>40523</v>
      </c>
      <c r="AV66" s="25">
        <v>40648</v>
      </c>
      <c r="AW66" s="25">
        <f>AX66-125</f>
        <v>40523</v>
      </c>
      <c r="AX66" s="25">
        <v>40648</v>
      </c>
      <c r="AY66" s="28">
        <f t="shared" si="22"/>
        <v>-20</v>
      </c>
      <c r="AZ66" s="28">
        <f t="shared" si="23"/>
        <v>105</v>
      </c>
      <c r="BA66" s="37">
        <f t="shared" si="24"/>
        <v>126</v>
      </c>
      <c r="BB66" s="28">
        <f t="shared" si="25"/>
        <v>-20</v>
      </c>
      <c r="BC66" s="28">
        <f t="shared" si="26"/>
        <v>105</v>
      </c>
      <c r="BD66" s="26">
        <f t="shared" si="27"/>
        <v>126</v>
      </c>
    </row>
    <row r="67" spans="1:59" s="26" customFormat="1" x14ac:dyDescent="0.3">
      <c r="A67" s="6">
        <v>1</v>
      </c>
      <c r="B67" s="6"/>
      <c r="C67" s="7">
        <v>49</v>
      </c>
      <c r="D67" s="7" t="s">
        <v>81</v>
      </c>
      <c r="E67" s="13" t="s">
        <v>82</v>
      </c>
      <c r="F67" s="9" t="str">
        <f t="shared" si="31"/>
        <v>2013-76K91072011OTC</v>
      </c>
      <c r="G67" s="7" t="s">
        <v>83</v>
      </c>
      <c r="H67" s="6" t="s">
        <v>95</v>
      </c>
      <c r="I67" s="7" t="s">
        <v>63</v>
      </c>
      <c r="J67" s="7" t="s">
        <v>34</v>
      </c>
      <c r="K67" s="7" t="s">
        <v>85</v>
      </c>
      <c r="L67" s="7">
        <v>2011</v>
      </c>
      <c r="M67" s="7" t="s">
        <v>36</v>
      </c>
      <c r="N67" s="7" t="s">
        <v>51</v>
      </c>
      <c r="O67" s="7" t="s">
        <v>42</v>
      </c>
      <c r="P67" s="7">
        <f>R67/1.01*1.08</f>
        <v>51.754455445544558</v>
      </c>
      <c r="Q67" s="18">
        <v>5.0999999999999996</v>
      </c>
      <c r="R67" s="6">
        <v>48.4</v>
      </c>
      <c r="S67" s="6">
        <v>8</v>
      </c>
      <c r="T67" s="6">
        <v>125</v>
      </c>
      <c r="U67" s="6">
        <v>3</v>
      </c>
      <c r="V67" s="6">
        <f t="shared" si="16"/>
        <v>3.6719999999999997</v>
      </c>
      <c r="W67" s="6" t="s">
        <v>52</v>
      </c>
      <c r="X67" s="6"/>
      <c r="Y67" s="12">
        <f>4.54054054054054*400</f>
        <v>1816.2162162162163</v>
      </c>
      <c r="Z67" s="6" t="s">
        <v>80</v>
      </c>
      <c r="AA67" s="6" t="s">
        <v>216</v>
      </c>
      <c r="AB67" s="6">
        <v>0.12162162162161927</v>
      </c>
      <c r="AC67" s="12">
        <v>38.3269961977186</v>
      </c>
      <c r="AD67" s="7" t="s">
        <v>39</v>
      </c>
      <c r="AE67" s="6"/>
      <c r="AF67" s="6">
        <v>1.0646387832699986</v>
      </c>
      <c r="AG67" s="12">
        <f>AO67/AK67</f>
        <v>33.338041531639142</v>
      </c>
      <c r="AH67" s="7" t="s">
        <v>40</v>
      </c>
      <c r="AI67" s="6"/>
      <c r="AJ67" s="6"/>
      <c r="AK67" s="12">
        <v>5.8071065989847703</v>
      </c>
      <c r="AL67" s="6" t="s">
        <v>67</v>
      </c>
      <c r="AM67" s="6"/>
      <c r="AN67" s="6">
        <v>0.32487309644669971</v>
      </c>
      <c r="AO67" s="12">
        <v>193.59756097561001</v>
      </c>
      <c r="AP67" s="6" t="s">
        <v>67</v>
      </c>
      <c r="AQ67" s="6"/>
      <c r="AR67" s="6">
        <v>12.195121951218994</v>
      </c>
      <c r="AS67" s="32">
        <f>25+8/60</f>
        <v>25.133333333333333</v>
      </c>
      <c r="AT67" s="32">
        <f>83+1/60</f>
        <v>83.016666666666666</v>
      </c>
      <c r="AU67" s="25">
        <f>AV67-125</f>
        <v>40523</v>
      </c>
      <c r="AV67" s="25">
        <v>40648</v>
      </c>
      <c r="AW67" s="25">
        <f>AX67-125</f>
        <v>40523</v>
      </c>
      <c r="AX67" s="25">
        <v>40648</v>
      </c>
      <c r="AY67" s="28">
        <f t="shared" si="22"/>
        <v>-20</v>
      </c>
      <c r="AZ67" s="28">
        <f t="shared" si="23"/>
        <v>105</v>
      </c>
      <c r="BA67" s="37">
        <f t="shared" si="24"/>
        <v>126</v>
      </c>
      <c r="BB67" s="28">
        <f t="shared" si="25"/>
        <v>-20</v>
      </c>
      <c r="BC67" s="28">
        <f t="shared" si="26"/>
        <v>105</v>
      </c>
      <c r="BD67" s="26">
        <f t="shared" si="27"/>
        <v>126</v>
      </c>
    </row>
    <row r="68" spans="1:59" s="26" customFormat="1" x14ac:dyDescent="0.3">
      <c r="A68" s="6">
        <v>1</v>
      </c>
      <c r="B68" s="6"/>
      <c r="C68" s="7">
        <v>49</v>
      </c>
      <c r="D68" s="7" t="s">
        <v>81</v>
      </c>
      <c r="E68" s="13" t="s">
        <v>82</v>
      </c>
      <c r="F68" s="9" t="str">
        <f t="shared" si="31"/>
        <v>2013-76K91072011OTC</v>
      </c>
      <c r="G68" s="7" t="s">
        <v>83</v>
      </c>
      <c r="H68" s="6" t="s">
        <v>95</v>
      </c>
      <c r="I68" s="7" t="s">
        <v>63</v>
      </c>
      <c r="J68" s="7" t="s">
        <v>34</v>
      </c>
      <c r="K68" s="7" t="s">
        <v>85</v>
      </c>
      <c r="L68" s="7">
        <v>2011</v>
      </c>
      <c r="M68" s="7" t="s">
        <v>36</v>
      </c>
      <c r="N68" s="7" t="s">
        <v>51</v>
      </c>
      <c r="O68" s="15" t="s">
        <v>75</v>
      </c>
      <c r="P68" s="7">
        <f>(8 * R68+ 4 * 0.97*R67) / 12*1.08</f>
        <v>56.645280000000007</v>
      </c>
      <c r="Q68" s="18">
        <v>8.4</v>
      </c>
      <c r="R68" s="6">
        <v>55.2</v>
      </c>
      <c r="S68" s="6">
        <v>8</v>
      </c>
      <c r="T68" s="6">
        <v>125</v>
      </c>
      <c r="U68" s="6">
        <v>3</v>
      </c>
      <c r="V68" s="6">
        <f t="shared" si="16"/>
        <v>6.0480000000000009</v>
      </c>
      <c r="W68" s="6" t="s">
        <v>52</v>
      </c>
      <c r="X68" s="6"/>
      <c r="Y68" s="12">
        <f>4.05405405405405*400</f>
        <v>1621.6216216216201</v>
      </c>
      <c r="Z68" s="6" t="s">
        <v>80</v>
      </c>
      <c r="AA68" s="6" t="s">
        <v>216</v>
      </c>
      <c r="AB68" s="6">
        <v>0.12162162162162993</v>
      </c>
      <c r="AC68" s="12">
        <v>33.155893536121702</v>
      </c>
      <c r="AD68" s="7" t="s">
        <v>39</v>
      </c>
      <c r="AE68" s="6"/>
      <c r="AF68" s="6">
        <v>0.76045627376419844</v>
      </c>
      <c r="AG68" s="12">
        <f>AO68/AK68</f>
        <v>34.54834880207212</v>
      </c>
      <c r="AH68" s="7" t="s">
        <v>40</v>
      </c>
      <c r="AI68" s="6"/>
      <c r="AJ68" s="6"/>
      <c r="AK68" s="12">
        <v>4.5888324873096504</v>
      </c>
      <c r="AL68" s="6" t="s">
        <v>67</v>
      </c>
      <c r="AM68" s="6"/>
      <c r="AN68" s="6">
        <v>0.24365482233501989</v>
      </c>
      <c r="AO68" s="12">
        <v>158.53658536585399</v>
      </c>
      <c r="AP68" s="6" t="s">
        <v>67</v>
      </c>
      <c r="AQ68" s="6"/>
      <c r="AR68" s="6">
        <v>7.6219512195119989</v>
      </c>
      <c r="AS68" s="32">
        <f>25+8/60</f>
        <v>25.133333333333333</v>
      </c>
      <c r="AT68" s="32">
        <f>83+1/60</f>
        <v>83.016666666666666</v>
      </c>
      <c r="AU68" s="25">
        <f>AV68-125</f>
        <v>40523</v>
      </c>
      <c r="AV68" s="25">
        <v>40648</v>
      </c>
      <c r="AW68" s="25">
        <f>AX68-125</f>
        <v>40523</v>
      </c>
      <c r="AX68" s="25">
        <v>40648</v>
      </c>
      <c r="AY68" s="28">
        <f t="shared" si="22"/>
        <v>-20</v>
      </c>
      <c r="AZ68" s="28">
        <f t="shared" si="23"/>
        <v>105</v>
      </c>
      <c r="BA68" s="37">
        <f t="shared" si="24"/>
        <v>126</v>
      </c>
      <c r="BB68" s="28">
        <f t="shared" si="25"/>
        <v>-20</v>
      </c>
      <c r="BC68" s="28">
        <f t="shared" si="26"/>
        <v>105</v>
      </c>
      <c r="BD68" s="26">
        <f t="shared" si="27"/>
        <v>126</v>
      </c>
    </row>
    <row r="69" spans="1:59" s="26" customFormat="1" hidden="1" x14ac:dyDescent="0.3">
      <c r="A69" s="6">
        <v>1</v>
      </c>
      <c r="B69" s="6"/>
      <c r="C69" s="7">
        <v>50</v>
      </c>
      <c r="D69" s="7" t="s">
        <v>86</v>
      </c>
      <c r="E69" s="13" t="s">
        <v>87</v>
      </c>
      <c r="F69" s="9" t="str">
        <f t="shared" si="31"/>
        <v>2019-164C3062016FACE</v>
      </c>
      <c r="G69" s="7" t="s">
        <v>88</v>
      </c>
      <c r="H69" s="6" t="s">
        <v>95</v>
      </c>
      <c r="I69" s="7" t="s">
        <v>63</v>
      </c>
      <c r="J69" s="7" t="s">
        <v>34</v>
      </c>
      <c r="K69" s="7" t="s">
        <v>89</v>
      </c>
      <c r="L69" s="7">
        <v>2016</v>
      </c>
      <c r="M69" s="7" t="s">
        <v>50</v>
      </c>
      <c r="N69" s="7" t="s">
        <v>51</v>
      </c>
      <c r="O69" s="7" t="s">
        <v>42</v>
      </c>
      <c r="P69" s="7">
        <f>R69/1.01*1.08</f>
        <v>32.827722772277234</v>
      </c>
      <c r="Q69" s="7"/>
      <c r="R69" s="7">
        <v>30.7</v>
      </c>
      <c r="S69" s="7">
        <v>7</v>
      </c>
      <c r="T69" s="7">
        <v>160</v>
      </c>
      <c r="U69" s="6">
        <v>4</v>
      </c>
      <c r="V69" s="13">
        <v>2.6636551037927898</v>
      </c>
      <c r="W69" s="6" t="s">
        <v>52</v>
      </c>
      <c r="X69" s="6"/>
      <c r="Y69" s="12">
        <v>450</v>
      </c>
      <c r="Z69" s="6" t="s">
        <v>80</v>
      </c>
      <c r="AA69" s="6"/>
      <c r="AB69" s="6">
        <v>30</v>
      </c>
      <c r="AC69" s="12">
        <v>36.1</v>
      </c>
      <c r="AD69" s="7" t="s">
        <v>39</v>
      </c>
      <c r="AE69" s="6"/>
      <c r="AF69" s="6">
        <v>0.5</v>
      </c>
      <c r="AG69" s="12">
        <v>42.2</v>
      </c>
      <c r="AH69" s="7" t="s">
        <v>40</v>
      </c>
      <c r="AI69" s="6"/>
      <c r="AJ69" s="6">
        <v>1</v>
      </c>
      <c r="AK69" s="12">
        <v>450</v>
      </c>
      <c r="AL69" s="6" t="s">
        <v>54</v>
      </c>
      <c r="AM69" s="6"/>
      <c r="AN69" s="6">
        <v>18</v>
      </c>
      <c r="AO69" s="12">
        <f t="shared" si="21"/>
        <v>12465.373961218836</v>
      </c>
      <c r="AP69" s="6" t="s">
        <v>54</v>
      </c>
      <c r="AQ69" s="6"/>
      <c r="AR69" s="6"/>
      <c r="AS69" s="32">
        <f t="shared" ref="AS69:AS76" si="32">28+37/60</f>
        <v>28.616666666666667</v>
      </c>
      <c r="AT69" s="32">
        <f t="shared" ref="AT69:AT76" si="33">77+12/60</f>
        <v>77.2</v>
      </c>
      <c r="AU69" s="25">
        <v>42705</v>
      </c>
      <c r="AV69" s="25">
        <v>42855</v>
      </c>
      <c r="AW69" s="25">
        <v>42705</v>
      </c>
      <c r="AX69" s="25">
        <v>42855</v>
      </c>
      <c r="AY69" s="28">
        <f t="shared" si="22"/>
        <v>-30</v>
      </c>
      <c r="AZ69" s="28">
        <f t="shared" si="23"/>
        <v>120</v>
      </c>
      <c r="BA69" s="37">
        <f t="shared" si="24"/>
        <v>151</v>
      </c>
      <c r="BB69" s="28">
        <f t="shared" si="25"/>
        <v>-30</v>
      </c>
      <c r="BC69" s="28">
        <f t="shared" si="26"/>
        <v>120</v>
      </c>
      <c r="BD69" s="26">
        <f t="shared" si="27"/>
        <v>151</v>
      </c>
      <c r="BF69" s="36">
        <f t="shared" ref="BF69:BF76" si="34">AU69+82+5</f>
        <v>42792</v>
      </c>
      <c r="BG69" s="26">
        <f t="shared" ref="BG69:BG78" si="35">AV69-BF69+1</f>
        <v>64</v>
      </c>
    </row>
    <row r="70" spans="1:59" s="26" customFormat="1" hidden="1" x14ac:dyDescent="0.3">
      <c r="A70" s="6">
        <v>1</v>
      </c>
      <c r="B70" s="6"/>
      <c r="C70" s="7">
        <v>50</v>
      </c>
      <c r="D70" s="7" t="s">
        <v>86</v>
      </c>
      <c r="E70" s="13" t="s">
        <v>87</v>
      </c>
      <c r="F70" s="9" t="str">
        <f t="shared" si="31"/>
        <v>2019-164C3062016FACE</v>
      </c>
      <c r="G70" s="7" t="s">
        <v>88</v>
      </c>
      <c r="H70" s="6" t="s">
        <v>95</v>
      </c>
      <c r="I70" s="7" t="s">
        <v>63</v>
      </c>
      <c r="J70" s="7" t="s">
        <v>34</v>
      </c>
      <c r="K70" s="7" t="s">
        <v>89</v>
      </c>
      <c r="L70" s="7">
        <v>2016</v>
      </c>
      <c r="M70" s="7" t="s">
        <v>50</v>
      </c>
      <c r="N70" s="7" t="s">
        <v>51</v>
      </c>
      <c r="O70" s="7" t="s">
        <v>56</v>
      </c>
      <c r="P70" s="7">
        <f>(7*R70+5*0.976*R69)/12*1.08</f>
        <v>58.969440000000006</v>
      </c>
      <c r="Q70" s="7">
        <v>31.232610000000001</v>
      </c>
      <c r="R70" s="7">
        <v>72.2</v>
      </c>
      <c r="S70" s="7">
        <v>7</v>
      </c>
      <c r="T70" s="7">
        <v>160</v>
      </c>
      <c r="U70" s="6">
        <v>4</v>
      </c>
      <c r="V70" s="6">
        <f>IF(T70&lt;=90,Q70,Q70/T70*90)</f>
        <v>17.568343125000002</v>
      </c>
      <c r="W70" s="6" t="s">
        <v>52</v>
      </c>
      <c r="X70" s="6"/>
      <c r="Y70" s="12">
        <v>440</v>
      </c>
      <c r="Z70" s="6" t="s">
        <v>80</v>
      </c>
      <c r="AA70" s="6"/>
      <c r="AB70" s="6">
        <v>30</v>
      </c>
      <c r="AC70" s="12">
        <v>33.299999999999997</v>
      </c>
      <c r="AD70" s="7" t="s">
        <v>39</v>
      </c>
      <c r="AE70" s="6"/>
      <c r="AF70" s="6">
        <v>0.8</v>
      </c>
      <c r="AG70" s="12">
        <v>35.799999999999997</v>
      </c>
      <c r="AH70" s="7" t="s">
        <v>40</v>
      </c>
      <c r="AI70" s="6"/>
      <c r="AJ70" s="6">
        <v>1.6</v>
      </c>
      <c r="AK70" s="12">
        <v>406</v>
      </c>
      <c r="AL70" s="6" t="s">
        <v>54</v>
      </c>
      <c r="AM70" s="6"/>
      <c r="AN70" s="6">
        <v>5</v>
      </c>
      <c r="AO70" s="12">
        <f t="shared" si="21"/>
        <v>13213.213213213214</v>
      </c>
      <c r="AP70" s="6" t="s">
        <v>54</v>
      </c>
      <c r="AQ70" s="6"/>
      <c r="AR70" s="6"/>
      <c r="AS70" s="32">
        <f t="shared" si="32"/>
        <v>28.616666666666667</v>
      </c>
      <c r="AT70" s="32">
        <f t="shared" si="33"/>
        <v>77.2</v>
      </c>
      <c r="AU70" s="25">
        <v>42705</v>
      </c>
      <c r="AV70" s="25">
        <v>42855</v>
      </c>
      <c r="AW70" s="25">
        <v>42705</v>
      </c>
      <c r="AX70" s="25">
        <v>42855</v>
      </c>
      <c r="AY70" s="28">
        <f t="shared" si="22"/>
        <v>-30</v>
      </c>
      <c r="AZ70" s="28">
        <f t="shared" si="23"/>
        <v>120</v>
      </c>
      <c r="BA70" s="37">
        <f t="shared" si="24"/>
        <v>151</v>
      </c>
      <c r="BB70" s="28">
        <f t="shared" si="25"/>
        <v>-30</v>
      </c>
      <c r="BC70" s="28">
        <f t="shared" si="26"/>
        <v>120</v>
      </c>
      <c r="BD70" s="26">
        <f t="shared" si="27"/>
        <v>151</v>
      </c>
      <c r="BF70" s="36">
        <f t="shared" si="34"/>
        <v>42792</v>
      </c>
      <c r="BG70" s="26">
        <f t="shared" si="35"/>
        <v>64</v>
      </c>
    </row>
    <row r="71" spans="1:59" s="26" customFormat="1" hidden="1" x14ac:dyDescent="0.3">
      <c r="A71" s="6">
        <v>1</v>
      </c>
      <c r="B71" s="6"/>
      <c r="C71" s="7">
        <v>50</v>
      </c>
      <c r="D71" s="7" t="s">
        <v>86</v>
      </c>
      <c r="E71" s="13" t="s">
        <v>87</v>
      </c>
      <c r="F71" s="9" t="str">
        <f t="shared" si="31"/>
        <v>2019-164HD29672016FACE</v>
      </c>
      <c r="G71" s="7" t="s">
        <v>88</v>
      </c>
      <c r="H71" s="6" t="s">
        <v>95</v>
      </c>
      <c r="I71" s="7" t="s">
        <v>63</v>
      </c>
      <c r="J71" s="7" t="s">
        <v>34</v>
      </c>
      <c r="K71" s="7" t="s">
        <v>90</v>
      </c>
      <c r="L71" s="7">
        <v>2016</v>
      </c>
      <c r="M71" s="7" t="s">
        <v>50</v>
      </c>
      <c r="N71" s="7" t="s">
        <v>51</v>
      </c>
      <c r="O71" s="7" t="s">
        <v>42</v>
      </c>
      <c r="P71" s="7">
        <f>R71/1.01*1.08</f>
        <v>32.827722772277234</v>
      </c>
      <c r="Q71" s="7"/>
      <c r="R71" s="7">
        <v>30.7</v>
      </c>
      <c r="S71" s="7">
        <v>7</v>
      </c>
      <c r="T71" s="7">
        <v>160</v>
      </c>
      <c r="U71" s="6">
        <v>4</v>
      </c>
      <c r="V71" s="13">
        <v>2.6636551037927898</v>
      </c>
      <c r="W71" s="6" t="s">
        <v>52</v>
      </c>
      <c r="X71" s="6"/>
      <c r="Y71" s="12">
        <v>440</v>
      </c>
      <c r="Z71" s="6" t="s">
        <v>80</v>
      </c>
      <c r="AA71" s="6"/>
      <c r="AB71" s="6">
        <v>40</v>
      </c>
      <c r="AC71" s="12">
        <v>35.9</v>
      </c>
      <c r="AD71" s="7" t="s">
        <v>39</v>
      </c>
      <c r="AE71" s="6"/>
      <c r="AF71" s="6">
        <v>0.9</v>
      </c>
      <c r="AG71" s="12">
        <v>41.3</v>
      </c>
      <c r="AH71" s="7" t="s">
        <v>40</v>
      </c>
      <c r="AI71" s="6"/>
      <c r="AJ71" s="6">
        <v>3</v>
      </c>
      <c r="AK71" s="12">
        <v>400</v>
      </c>
      <c r="AL71" s="6" t="s">
        <v>54</v>
      </c>
      <c r="AM71" s="6"/>
      <c r="AN71" s="6">
        <v>8</v>
      </c>
      <c r="AO71" s="12">
        <f t="shared" si="21"/>
        <v>12256.267409470751</v>
      </c>
      <c r="AP71" s="6" t="s">
        <v>54</v>
      </c>
      <c r="AQ71" s="6"/>
      <c r="AR71" s="6"/>
      <c r="AS71" s="32">
        <f t="shared" si="32"/>
        <v>28.616666666666667</v>
      </c>
      <c r="AT71" s="32">
        <f t="shared" si="33"/>
        <v>77.2</v>
      </c>
      <c r="AU71" s="25">
        <v>42705</v>
      </c>
      <c r="AV71" s="25">
        <v>42855</v>
      </c>
      <c r="AW71" s="25">
        <v>42705</v>
      </c>
      <c r="AX71" s="25">
        <v>42855</v>
      </c>
      <c r="AY71" s="28">
        <f t="shared" si="22"/>
        <v>-30</v>
      </c>
      <c r="AZ71" s="28">
        <f t="shared" si="23"/>
        <v>120</v>
      </c>
      <c r="BA71" s="37">
        <f t="shared" si="24"/>
        <v>151</v>
      </c>
      <c r="BB71" s="28">
        <f t="shared" si="25"/>
        <v>-30</v>
      </c>
      <c r="BC71" s="28">
        <f t="shared" si="26"/>
        <v>120</v>
      </c>
      <c r="BD71" s="26">
        <f t="shared" si="27"/>
        <v>151</v>
      </c>
      <c r="BF71" s="36">
        <f t="shared" si="34"/>
        <v>42792</v>
      </c>
      <c r="BG71" s="26">
        <f t="shared" si="35"/>
        <v>64</v>
      </c>
    </row>
    <row r="72" spans="1:59" s="26" customFormat="1" hidden="1" x14ac:dyDescent="0.3">
      <c r="A72" s="6">
        <v>1</v>
      </c>
      <c r="B72" s="6"/>
      <c r="C72" s="7">
        <v>50</v>
      </c>
      <c r="D72" s="7" t="s">
        <v>86</v>
      </c>
      <c r="E72" s="13" t="s">
        <v>87</v>
      </c>
      <c r="F72" s="9" t="str">
        <f t="shared" si="31"/>
        <v>2019-164HD29672016FACE</v>
      </c>
      <c r="G72" s="7" t="s">
        <v>88</v>
      </c>
      <c r="H72" s="6" t="s">
        <v>95</v>
      </c>
      <c r="I72" s="7" t="s">
        <v>63</v>
      </c>
      <c r="J72" s="7" t="s">
        <v>34</v>
      </c>
      <c r="K72" s="7" t="s">
        <v>90</v>
      </c>
      <c r="L72" s="7">
        <v>2016</v>
      </c>
      <c r="M72" s="7" t="s">
        <v>50</v>
      </c>
      <c r="N72" s="7" t="s">
        <v>51</v>
      </c>
      <c r="O72" s="7" t="s">
        <v>56</v>
      </c>
      <c r="P72" s="7">
        <f>(7*R72+5*0.976*R71)/12*1.08</f>
        <v>58.969440000000006</v>
      </c>
      <c r="Q72" s="7">
        <v>31.232610000000001</v>
      </c>
      <c r="R72" s="7">
        <v>72.2</v>
      </c>
      <c r="S72" s="7">
        <v>7</v>
      </c>
      <c r="T72" s="7">
        <v>160</v>
      </c>
      <c r="U72" s="6">
        <v>4</v>
      </c>
      <c r="V72" s="6">
        <f>IF(T72&lt;=90,Q72,Q72/T72*90)</f>
        <v>17.568343125000002</v>
      </c>
      <c r="W72" s="6" t="s">
        <v>52</v>
      </c>
      <c r="X72" s="6"/>
      <c r="Y72" s="12">
        <v>390</v>
      </c>
      <c r="Z72" s="6" t="s">
        <v>80</v>
      </c>
      <c r="AA72" s="6"/>
      <c r="AB72" s="6">
        <v>20</v>
      </c>
      <c r="AC72" s="12">
        <v>33.9</v>
      </c>
      <c r="AD72" s="7" t="s">
        <v>39</v>
      </c>
      <c r="AE72" s="6"/>
      <c r="AF72" s="6">
        <v>1</v>
      </c>
      <c r="AG72" s="12">
        <v>40.5</v>
      </c>
      <c r="AH72" s="7" t="s">
        <v>40</v>
      </c>
      <c r="AI72" s="6"/>
      <c r="AJ72" s="6">
        <v>3</v>
      </c>
      <c r="AK72" s="12">
        <v>381</v>
      </c>
      <c r="AL72" s="6" t="s">
        <v>54</v>
      </c>
      <c r="AM72" s="6"/>
      <c r="AN72" s="6">
        <v>30</v>
      </c>
      <c r="AO72" s="12">
        <f t="shared" si="21"/>
        <v>11504.424778761062</v>
      </c>
      <c r="AP72" s="6" t="s">
        <v>54</v>
      </c>
      <c r="AQ72" s="6"/>
      <c r="AR72" s="6"/>
      <c r="AS72" s="32">
        <f t="shared" si="32"/>
        <v>28.616666666666667</v>
      </c>
      <c r="AT72" s="32">
        <f t="shared" si="33"/>
        <v>77.2</v>
      </c>
      <c r="AU72" s="25">
        <v>42705</v>
      </c>
      <c r="AV72" s="25">
        <v>42855</v>
      </c>
      <c r="AW72" s="25">
        <v>42705</v>
      </c>
      <c r="AX72" s="25">
        <v>42855</v>
      </c>
      <c r="AY72" s="28">
        <f t="shared" si="22"/>
        <v>-30</v>
      </c>
      <c r="AZ72" s="28">
        <f t="shared" si="23"/>
        <v>120</v>
      </c>
      <c r="BA72" s="37">
        <f t="shared" si="24"/>
        <v>151</v>
      </c>
      <c r="BB72" s="28">
        <f t="shared" si="25"/>
        <v>-30</v>
      </c>
      <c r="BC72" s="28">
        <f t="shared" si="26"/>
        <v>120</v>
      </c>
      <c r="BD72" s="26">
        <f t="shared" si="27"/>
        <v>151</v>
      </c>
      <c r="BF72" s="36">
        <f t="shared" si="34"/>
        <v>42792</v>
      </c>
      <c r="BG72" s="26">
        <f t="shared" si="35"/>
        <v>64</v>
      </c>
    </row>
    <row r="73" spans="1:59" s="26" customFormat="1" hidden="1" x14ac:dyDescent="0.3">
      <c r="A73" s="6">
        <v>1</v>
      </c>
      <c r="B73" s="6"/>
      <c r="C73" s="7">
        <v>50</v>
      </c>
      <c r="D73" s="7" t="s">
        <v>86</v>
      </c>
      <c r="E73" s="13" t="s">
        <v>91</v>
      </c>
      <c r="F73" s="9" t="str">
        <f t="shared" si="31"/>
        <v>2019-164C3062017FACE</v>
      </c>
      <c r="G73" s="7" t="s">
        <v>88</v>
      </c>
      <c r="H73" s="6" t="s">
        <v>95</v>
      </c>
      <c r="I73" s="7" t="s">
        <v>63</v>
      </c>
      <c r="J73" s="7" t="s">
        <v>34</v>
      </c>
      <c r="K73" s="7" t="s">
        <v>89</v>
      </c>
      <c r="L73" s="7">
        <v>2017</v>
      </c>
      <c r="M73" s="7" t="s">
        <v>50</v>
      </c>
      <c r="N73" s="7" t="s">
        <v>51</v>
      </c>
      <c r="O73" s="7" t="s">
        <v>42</v>
      </c>
      <c r="P73" s="7">
        <f>R73/1.01*1.08</f>
        <v>32.827722772277234</v>
      </c>
      <c r="Q73" s="7"/>
      <c r="R73" s="7">
        <v>30.7</v>
      </c>
      <c r="S73" s="7">
        <v>7</v>
      </c>
      <c r="T73" s="7">
        <v>160</v>
      </c>
      <c r="U73" s="6">
        <v>4</v>
      </c>
      <c r="V73" s="13">
        <v>2.6636551037927898</v>
      </c>
      <c r="W73" s="6" t="s">
        <v>52</v>
      </c>
      <c r="X73" s="6"/>
      <c r="Y73" s="12">
        <v>490</v>
      </c>
      <c r="Z73" s="6" t="s">
        <v>80</v>
      </c>
      <c r="AA73" s="6"/>
      <c r="AB73" s="6">
        <v>30</v>
      </c>
      <c r="AC73" s="12">
        <v>40.200000000000003</v>
      </c>
      <c r="AD73" s="7" t="s">
        <v>39</v>
      </c>
      <c r="AE73" s="6"/>
      <c r="AF73" s="6">
        <v>1</v>
      </c>
      <c r="AG73" s="12">
        <v>43</v>
      </c>
      <c r="AH73" s="7" t="s">
        <v>40</v>
      </c>
      <c r="AI73" s="6"/>
      <c r="AJ73" s="6">
        <v>3</v>
      </c>
      <c r="AK73" s="12">
        <v>374</v>
      </c>
      <c r="AL73" s="6" t="s">
        <v>54</v>
      </c>
      <c r="AM73" s="6"/>
      <c r="AN73" s="6">
        <v>18</v>
      </c>
      <c r="AO73" s="12">
        <f t="shared" si="21"/>
        <v>12189.054726368158</v>
      </c>
      <c r="AP73" s="6" t="s">
        <v>54</v>
      </c>
      <c r="AQ73" s="6"/>
      <c r="AR73" s="6"/>
      <c r="AS73" s="32">
        <f t="shared" si="32"/>
        <v>28.616666666666667</v>
      </c>
      <c r="AT73" s="32">
        <f t="shared" si="33"/>
        <v>77.2</v>
      </c>
      <c r="AU73" s="25">
        <v>43060</v>
      </c>
      <c r="AV73" s="25">
        <v>43220</v>
      </c>
      <c r="AW73" s="25">
        <v>43060</v>
      </c>
      <c r="AX73" s="25">
        <v>43220</v>
      </c>
      <c r="AY73" s="28">
        <f t="shared" si="22"/>
        <v>-40</v>
      </c>
      <c r="AZ73" s="28">
        <f t="shared" si="23"/>
        <v>120</v>
      </c>
      <c r="BA73" s="37">
        <f t="shared" si="24"/>
        <v>161</v>
      </c>
      <c r="BB73" s="28">
        <f t="shared" si="25"/>
        <v>-40</v>
      </c>
      <c r="BC73" s="28">
        <f t="shared" si="26"/>
        <v>120</v>
      </c>
      <c r="BD73" s="26">
        <f t="shared" si="27"/>
        <v>161</v>
      </c>
      <c r="BF73" s="36">
        <f t="shared" si="34"/>
        <v>43147</v>
      </c>
      <c r="BG73" s="26">
        <f t="shared" si="35"/>
        <v>74</v>
      </c>
    </row>
    <row r="74" spans="1:59" s="26" customFormat="1" hidden="1" x14ac:dyDescent="0.3">
      <c r="A74" s="6">
        <v>1</v>
      </c>
      <c r="B74" s="6"/>
      <c r="C74" s="7">
        <v>50</v>
      </c>
      <c r="D74" s="7" t="s">
        <v>86</v>
      </c>
      <c r="E74" s="13" t="s">
        <v>87</v>
      </c>
      <c r="F74" s="9" t="str">
        <f t="shared" si="31"/>
        <v>2019-164C3062017FACE</v>
      </c>
      <c r="G74" s="7" t="s">
        <v>88</v>
      </c>
      <c r="H74" s="6" t="s">
        <v>95</v>
      </c>
      <c r="I74" s="7" t="s">
        <v>63</v>
      </c>
      <c r="J74" s="7" t="s">
        <v>34</v>
      </c>
      <c r="K74" s="7" t="s">
        <v>89</v>
      </c>
      <c r="L74" s="7">
        <v>2017</v>
      </c>
      <c r="M74" s="7" t="s">
        <v>50</v>
      </c>
      <c r="N74" s="7" t="s">
        <v>51</v>
      </c>
      <c r="O74" s="7" t="s">
        <v>56</v>
      </c>
      <c r="P74" s="7">
        <f>(7*R74+5*0.976*R73)/12*1.08</f>
        <v>58.969440000000006</v>
      </c>
      <c r="Q74" s="7">
        <v>31.232610000000001</v>
      </c>
      <c r="R74" s="7">
        <v>72.2</v>
      </c>
      <c r="S74" s="7">
        <v>7</v>
      </c>
      <c r="T74" s="7">
        <v>160</v>
      </c>
      <c r="U74" s="6">
        <v>4</v>
      </c>
      <c r="V74" s="6">
        <f>IF(T74&lt;=90,Q74,Q74/T74*90)</f>
        <v>17.568343125000002</v>
      </c>
      <c r="W74" s="6" t="s">
        <v>52</v>
      </c>
      <c r="X74" s="6"/>
      <c r="Y74" s="12">
        <v>420</v>
      </c>
      <c r="Z74" s="6" t="s">
        <v>80</v>
      </c>
      <c r="AA74" s="6"/>
      <c r="AB74" s="6">
        <v>20</v>
      </c>
      <c r="AC74" s="12">
        <v>36.6</v>
      </c>
      <c r="AD74" s="7" t="s">
        <v>39</v>
      </c>
      <c r="AE74" s="6"/>
      <c r="AF74" s="6">
        <v>1.1000000000000001</v>
      </c>
      <c r="AG74" s="12">
        <v>42.1</v>
      </c>
      <c r="AH74" s="7" t="s">
        <v>40</v>
      </c>
      <c r="AI74" s="6"/>
      <c r="AJ74" s="6">
        <v>5.0999999999999996</v>
      </c>
      <c r="AK74" s="12">
        <v>320</v>
      </c>
      <c r="AL74" s="6" t="s">
        <v>54</v>
      </c>
      <c r="AM74" s="6"/>
      <c r="AN74" s="6">
        <v>19</v>
      </c>
      <c r="AO74" s="12">
        <f t="shared" si="21"/>
        <v>11475.409836065573</v>
      </c>
      <c r="AP74" s="6" t="s">
        <v>54</v>
      </c>
      <c r="AQ74" s="6"/>
      <c r="AR74" s="6"/>
      <c r="AS74" s="32">
        <f t="shared" si="32"/>
        <v>28.616666666666667</v>
      </c>
      <c r="AT74" s="32">
        <f t="shared" si="33"/>
        <v>77.2</v>
      </c>
      <c r="AU74" s="25">
        <v>43060</v>
      </c>
      <c r="AV74" s="25">
        <v>43220</v>
      </c>
      <c r="AW74" s="25">
        <v>43060</v>
      </c>
      <c r="AX74" s="25">
        <v>43220</v>
      </c>
      <c r="AY74" s="28">
        <f t="shared" si="22"/>
        <v>-40</v>
      </c>
      <c r="AZ74" s="28">
        <f t="shared" si="23"/>
        <v>120</v>
      </c>
      <c r="BA74" s="37">
        <f t="shared" si="24"/>
        <v>161</v>
      </c>
      <c r="BB74" s="28">
        <f t="shared" si="25"/>
        <v>-40</v>
      </c>
      <c r="BC74" s="28">
        <f t="shared" si="26"/>
        <v>120</v>
      </c>
      <c r="BD74" s="26">
        <f t="shared" si="27"/>
        <v>161</v>
      </c>
      <c r="BF74" s="36">
        <f t="shared" si="34"/>
        <v>43147</v>
      </c>
      <c r="BG74" s="26">
        <f t="shared" si="35"/>
        <v>74</v>
      </c>
    </row>
    <row r="75" spans="1:59" s="26" customFormat="1" hidden="1" x14ac:dyDescent="0.3">
      <c r="A75" s="6">
        <v>1</v>
      </c>
      <c r="B75" s="6"/>
      <c r="C75" s="7">
        <v>50</v>
      </c>
      <c r="D75" s="7" t="s">
        <v>86</v>
      </c>
      <c r="E75" s="13" t="s">
        <v>87</v>
      </c>
      <c r="F75" s="9" t="str">
        <f t="shared" si="31"/>
        <v>2019-164HD29672017FACE</v>
      </c>
      <c r="G75" s="7" t="s">
        <v>88</v>
      </c>
      <c r="H75" s="6" t="s">
        <v>95</v>
      </c>
      <c r="I75" s="7" t="s">
        <v>63</v>
      </c>
      <c r="J75" s="7" t="s">
        <v>34</v>
      </c>
      <c r="K75" s="7" t="s">
        <v>90</v>
      </c>
      <c r="L75" s="7">
        <v>2017</v>
      </c>
      <c r="M75" s="7" t="s">
        <v>50</v>
      </c>
      <c r="N75" s="7" t="s">
        <v>51</v>
      </c>
      <c r="O75" s="7" t="s">
        <v>42</v>
      </c>
      <c r="P75" s="7">
        <f>R75/1.01*1.08</f>
        <v>32.827722772277234</v>
      </c>
      <c r="Q75" s="7"/>
      <c r="R75" s="7">
        <v>30.7</v>
      </c>
      <c r="S75" s="7">
        <v>7</v>
      </c>
      <c r="T75" s="7">
        <v>160</v>
      </c>
      <c r="U75" s="6">
        <v>4</v>
      </c>
      <c r="V75" s="13">
        <v>2.6636551037927898</v>
      </c>
      <c r="W75" s="6" t="s">
        <v>52</v>
      </c>
      <c r="X75" s="6"/>
      <c r="Y75" s="12">
        <v>430</v>
      </c>
      <c r="Z75" s="6" t="s">
        <v>80</v>
      </c>
      <c r="AA75" s="6"/>
      <c r="AB75" s="6">
        <v>60</v>
      </c>
      <c r="AC75" s="12">
        <v>34.799999999999997</v>
      </c>
      <c r="AD75" s="7" t="s">
        <v>39</v>
      </c>
      <c r="AE75" s="6"/>
      <c r="AF75" s="6">
        <v>1.3</v>
      </c>
      <c r="AG75" s="12">
        <v>52.6</v>
      </c>
      <c r="AH75" s="7" t="s">
        <v>40</v>
      </c>
      <c r="AI75" s="6"/>
      <c r="AJ75" s="6">
        <v>2.5</v>
      </c>
      <c r="AK75" s="12">
        <v>394</v>
      </c>
      <c r="AL75" s="6" t="s">
        <v>54</v>
      </c>
      <c r="AM75" s="6"/>
      <c r="AN75" s="6">
        <v>24</v>
      </c>
      <c r="AO75" s="12">
        <f t="shared" si="21"/>
        <v>12356.321839080461</v>
      </c>
      <c r="AP75" s="6" t="s">
        <v>54</v>
      </c>
      <c r="AQ75" s="6"/>
      <c r="AR75" s="6"/>
      <c r="AS75" s="32">
        <f t="shared" si="32"/>
        <v>28.616666666666667</v>
      </c>
      <c r="AT75" s="32">
        <f t="shared" si="33"/>
        <v>77.2</v>
      </c>
      <c r="AU75" s="25">
        <v>43060</v>
      </c>
      <c r="AV75" s="25">
        <v>43220</v>
      </c>
      <c r="AW75" s="25">
        <v>43060</v>
      </c>
      <c r="AX75" s="25">
        <v>43220</v>
      </c>
      <c r="AY75" s="28">
        <f t="shared" si="22"/>
        <v>-40</v>
      </c>
      <c r="AZ75" s="28">
        <f t="shared" si="23"/>
        <v>120</v>
      </c>
      <c r="BA75" s="37">
        <f t="shared" si="24"/>
        <v>161</v>
      </c>
      <c r="BB75" s="28">
        <f t="shared" si="25"/>
        <v>-40</v>
      </c>
      <c r="BC75" s="28">
        <f t="shared" si="26"/>
        <v>120</v>
      </c>
      <c r="BD75" s="26">
        <f t="shared" si="27"/>
        <v>161</v>
      </c>
      <c r="BF75" s="36">
        <f t="shared" si="34"/>
        <v>43147</v>
      </c>
      <c r="BG75" s="26">
        <f t="shared" si="35"/>
        <v>74</v>
      </c>
    </row>
    <row r="76" spans="1:59" s="26" customFormat="1" hidden="1" x14ac:dyDescent="0.3">
      <c r="A76" s="6">
        <v>1</v>
      </c>
      <c r="B76" s="6"/>
      <c r="C76" s="7">
        <v>50</v>
      </c>
      <c r="D76" s="7" t="s">
        <v>86</v>
      </c>
      <c r="E76" s="13" t="s">
        <v>87</v>
      </c>
      <c r="F76" s="9" t="str">
        <f t="shared" si="31"/>
        <v>2019-164HD29672017FACE</v>
      </c>
      <c r="G76" s="7" t="s">
        <v>88</v>
      </c>
      <c r="H76" s="6" t="s">
        <v>95</v>
      </c>
      <c r="I76" s="7" t="s">
        <v>63</v>
      </c>
      <c r="J76" s="7" t="s">
        <v>34</v>
      </c>
      <c r="K76" s="7" t="s">
        <v>90</v>
      </c>
      <c r="L76" s="7">
        <v>2017</v>
      </c>
      <c r="M76" s="7" t="s">
        <v>50</v>
      </c>
      <c r="N76" s="7" t="s">
        <v>51</v>
      </c>
      <c r="O76" s="7" t="s">
        <v>56</v>
      </c>
      <c r="P76" s="7">
        <f>(7*R76+5*0.976*R75)/12*1.08</f>
        <v>58.969440000000006</v>
      </c>
      <c r="Q76" s="7">
        <v>31.232610000000001</v>
      </c>
      <c r="R76" s="7">
        <v>72.2</v>
      </c>
      <c r="S76" s="7">
        <v>7</v>
      </c>
      <c r="T76" s="7">
        <v>160</v>
      </c>
      <c r="U76" s="6">
        <v>4</v>
      </c>
      <c r="V76" s="6">
        <f t="shared" ref="V76:V106" si="36">IF(T76&lt;=90,Q76,Q76/T76*90)</f>
        <v>17.568343125000002</v>
      </c>
      <c r="W76" s="6" t="s">
        <v>52</v>
      </c>
      <c r="X76" s="6"/>
      <c r="Y76" s="12">
        <v>370</v>
      </c>
      <c r="Z76" s="6" t="s">
        <v>80</v>
      </c>
      <c r="AA76" s="6"/>
      <c r="AB76" s="6">
        <v>30</v>
      </c>
      <c r="AC76" s="12">
        <v>33.1</v>
      </c>
      <c r="AD76" s="7" t="s">
        <v>39</v>
      </c>
      <c r="AE76" s="6"/>
      <c r="AF76" s="6">
        <v>1</v>
      </c>
      <c r="AG76" s="12">
        <v>45.6</v>
      </c>
      <c r="AH76" s="7" t="s">
        <v>40</v>
      </c>
      <c r="AI76" s="6"/>
      <c r="AJ76" s="6">
        <v>6</v>
      </c>
      <c r="AK76" s="12">
        <v>371</v>
      </c>
      <c r="AL76" s="6" t="s">
        <v>54</v>
      </c>
      <c r="AM76" s="6"/>
      <c r="AN76" s="6">
        <v>32</v>
      </c>
      <c r="AO76" s="12">
        <f t="shared" si="21"/>
        <v>11178.247734138973</v>
      </c>
      <c r="AP76" s="6" t="s">
        <v>54</v>
      </c>
      <c r="AQ76" s="6"/>
      <c r="AR76" s="6"/>
      <c r="AS76" s="32">
        <f t="shared" si="32"/>
        <v>28.616666666666667</v>
      </c>
      <c r="AT76" s="32">
        <f t="shared" si="33"/>
        <v>77.2</v>
      </c>
      <c r="AU76" s="25">
        <v>43060</v>
      </c>
      <c r="AV76" s="25">
        <v>43220</v>
      </c>
      <c r="AW76" s="25">
        <v>43060</v>
      </c>
      <c r="AX76" s="25">
        <v>43220</v>
      </c>
      <c r="AY76" s="28">
        <f t="shared" si="22"/>
        <v>-40</v>
      </c>
      <c r="AZ76" s="28">
        <f t="shared" si="23"/>
        <v>120</v>
      </c>
      <c r="BA76" s="37">
        <f t="shared" si="24"/>
        <v>161</v>
      </c>
      <c r="BB76" s="28">
        <f t="shared" si="25"/>
        <v>-40</v>
      </c>
      <c r="BC76" s="28">
        <f t="shared" si="26"/>
        <v>120</v>
      </c>
      <c r="BD76" s="26">
        <f t="shared" si="27"/>
        <v>161</v>
      </c>
      <c r="BF76" s="36">
        <f t="shared" si="34"/>
        <v>43147</v>
      </c>
      <c r="BG76" s="26">
        <f t="shared" si="35"/>
        <v>74</v>
      </c>
    </row>
    <row r="77" spans="1:59" s="26" customFormat="1" hidden="1" x14ac:dyDescent="0.3">
      <c r="A77" s="6">
        <v>1</v>
      </c>
      <c r="B77" s="6"/>
      <c r="C77" s="6">
        <v>63</v>
      </c>
      <c r="D77" s="6" t="s">
        <v>92</v>
      </c>
      <c r="E77" s="13" t="s">
        <v>93</v>
      </c>
      <c r="F77" s="9" t="str">
        <f t="shared" si="31"/>
        <v>2020-13HD29672018OTC</v>
      </c>
      <c r="G77" s="6" t="s">
        <v>94</v>
      </c>
      <c r="H77" s="6" t="s">
        <v>95</v>
      </c>
      <c r="I77" s="6" t="s">
        <v>95</v>
      </c>
      <c r="J77" s="6" t="s">
        <v>96</v>
      </c>
      <c r="K77" s="6" t="s">
        <v>90</v>
      </c>
      <c r="L77" s="6">
        <v>2018</v>
      </c>
      <c r="M77" s="6" t="s">
        <v>97</v>
      </c>
      <c r="N77" s="7" t="s">
        <v>51</v>
      </c>
      <c r="O77" s="6" t="s">
        <v>74</v>
      </c>
      <c r="P77" s="7">
        <f>R77/1.01*1.08</f>
        <v>49.316435643564354</v>
      </c>
      <c r="Q77" s="6">
        <v>8.9</v>
      </c>
      <c r="R77" s="6">
        <v>46.12</v>
      </c>
      <c r="S77" s="6">
        <v>8</v>
      </c>
      <c r="T77" s="6">
        <v>126</v>
      </c>
      <c r="U77" s="6">
        <v>3</v>
      </c>
      <c r="V77" s="6">
        <f t="shared" si="36"/>
        <v>6.3571428571428568</v>
      </c>
      <c r="W77" s="6" t="s">
        <v>65</v>
      </c>
      <c r="X77" s="6"/>
      <c r="Y77" s="12">
        <f>8.15876591883351*400</f>
        <v>3263.506367533404</v>
      </c>
      <c r="Z77" s="6" t="s">
        <v>80</v>
      </c>
      <c r="AA77" s="6" t="s">
        <v>216</v>
      </c>
      <c r="AB77" s="6">
        <v>0.1492537313432809</v>
      </c>
      <c r="AC77" s="12">
        <v>49.703579418344503</v>
      </c>
      <c r="AD77" s="7" t="s">
        <v>39</v>
      </c>
      <c r="AE77" s="6"/>
      <c r="AF77" s="6">
        <v>3.213486736976698</v>
      </c>
      <c r="AG77" s="12"/>
      <c r="AH77" s="6"/>
      <c r="AI77" s="6"/>
      <c r="AJ77" s="6"/>
      <c r="AK77" s="12"/>
      <c r="AL77" s="6"/>
      <c r="AM77" s="6"/>
      <c r="AN77" s="6"/>
      <c r="AO77" s="12">
        <f t="shared" si="21"/>
        <v>65659.383201864839</v>
      </c>
      <c r="AP77" s="6" t="s">
        <v>98</v>
      </c>
      <c r="AQ77" s="6"/>
      <c r="AR77" s="6"/>
      <c r="AS77" s="30">
        <f t="shared" ref="AS77:AS106" si="37">25+8/60</f>
        <v>25.133333333333333</v>
      </c>
      <c r="AT77" s="30">
        <f t="shared" ref="AT77:AT106" si="38">83+1/60</f>
        <v>83.016666666666666</v>
      </c>
      <c r="AU77" s="27">
        <f>AV77-139</f>
        <v>43052</v>
      </c>
      <c r="AV77" s="27">
        <v>43191</v>
      </c>
      <c r="AW77" s="25">
        <f>AX77-126</f>
        <v>43065</v>
      </c>
      <c r="AX77" s="27">
        <v>43191</v>
      </c>
      <c r="AY77" s="28">
        <f t="shared" si="22"/>
        <v>-48</v>
      </c>
      <c r="AZ77" s="28">
        <f t="shared" si="23"/>
        <v>91</v>
      </c>
      <c r="BA77" s="37">
        <f t="shared" si="24"/>
        <v>140</v>
      </c>
      <c r="BB77" s="28">
        <f t="shared" si="25"/>
        <v>-35</v>
      </c>
      <c r="BC77" s="28">
        <f t="shared" si="26"/>
        <v>91</v>
      </c>
      <c r="BD77" s="26">
        <f t="shared" si="27"/>
        <v>127</v>
      </c>
      <c r="BF77" s="36">
        <f>AU77+80+5</f>
        <v>43137</v>
      </c>
      <c r="BG77" s="26">
        <f t="shared" si="35"/>
        <v>55</v>
      </c>
    </row>
    <row r="78" spans="1:59" s="26" customFormat="1" hidden="1" x14ac:dyDescent="0.3">
      <c r="A78" s="6">
        <v>1</v>
      </c>
      <c r="B78" s="6"/>
      <c r="C78" s="6">
        <v>63</v>
      </c>
      <c r="D78" s="6" t="s">
        <v>92</v>
      </c>
      <c r="E78" s="13" t="s">
        <v>93</v>
      </c>
      <c r="F78" s="9" t="str">
        <f t="shared" si="31"/>
        <v>2020-13HD29672018OTC</v>
      </c>
      <c r="G78" s="6" t="s">
        <v>94</v>
      </c>
      <c r="H78" s="6" t="s">
        <v>95</v>
      </c>
      <c r="I78" s="6" t="s">
        <v>95</v>
      </c>
      <c r="J78" s="6" t="s">
        <v>96</v>
      </c>
      <c r="K78" s="6" t="s">
        <v>90</v>
      </c>
      <c r="L78" s="6">
        <v>2018</v>
      </c>
      <c r="M78" s="6" t="s">
        <v>97</v>
      </c>
      <c r="N78" s="7" t="s">
        <v>51</v>
      </c>
      <c r="O78" s="7" t="s">
        <v>56</v>
      </c>
      <c r="P78" s="7">
        <f>(8 * R78+ 4 * 0.97*R77) / 12*1.08</f>
        <v>63.517103999999996</v>
      </c>
      <c r="Q78" s="6">
        <v>15.7</v>
      </c>
      <c r="R78" s="6">
        <v>65.849999999999994</v>
      </c>
      <c r="S78" s="6">
        <v>8</v>
      </c>
      <c r="T78" s="6">
        <v>126</v>
      </c>
      <c r="U78" s="6">
        <v>3</v>
      </c>
      <c r="V78" s="6">
        <f t="shared" si="36"/>
        <v>11.214285714285714</v>
      </c>
      <c r="W78" s="6" t="s">
        <v>65</v>
      </c>
      <c r="X78" s="6"/>
      <c r="Y78" s="12">
        <f>6.70947151037266*400</f>
        <v>2683.7886041490642</v>
      </c>
      <c r="Z78" s="6" t="s">
        <v>80</v>
      </c>
      <c r="AA78" s="6" t="s">
        <v>216</v>
      </c>
      <c r="AB78" s="6">
        <v>0.11952814543633927</v>
      </c>
      <c r="AC78" s="12">
        <v>41.754154682006998</v>
      </c>
      <c r="AD78" s="7" t="s">
        <v>39</v>
      </c>
      <c r="AE78" s="6"/>
      <c r="AF78" s="6">
        <v>1.4285714285715017</v>
      </c>
      <c r="AG78" s="12"/>
      <c r="AH78" s="6"/>
      <c r="AI78" s="6"/>
      <c r="AJ78" s="6"/>
      <c r="AK78" s="12"/>
      <c r="AL78" s="6"/>
      <c r="AM78" s="6"/>
      <c r="AN78" s="6"/>
      <c r="AO78" s="12">
        <f t="shared" si="21"/>
        <v>64275.965459925399</v>
      </c>
      <c r="AP78" s="6" t="s">
        <v>98</v>
      </c>
      <c r="AQ78" s="6"/>
      <c r="AR78" s="6"/>
      <c r="AS78" s="30">
        <f t="shared" si="37"/>
        <v>25.133333333333333</v>
      </c>
      <c r="AT78" s="30">
        <f t="shared" si="38"/>
        <v>83.016666666666666</v>
      </c>
      <c r="AU78" s="27">
        <f>AV78-139</f>
        <v>43052</v>
      </c>
      <c r="AV78" s="27">
        <v>43191</v>
      </c>
      <c r="AW78" s="25">
        <f>AX78-126</f>
        <v>43065</v>
      </c>
      <c r="AX78" s="27">
        <v>43191</v>
      </c>
      <c r="AY78" s="28">
        <f t="shared" si="22"/>
        <v>-48</v>
      </c>
      <c r="AZ78" s="28">
        <f t="shared" si="23"/>
        <v>91</v>
      </c>
      <c r="BA78" s="37">
        <f t="shared" si="24"/>
        <v>140</v>
      </c>
      <c r="BB78" s="28">
        <f t="shared" si="25"/>
        <v>-35</v>
      </c>
      <c r="BC78" s="28">
        <f t="shared" si="26"/>
        <v>91</v>
      </c>
      <c r="BD78" s="26">
        <f t="shared" si="27"/>
        <v>127</v>
      </c>
      <c r="BF78" s="36">
        <f>AU78+80+5</f>
        <v>43137</v>
      </c>
      <c r="BG78" s="26">
        <f t="shared" si="35"/>
        <v>55</v>
      </c>
    </row>
    <row r="79" spans="1:59" s="26" customFormat="1" hidden="1" x14ac:dyDescent="0.3">
      <c r="A79" s="6">
        <v>1</v>
      </c>
      <c r="B79" s="6"/>
      <c r="C79" s="6">
        <v>66</v>
      </c>
      <c r="D79" s="6" t="s">
        <v>99</v>
      </c>
      <c r="E79" s="13" t="s">
        <v>100</v>
      </c>
      <c r="F79" s="9" t="str">
        <f t="shared" si="31"/>
        <v>2019-35DB502015OTC</v>
      </c>
      <c r="G79" s="6" t="s">
        <v>101</v>
      </c>
      <c r="H79" s="6" t="s">
        <v>95</v>
      </c>
      <c r="I79" s="6" t="s">
        <v>95</v>
      </c>
      <c r="J79" s="6" t="s">
        <v>96</v>
      </c>
      <c r="K79" s="6" t="s">
        <v>102</v>
      </c>
      <c r="L79" s="6">
        <v>2015</v>
      </c>
      <c r="M79" s="6" t="s">
        <v>97</v>
      </c>
      <c r="N79" s="7" t="s">
        <v>51</v>
      </c>
      <c r="O79" s="6" t="s">
        <v>103</v>
      </c>
      <c r="P79" s="6"/>
      <c r="Q79" s="6">
        <v>8</v>
      </c>
      <c r="R79" s="6"/>
      <c r="S79" s="6">
        <v>8</v>
      </c>
      <c r="T79" s="6">
        <v>120</v>
      </c>
      <c r="U79" s="6">
        <v>9</v>
      </c>
      <c r="V79" s="6">
        <f t="shared" si="36"/>
        <v>6</v>
      </c>
      <c r="W79" s="6" t="s">
        <v>65</v>
      </c>
      <c r="X79" s="6"/>
      <c r="Y79" s="12">
        <v>386.93467336683398</v>
      </c>
      <c r="Z79" s="6" t="s">
        <v>80</v>
      </c>
      <c r="AA79" s="6"/>
      <c r="AB79" s="6"/>
      <c r="AC79" s="12"/>
      <c r="AD79" s="6"/>
      <c r="AE79" s="6"/>
      <c r="AF79" s="6"/>
      <c r="AG79" s="12"/>
      <c r="AH79" s="6"/>
      <c r="AI79" s="6"/>
      <c r="AJ79" s="6"/>
      <c r="AK79" s="12"/>
      <c r="AL79" s="6"/>
      <c r="AM79" s="6"/>
      <c r="AN79" s="6"/>
      <c r="AO79" s="12"/>
      <c r="AP79" s="6"/>
      <c r="AQ79" s="6"/>
      <c r="AR79" s="6"/>
      <c r="AS79" s="30">
        <f t="shared" si="37"/>
        <v>25.133333333333333</v>
      </c>
      <c r="AT79" s="30">
        <f t="shared" si="38"/>
        <v>83.016666666666666</v>
      </c>
      <c r="AU79" s="27">
        <f t="shared" ref="AU79:AU106" si="39">AV79-135</f>
        <v>41979</v>
      </c>
      <c r="AV79" s="27">
        <v>42114</v>
      </c>
      <c r="AW79" s="27">
        <f t="shared" ref="AW79:AW106" si="40">AX79-115</f>
        <v>41999</v>
      </c>
      <c r="AX79" s="27">
        <v>42114</v>
      </c>
      <c r="AY79" s="28">
        <f t="shared" si="22"/>
        <v>-25</v>
      </c>
      <c r="AZ79" s="28">
        <f t="shared" si="23"/>
        <v>110</v>
      </c>
      <c r="BA79" s="37">
        <f t="shared" si="24"/>
        <v>136</v>
      </c>
      <c r="BB79" s="28">
        <f t="shared" si="25"/>
        <v>-5</v>
      </c>
      <c r="BC79" s="28">
        <f t="shared" si="26"/>
        <v>110</v>
      </c>
      <c r="BD79" s="26">
        <f t="shared" si="27"/>
        <v>116</v>
      </c>
    </row>
    <row r="80" spans="1:59" s="26" customFormat="1" hidden="1" x14ac:dyDescent="0.3">
      <c r="A80" s="6">
        <v>1</v>
      </c>
      <c r="B80" s="6"/>
      <c r="C80" s="6">
        <v>66</v>
      </c>
      <c r="D80" s="6" t="s">
        <v>99</v>
      </c>
      <c r="E80" s="13" t="s">
        <v>100</v>
      </c>
      <c r="F80" s="9" t="str">
        <f t="shared" si="31"/>
        <v>2019-35DB502015OTC</v>
      </c>
      <c r="G80" s="6" t="s">
        <v>101</v>
      </c>
      <c r="H80" s="6" t="s">
        <v>95</v>
      </c>
      <c r="I80" s="6" t="s">
        <v>95</v>
      </c>
      <c r="J80" s="6" t="s">
        <v>96</v>
      </c>
      <c r="K80" s="6" t="s">
        <v>102</v>
      </c>
      <c r="L80" s="6">
        <v>2015</v>
      </c>
      <c r="M80" s="6" t="s">
        <v>97</v>
      </c>
      <c r="N80" s="7" t="s">
        <v>51</v>
      </c>
      <c r="O80" s="6" t="s">
        <v>75</v>
      </c>
      <c r="P80" s="6"/>
      <c r="Q80" s="6">
        <v>21.7</v>
      </c>
      <c r="R80" s="6"/>
      <c r="S80" s="6">
        <v>8</v>
      </c>
      <c r="T80" s="6">
        <v>120</v>
      </c>
      <c r="U80" s="6">
        <v>9</v>
      </c>
      <c r="V80" s="6">
        <f t="shared" si="36"/>
        <v>16.274999999999999</v>
      </c>
      <c r="W80" s="6" t="s">
        <v>65</v>
      </c>
      <c r="X80" s="6"/>
      <c r="Y80" s="12">
        <v>271.356783919598</v>
      </c>
      <c r="Z80" s="6" t="s">
        <v>80</v>
      </c>
      <c r="AA80" s="6"/>
      <c r="AB80" s="6"/>
      <c r="AC80" s="12"/>
      <c r="AD80" s="6"/>
      <c r="AE80" s="6"/>
      <c r="AF80" s="6"/>
      <c r="AG80" s="12"/>
      <c r="AH80" s="6"/>
      <c r="AI80" s="6"/>
      <c r="AJ80" s="6"/>
      <c r="AK80" s="12"/>
      <c r="AL80" s="6"/>
      <c r="AM80" s="6"/>
      <c r="AN80" s="6"/>
      <c r="AO80" s="12"/>
      <c r="AP80" s="6"/>
      <c r="AQ80" s="6"/>
      <c r="AR80" s="6"/>
      <c r="AS80" s="30">
        <f t="shared" si="37"/>
        <v>25.133333333333333</v>
      </c>
      <c r="AT80" s="30">
        <f t="shared" si="38"/>
        <v>83.016666666666666</v>
      </c>
      <c r="AU80" s="27">
        <f t="shared" si="39"/>
        <v>41979</v>
      </c>
      <c r="AV80" s="27">
        <v>42114</v>
      </c>
      <c r="AW80" s="27">
        <f t="shared" si="40"/>
        <v>41999</v>
      </c>
      <c r="AX80" s="27">
        <v>42114</v>
      </c>
      <c r="AY80" s="28">
        <f t="shared" si="22"/>
        <v>-25</v>
      </c>
      <c r="AZ80" s="28">
        <f t="shared" si="23"/>
        <v>110</v>
      </c>
      <c r="BA80" s="37">
        <f t="shared" si="24"/>
        <v>136</v>
      </c>
      <c r="BB80" s="28">
        <f t="shared" si="25"/>
        <v>-5</v>
      </c>
      <c r="BC80" s="28">
        <f t="shared" si="26"/>
        <v>110</v>
      </c>
      <c r="BD80" s="26">
        <f t="shared" si="27"/>
        <v>116</v>
      </c>
    </row>
    <row r="81" spans="1:56" s="26" customFormat="1" hidden="1" x14ac:dyDescent="0.3">
      <c r="A81" s="6">
        <v>1</v>
      </c>
      <c r="B81" s="6"/>
      <c r="C81" s="6">
        <v>66</v>
      </c>
      <c r="D81" s="6" t="s">
        <v>99</v>
      </c>
      <c r="E81" s="13" t="s">
        <v>100</v>
      </c>
      <c r="F81" s="9" t="str">
        <f t="shared" si="31"/>
        <v>2019-35DB772015OTC</v>
      </c>
      <c r="G81" s="6" t="s">
        <v>101</v>
      </c>
      <c r="H81" s="6" t="s">
        <v>95</v>
      </c>
      <c r="I81" s="6" t="s">
        <v>95</v>
      </c>
      <c r="J81" s="6" t="s">
        <v>96</v>
      </c>
      <c r="K81" s="6" t="s">
        <v>104</v>
      </c>
      <c r="L81" s="6">
        <v>2015</v>
      </c>
      <c r="M81" s="6" t="s">
        <v>97</v>
      </c>
      <c r="N81" s="7" t="s">
        <v>51</v>
      </c>
      <c r="O81" s="6" t="s">
        <v>103</v>
      </c>
      <c r="P81" s="6"/>
      <c r="Q81" s="6">
        <v>8</v>
      </c>
      <c r="R81" s="6"/>
      <c r="S81" s="6">
        <v>8</v>
      </c>
      <c r="T81" s="6">
        <v>120</v>
      </c>
      <c r="U81" s="6">
        <v>9</v>
      </c>
      <c r="V81" s="6">
        <f t="shared" si="36"/>
        <v>6</v>
      </c>
      <c r="W81" s="6" t="s">
        <v>65</v>
      </c>
      <c r="X81" s="6"/>
      <c r="Y81" s="12">
        <v>218.592964824121</v>
      </c>
      <c r="Z81" s="6" t="s">
        <v>80</v>
      </c>
      <c r="AA81" s="6"/>
      <c r="AB81" s="6"/>
      <c r="AC81" s="12"/>
      <c r="AD81" s="6"/>
      <c r="AE81" s="6"/>
      <c r="AF81" s="6"/>
      <c r="AG81" s="12"/>
      <c r="AH81" s="6"/>
      <c r="AI81" s="6"/>
      <c r="AJ81" s="6"/>
      <c r="AK81" s="12"/>
      <c r="AL81" s="6"/>
      <c r="AM81" s="6"/>
      <c r="AN81" s="6"/>
      <c r="AO81" s="12"/>
      <c r="AP81" s="6"/>
      <c r="AQ81" s="6"/>
      <c r="AR81" s="6"/>
      <c r="AS81" s="30">
        <f t="shared" si="37"/>
        <v>25.133333333333333</v>
      </c>
      <c r="AT81" s="30">
        <f t="shared" si="38"/>
        <v>83.016666666666666</v>
      </c>
      <c r="AU81" s="27">
        <f t="shared" si="39"/>
        <v>41979</v>
      </c>
      <c r="AV81" s="27">
        <v>42114</v>
      </c>
      <c r="AW81" s="27">
        <f t="shared" si="40"/>
        <v>41999</v>
      </c>
      <c r="AX81" s="27">
        <v>42114</v>
      </c>
      <c r="AY81" s="28">
        <f t="shared" si="22"/>
        <v>-25</v>
      </c>
      <c r="AZ81" s="28">
        <f t="shared" si="23"/>
        <v>110</v>
      </c>
      <c r="BA81" s="37">
        <f t="shared" si="24"/>
        <v>136</v>
      </c>
      <c r="BB81" s="28">
        <f t="shared" si="25"/>
        <v>-5</v>
      </c>
      <c r="BC81" s="28">
        <f t="shared" si="26"/>
        <v>110</v>
      </c>
      <c r="BD81" s="26">
        <f t="shared" si="27"/>
        <v>116</v>
      </c>
    </row>
    <row r="82" spans="1:56" s="26" customFormat="1" hidden="1" x14ac:dyDescent="0.3">
      <c r="A82" s="6">
        <v>1</v>
      </c>
      <c r="B82" s="6"/>
      <c r="C82" s="6">
        <v>66</v>
      </c>
      <c r="D82" s="6" t="s">
        <v>99</v>
      </c>
      <c r="E82" s="13" t="s">
        <v>100</v>
      </c>
      <c r="F82" s="9" t="str">
        <f t="shared" si="31"/>
        <v>2019-35DB772015OTC</v>
      </c>
      <c r="G82" s="6" t="s">
        <v>101</v>
      </c>
      <c r="H82" s="6" t="s">
        <v>95</v>
      </c>
      <c r="I82" s="6" t="s">
        <v>95</v>
      </c>
      <c r="J82" s="6" t="s">
        <v>96</v>
      </c>
      <c r="K82" s="6" t="s">
        <v>104</v>
      </c>
      <c r="L82" s="6">
        <v>2015</v>
      </c>
      <c r="M82" s="6" t="s">
        <v>97</v>
      </c>
      <c r="N82" s="7" t="s">
        <v>51</v>
      </c>
      <c r="O82" s="6" t="s">
        <v>75</v>
      </c>
      <c r="P82" s="6"/>
      <c r="Q82" s="6">
        <v>21.7</v>
      </c>
      <c r="R82" s="6"/>
      <c r="S82" s="6">
        <v>8</v>
      </c>
      <c r="T82" s="6">
        <v>120</v>
      </c>
      <c r="U82" s="6">
        <v>9</v>
      </c>
      <c r="V82" s="6">
        <f t="shared" si="36"/>
        <v>16.274999999999999</v>
      </c>
      <c r="W82" s="6" t="s">
        <v>65</v>
      </c>
      <c r="X82" s="6"/>
      <c r="Y82" s="12">
        <v>158.29145728643201</v>
      </c>
      <c r="Z82" s="6" t="s">
        <v>80</v>
      </c>
      <c r="AA82" s="6"/>
      <c r="AB82" s="6"/>
      <c r="AC82" s="12"/>
      <c r="AD82" s="6"/>
      <c r="AE82" s="6"/>
      <c r="AF82" s="6"/>
      <c r="AG82" s="12"/>
      <c r="AH82" s="6"/>
      <c r="AI82" s="6"/>
      <c r="AJ82" s="6"/>
      <c r="AK82" s="12"/>
      <c r="AL82" s="6"/>
      <c r="AM82" s="6"/>
      <c r="AN82" s="6"/>
      <c r="AO82" s="12"/>
      <c r="AP82" s="6"/>
      <c r="AQ82" s="6"/>
      <c r="AR82" s="6"/>
      <c r="AS82" s="30">
        <f t="shared" si="37"/>
        <v>25.133333333333333</v>
      </c>
      <c r="AT82" s="30">
        <f t="shared" si="38"/>
        <v>83.016666666666666</v>
      </c>
      <c r="AU82" s="27">
        <f t="shared" si="39"/>
        <v>41979</v>
      </c>
      <c r="AV82" s="27">
        <v>42114</v>
      </c>
      <c r="AW82" s="27">
        <f t="shared" si="40"/>
        <v>41999</v>
      </c>
      <c r="AX82" s="27">
        <v>42114</v>
      </c>
      <c r="AY82" s="28">
        <f t="shared" si="22"/>
        <v>-25</v>
      </c>
      <c r="AZ82" s="28">
        <f t="shared" si="23"/>
        <v>110</v>
      </c>
      <c r="BA82" s="37">
        <f t="shared" si="24"/>
        <v>136</v>
      </c>
      <c r="BB82" s="28">
        <f t="shared" si="25"/>
        <v>-5</v>
      </c>
      <c r="BC82" s="28">
        <f t="shared" si="26"/>
        <v>110</v>
      </c>
      <c r="BD82" s="26">
        <f t="shared" si="27"/>
        <v>116</v>
      </c>
    </row>
    <row r="83" spans="1:56" s="26" customFormat="1" hidden="1" x14ac:dyDescent="0.3">
      <c r="A83" s="6">
        <v>1</v>
      </c>
      <c r="B83" s="6"/>
      <c r="C83" s="6">
        <v>66</v>
      </c>
      <c r="D83" s="6" t="s">
        <v>99</v>
      </c>
      <c r="E83" s="13" t="s">
        <v>100</v>
      </c>
      <c r="F83" s="9" t="str">
        <f t="shared" si="31"/>
        <v>2019-35HD262015OTC</v>
      </c>
      <c r="G83" s="6" t="s">
        <v>101</v>
      </c>
      <c r="H83" s="6" t="s">
        <v>95</v>
      </c>
      <c r="I83" s="6" t="s">
        <v>95</v>
      </c>
      <c r="J83" s="6" t="s">
        <v>96</v>
      </c>
      <c r="K83" s="6" t="s">
        <v>105</v>
      </c>
      <c r="L83" s="6">
        <v>2015</v>
      </c>
      <c r="M83" s="6" t="s">
        <v>97</v>
      </c>
      <c r="N83" s="7" t="s">
        <v>51</v>
      </c>
      <c r="O83" s="6" t="s">
        <v>103</v>
      </c>
      <c r="P83" s="6"/>
      <c r="Q83" s="6">
        <v>8</v>
      </c>
      <c r="R83" s="6"/>
      <c r="S83" s="6">
        <v>8</v>
      </c>
      <c r="T83" s="6">
        <v>120</v>
      </c>
      <c r="U83" s="6">
        <v>9</v>
      </c>
      <c r="V83" s="6">
        <f t="shared" si="36"/>
        <v>6</v>
      </c>
      <c r="W83" s="6" t="s">
        <v>65</v>
      </c>
      <c r="X83" s="6"/>
      <c r="Y83" s="12">
        <v>321.608040201005</v>
      </c>
      <c r="Z83" s="6" t="s">
        <v>80</v>
      </c>
      <c r="AA83" s="6"/>
      <c r="AB83" s="6"/>
      <c r="AC83" s="12"/>
      <c r="AD83" s="6"/>
      <c r="AE83" s="6"/>
      <c r="AF83" s="6"/>
      <c r="AG83" s="12"/>
      <c r="AH83" s="6"/>
      <c r="AI83" s="6"/>
      <c r="AJ83" s="6"/>
      <c r="AK83" s="12"/>
      <c r="AL83" s="6"/>
      <c r="AM83" s="6"/>
      <c r="AN83" s="6"/>
      <c r="AO83" s="12"/>
      <c r="AP83" s="6"/>
      <c r="AQ83" s="6"/>
      <c r="AR83" s="6"/>
      <c r="AS83" s="30">
        <f t="shared" si="37"/>
        <v>25.133333333333333</v>
      </c>
      <c r="AT83" s="30">
        <f t="shared" si="38"/>
        <v>83.016666666666666</v>
      </c>
      <c r="AU83" s="27">
        <f t="shared" si="39"/>
        <v>41979</v>
      </c>
      <c r="AV83" s="27">
        <v>42114</v>
      </c>
      <c r="AW83" s="27">
        <f t="shared" si="40"/>
        <v>41999</v>
      </c>
      <c r="AX83" s="27">
        <v>42114</v>
      </c>
      <c r="AY83" s="28">
        <f t="shared" si="22"/>
        <v>-25</v>
      </c>
      <c r="AZ83" s="28">
        <f t="shared" si="23"/>
        <v>110</v>
      </c>
      <c r="BA83" s="37">
        <f t="shared" si="24"/>
        <v>136</v>
      </c>
      <c r="BB83" s="28">
        <f t="shared" si="25"/>
        <v>-5</v>
      </c>
      <c r="BC83" s="28">
        <f t="shared" si="26"/>
        <v>110</v>
      </c>
      <c r="BD83" s="26">
        <f t="shared" si="27"/>
        <v>116</v>
      </c>
    </row>
    <row r="84" spans="1:56" s="26" customFormat="1" hidden="1" x14ac:dyDescent="0.3">
      <c r="A84" s="6">
        <v>1</v>
      </c>
      <c r="B84" s="6"/>
      <c r="C84" s="6">
        <v>66</v>
      </c>
      <c r="D84" s="6" t="s">
        <v>99</v>
      </c>
      <c r="E84" s="13" t="s">
        <v>100</v>
      </c>
      <c r="F84" s="9" t="str">
        <f t="shared" si="31"/>
        <v>2019-35HD262015OTC</v>
      </c>
      <c r="G84" s="6" t="s">
        <v>101</v>
      </c>
      <c r="H84" s="6" t="s">
        <v>95</v>
      </c>
      <c r="I84" s="6" t="s">
        <v>95</v>
      </c>
      <c r="J84" s="6" t="s">
        <v>96</v>
      </c>
      <c r="K84" s="6" t="s">
        <v>105</v>
      </c>
      <c r="L84" s="6">
        <v>2015</v>
      </c>
      <c r="M84" s="6" t="s">
        <v>97</v>
      </c>
      <c r="N84" s="7" t="s">
        <v>51</v>
      </c>
      <c r="O84" s="6" t="s">
        <v>75</v>
      </c>
      <c r="P84" s="6"/>
      <c r="Q84" s="6">
        <v>21.7</v>
      </c>
      <c r="R84" s="6"/>
      <c r="S84" s="6">
        <v>8</v>
      </c>
      <c r="T84" s="6">
        <v>120</v>
      </c>
      <c r="U84" s="6">
        <v>9</v>
      </c>
      <c r="V84" s="6">
        <f t="shared" si="36"/>
        <v>16.274999999999999</v>
      </c>
      <c r="W84" s="6" t="s">
        <v>65</v>
      </c>
      <c r="X84" s="6"/>
      <c r="Y84" s="12">
        <v>246.23115577889399</v>
      </c>
      <c r="Z84" s="6" t="s">
        <v>80</v>
      </c>
      <c r="AA84" s="6"/>
      <c r="AB84" s="6"/>
      <c r="AC84" s="12"/>
      <c r="AD84" s="6"/>
      <c r="AE84" s="6"/>
      <c r="AF84" s="6"/>
      <c r="AG84" s="12"/>
      <c r="AH84" s="6"/>
      <c r="AI84" s="6"/>
      <c r="AJ84" s="6"/>
      <c r="AK84" s="12"/>
      <c r="AL84" s="6"/>
      <c r="AM84" s="6"/>
      <c r="AN84" s="6"/>
      <c r="AO84" s="12"/>
      <c r="AP84" s="6"/>
      <c r="AQ84" s="6"/>
      <c r="AR84" s="6"/>
      <c r="AS84" s="30">
        <f t="shared" si="37"/>
        <v>25.133333333333333</v>
      </c>
      <c r="AT84" s="30">
        <f t="shared" si="38"/>
        <v>83.016666666666666</v>
      </c>
      <c r="AU84" s="27">
        <f t="shared" si="39"/>
        <v>41979</v>
      </c>
      <c r="AV84" s="27">
        <v>42114</v>
      </c>
      <c r="AW84" s="27">
        <f t="shared" si="40"/>
        <v>41999</v>
      </c>
      <c r="AX84" s="27">
        <v>42114</v>
      </c>
      <c r="AY84" s="28">
        <f t="shared" si="22"/>
        <v>-25</v>
      </c>
      <c r="AZ84" s="28">
        <f t="shared" si="23"/>
        <v>110</v>
      </c>
      <c r="BA84" s="37">
        <f t="shared" si="24"/>
        <v>136</v>
      </c>
      <c r="BB84" s="28">
        <f t="shared" si="25"/>
        <v>-5</v>
      </c>
      <c r="BC84" s="28">
        <f t="shared" si="26"/>
        <v>110</v>
      </c>
      <c r="BD84" s="26">
        <f t="shared" si="27"/>
        <v>116</v>
      </c>
    </row>
    <row r="85" spans="1:56" s="26" customFormat="1" hidden="1" x14ac:dyDescent="0.3">
      <c r="A85" s="6">
        <v>1</v>
      </c>
      <c r="B85" s="6"/>
      <c r="C85" s="6">
        <v>66</v>
      </c>
      <c r="D85" s="6" t="s">
        <v>99</v>
      </c>
      <c r="E85" s="13" t="s">
        <v>100</v>
      </c>
      <c r="F85" s="9" t="str">
        <f t="shared" si="31"/>
        <v>2019-35HD282015OTC</v>
      </c>
      <c r="G85" s="6" t="s">
        <v>101</v>
      </c>
      <c r="H85" s="6" t="s">
        <v>95</v>
      </c>
      <c r="I85" s="6" t="s">
        <v>95</v>
      </c>
      <c r="J85" s="6" t="s">
        <v>96</v>
      </c>
      <c r="K85" s="6" t="s">
        <v>106</v>
      </c>
      <c r="L85" s="6">
        <v>2015</v>
      </c>
      <c r="M85" s="6" t="s">
        <v>97</v>
      </c>
      <c r="N85" s="7" t="s">
        <v>51</v>
      </c>
      <c r="O85" s="6" t="s">
        <v>103</v>
      </c>
      <c r="P85" s="6"/>
      <c r="Q85" s="6">
        <v>8</v>
      </c>
      <c r="R85" s="6"/>
      <c r="S85" s="6">
        <v>8</v>
      </c>
      <c r="T85" s="6">
        <v>120</v>
      </c>
      <c r="U85" s="6">
        <v>9</v>
      </c>
      <c r="V85" s="6">
        <f t="shared" si="36"/>
        <v>6</v>
      </c>
      <c r="W85" s="6" t="s">
        <v>65</v>
      </c>
      <c r="X85" s="6"/>
      <c r="Y85" s="12">
        <v>319.09547738693499</v>
      </c>
      <c r="Z85" s="6" t="s">
        <v>80</v>
      </c>
      <c r="AA85" s="6"/>
      <c r="AB85" s="6"/>
      <c r="AC85" s="12"/>
      <c r="AD85" s="6"/>
      <c r="AE85" s="6"/>
      <c r="AF85" s="6"/>
      <c r="AG85" s="12"/>
      <c r="AH85" s="6"/>
      <c r="AI85" s="6"/>
      <c r="AJ85" s="6"/>
      <c r="AK85" s="12"/>
      <c r="AL85" s="6"/>
      <c r="AM85" s="6"/>
      <c r="AN85" s="6"/>
      <c r="AO85" s="12"/>
      <c r="AP85" s="6"/>
      <c r="AQ85" s="6"/>
      <c r="AR85" s="6"/>
      <c r="AS85" s="30">
        <f t="shared" si="37"/>
        <v>25.133333333333333</v>
      </c>
      <c r="AT85" s="30">
        <f t="shared" si="38"/>
        <v>83.016666666666666</v>
      </c>
      <c r="AU85" s="27">
        <f t="shared" si="39"/>
        <v>41979</v>
      </c>
      <c r="AV85" s="27">
        <v>42114</v>
      </c>
      <c r="AW85" s="27">
        <f t="shared" si="40"/>
        <v>41999</v>
      </c>
      <c r="AX85" s="27">
        <v>42114</v>
      </c>
      <c r="AY85" s="28">
        <f t="shared" si="22"/>
        <v>-25</v>
      </c>
      <c r="AZ85" s="28">
        <f t="shared" si="23"/>
        <v>110</v>
      </c>
      <c r="BA85" s="37">
        <f t="shared" si="24"/>
        <v>136</v>
      </c>
      <c r="BB85" s="28">
        <f t="shared" si="25"/>
        <v>-5</v>
      </c>
      <c r="BC85" s="28">
        <f t="shared" si="26"/>
        <v>110</v>
      </c>
      <c r="BD85" s="26">
        <f t="shared" si="27"/>
        <v>116</v>
      </c>
    </row>
    <row r="86" spans="1:56" s="26" customFormat="1" hidden="1" x14ac:dyDescent="0.3">
      <c r="A86" s="6">
        <v>1</v>
      </c>
      <c r="B86" s="6"/>
      <c r="C86" s="6">
        <v>66</v>
      </c>
      <c r="D86" s="6" t="s">
        <v>99</v>
      </c>
      <c r="E86" s="13" t="s">
        <v>100</v>
      </c>
      <c r="F86" s="9" t="str">
        <f t="shared" si="31"/>
        <v>2019-35HD282015OTC</v>
      </c>
      <c r="G86" s="6" t="s">
        <v>101</v>
      </c>
      <c r="H86" s="6" t="s">
        <v>95</v>
      </c>
      <c r="I86" s="6" t="s">
        <v>95</v>
      </c>
      <c r="J86" s="6" t="s">
        <v>96</v>
      </c>
      <c r="K86" s="6" t="s">
        <v>106</v>
      </c>
      <c r="L86" s="6">
        <v>2015</v>
      </c>
      <c r="M86" s="6" t="s">
        <v>97</v>
      </c>
      <c r="N86" s="7" t="s">
        <v>51</v>
      </c>
      <c r="O86" s="6" t="s">
        <v>75</v>
      </c>
      <c r="P86" s="6"/>
      <c r="Q86" s="6">
        <v>21.7</v>
      </c>
      <c r="R86" s="6"/>
      <c r="S86" s="6">
        <v>8</v>
      </c>
      <c r="T86" s="6">
        <v>120</v>
      </c>
      <c r="U86" s="6">
        <v>9</v>
      </c>
      <c r="V86" s="6">
        <f t="shared" si="36"/>
        <v>16.274999999999999</v>
      </c>
      <c r="W86" s="6" t="s">
        <v>65</v>
      </c>
      <c r="X86" s="6"/>
      <c r="Y86" s="12">
        <v>216.08040201004999</v>
      </c>
      <c r="Z86" s="6" t="s">
        <v>80</v>
      </c>
      <c r="AA86" s="6"/>
      <c r="AB86" s="6"/>
      <c r="AC86" s="12"/>
      <c r="AD86" s="6"/>
      <c r="AE86" s="6"/>
      <c r="AF86" s="6"/>
      <c r="AG86" s="12"/>
      <c r="AH86" s="6"/>
      <c r="AI86" s="6"/>
      <c r="AJ86" s="6"/>
      <c r="AK86" s="12"/>
      <c r="AL86" s="6"/>
      <c r="AM86" s="6"/>
      <c r="AN86" s="6"/>
      <c r="AO86" s="12"/>
      <c r="AP86" s="6"/>
      <c r="AQ86" s="6"/>
      <c r="AR86" s="6"/>
      <c r="AS86" s="30">
        <f t="shared" si="37"/>
        <v>25.133333333333333</v>
      </c>
      <c r="AT86" s="30">
        <f t="shared" si="38"/>
        <v>83.016666666666666</v>
      </c>
      <c r="AU86" s="27">
        <f t="shared" si="39"/>
        <v>41979</v>
      </c>
      <c r="AV86" s="27">
        <v>42114</v>
      </c>
      <c r="AW86" s="27">
        <f t="shared" si="40"/>
        <v>41999</v>
      </c>
      <c r="AX86" s="27">
        <v>42114</v>
      </c>
      <c r="AY86" s="28">
        <f t="shared" si="22"/>
        <v>-25</v>
      </c>
      <c r="AZ86" s="28">
        <f t="shared" si="23"/>
        <v>110</v>
      </c>
      <c r="BA86" s="37">
        <f t="shared" si="24"/>
        <v>136</v>
      </c>
      <c r="BB86" s="28">
        <f t="shared" si="25"/>
        <v>-5</v>
      </c>
      <c r="BC86" s="28">
        <f t="shared" si="26"/>
        <v>110</v>
      </c>
      <c r="BD86" s="26">
        <f t="shared" si="27"/>
        <v>116</v>
      </c>
    </row>
    <row r="87" spans="1:56" s="26" customFormat="1" hidden="1" x14ac:dyDescent="0.3">
      <c r="A87" s="6">
        <v>1</v>
      </c>
      <c r="B87" s="6"/>
      <c r="C87" s="6">
        <v>66</v>
      </c>
      <c r="D87" s="6" t="s">
        <v>99</v>
      </c>
      <c r="E87" s="13" t="s">
        <v>100</v>
      </c>
      <c r="F87" s="9" t="str">
        <f t="shared" si="31"/>
        <v>2019-35HD302015OTC</v>
      </c>
      <c r="G87" s="6" t="s">
        <v>101</v>
      </c>
      <c r="H87" s="6" t="s">
        <v>95</v>
      </c>
      <c r="I87" s="6" t="s">
        <v>95</v>
      </c>
      <c r="J87" s="6" t="s">
        <v>96</v>
      </c>
      <c r="K87" s="6" t="s">
        <v>107</v>
      </c>
      <c r="L87" s="6">
        <v>2015</v>
      </c>
      <c r="M87" s="6" t="s">
        <v>97</v>
      </c>
      <c r="N87" s="7" t="s">
        <v>51</v>
      </c>
      <c r="O87" s="6" t="s">
        <v>103</v>
      </c>
      <c r="P87" s="6"/>
      <c r="Q87" s="6">
        <v>8</v>
      </c>
      <c r="R87" s="6"/>
      <c r="S87" s="6">
        <v>8</v>
      </c>
      <c r="T87" s="6">
        <v>120</v>
      </c>
      <c r="U87" s="6">
        <v>9</v>
      </c>
      <c r="V87" s="6">
        <f t="shared" si="36"/>
        <v>6</v>
      </c>
      <c r="W87" s="6" t="s">
        <v>65</v>
      </c>
      <c r="X87" s="6"/>
      <c r="Y87" s="12">
        <v>366.83417085427101</v>
      </c>
      <c r="Z87" s="6" t="s">
        <v>80</v>
      </c>
      <c r="AA87" s="6"/>
      <c r="AB87" s="6"/>
      <c r="AC87" s="12"/>
      <c r="AD87" s="6"/>
      <c r="AE87" s="6"/>
      <c r="AF87" s="6"/>
      <c r="AG87" s="12"/>
      <c r="AH87" s="6"/>
      <c r="AI87" s="6"/>
      <c r="AJ87" s="6"/>
      <c r="AK87" s="12"/>
      <c r="AL87" s="6"/>
      <c r="AM87" s="6"/>
      <c r="AN87" s="6"/>
      <c r="AO87" s="12"/>
      <c r="AP87" s="6"/>
      <c r="AQ87" s="6"/>
      <c r="AR87" s="6"/>
      <c r="AS87" s="30">
        <f t="shared" si="37"/>
        <v>25.133333333333333</v>
      </c>
      <c r="AT87" s="30">
        <f t="shared" si="38"/>
        <v>83.016666666666666</v>
      </c>
      <c r="AU87" s="27">
        <f t="shared" si="39"/>
        <v>41979</v>
      </c>
      <c r="AV87" s="27">
        <v>42114</v>
      </c>
      <c r="AW87" s="27">
        <f t="shared" si="40"/>
        <v>41999</v>
      </c>
      <c r="AX87" s="27">
        <v>42114</v>
      </c>
      <c r="AY87" s="28">
        <f t="shared" ref="AY87:AY118" si="41">AU87-INT(YEAR(AV87)&amp;"/1/1")+1</f>
        <v>-25</v>
      </c>
      <c r="AZ87" s="28">
        <f t="shared" ref="AZ87:AZ118" si="42">AV87-INT(YEAR(AV87)&amp;"/1/1")+1</f>
        <v>110</v>
      </c>
      <c r="BA87" s="37">
        <f t="shared" ref="BA87:BA118" si="43">AZ87-AY87+1</f>
        <v>136</v>
      </c>
      <c r="BB87" s="28">
        <f t="shared" ref="BB87:BB118" si="44">AW87-INT(YEAR(AX87)&amp;"/1/1")+1</f>
        <v>-5</v>
      </c>
      <c r="BC87" s="28">
        <f t="shared" si="26"/>
        <v>110</v>
      </c>
      <c r="BD87" s="26">
        <f t="shared" si="27"/>
        <v>116</v>
      </c>
    </row>
    <row r="88" spans="1:56" s="26" customFormat="1" hidden="1" x14ac:dyDescent="0.3">
      <c r="A88" s="6">
        <v>1</v>
      </c>
      <c r="B88" s="6"/>
      <c r="C88" s="6">
        <v>66</v>
      </c>
      <c r="D88" s="6" t="s">
        <v>99</v>
      </c>
      <c r="E88" s="13" t="s">
        <v>100</v>
      </c>
      <c r="F88" s="9" t="str">
        <f t="shared" si="31"/>
        <v>2019-35HD302015OTC</v>
      </c>
      <c r="G88" s="6" t="s">
        <v>101</v>
      </c>
      <c r="H88" s="6" t="s">
        <v>95</v>
      </c>
      <c r="I88" s="6" t="s">
        <v>95</v>
      </c>
      <c r="J88" s="6" t="s">
        <v>96</v>
      </c>
      <c r="K88" s="6" t="s">
        <v>107</v>
      </c>
      <c r="L88" s="6">
        <v>2015</v>
      </c>
      <c r="M88" s="6" t="s">
        <v>97</v>
      </c>
      <c r="N88" s="7" t="s">
        <v>51</v>
      </c>
      <c r="O88" s="6" t="s">
        <v>75</v>
      </c>
      <c r="P88" s="6"/>
      <c r="Q88" s="6">
        <v>21.7</v>
      </c>
      <c r="R88" s="6"/>
      <c r="S88" s="6">
        <v>8</v>
      </c>
      <c r="T88" s="6">
        <v>120</v>
      </c>
      <c r="U88" s="6">
        <v>9</v>
      </c>
      <c r="V88" s="6">
        <f t="shared" si="36"/>
        <v>16.274999999999999</v>
      </c>
      <c r="W88" s="6" t="s">
        <v>65</v>
      </c>
      <c r="X88" s="6"/>
      <c r="Y88" s="12">
        <v>278.89447236180899</v>
      </c>
      <c r="Z88" s="6" t="s">
        <v>80</v>
      </c>
      <c r="AA88" s="6"/>
      <c r="AB88" s="6"/>
      <c r="AC88" s="12"/>
      <c r="AD88" s="6"/>
      <c r="AE88" s="6"/>
      <c r="AF88" s="6"/>
      <c r="AG88" s="12"/>
      <c r="AH88" s="6"/>
      <c r="AI88" s="6"/>
      <c r="AJ88" s="6"/>
      <c r="AK88" s="12"/>
      <c r="AL88" s="6"/>
      <c r="AM88" s="6"/>
      <c r="AN88" s="6"/>
      <c r="AO88" s="12"/>
      <c r="AP88" s="6"/>
      <c r="AQ88" s="6"/>
      <c r="AR88" s="6"/>
      <c r="AS88" s="30">
        <f t="shared" si="37"/>
        <v>25.133333333333333</v>
      </c>
      <c r="AT88" s="30">
        <f t="shared" si="38"/>
        <v>83.016666666666666</v>
      </c>
      <c r="AU88" s="27">
        <f t="shared" si="39"/>
        <v>41979</v>
      </c>
      <c r="AV88" s="27">
        <v>42114</v>
      </c>
      <c r="AW88" s="27">
        <f t="shared" si="40"/>
        <v>41999</v>
      </c>
      <c r="AX88" s="27">
        <v>42114</v>
      </c>
      <c r="AY88" s="28">
        <f t="shared" si="41"/>
        <v>-25</v>
      </c>
      <c r="AZ88" s="28">
        <f t="shared" si="42"/>
        <v>110</v>
      </c>
      <c r="BA88" s="37">
        <f t="shared" si="43"/>
        <v>136</v>
      </c>
      <c r="BB88" s="28">
        <f t="shared" si="44"/>
        <v>-5</v>
      </c>
      <c r="BC88" s="28">
        <f t="shared" si="26"/>
        <v>110</v>
      </c>
      <c r="BD88" s="26">
        <f t="shared" si="27"/>
        <v>116</v>
      </c>
    </row>
    <row r="89" spans="1:56" s="26" customFormat="1" hidden="1" x14ac:dyDescent="0.3">
      <c r="A89" s="6">
        <v>1</v>
      </c>
      <c r="B89" s="6"/>
      <c r="C89" s="6">
        <v>66</v>
      </c>
      <c r="D89" s="6" t="s">
        <v>99</v>
      </c>
      <c r="E89" s="13" t="s">
        <v>100</v>
      </c>
      <c r="F89" s="9" t="str">
        <f t="shared" si="31"/>
        <v>2019-35HU122015OTC</v>
      </c>
      <c r="G89" s="6" t="s">
        <v>101</v>
      </c>
      <c r="H89" s="6" t="s">
        <v>95</v>
      </c>
      <c r="I89" s="6" t="s">
        <v>95</v>
      </c>
      <c r="J89" s="6" t="s">
        <v>96</v>
      </c>
      <c r="K89" s="6" t="s">
        <v>108</v>
      </c>
      <c r="L89" s="6">
        <v>2015</v>
      </c>
      <c r="M89" s="6" t="s">
        <v>97</v>
      </c>
      <c r="N89" s="7" t="s">
        <v>51</v>
      </c>
      <c r="O89" s="6" t="s">
        <v>103</v>
      </c>
      <c r="P89" s="6"/>
      <c r="Q89" s="6">
        <v>8</v>
      </c>
      <c r="R89" s="6"/>
      <c r="S89" s="6">
        <v>8</v>
      </c>
      <c r="T89" s="6">
        <v>120</v>
      </c>
      <c r="U89" s="6">
        <v>9</v>
      </c>
      <c r="V89" s="6">
        <f t="shared" si="36"/>
        <v>6</v>
      </c>
      <c r="W89" s="6" t="s">
        <v>65</v>
      </c>
      <c r="X89" s="6"/>
      <c r="Y89" s="12">
        <v>270.93596059113298</v>
      </c>
      <c r="Z89" s="6" t="s">
        <v>80</v>
      </c>
      <c r="AA89" s="6"/>
      <c r="AB89" s="6"/>
      <c r="AC89" s="12"/>
      <c r="AD89" s="6"/>
      <c r="AE89" s="6"/>
      <c r="AF89" s="6"/>
      <c r="AG89" s="12"/>
      <c r="AH89" s="6"/>
      <c r="AI89" s="6"/>
      <c r="AJ89" s="6"/>
      <c r="AK89" s="12"/>
      <c r="AL89" s="6"/>
      <c r="AM89" s="6"/>
      <c r="AN89" s="6"/>
      <c r="AO89" s="12"/>
      <c r="AP89" s="6"/>
      <c r="AQ89" s="6"/>
      <c r="AR89" s="6"/>
      <c r="AS89" s="30">
        <f t="shared" si="37"/>
        <v>25.133333333333333</v>
      </c>
      <c r="AT89" s="30">
        <f t="shared" si="38"/>
        <v>83.016666666666666</v>
      </c>
      <c r="AU89" s="27">
        <f t="shared" si="39"/>
        <v>41979</v>
      </c>
      <c r="AV89" s="27">
        <v>42114</v>
      </c>
      <c r="AW89" s="27">
        <f t="shared" si="40"/>
        <v>41999</v>
      </c>
      <c r="AX89" s="27">
        <v>42114</v>
      </c>
      <c r="AY89" s="28">
        <f t="shared" si="41"/>
        <v>-25</v>
      </c>
      <c r="AZ89" s="28">
        <f t="shared" si="42"/>
        <v>110</v>
      </c>
      <c r="BA89" s="37">
        <f t="shared" si="43"/>
        <v>136</v>
      </c>
      <c r="BB89" s="28">
        <f t="shared" si="44"/>
        <v>-5</v>
      </c>
      <c r="BC89" s="28">
        <f t="shared" si="26"/>
        <v>110</v>
      </c>
      <c r="BD89" s="26">
        <f t="shared" si="27"/>
        <v>116</v>
      </c>
    </row>
    <row r="90" spans="1:56" s="26" customFormat="1" hidden="1" x14ac:dyDescent="0.3">
      <c r="A90" s="6">
        <v>1</v>
      </c>
      <c r="B90" s="6"/>
      <c r="C90" s="6">
        <v>66</v>
      </c>
      <c r="D90" s="6" t="s">
        <v>99</v>
      </c>
      <c r="E90" s="13" t="s">
        <v>100</v>
      </c>
      <c r="F90" s="9" t="str">
        <f t="shared" si="31"/>
        <v>2019-35HU122015OTC</v>
      </c>
      <c r="G90" s="6" t="s">
        <v>101</v>
      </c>
      <c r="H90" s="6" t="s">
        <v>95</v>
      </c>
      <c r="I90" s="6" t="s">
        <v>95</v>
      </c>
      <c r="J90" s="6" t="s">
        <v>96</v>
      </c>
      <c r="K90" s="6" t="s">
        <v>108</v>
      </c>
      <c r="L90" s="6">
        <v>2015</v>
      </c>
      <c r="M90" s="6" t="s">
        <v>97</v>
      </c>
      <c r="N90" s="7" t="s">
        <v>51</v>
      </c>
      <c r="O90" s="6" t="s">
        <v>75</v>
      </c>
      <c r="P90" s="6"/>
      <c r="Q90" s="6">
        <v>21.7</v>
      </c>
      <c r="R90" s="6"/>
      <c r="S90" s="6">
        <v>8</v>
      </c>
      <c r="T90" s="6">
        <v>120</v>
      </c>
      <c r="U90" s="6">
        <v>9</v>
      </c>
      <c r="V90" s="6">
        <f t="shared" si="36"/>
        <v>16.274999999999999</v>
      </c>
      <c r="W90" s="6" t="s">
        <v>65</v>
      </c>
      <c r="X90" s="6"/>
      <c r="Y90" s="12">
        <v>241.37931034482801</v>
      </c>
      <c r="Z90" s="6" t="s">
        <v>80</v>
      </c>
      <c r="AA90" s="6"/>
      <c r="AB90" s="6"/>
      <c r="AC90" s="12"/>
      <c r="AD90" s="6"/>
      <c r="AE90" s="6"/>
      <c r="AF90" s="6"/>
      <c r="AG90" s="12"/>
      <c r="AH90" s="6"/>
      <c r="AI90" s="6"/>
      <c r="AJ90" s="6"/>
      <c r="AK90" s="12"/>
      <c r="AL90" s="6"/>
      <c r="AM90" s="6"/>
      <c r="AN90" s="6"/>
      <c r="AO90" s="12"/>
      <c r="AP90" s="6"/>
      <c r="AQ90" s="6"/>
      <c r="AR90" s="6"/>
      <c r="AS90" s="30">
        <f t="shared" si="37"/>
        <v>25.133333333333333</v>
      </c>
      <c r="AT90" s="30">
        <f t="shared" si="38"/>
        <v>83.016666666666666</v>
      </c>
      <c r="AU90" s="27">
        <f t="shared" si="39"/>
        <v>41979</v>
      </c>
      <c r="AV90" s="27">
        <v>42114</v>
      </c>
      <c r="AW90" s="27">
        <f t="shared" si="40"/>
        <v>41999</v>
      </c>
      <c r="AX90" s="27">
        <v>42114</v>
      </c>
      <c r="AY90" s="28">
        <f t="shared" si="41"/>
        <v>-25</v>
      </c>
      <c r="AZ90" s="28">
        <f t="shared" si="42"/>
        <v>110</v>
      </c>
      <c r="BA90" s="37">
        <f t="shared" si="43"/>
        <v>136</v>
      </c>
      <c r="BB90" s="28">
        <f t="shared" si="44"/>
        <v>-5</v>
      </c>
      <c r="BC90" s="28">
        <f t="shared" si="26"/>
        <v>110</v>
      </c>
      <c r="BD90" s="26">
        <f t="shared" si="27"/>
        <v>116</v>
      </c>
    </row>
    <row r="91" spans="1:56" s="26" customFormat="1" hidden="1" x14ac:dyDescent="0.3">
      <c r="A91" s="6">
        <v>1</v>
      </c>
      <c r="B91" s="6"/>
      <c r="C91" s="6">
        <v>66</v>
      </c>
      <c r="D91" s="6" t="s">
        <v>99</v>
      </c>
      <c r="E91" s="13" t="s">
        <v>100</v>
      </c>
      <c r="F91" s="9" t="str">
        <f t="shared" si="31"/>
        <v>2019-35HU212015OTC</v>
      </c>
      <c r="G91" s="6" t="s">
        <v>101</v>
      </c>
      <c r="H91" s="6" t="s">
        <v>95</v>
      </c>
      <c r="I91" s="6" t="s">
        <v>95</v>
      </c>
      <c r="J91" s="6" t="s">
        <v>96</v>
      </c>
      <c r="K91" s="6" t="s">
        <v>109</v>
      </c>
      <c r="L91" s="6">
        <v>2015</v>
      </c>
      <c r="M91" s="6" t="s">
        <v>97</v>
      </c>
      <c r="N91" s="7" t="s">
        <v>51</v>
      </c>
      <c r="O91" s="6" t="s">
        <v>103</v>
      </c>
      <c r="P91" s="6"/>
      <c r="Q91" s="6">
        <v>8</v>
      </c>
      <c r="R91" s="6"/>
      <c r="S91" s="6">
        <v>8</v>
      </c>
      <c r="T91" s="6">
        <v>120</v>
      </c>
      <c r="U91" s="6">
        <v>9</v>
      </c>
      <c r="V91" s="6">
        <f t="shared" si="36"/>
        <v>6</v>
      </c>
      <c r="W91" s="6" t="s">
        <v>65</v>
      </c>
      <c r="X91" s="6"/>
      <c r="Y91" s="12">
        <v>320.19704433497498</v>
      </c>
      <c r="Z91" s="6" t="s">
        <v>80</v>
      </c>
      <c r="AA91" s="6"/>
      <c r="AB91" s="6"/>
      <c r="AC91" s="12"/>
      <c r="AD91" s="6"/>
      <c r="AE91" s="6"/>
      <c r="AF91" s="6"/>
      <c r="AG91" s="12"/>
      <c r="AH91" s="6"/>
      <c r="AI91" s="6"/>
      <c r="AJ91" s="6"/>
      <c r="AK91" s="12"/>
      <c r="AL91" s="6"/>
      <c r="AM91" s="6"/>
      <c r="AN91" s="6"/>
      <c r="AO91" s="12"/>
      <c r="AP91" s="6"/>
      <c r="AQ91" s="6"/>
      <c r="AR91" s="6"/>
      <c r="AS91" s="30">
        <f t="shared" si="37"/>
        <v>25.133333333333333</v>
      </c>
      <c r="AT91" s="30">
        <f t="shared" si="38"/>
        <v>83.016666666666666</v>
      </c>
      <c r="AU91" s="27">
        <f t="shared" si="39"/>
        <v>41979</v>
      </c>
      <c r="AV91" s="27">
        <v>42114</v>
      </c>
      <c r="AW91" s="27">
        <f t="shared" si="40"/>
        <v>41999</v>
      </c>
      <c r="AX91" s="27">
        <v>42114</v>
      </c>
      <c r="AY91" s="28">
        <f t="shared" si="41"/>
        <v>-25</v>
      </c>
      <c r="AZ91" s="28">
        <f t="shared" si="42"/>
        <v>110</v>
      </c>
      <c r="BA91" s="37">
        <f t="shared" si="43"/>
        <v>136</v>
      </c>
      <c r="BB91" s="28">
        <f t="shared" si="44"/>
        <v>-5</v>
      </c>
      <c r="BC91" s="28">
        <f t="shared" si="26"/>
        <v>110</v>
      </c>
      <c r="BD91" s="26">
        <f t="shared" si="27"/>
        <v>116</v>
      </c>
    </row>
    <row r="92" spans="1:56" s="26" customFormat="1" hidden="1" x14ac:dyDescent="0.3">
      <c r="A92" s="6">
        <v>1</v>
      </c>
      <c r="B92" s="6"/>
      <c r="C92" s="6">
        <v>66</v>
      </c>
      <c r="D92" s="6" t="s">
        <v>99</v>
      </c>
      <c r="E92" s="13" t="s">
        <v>100</v>
      </c>
      <c r="F92" s="9" t="str">
        <f t="shared" si="31"/>
        <v>2019-35HU212015OTC</v>
      </c>
      <c r="G92" s="6" t="s">
        <v>101</v>
      </c>
      <c r="H92" s="6" t="s">
        <v>95</v>
      </c>
      <c r="I92" s="6" t="s">
        <v>95</v>
      </c>
      <c r="J92" s="6" t="s">
        <v>96</v>
      </c>
      <c r="K92" s="6" t="s">
        <v>109</v>
      </c>
      <c r="L92" s="6">
        <v>2015</v>
      </c>
      <c r="M92" s="6" t="s">
        <v>97</v>
      </c>
      <c r="N92" s="7" t="s">
        <v>51</v>
      </c>
      <c r="O92" s="6" t="s">
        <v>75</v>
      </c>
      <c r="P92" s="6"/>
      <c r="Q92" s="6">
        <v>21.7</v>
      </c>
      <c r="R92" s="6"/>
      <c r="S92" s="6">
        <v>8</v>
      </c>
      <c r="T92" s="6">
        <v>120</v>
      </c>
      <c r="U92" s="6">
        <v>9</v>
      </c>
      <c r="V92" s="6">
        <f t="shared" si="36"/>
        <v>16.274999999999999</v>
      </c>
      <c r="W92" s="6" t="s">
        <v>65</v>
      </c>
      <c r="X92" s="6"/>
      <c r="Y92" s="12">
        <v>266.00985221674898</v>
      </c>
      <c r="Z92" s="6" t="s">
        <v>80</v>
      </c>
      <c r="AA92" s="6"/>
      <c r="AB92" s="6"/>
      <c r="AC92" s="12"/>
      <c r="AD92" s="6"/>
      <c r="AE92" s="6"/>
      <c r="AF92" s="6"/>
      <c r="AG92" s="12"/>
      <c r="AH92" s="6"/>
      <c r="AI92" s="6"/>
      <c r="AJ92" s="6"/>
      <c r="AK92" s="12"/>
      <c r="AL92" s="6"/>
      <c r="AM92" s="6"/>
      <c r="AN92" s="6"/>
      <c r="AO92" s="12"/>
      <c r="AP92" s="6"/>
      <c r="AQ92" s="6"/>
      <c r="AR92" s="6"/>
      <c r="AS92" s="30">
        <f t="shared" si="37"/>
        <v>25.133333333333333</v>
      </c>
      <c r="AT92" s="30">
        <f t="shared" si="38"/>
        <v>83.016666666666666</v>
      </c>
      <c r="AU92" s="27">
        <f t="shared" si="39"/>
        <v>41979</v>
      </c>
      <c r="AV92" s="27">
        <v>42114</v>
      </c>
      <c r="AW92" s="27">
        <f t="shared" si="40"/>
        <v>41999</v>
      </c>
      <c r="AX92" s="27">
        <v>42114</v>
      </c>
      <c r="AY92" s="28">
        <f t="shared" si="41"/>
        <v>-25</v>
      </c>
      <c r="AZ92" s="28">
        <f t="shared" si="42"/>
        <v>110</v>
      </c>
      <c r="BA92" s="37">
        <f t="shared" si="43"/>
        <v>136</v>
      </c>
      <c r="BB92" s="28">
        <f t="shared" si="44"/>
        <v>-5</v>
      </c>
      <c r="BC92" s="28">
        <f t="shared" si="26"/>
        <v>110</v>
      </c>
      <c r="BD92" s="26">
        <f t="shared" si="27"/>
        <v>116</v>
      </c>
    </row>
    <row r="93" spans="1:56" s="26" customFormat="1" hidden="1" x14ac:dyDescent="0.3">
      <c r="A93" s="6">
        <v>1</v>
      </c>
      <c r="B93" s="6"/>
      <c r="C93" s="6">
        <v>66</v>
      </c>
      <c r="D93" s="6" t="s">
        <v>99</v>
      </c>
      <c r="E93" s="13" t="s">
        <v>100</v>
      </c>
      <c r="F93" s="9" t="str">
        <f t="shared" si="31"/>
        <v>2019-35HU252015OTC</v>
      </c>
      <c r="G93" s="6" t="s">
        <v>101</v>
      </c>
      <c r="H93" s="6" t="s">
        <v>95</v>
      </c>
      <c r="I93" s="6" t="s">
        <v>95</v>
      </c>
      <c r="J93" s="6" t="s">
        <v>96</v>
      </c>
      <c r="K93" s="6" t="s">
        <v>110</v>
      </c>
      <c r="L93" s="6">
        <v>2015</v>
      </c>
      <c r="M93" s="6" t="s">
        <v>97</v>
      </c>
      <c r="N93" s="7" t="s">
        <v>51</v>
      </c>
      <c r="O93" s="6" t="s">
        <v>103</v>
      </c>
      <c r="P93" s="6"/>
      <c r="Q93" s="6">
        <v>8</v>
      </c>
      <c r="R93" s="6"/>
      <c r="S93" s="6">
        <v>8</v>
      </c>
      <c r="T93" s="6">
        <v>120</v>
      </c>
      <c r="U93" s="6">
        <v>9</v>
      </c>
      <c r="V93" s="6">
        <f t="shared" si="36"/>
        <v>6</v>
      </c>
      <c r="W93" s="6" t="s">
        <v>65</v>
      </c>
      <c r="X93" s="6"/>
      <c r="Y93" s="12">
        <v>310.34482758620697</v>
      </c>
      <c r="Z93" s="6" t="s">
        <v>80</v>
      </c>
      <c r="AA93" s="6"/>
      <c r="AB93" s="6"/>
      <c r="AC93" s="12"/>
      <c r="AD93" s="6"/>
      <c r="AE93" s="6"/>
      <c r="AF93" s="6"/>
      <c r="AG93" s="12"/>
      <c r="AH93" s="6"/>
      <c r="AI93" s="6"/>
      <c r="AJ93" s="6"/>
      <c r="AK93" s="12"/>
      <c r="AL93" s="6"/>
      <c r="AM93" s="6"/>
      <c r="AN93" s="6"/>
      <c r="AO93" s="12"/>
      <c r="AP93" s="6"/>
      <c r="AQ93" s="6"/>
      <c r="AR93" s="6"/>
      <c r="AS93" s="30">
        <f t="shared" si="37"/>
        <v>25.133333333333333</v>
      </c>
      <c r="AT93" s="30">
        <f t="shared" si="38"/>
        <v>83.016666666666666</v>
      </c>
      <c r="AU93" s="27">
        <f t="shared" si="39"/>
        <v>41979</v>
      </c>
      <c r="AV93" s="27">
        <v>42114</v>
      </c>
      <c r="AW93" s="27">
        <f t="shared" si="40"/>
        <v>41999</v>
      </c>
      <c r="AX93" s="27">
        <v>42114</v>
      </c>
      <c r="AY93" s="28">
        <f t="shared" si="41"/>
        <v>-25</v>
      </c>
      <c r="AZ93" s="28">
        <f t="shared" si="42"/>
        <v>110</v>
      </c>
      <c r="BA93" s="37">
        <f t="shared" si="43"/>
        <v>136</v>
      </c>
      <c r="BB93" s="28">
        <f t="shared" si="44"/>
        <v>-5</v>
      </c>
      <c r="BC93" s="28">
        <f t="shared" si="26"/>
        <v>110</v>
      </c>
      <c r="BD93" s="26">
        <f t="shared" si="27"/>
        <v>116</v>
      </c>
    </row>
    <row r="94" spans="1:56" s="26" customFormat="1" hidden="1" x14ac:dyDescent="0.3">
      <c r="A94" s="6">
        <v>1</v>
      </c>
      <c r="B94" s="6"/>
      <c r="C94" s="6">
        <v>66</v>
      </c>
      <c r="D94" s="6" t="s">
        <v>99</v>
      </c>
      <c r="E94" s="13" t="s">
        <v>100</v>
      </c>
      <c r="F94" s="9" t="str">
        <f t="shared" si="31"/>
        <v>2019-35HU252015OTC</v>
      </c>
      <c r="G94" s="6" t="s">
        <v>101</v>
      </c>
      <c r="H94" s="6" t="s">
        <v>95</v>
      </c>
      <c r="I94" s="6" t="s">
        <v>95</v>
      </c>
      <c r="J94" s="6" t="s">
        <v>96</v>
      </c>
      <c r="K94" s="6" t="s">
        <v>110</v>
      </c>
      <c r="L94" s="6">
        <v>2015</v>
      </c>
      <c r="M94" s="6" t="s">
        <v>97</v>
      </c>
      <c r="N94" s="7" t="s">
        <v>51</v>
      </c>
      <c r="O94" s="6" t="s">
        <v>75</v>
      </c>
      <c r="P94" s="6"/>
      <c r="Q94" s="6">
        <v>21.7</v>
      </c>
      <c r="R94" s="6"/>
      <c r="S94" s="6">
        <v>8</v>
      </c>
      <c r="T94" s="6">
        <v>120</v>
      </c>
      <c r="U94" s="6">
        <v>9</v>
      </c>
      <c r="V94" s="6">
        <f t="shared" si="36"/>
        <v>16.274999999999999</v>
      </c>
      <c r="W94" s="6" t="s">
        <v>65</v>
      </c>
      <c r="X94" s="6"/>
      <c r="Y94" s="12">
        <v>248.76847290640401</v>
      </c>
      <c r="Z94" s="6" t="s">
        <v>80</v>
      </c>
      <c r="AA94" s="6"/>
      <c r="AB94" s="6"/>
      <c r="AC94" s="12"/>
      <c r="AD94" s="6"/>
      <c r="AE94" s="6"/>
      <c r="AF94" s="6"/>
      <c r="AG94" s="12"/>
      <c r="AH94" s="6"/>
      <c r="AI94" s="6"/>
      <c r="AJ94" s="6"/>
      <c r="AK94" s="12"/>
      <c r="AL94" s="6"/>
      <c r="AM94" s="6"/>
      <c r="AN94" s="6"/>
      <c r="AO94" s="12"/>
      <c r="AP94" s="6"/>
      <c r="AQ94" s="6"/>
      <c r="AR94" s="6"/>
      <c r="AS94" s="30">
        <f t="shared" si="37"/>
        <v>25.133333333333333</v>
      </c>
      <c r="AT94" s="30">
        <f t="shared" si="38"/>
        <v>83.016666666666666</v>
      </c>
      <c r="AU94" s="27">
        <f t="shared" si="39"/>
        <v>41979</v>
      </c>
      <c r="AV94" s="27">
        <v>42114</v>
      </c>
      <c r="AW94" s="27">
        <f t="shared" si="40"/>
        <v>41999</v>
      </c>
      <c r="AX94" s="27">
        <v>42114</v>
      </c>
      <c r="AY94" s="28">
        <f t="shared" si="41"/>
        <v>-25</v>
      </c>
      <c r="AZ94" s="28">
        <f t="shared" si="42"/>
        <v>110</v>
      </c>
      <c r="BA94" s="37">
        <f t="shared" si="43"/>
        <v>136</v>
      </c>
      <c r="BB94" s="28">
        <f t="shared" si="44"/>
        <v>-5</v>
      </c>
      <c r="BC94" s="28">
        <f t="shared" si="26"/>
        <v>110</v>
      </c>
      <c r="BD94" s="26">
        <f t="shared" si="27"/>
        <v>116</v>
      </c>
    </row>
    <row r="95" spans="1:56" s="26" customFormat="1" hidden="1" x14ac:dyDescent="0.3">
      <c r="A95" s="6">
        <v>1</v>
      </c>
      <c r="B95" s="6"/>
      <c r="C95" s="6">
        <v>66</v>
      </c>
      <c r="D95" s="6" t="s">
        <v>99</v>
      </c>
      <c r="E95" s="13" t="s">
        <v>100</v>
      </c>
      <c r="F95" s="9" t="str">
        <f t="shared" si="31"/>
        <v>2019-35HU552015OTC</v>
      </c>
      <c r="G95" s="6" t="s">
        <v>101</v>
      </c>
      <c r="H95" s="6" t="s">
        <v>95</v>
      </c>
      <c r="I95" s="6" t="s">
        <v>95</v>
      </c>
      <c r="J95" s="6" t="s">
        <v>96</v>
      </c>
      <c r="K95" s="6" t="s">
        <v>111</v>
      </c>
      <c r="L95" s="6">
        <v>2015</v>
      </c>
      <c r="M95" s="6" t="s">
        <v>97</v>
      </c>
      <c r="N95" s="7" t="s">
        <v>51</v>
      </c>
      <c r="O95" s="6" t="s">
        <v>103</v>
      </c>
      <c r="P95" s="6"/>
      <c r="Q95" s="6">
        <v>8</v>
      </c>
      <c r="R95" s="6"/>
      <c r="S95" s="6">
        <v>8</v>
      </c>
      <c r="T95" s="6">
        <v>120</v>
      </c>
      <c r="U95" s="6">
        <v>9</v>
      </c>
      <c r="V95" s="6">
        <f t="shared" si="36"/>
        <v>6</v>
      </c>
      <c r="W95" s="6" t="s">
        <v>65</v>
      </c>
      <c r="X95" s="6"/>
      <c r="Y95" s="12">
        <v>347.290640394089</v>
      </c>
      <c r="Z95" s="6" t="s">
        <v>80</v>
      </c>
      <c r="AA95" s="6"/>
      <c r="AB95" s="6"/>
      <c r="AC95" s="12"/>
      <c r="AD95" s="6"/>
      <c r="AE95" s="6"/>
      <c r="AF95" s="6"/>
      <c r="AG95" s="12"/>
      <c r="AH95" s="6"/>
      <c r="AI95" s="6"/>
      <c r="AJ95" s="6"/>
      <c r="AK95" s="12"/>
      <c r="AL95" s="6"/>
      <c r="AM95" s="6"/>
      <c r="AN95" s="6"/>
      <c r="AO95" s="12"/>
      <c r="AP95" s="6"/>
      <c r="AQ95" s="6"/>
      <c r="AR95" s="6"/>
      <c r="AS95" s="30">
        <f t="shared" si="37"/>
        <v>25.133333333333333</v>
      </c>
      <c r="AT95" s="30">
        <f t="shared" si="38"/>
        <v>83.016666666666666</v>
      </c>
      <c r="AU95" s="27">
        <f t="shared" si="39"/>
        <v>41979</v>
      </c>
      <c r="AV95" s="27">
        <v>42114</v>
      </c>
      <c r="AW95" s="27">
        <f t="shared" si="40"/>
        <v>41999</v>
      </c>
      <c r="AX95" s="27">
        <v>42114</v>
      </c>
      <c r="AY95" s="28">
        <f t="shared" si="41"/>
        <v>-25</v>
      </c>
      <c r="AZ95" s="28">
        <f t="shared" si="42"/>
        <v>110</v>
      </c>
      <c r="BA95" s="37">
        <f t="shared" si="43"/>
        <v>136</v>
      </c>
      <c r="BB95" s="28">
        <f t="shared" si="44"/>
        <v>-5</v>
      </c>
      <c r="BC95" s="28">
        <f t="shared" si="26"/>
        <v>110</v>
      </c>
      <c r="BD95" s="26">
        <f t="shared" si="27"/>
        <v>116</v>
      </c>
    </row>
    <row r="96" spans="1:56" s="26" customFormat="1" hidden="1" x14ac:dyDescent="0.3">
      <c r="A96" s="6">
        <v>1</v>
      </c>
      <c r="B96" s="6"/>
      <c r="C96" s="6">
        <v>66</v>
      </c>
      <c r="D96" s="6" t="s">
        <v>99</v>
      </c>
      <c r="E96" s="13" t="s">
        <v>100</v>
      </c>
      <c r="F96" s="9" t="str">
        <f t="shared" si="31"/>
        <v>2019-35HU552015OTC</v>
      </c>
      <c r="G96" s="6" t="s">
        <v>101</v>
      </c>
      <c r="H96" s="6" t="s">
        <v>95</v>
      </c>
      <c r="I96" s="6" t="s">
        <v>95</v>
      </c>
      <c r="J96" s="6" t="s">
        <v>96</v>
      </c>
      <c r="K96" s="6" t="s">
        <v>111</v>
      </c>
      <c r="L96" s="6">
        <v>2015</v>
      </c>
      <c r="M96" s="6" t="s">
        <v>97</v>
      </c>
      <c r="N96" s="7" t="s">
        <v>51</v>
      </c>
      <c r="O96" s="6" t="s">
        <v>75</v>
      </c>
      <c r="P96" s="6"/>
      <c r="Q96" s="6">
        <v>21.7</v>
      </c>
      <c r="R96" s="6"/>
      <c r="S96" s="6">
        <v>8</v>
      </c>
      <c r="T96" s="6">
        <v>120</v>
      </c>
      <c r="U96" s="6">
        <v>9</v>
      </c>
      <c r="V96" s="6">
        <f t="shared" si="36"/>
        <v>16.274999999999999</v>
      </c>
      <c r="W96" s="6" t="s">
        <v>65</v>
      </c>
      <c r="X96" s="6"/>
      <c r="Y96" s="12">
        <v>275.86206896551698</v>
      </c>
      <c r="Z96" s="6" t="s">
        <v>80</v>
      </c>
      <c r="AA96" s="6"/>
      <c r="AB96" s="6"/>
      <c r="AC96" s="12"/>
      <c r="AD96" s="6"/>
      <c r="AE96" s="6"/>
      <c r="AF96" s="6"/>
      <c r="AG96" s="12"/>
      <c r="AH96" s="6"/>
      <c r="AI96" s="6"/>
      <c r="AJ96" s="6"/>
      <c r="AK96" s="12"/>
      <c r="AL96" s="6"/>
      <c r="AM96" s="6"/>
      <c r="AN96" s="6"/>
      <c r="AO96" s="12"/>
      <c r="AP96" s="6"/>
      <c r="AQ96" s="6"/>
      <c r="AR96" s="6"/>
      <c r="AS96" s="30">
        <f t="shared" si="37"/>
        <v>25.133333333333333</v>
      </c>
      <c r="AT96" s="30">
        <f t="shared" si="38"/>
        <v>83.016666666666666</v>
      </c>
      <c r="AU96" s="27">
        <f t="shared" si="39"/>
        <v>41979</v>
      </c>
      <c r="AV96" s="27">
        <v>42114</v>
      </c>
      <c r="AW96" s="27">
        <f t="shared" si="40"/>
        <v>41999</v>
      </c>
      <c r="AX96" s="27">
        <v>42114</v>
      </c>
      <c r="AY96" s="28">
        <f t="shared" si="41"/>
        <v>-25</v>
      </c>
      <c r="AZ96" s="28">
        <f t="shared" si="42"/>
        <v>110</v>
      </c>
      <c r="BA96" s="37">
        <f t="shared" si="43"/>
        <v>136</v>
      </c>
      <c r="BB96" s="28">
        <f t="shared" si="44"/>
        <v>-5</v>
      </c>
      <c r="BC96" s="28">
        <f t="shared" si="26"/>
        <v>110</v>
      </c>
      <c r="BD96" s="26">
        <f t="shared" si="27"/>
        <v>116</v>
      </c>
    </row>
    <row r="97" spans="1:59" s="26" customFormat="1" hidden="1" x14ac:dyDescent="0.3">
      <c r="A97" s="6">
        <v>1</v>
      </c>
      <c r="B97" s="6"/>
      <c r="C97" s="6">
        <v>66</v>
      </c>
      <c r="D97" s="6" t="s">
        <v>99</v>
      </c>
      <c r="E97" s="13" t="s">
        <v>100</v>
      </c>
      <c r="F97" s="9" t="str">
        <f t="shared" si="31"/>
        <v>2019-35KH652015OTC</v>
      </c>
      <c r="G97" s="6" t="s">
        <v>101</v>
      </c>
      <c r="H97" s="6" t="s">
        <v>95</v>
      </c>
      <c r="I97" s="6" t="s">
        <v>95</v>
      </c>
      <c r="J97" s="6" t="s">
        <v>96</v>
      </c>
      <c r="K97" s="6" t="s">
        <v>112</v>
      </c>
      <c r="L97" s="6">
        <v>2015</v>
      </c>
      <c r="M97" s="6" t="s">
        <v>97</v>
      </c>
      <c r="N97" s="7" t="s">
        <v>51</v>
      </c>
      <c r="O97" s="6" t="s">
        <v>103</v>
      </c>
      <c r="P97" s="6"/>
      <c r="Q97" s="6">
        <v>8</v>
      </c>
      <c r="R97" s="6"/>
      <c r="S97" s="6">
        <v>8</v>
      </c>
      <c r="T97" s="6">
        <v>120</v>
      </c>
      <c r="U97" s="6">
        <v>9</v>
      </c>
      <c r="V97" s="6">
        <f t="shared" si="36"/>
        <v>6</v>
      </c>
      <c r="W97" s="6" t="s">
        <v>65</v>
      </c>
      <c r="X97" s="6"/>
      <c r="Y97" s="12">
        <v>500</v>
      </c>
      <c r="Z97" s="6" t="s">
        <v>80</v>
      </c>
      <c r="AA97" s="6"/>
      <c r="AB97" s="6"/>
      <c r="AC97" s="12"/>
      <c r="AD97" s="6"/>
      <c r="AE97" s="6"/>
      <c r="AF97" s="6"/>
      <c r="AG97" s="12"/>
      <c r="AH97" s="6"/>
      <c r="AI97" s="6"/>
      <c r="AJ97" s="6"/>
      <c r="AK97" s="12"/>
      <c r="AL97" s="6"/>
      <c r="AM97" s="6"/>
      <c r="AN97" s="6"/>
      <c r="AO97" s="12"/>
      <c r="AP97" s="6"/>
      <c r="AQ97" s="6"/>
      <c r="AR97" s="6"/>
      <c r="AS97" s="30">
        <f t="shared" si="37"/>
        <v>25.133333333333333</v>
      </c>
      <c r="AT97" s="30">
        <f t="shared" si="38"/>
        <v>83.016666666666666</v>
      </c>
      <c r="AU97" s="27">
        <f t="shared" si="39"/>
        <v>41979</v>
      </c>
      <c r="AV97" s="27">
        <v>42114</v>
      </c>
      <c r="AW97" s="27">
        <f t="shared" si="40"/>
        <v>41999</v>
      </c>
      <c r="AX97" s="27">
        <v>42114</v>
      </c>
      <c r="AY97" s="28">
        <f t="shared" si="41"/>
        <v>-25</v>
      </c>
      <c r="AZ97" s="28">
        <f t="shared" si="42"/>
        <v>110</v>
      </c>
      <c r="BA97" s="37">
        <f t="shared" si="43"/>
        <v>136</v>
      </c>
      <c r="BB97" s="28">
        <f t="shared" si="44"/>
        <v>-5</v>
      </c>
      <c r="BC97" s="28">
        <f t="shared" si="26"/>
        <v>110</v>
      </c>
      <c r="BD97" s="26">
        <f t="shared" si="27"/>
        <v>116</v>
      </c>
    </row>
    <row r="98" spans="1:59" s="26" customFormat="1" hidden="1" x14ac:dyDescent="0.3">
      <c r="A98" s="6">
        <v>1</v>
      </c>
      <c r="B98" s="6"/>
      <c r="C98" s="6">
        <v>66</v>
      </c>
      <c r="D98" s="6" t="s">
        <v>99</v>
      </c>
      <c r="E98" s="13" t="s">
        <v>100</v>
      </c>
      <c r="F98" s="9" t="str">
        <f t="shared" si="31"/>
        <v>2019-35KH652015OTC</v>
      </c>
      <c r="G98" s="6" t="s">
        <v>101</v>
      </c>
      <c r="H98" s="6" t="s">
        <v>95</v>
      </c>
      <c r="I98" s="6" t="s">
        <v>95</v>
      </c>
      <c r="J98" s="6" t="s">
        <v>96</v>
      </c>
      <c r="K98" s="6" t="s">
        <v>112</v>
      </c>
      <c r="L98" s="6">
        <v>2015</v>
      </c>
      <c r="M98" s="6" t="s">
        <v>97</v>
      </c>
      <c r="N98" s="7" t="s">
        <v>51</v>
      </c>
      <c r="O98" s="6" t="s">
        <v>75</v>
      </c>
      <c r="P98" s="6"/>
      <c r="Q98" s="6">
        <v>21.7</v>
      </c>
      <c r="R98" s="6"/>
      <c r="S98" s="6">
        <v>8</v>
      </c>
      <c r="T98" s="6">
        <v>120</v>
      </c>
      <c r="U98" s="6">
        <v>9</v>
      </c>
      <c r="V98" s="6">
        <f t="shared" si="36"/>
        <v>16.274999999999999</v>
      </c>
      <c r="W98" s="6" t="s">
        <v>65</v>
      </c>
      <c r="X98" s="6"/>
      <c r="Y98" s="12">
        <v>447.236180904523</v>
      </c>
      <c r="Z98" s="6" t="s">
        <v>80</v>
      </c>
      <c r="AA98" s="6"/>
      <c r="AB98" s="6"/>
      <c r="AC98" s="12"/>
      <c r="AD98" s="6"/>
      <c r="AE98" s="6"/>
      <c r="AF98" s="6"/>
      <c r="AG98" s="12"/>
      <c r="AH98" s="6"/>
      <c r="AI98" s="6"/>
      <c r="AJ98" s="6"/>
      <c r="AK98" s="12"/>
      <c r="AL98" s="6"/>
      <c r="AM98" s="6"/>
      <c r="AN98" s="6"/>
      <c r="AO98" s="12"/>
      <c r="AP98" s="6"/>
      <c r="AQ98" s="6"/>
      <c r="AR98" s="6"/>
      <c r="AS98" s="30">
        <f t="shared" si="37"/>
        <v>25.133333333333333</v>
      </c>
      <c r="AT98" s="30">
        <f t="shared" si="38"/>
        <v>83.016666666666666</v>
      </c>
      <c r="AU98" s="27">
        <f t="shared" si="39"/>
        <v>41979</v>
      </c>
      <c r="AV98" s="27">
        <v>42114</v>
      </c>
      <c r="AW98" s="27">
        <f t="shared" si="40"/>
        <v>41999</v>
      </c>
      <c r="AX98" s="27">
        <v>42114</v>
      </c>
      <c r="AY98" s="28">
        <f t="shared" si="41"/>
        <v>-25</v>
      </c>
      <c r="AZ98" s="28">
        <f t="shared" si="42"/>
        <v>110</v>
      </c>
      <c r="BA98" s="37">
        <f t="shared" si="43"/>
        <v>136</v>
      </c>
      <c r="BB98" s="28">
        <f t="shared" si="44"/>
        <v>-5</v>
      </c>
      <c r="BC98" s="28">
        <f t="shared" si="26"/>
        <v>110</v>
      </c>
      <c r="BD98" s="26">
        <f t="shared" si="27"/>
        <v>116</v>
      </c>
    </row>
    <row r="99" spans="1:59" s="26" customFormat="1" hidden="1" x14ac:dyDescent="0.3">
      <c r="A99" s="6">
        <v>1</v>
      </c>
      <c r="B99" s="6"/>
      <c r="C99" s="6">
        <v>66</v>
      </c>
      <c r="D99" s="6" t="s">
        <v>99</v>
      </c>
      <c r="E99" s="13" t="s">
        <v>100</v>
      </c>
      <c r="F99" s="9" t="str">
        <f t="shared" si="31"/>
        <v>2019-35KUND2015OTC</v>
      </c>
      <c r="G99" s="6" t="s">
        <v>101</v>
      </c>
      <c r="H99" s="6" t="s">
        <v>95</v>
      </c>
      <c r="I99" s="6" t="s">
        <v>95</v>
      </c>
      <c r="J99" s="6" t="s">
        <v>96</v>
      </c>
      <c r="K99" s="6" t="s">
        <v>113</v>
      </c>
      <c r="L99" s="6">
        <v>2015</v>
      </c>
      <c r="M99" s="6" t="s">
        <v>97</v>
      </c>
      <c r="N99" s="7" t="s">
        <v>51</v>
      </c>
      <c r="O99" s="6" t="s">
        <v>103</v>
      </c>
      <c r="P99" s="6"/>
      <c r="Q99" s="6">
        <v>8</v>
      </c>
      <c r="R99" s="6"/>
      <c r="S99" s="6">
        <v>8</v>
      </c>
      <c r="T99" s="6">
        <v>120</v>
      </c>
      <c r="U99" s="6">
        <v>9</v>
      </c>
      <c r="V99" s="6">
        <f t="shared" si="36"/>
        <v>6</v>
      </c>
      <c r="W99" s="6" t="s">
        <v>65</v>
      </c>
      <c r="X99" s="6"/>
      <c r="Y99" s="12">
        <v>280.78817733990098</v>
      </c>
      <c r="Z99" s="6" t="s">
        <v>80</v>
      </c>
      <c r="AA99" s="6"/>
      <c r="AB99" s="6"/>
      <c r="AC99" s="12"/>
      <c r="AD99" s="6"/>
      <c r="AE99" s="6"/>
      <c r="AF99" s="6"/>
      <c r="AG99" s="12"/>
      <c r="AH99" s="6"/>
      <c r="AI99" s="6"/>
      <c r="AJ99" s="6"/>
      <c r="AK99" s="12"/>
      <c r="AL99" s="6"/>
      <c r="AM99" s="6"/>
      <c r="AN99" s="6"/>
      <c r="AO99" s="12"/>
      <c r="AP99" s="6"/>
      <c r="AQ99" s="6"/>
      <c r="AR99" s="6"/>
      <c r="AS99" s="30">
        <f t="shared" si="37"/>
        <v>25.133333333333333</v>
      </c>
      <c r="AT99" s="30">
        <f t="shared" si="38"/>
        <v>83.016666666666666</v>
      </c>
      <c r="AU99" s="27">
        <f t="shared" si="39"/>
        <v>41979</v>
      </c>
      <c r="AV99" s="27">
        <v>42114</v>
      </c>
      <c r="AW99" s="27">
        <f t="shared" si="40"/>
        <v>41999</v>
      </c>
      <c r="AX99" s="27">
        <v>42114</v>
      </c>
      <c r="AY99" s="28">
        <f t="shared" si="41"/>
        <v>-25</v>
      </c>
      <c r="AZ99" s="28">
        <f t="shared" si="42"/>
        <v>110</v>
      </c>
      <c r="BA99" s="37">
        <f t="shared" si="43"/>
        <v>136</v>
      </c>
      <c r="BB99" s="28">
        <f t="shared" si="44"/>
        <v>-5</v>
      </c>
      <c r="BC99" s="28">
        <f t="shared" si="26"/>
        <v>110</v>
      </c>
      <c r="BD99" s="26">
        <f t="shared" si="27"/>
        <v>116</v>
      </c>
    </row>
    <row r="100" spans="1:59" s="26" customFormat="1" hidden="1" x14ac:dyDescent="0.3">
      <c r="A100" s="6">
        <v>1</v>
      </c>
      <c r="B100" s="6"/>
      <c r="C100" s="6">
        <v>66</v>
      </c>
      <c r="D100" s="6" t="s">
        <v>99</v>
      </c>
      <c r="E100" s="13" t="s">
        <v>100</v>
      </c>
      <c r="F100" s="9" t="str">
        <f t="shared" si="31"/>
        <v>2019-35KUND2015OTC</v>
      </c>
      <c r="G100" s="6" t="s">
        <v>101</v>
      </c>
      <c r="H100" s="6" t="s">
        <v>95</v>
      </c>
      <c r="I100" s="6" t="s">
        <v>95</v>
      </c>
      <c r="J100" s="6" t="s">
        <v>96</v>
      </c>
      <c r="K100" s="6" t="s">
        <v>113</v>
      </c>
      <c r="L100" s="6">
        <v>2015</v>
      </c>
      <c r="M100" s="6" t="s">
        <v>97</v>
      </c>
      <c r="N100" s="7" t="s">
        <v>51</v>
      </c>
      <c r="O100" s="6" t="s">
        <v>75</v>
      </c>
      <c r="P100" s="6"/>
      <c r="Q100" s="6">
        <v>21.7</v>
      </c>
      <c r="R100" s="6"/>
      <c r="S100" s="6">
        <v>8</v>
      </c>
      <c r="T100" s="6">
        <v>120</v>
      </c>
      <c r="U100" s="6">
        <v>9</v>
      </c>
      <c r="V100" s="6">
        <f t="shared" si="36"/>
        <v>16.274999999999999</v>
      </c>
      <c r="W100" s="6" t="s">
        <v>65</v>
      </c>
      <c r="X100" s="6"/>
      <c r="Y100" s="12">
        <v>246.30541871921201</v>
      </c>
      <c r="Z100" s="6" t="s">
        <v>80</v>
      </c>
      <c r="AA100" s="6"/>
      <c r="AB100" s="6"/>
      <c r="AC100" s="12"/>
      <c r="AD100" s="6"/>
      <c r="AE100" s="6"/>
      <c r="AF100" s="6"/>
      <c r="AG100" s="12"/>
      <c r="AH100" s="6"/>
      <c r="AI100" s="6"/>
      <c r="AJ100" s="6"/>
      <c r="AK100" s="12"/>
      <c r="AL100" s="6"/>
      <c r="AM100" s="6"/>
      <c r="AN100" s="6"/>
      <c r="AO100" s="12"/>
      <c r="AP100" s="6"/>
      <c r="AQ100" s="6"/>
      <c r="AR100" s="6"/>
      <c r="AS100" s="30">
        <f t="shared" si="37"/>
        <v>25.133333333333333</v>
      </c>
      <c r="AT100" s="30">
        <f t="shared" si="38"/>
        <v>83.016666666666666</v>
      </c>
      <c r="AU100" s="27">
        <f t="shared" si="39"/>
        <v>41979</v>
      </c>
      <c r="AV100" s="27">
        <v>42114</v>
      </c>
      <c r="AW100" s="27">
        <f t="shared" si="40"/>
        <v>41999</v>
      </c>
      <c r="AX100" s="27">
        <v>42114</v>
      </c>
      <c r="AY100" s="28">
        <f t="shared" si="41"/>
        <v>-25</v>
      </c>
      <c r="AZ100" s="28">
        <f t="shared" si="42"/>
        <v>110</v>
      </c>
      <c r="BA100" s="37">
        <f t="shared" si="43"/>
        <v>136</v>
      </c>
      <c r="BB100" s="28">
        <f t="shared" si="44"/>
        <v>-5</v>
      </c>
      <c r="BC100" s="28">
        <f t="shared" si="26"/>
        <v>110</v>
      </c>
      <c r="BD100" s="26">
        <f t="shared" si="27"/>
        <v>116</v>
      </c>
    </row>
    <row r="101" spans="1:59" s="26" customFormat="1" hidden="1" x14ac:dyDescent="0.3">
      <c r="A101" s="6">
        <v>1</v>
      </c>
      <c r="B101" s="6"/>
      <c r="C101" s="6">
        <v>66</v>
      </c>
      <c r="D101" s="6" t="s">
        <v>99</v>
      </c>
      <c r="E101" s="13" t="s">
        <v>100</v>
      </c>
      <c r="F101" s="9" t="str">
        <f t="shared" si="31"/>
        <v>2019-35NI342015OTC</v>
      </c>
      <c r="G101" s="6" t="s">
        <v>101</v>
      </c>
      <c r="H101" s="6" t="s">
        <v>95</v>
      </c>
      <c r="I101" s="6" t="s">
        <v>95</v>
      </c>
      <c r="J101" s="6" t="s">
        <v>96</v>
      </c>
      <c r="K101" s="6" t="s">
        <v>114</v>
      </c>
      <c r="L101" s="6">
        <v>2015</v>
      </c>
      <c r="M101" s="6" t="s">
        <v>97</v>
      </c>
      <c r="N101" s="7" t="s">
        <v>51</v>
      </c>
      <c r="O101" s="6" t="s">
        <v>103</v>
      </c>
      <c r="P101" s="6"/>
      <c r="Q101" s="6">
        <v>8</v>
      </c>
      <c r="R101" s="6"/>
      <c r="S101" s="6">
        <v>8</v>
      </c>
      <c r="T101" s="6">
        <v>120</v>
      </c>
      <c r="U101" s="6">
        <v>9</v>
      </c>
      <c r="V101" s="6">
        <f t="shared" si="36"/>
        <v>6</v>
      </c>
      <c r="W101" s="6" t="s">
        <v>65</v>
      </c>
      <c r="X101" s="6"/>
      <c r="Y101" s="12">
        <v>258.79396984924603</v>
      </c>
      <c r="Z101" s="6" t="s">
        <v>80</v>
      </c>
      <c r="AA101" s="6"/>
      <c r="AB101" s="6"/>
      <c r="AC101" s="12"/>
      <c r="AD101" s="6"/>
      <c r="AE101" s="6"/>
      <c r="AF101" s="6"/>
      <c r="AG101" s="12"/>
      <c r="AH101" s="6"/>
      <c r="AI101" s="6"/>
      <c r="AJ101" s="6"/>
      <c r="AK101" s="12"/>
      <c r="AL101" s="6"/>
      <c r="AM101" s="6"/>
      <c r="AN101" s="6"/>
      <c r="AO101" s="12"/>
      <c r="AP101" s="6"/>
      <c r="AQ101" s="6"/>
      <c r="AR101" s="6"/>
      <c r="AS101" s="30">
        <f t="shared" si="37"/>
        <v>25.133333333333333</v>
      </c>
      <c r="AT101" s="30">
        <f t="shared" si="38"/>
        <v>83.016666666666666</v>
      </c>
      <c r="AU101" s="27">
        <f t="shared" si="39"/>
        <v>41979</v>
      </c>
      <c r="AV101" s="27">
        <v>42114</v>
      </c>
      <c r="AW101" s="27">
        <f t="shared" si="40"/>
        <v>41999</v>
      </c>
      <c r="AX101" s="27">
        <v>42114</v>
      </c>
      <c r="AY101" s="28">
        <f t="shared" si="41"/>
        <v>-25</v>
      </c>
      <c r="AZ101" s="28">
        <f t="shared" si="42"/>
        <v>110</v>
      </c>
      <c r="BA101" s="37">
        <f t="shared" si="43"/>
        <v>136</v>
      </c>
      <c r="BB101" s="28">
        <f t="shared" si="44"/>
        <v>-5</v>
      </c>
      <c r="BC101" s="28">
        <f t="shared" si="26"/>
        <v>110</v>
      </c>
      <c r="BD101" s="26">
        <f t="shared" si="27"/>
        <v>116</v>
      </c>
    </row>
    <row r="102" spans="1:59" s="26" customFormat="1" hidden="1" x14ac:dyDescent="0.3">
      <c r="A102" s="6">
        <v>1</v>
      </c>
      <c r="B102" s="6"/>
      <c r="C102" s="6">
        <v>66</v>
      </c>
      <c r="D102" s="6" t="s">
        <v>99</v>
      </c>
      <c r="E102" s="13" t="s">
        <v>100</v>
      </c>
      <c r="F102" s="9" t="str">
        <f t="shared" si="31"/>
        <v>2019-35NI342015OTC</v>
      </c>
      <c r="G102" s="6" t="s">
        <v>101</v>
      </c>
      <c r="H102" s="6" t="s">
        <v>95</v>
      </c>
      <c r="I102" s="6" t="s">
        <v>95</v>
      </c>
      <c r="J102" s="6" t="s">
        <v>96</v>
      </c>
      <c r="K102" s="6" t="s">
        <v>114</v>
      </c>
      <c r="L102" s="6">
        <v>2015</v>
      </c>
      <c r="M102" s="6" t="s">
        <v>97</v>
      </c>
      <c r="N102" s="7" t="s">
        <v>51</v>
      </c>
      <c r="O102" s="6" t="s">
        <v>75</v>
      </c>
      <c r="P102" s="6"/>
      <c r="Q102" s="6">
        <v>21.7</v>
      </c>
      <c r="R102" s="6"/>
      <c r="S102" s="6">
        <v>8</v>
      </c>
      <c r="T102" s="6">
        <v>120</v>
      </c>
      <c r="U102" s="6">
        <v>9</v>
      </c>
      <c r="V102" s="6">
        <f t="shared" si="36"/>
        <v>16.274999999999999</v>
      </c>
      <c r="W102" s="6" t="s">
        <v>65</v>
      </c>
      <c r="X102" s="6"/>
      <c r="Y102" s="12">
        <v>195.979899497487</v>
      </c>
      <c r="Z102" s="6" t="s">
        <v>80</v>
      </c>
      <c r="AA102" s="6"/>
      <c r="AB102" s="6"/>
      <c r="AC102" s="12"/>
      <c r="AD102" s="6"/>
      <c r="AE102" s="6"/>
      <c r="AF102" s="6"/>
      <c r="AG102" s="12"/>
      <c r="AH102" s="6"/>
      <c r="AI102" s="6"/>
      <c r="AJ102" s="6"/>
      <c r="AK102" s="12"/>
      <c r="AL102" s="6"/>
      <c r="AM102" s="6"/>
      <c r="AN102" s="6"/>
      <c r="AO102" s="12"/>
      <c r="AP102" s="6"/>
      <c r="AQ102" s="6"/>
      <c r="AR102" s="6"/>
      <c r="AS102" s="30">
        <f t="shared" si="37"/>
        <v>25.133333333333333</v>
      </c>
      <c r="AT102" s="30">
        <f t="shared" si="38"/>
        <v>83.016666666666666</v>
      </c>
      <c r="AU102" s="27">
        <f t="shared" si="39"/>
        <v>41979</v>
      </c>
      <c r="AV102" s="27">
        <v>42114</v>
      </c>
      <c r="AW102" s="27">
        <f t="shared" si="40"/>
        <v>41999</v>
      </c>
      <c r="AX102" s="27">
        <v>42114</v>
      </c>
      <c r="AY102" s="28">
        <f t="shared" si="41"/>
        <v>-25</v>
      </c>
      <c r="AZ102" s="28">
        <f t="shared" si="42"/>
        <v>110</v>
      </c>
      <c r="BA102" s="37">
        <f t="shared" si="43"/>
        <v>136</v>
      </c>
      <c r="BB102" s="28">
        <f t="shared" si="44"/>
        <v>-5</v>
      </c>
      <c r="BC102" s="28">
        <f t="shared" si="26"/>
        <v>110</v>
      </c>
      <c r="BD102" s="26">
        <f t="shared" si="27"/>
        <v>116</v>
      </c>
    </row>
    <row r="103" spans="1:59" s="26" customFormat="1" hidden="1" x14ac:dyDescent="0.3">
      <c r="A103" s="6">
        <v>1</v>
      </c>
      <c r="B103" s="6"/>
      <c r="C103" s="6">
        <v>66</v>
      </c>
      <c r="D103" s="6" t="s">
        <v>99</v>
      </c>
      <c r="E103" s="13" t="s">
        <v>100</v>
      </c>
      <c r="F103" s="9" t="str">
        <f t="shared" si="31"/>
        <v>2019-35P5022015OTC</v>
      </c>
      <c r="G103" s="6" t="s">
        <v>101</v>
      </c>
      <c r="H103" s="6" t="s">
        <v>95</v>
      </c>
      <c r="I103" s="6" t="s">
        <v>95</v>
      </c>
      <c r="J103" s="6" t="s">
        <v>96</v>
      </c>
      <c r="K103" s="6" t="s">
        <v>115</v>
      </c>
      <c r="L103" s="6">
        <v>2015</v>
      </c>
      <c r="M103" s="6" t="s">
        <v>97</v>
      </c>
      <c r="N103" s="7" t="s">
        <v>51</v>
      </c>
      <c r="O103" s="6" t="s">
        <v>103</v>
      </c>
      <c r="P103" s="6"/>
      <c r="Q103" s="6">
        <v>8</v>
      </c>
      <c r="R103" s="6"/>
      <c r="S103" s="6">
        <v>8</v>
      </c>
      <c r="T103" s="6">
        <v>120</v>
      </c>
      <c r="U103" s="6">
        <v>9</v>
      </c>
      <c r="V103" s="6">
        <f t="shared" si="36"/>
        <v>6</v>
      </c>
      <c r="W103" s="6" t="s">
        <v>65</v>
      </c>
      <c r="X103" s="6"/>
      <c r="Y103" s="12">
        <v>329.14572864321599</v>
      </c>
      <c r="Z103" s="6" t="s">
        <v>80</v>
      </c>
      <c r="AA103" s="6"/>
      <c r="AB103" s="6"/>
      <c r="AC103" s="12"/>
      <c r="AD103" s="6"/>
      <c r="AE103" s="6"/>
      <c r="AF103" s="6"/>
      <c r="AG103" s="12"/>
      <c r="AH103" s="6"/>
      <c r="AI103" s="6"/>
      <c r="AJ103" s="6"/>
      <c r="AK103" s="12"/>
      <c r="AL103" s="6"/>
      <c r="AM103" s="6"/>
      <c r="AN103" s="6"/>
      <c r="AO103" s="12"/>
      <c r="AP103" s="6"/>
      <c r="AQ103" s="6"/>
      <c r="AR103" s="6"/>
      <c r="AS103" s="30">
        <f t="shared" si="37"/>
        <v>25.133333333333333</v>
      </c>
      <c r="AT103" s="30">
        <f t="shared" si="38"/>
        <v>83.016666666666666</v>
      </c>
      <c r="AU103" s="27">
        <f t="shared" si="39"/>
        <v>41979</v>
      </c>
      <c r="AV103" s="27">
        <v>42114</v>
      </c>
      <c r="AW103" s="27">
        <f t="shared" si="40"/>
        <v>41999</v>
      </c>
      <c r="AX103" s="27">
        <v>42114</v>
      </c>
      <c r="AY103" s="28">
        <f t="shared" si="41"/>
        <v>-25</v>
      </c>
      <c r="AZ103" s="28">
        <f t="shared" si="42"/>
        <v>110</v>
      </c>
      <c r="BA103" s="37">
        <f t="shared" si="43"/>
        <v>136</v>
      </c>
      <c r="BB103" s="28">
        <f t="shared" si="44"/>
        <v>-5</v>
      </c>
      <c r="BC103" s="28">
        <f t="shared" si="26"/>
        <v>110</v>
      </c>
      <c r="BD103" s="26">
        <f t="shared" si="27"/>
        <v>116</v>
      </c>
    </row>
    <row r="104" spans="1:59" s="26" customFormat="1" hidden="1" x14ac:dyDescent="0.3">
      <c r="A104" s="6">
        <v>1</v>
      </c>
      <c r="B104" s="6"/>
      <c r="C104" s="6">
        <v>66</v>
      </c>
      <c r="D104" s="6" t="s">
        <v>99</v>
      </c>
      <c r="E104" s="13" t="s">
        <v>100</v>
      </c>
      <c r="F104" s="9" t="str">
        <f t="shared" si="31"/>
        <v>2019-35P5022015OTC</v>
      </c>
      <c r="G104" s="6" t="s">
        <v>101</v>
      </c>
      <c r="H104" s="6" t="s">
        <v>95</v>
      </c>
      <c r="I104" s="6" t="s">
        <v>95</v>
      </c>
      <c r="J104" s="6" t="s">
        <v>96</v>
      </c>
      <c r="K104" s="6" t="s">
        <v>115</v>
      </c>
      <c r="L104" s="6">
        <v>2015</v>
      </c>
      <c r="M104" s="6" t="s">
        <v>97</v>
      </c>
      <c r="N104" s="7" t="s">
        <v>51</v>
      </c>
      <c r="O104" s="6" t="s">
        <v>75</v>
      </c>
      <c r="P104" s="6"/>
      <c r="Q104" s="6">
        <v>21.7</v>
      </c>
      <c r="R104" s="6"/>
      <c r="S104" s="6">
        <v>8</v>
      </c>
      <c r="T104" s="6">
        <v>120</v>
      </c>
      <c r="U104" s="6">
        <v>9</v>
      </c>
      <c r="V104" s="6">
        <f t="shared" si="36"/>
        <v>16.274999999999999</v>
      </c>
      <c r="W104" s="6" t="s">
        <v>65</v>
      </c>
      <c r="X104" s="6"/>
      <c r="Y104" s="12">
        <v>251.256281407035</v>
      </c>
      <c r="Z104" s="6" t="s">
        <v>80</v>
      </c>
      <c r="AA104" s="6"/>
      <c r="AB104" s="6"/>
      <c r="AC104" s="12"/>
      <c r="AD104" s="6"/>
      <c r="AE104" s="6"/>
      <c r="AF104" s="6"/>
      <c r="AG104" s="12"/>
      <c r="AH104" s="6"/>
      <c r="AI104" s="6"/>
      <c r="AJ104" s="6"/>
      <c r="AK104" s="12"/>
      <c r="AL104" s="6"/>
      <c r="AM104" s="6"/>
      <c r="AN104" s="6"/>
      <c r="AO104" s="12"/>
      <c r="AP104" s="6"/>
      <c r="AQ104" s="6"/>
      <c r="AR104" s="6"/>
      <c r="AS104" s="30">
        <f t="shared" si="37"/>
        <v>25.133333333333333</v>
      </c>
      <c r="AT104" s="30">
        <f t="shared" si="38"/>
        <v>83.016666666666666</v>
      </c>
      <c r="AU104" s="27">
        <f t="shared" si="39"/>
        <v>41979</v>
      </c>
      <c r="AV104" s="27">
        <v>42114</v>
      </c>
      <c r="AW104" s="27">
        <f t="shared" si="40"/>
        <v>41999</v>
      </c>
      <c r="AX104" s="27">
        <v>42114</v>
      </c>
      <c r="AY104" s="28">
        <f t="shared" si="41"/>
        <v>-25</v>
      </c>
      <c r="AZ104" s="28">
        <f t="shared" si="42"/>
        <v>110</v>
      </c>
      <c r="BA104" s="37">
        <f t="shared" si="43"/>
        <v>136</v>
      </c>
      <c r="BB104" s="28">
        <f t="shared" si="44"/>
        <v>-5</v>
      </c>
      <c r="BC104" s="28">
        <f t="shared" si="26"/>
        <v>110</v>
      </c>
      <c r="BD104" s="26">
        <f t="shared" si="27"/>
        <v>116</v>
      </c>
    </row>
    <row r="105" spans="1:59" s="26" customFormat="1" hidden="1" x14ac:dyDescent="0.3">
      <c r="A105" s="6">
        <v>1</v>
      </c>
      <c r="B105" s="6"/>
      <c r="C105" s="6">
        <v>66</v>
      </c>
      <c r="D105" s="6" t="s">
        <v>99</v>
      </c>
      <c r="E105" s="13" t="s">
        <v>100</v>
      </c>
      <c r="F105" s="9" t="str">
        <f t="shared" si="31"/>
        <v>2019-35P5502015OTC</v>
      </c>
      <c r="G105" s="6" t="s">
        <v>101</v>
      </c>
      <c r="H105" s="6" t="s">
        <v>95</v>
      </c>
      <c r="I105" s="6" t="s">
        <v>95</v>
      </c>
      <c r="J105" s="6" t="s">
        <v>96</v>
      </c>
      <c r="K105" s="6" t="s">
        <v>116</v>
      </c>
      <c r="L105" s="6">
        <v>2015</v>
      </c>
      <c r="M105" s="6" t="s">
        <v>97</v>
      </c>
      <c r="N105" s="7" t="s">
        <v>51</v>
      </c>
      <c r="O105" s="6" t="s">
        <v>103</v>
      </c>
      <c r="P105" s="6"/>
      <c r="Q105" s="6">
        <v>8</v>
      </c>
      <c r="R105" s="6"/>
      <c r="S105" s="6">
        <v>8</v>
      </c>
      <c r="T105" s="6">
        <v>120</v>
      </c>
      <c r="U105" s="6">
        <v>9</v>
      </c>
      <c r="V105" s="6">
        <f t="shared" si="36"/>
        <v>6</v>
      </c>
      <c r="W105" s="6" t="s">
        <v>65</v>
      </c>
      <c r="X105" s="6"/>
      <c r="Y105" s="12">
        <v>331.658291457286</v>
      </c>
      <c r="Z105" s="6" t="s">
        <v>80</v>
      </c>
      <c r="AA105" s="6"/>
      <c r="AB105" s="6"/>
      <c r="AC105" s="12"/>
      <c r="AD105" s="6"/>
      <c r="AE105" s="6"/>
      <c r="AF105" s="6"/>
      <c r="AG105" s="12"/>
      <c r="AH105" s="6"/>
      <c r="AI105" s="6"/>
      <c r="AJ105" s="6"/>
      <c r="AK105" s="12"/>
      <c r="AL105" s="6"/>
      <c r="AM105" s="6"/>
      <c r="AN105" s="6"/>
      <c r="AO105" s="12"/>
      <c r="AP105" s="6"/>
      <c r="AQ105" s="6"/>
      <c r="AR105" s="6"/>
      <c r="AS105" s="30">
        <f t="shared" si="37"/>
        <v>25.133333333333333</v>
      </c>
      <c r="AT105" s="30">
        <f t="shared" si="38"/>
        <v>83.016666666666666</v>
      </c>
      <c r="AU105" s="27">
        <f t="shared" si="39"/>
        <v>41979</v>
      </c>
      <c r="AV105" s="27">
        <v>42114</v>
      </c>
      <c r="AW105" s="27">
        <f t="shared" si="40"/>
        <v>41999</v>
      </c>
      <c r="AX105" s="27">
        <v>42114</v>
      </c>
      <c r="AY105" s="28">
        <f t="shared" si="41"/>
        <v>-25</v>
      </c>
      <c r="AZ105" s="28">
        <f t="shared" si="42"/>
        <v>110</v>
      </c>
      <c r="BA105" s="37">
        <f t="shared" si="43"/>
        <v>136</v>
      </c>
      <c r="BB105" s="28">
        <f t="shared" si="44"/>
        <v>-5</v>
      </c>
      <c r="BC105" s="28">
        <f t="shared" si="26"/>
        <v>110</v>
      </c>
      <c r="BD105" s="26">
        <f t="shared" si="27"/>
        <v>116</v>
      </c>
    </row>
    <row r="106" spans="1:59" s="26" customFormat="1" hidden="1" x14ac:dyDescent="0.3">
      <c r="A106" s="6">
        <v>1</v>
      </c>
      <c r="B106" s="6"/>
      <c r="C106" s="6">
        <v>66</v>
      </c>
      <c r="D106" s="6" t="s">
        <v>99</v>
      </c>
      <c r="E106" s="13" t="s">
        <v>100</v>
      </c>
      <c r="F106" s="9" t="str">
        <f t="shared" si="31"/>
        <v>2019-35P5502015OTC</v>
      </c>
      <c r="G106" s="6" t="s">
        <v>101</v>
      </c>
      <c r="H106" s="6" t="s">
        <v>95</v>
      </c>
      <c r="I106" s="6" t="s">
        <v>95</v>
      </c>
      <c r="J106" s="6" t="s">
        <v>96</v>
      </c>
      <c r="K106" s="6" t="s">
        <v>116</v>
      </c>
      <c r="L106" s="6">
        <v>2015</v>
      </c>
      <c r="M106" s="6" t="s">
        <v>97</v>
      </c>
      <c r="N106" s="7" t="s">
        <v>51</v>
      </c>
      <c r="O106" s="6" t="s">
        <v>75</v>
      </c>
      <c r="P106" s="6"/>
      <c r="Q106" s="6">
        <v>21.7</v>
      </c>
      <c r="R106" s="6"/>
      <c r="S106" s="6">
        <v>8</v>
      </c>
      <c r="T106" s="6">
        <v>120</v>
      </c>
      <c r="U106" s="6">
        <v>9</v>
      </c>
      <c r="V106" s="6">
        <f t="shared" si="36"/>
        <v>16.274999999999999</v>
      </c>
      <c r="W106" s="6" t="s">
        <v>65</v>
      </c>
      <c r="X106" s="6"/>
      <c r="Y106" s="12">
        <v>241.206030150754</v>
      </c>
      <c r="Z106" s="6" t="s">
        <v>80</v>
      </c>
      <c r="AA106" s="6"/>
      <c r="AB106" s="6"/>
      <c r="AC106" s="12"/>
      <c r="AD106" s="6"/>
      <c r="AE106" s="6"/>
      <c r="AF106" s="6"/>
      <c r="AG106" s="12"/>
      <c r="AH106" s="6"/>
      <c r="AI106" s="6"/>
      <c r="AJ106" s="6"/>
      <c r="AK106" s="12"/>
      <c r="AL106" s="6"/>
      <c r="AM106" s="6"/>
      <c r="AN106" s="6"/>
      <c r="AO106" s="12"/>
      <c r="AP106" s="6"/>
      <c r="AQ106" s="6"/>
      <c r="AR106" s="6"/>
      <c r="AS106" s="30">
        <f t="shared" si="37"/>
        <v>25.133333333333333</v>
      </c>
      <c r="AT106" s="30">
        <f t="shared" si="38"/>
        <v>83.016666666666666</v>
      </c>
      <c r="AU106" s="27">
        <f t="shared" si="39"/>
        <v>41979</v>
      </c>
      <c r="AV106" s="27">
        <v>42114</v>
      </c>
      <c r="AW106" s="27">
        <f t="shared" si="40"/>
        <v>41999</v>
      </c>
      <c r="AX106" s="27">
        <v>42114</v>
      </c>
      <c r="AY106" s="28">
        <f t="shared" si="41"/>
        <v>-25</v>
      </c>
      <c r="AZ106" s="28">
        <f t="shared" si="42"/>
        <v>110</v>
      </c>
      <c r="BA106" s="37">
        <f t="shared" si="43"/>
        <v>136</v>
      </c>
      <c r="BB106" s="28">
        <f t="shared" si="44"/>
        <v>-5</v>
      </c>
      <c r="BC106" s="28">
        <f t="shared" si="26"/>
        <v>110</v>
      </c>
      <c r="BD106" s="26">
        <f t="shared" si="27"/>
        <v>116</v>
      </c>
    </row>
    <row r="107" spans="1:59" s="26" customFormat="1" hidden="1" x14ac:dyDescent="0.3">
      <c r="A107" s="6">
        <v>1</v>
      </c>
      <c r="B107" s="6"/>
      <c r="C107" s="6">
        <v>68</v>
      </c>
      <c r="D107" s="6" t="s">
        <v>117</v>
      </c>
      <c r="E107" s="13" t="s">
        <v>118</v>
      </c>
      <c r="F107" s="9" t="str">
        <f t="shared" si="31"/>
        <v>2020-48HD31182016OTC</v>
      </c>
      <c r="G107" s="6" t="s">
        <v>119</v>
      </c>
      <c r="H107" s="6" t="s">
        <v>95</v>
      </c>
      <c r="I107" s="6" t="s">
        <v>95</v>
      </c>
      <c r="J107" s="6" t="s">
        <v>96</v>
      </c>
      <c r="K107" s="6" t="s">
        <v>120</v>
      </c>
      <c r="L107" s="6">
        <v>2016</v>
      </c>
      <c r="M107" s="6" t="s">
        <v>97</v>
      </c>
      <c r="N107" s="7" t="s">
        <v>51</v>
      </c>
      <c r="O107" s="6" t="s">
        <v>103</v>
      </c>
      <c r="P107" s="7">
        <f>R107/1.01*1.08</f>
        <v>55.283168316831691</v>
      </c>
      <c r="Q107" s="6"/>
      <c r="R107" s="6">
        <v>51.7</v>
      </c>
      <c r="S107" s="6">
        <v>8</v>
      </c>
      <c r="T107" s="6">
        <v>100</v>
      </c>
      <c r="U107" s="6">
        <v>5</v>
      </c>
      <c r="V107" s="13">
        <v>16.635934586368901</v>
      </c>
      <c r="W107" s="6" t="s">
        <v>52</v>
      </c>
      <c r="X107" s="10"/>
      <c r="Y107" s="12">
        <v>364.5</v>
      </c>
      <c r="Z107" s="6" t="s">
        <v>80</v>
      </c>
      <c r="AA107" s="6"/>
      <c r="AB107" s="6"/>
      <c r="AC107" s="12">
        <v>35.4</v>
      </c>
      <c r="AD107" s="7" t="s">
        <v>39</v>
      </c>
      <c r="AE107" s="6"/>
      <c r="AF107" s="6"/>
      <c r="AG107" s="12">
        <f>AO107/24/AK107</f>
        <v>94.291301918420572</v>
      </c>
      <c r="AH107" s="6" t="s">
        <v>281</v>
      </c>
      <c r="AI107" s="6"/>
      <c r="AJ107" s="6"/>
      <c r="AK107" s="12">
        <v>4.55</v>
      </c>
      <c r="AL107" s="6" t="s">
        <v>67</v>
      </c>
      <c r="AM107" s="6"/>
      <c r="AN107" s="6"/>
      <c r="AO107" s="12">
        <f t="shared" ref="AO107:AO126" si="45">Y107/AC107*1000</f>
        <v>10296.610169491525</v>
      </c>
      <c r="AP107" s="6" t="s">
        <v>54</v>
      </c>
      <c r="AQ107" s="6"/>
      <c r="AR107" s="6"/>
      <c r="AS107" s="30">
        <f>25+16/60+3.6/3600</f>
        <v>25.267666666666667</v>
      </c>
      <c r="AT107" s="30">
        <f>82+59/60+20.7/3600</f>
        <v>82.98908333333334</v>
      </c>
      <c r="AU107" s="27">
        <v>42348</v>
      </c>
      <c r="AV107" s="27">
        <v>42448</v>
      </c>
      <c r="AW107" s="27">
        <v>42348</v>
      </c>
      <c r="AX107" s="27">
        <v>42448</v>
      </c>
      <c r="AY107" s="28">
        <f t="shared" si="41"/>
        <v>-21</v>
      </c>
      <c r="AZ107" s="28">
        <f t="shared" si="42"/>
        <v>79</v>
      </c>
      <c r="BA107" s="37">
        <f t="shared" si="43"/>
        <v>101</v>
      </c>
      <c r="BB107" s="28">
        <f t="shared" si="44"/>
        <v>-21</v>
      </c>
      <c r="BC107" s="28">
        <f t="shared" si="26"/>
        <v>79</v>
      </c>
      <c r="BD107" s="26">
        <f t="shared" si="27"/>
        <v>101</v>
      </c>
      <c r="BF107" s="36">
        <f>AU107+60+5</f>
        <v>42413</v>
      </c>
      <c r="BG107" s="26">
        <f t="shared" ref="BG107:BG126" si="46">AV107-BF107+1</f>
        <v>36</v>
      </c>
    </row>
    <row r="108" spans="1:59" s="26" customFormat="1" hidden="1" x14ac:dyDescent="0.3">
      <c r="A108" s="6">
        <v>1</v>
      </c>
      <c r="B108" s="6"/>
      <c r="C108" s="6">
        <v>68</v>
      </c>
      <c r="D108" s="6" t="s">
        <v>117</v>
      </c>
      <c r="E108" s="13" t="s">
        <v>118</v>
      </c>
      <c r="F108" s="9" t="str">
        <f t="shared" si="31"/>
        <v>2020-48HD31182016OTC</v>
      </c>
      <c r="G108" s="6" t="s">
        <v>119</v>
      </c>
      <c r="H108" s="6" t="s">
        <v>95</v>
      </c>
      <c r="I108" s="6" t="s">
        <v>95</v>
      </c>
      <c r="J108" s="6" t="s">
        <v>96</v>
      </c>
      <c r="K108" s="6" t="s">
        <v>120</v>
      </c>
      <c r="L108" s="6">
        <v>2016</v>
      </c>
      <c r="M108" s="6" t="s">
        <v>97</v>
      </c>
      <c r="N108" s="7" t="s">
        <v>51</v>
      </c>
      <c r="O108" s="6" t="s">
        <v>75</v>
      </c>
      <c r="P108" s="7">
        <f>(8 * R108+ 4 * 0.97*R107) / 12*1.08</f>
        <v>69.677640000000011</v>
      </c>
      <c r="Q108" s="6"/>
      <c r="R108" s="6">
        <v>71.7</v>
      </c>
      <c r="S108" s="6">
        <v>8</v>
      </c>
      <c r="T108" s="6">
        <v>100</v>
      </c>
      <c r="U108" s="6">
        <v>5</v>
      </c>
      <c r="V108" s="13">
        <v>29.338133020351801</v>
      </c>
      <c r="W108" s="6" t="s">
        <v>52</v>
      </c>
      <c r="X108" s="6"/>
      <c r="Y108" s="12">
        <v>277.5</v>
      </c>
      <c r="Z108" s="6" t="s">
        <v>80</v>
      </c>
      <c r="AA108" s="6"/>
      <c r="AB108" s="6"/>
      <c r="AC108" s="12">
        <v>33.1</v>
      </c>
      <c r="AD108" s="7" t="s">
        <v>39</v>
      </c>
      <c r="AE108" s="6"/>
      <c r="AF108" s="6"/>
      <c r="AG108" s="12">
        <f t="shared" ref="AG108:AG110" si="47">AO108/24/AK108</f>
        <v>88.435504225783006</v>
      </c>
      <c r="AH108" s="6" t="s">
        <v>281</v>
      </c>
      <c r="AI108" s="6"/>
      <c r="AJ108" s="6"/>
      <c r="AK108" s="12">
        <v>3.95</v>
      </c>
      <c r="AL108" s="6" t="s">
        <v>67</v>
      </c>
      <c r="AM108" s="6"/>
      <c r="AN108" s="6"/>
      <c r="AO108" s="12">
        <f t="shared" si="45"/>
        <v>8383.6858006042294</v>
      </c>
      <c r="AP108" s="6" t="s">
        <v>54</v>
      </c>
      <c r="AQ108" s="6"/>
      <c r="AR108" s="6"/>
      <c r="AS108" s="30">
        <f>25+16/60+3.6/3600</f>
        <v>25.267666666666667</v>
      </c>
      <c r="AT108" s="30">
        <f>82+59/60+20.7/3600</f>
        <v>82.98908333333334</v>
      </c>
      <c r="AU108" s="27">
        <v>42348</v>
      </c>
      <c r="AV108" s="27">
        <v>42448</v>
      </c>
      <c r="AW108" s="27">
        <v>42348</v>
      </c>
      <c r="AX108" s="27">
        <v>42448</v>
      </c>
      <c r="AY108" s="28">
        <f t="shared" si="41"/>
        <v>-21</v>
      </c>
      <c r="AZ108" s="28">
        <f t="shared" si="42"/>
        <v>79</v>
      </c>
      <c r="BA108" s="37">
        <f t="shared" si="43"/>
        <v>101</v>
      </c>
      <c r="BB108" s="28">
        <f t="shared" si="44"/>
        <v>-21</v>
      </c>
      <c r="BC108" s="28">
        <f t="shared" si="26"/>
        <v>79</v>
      </c>
      <c r="BD108" s="26">
        <f t="shared" si="27"/>
        <v>101</v>
      </c>
      <c r="BF108" s="36">
        <f>AU108+60+5</f>
        <v>42413</v>
      </c>
      <c r="BG108" s="26">
        <f t="shared" si="46"/>
        <v>36</v>
      </c>
    </row>
    <row r="109" spans="1:59" s="26" customFormat="1" hidden="1" x14ac:dyDescent="0.3">
      <c r="A109" s="6">
        <v>1</v>
      </c>
      <c r="B109" s="6"/>
      <c r="C109" s="6">
        <v>68</v>
      </c>
      <c r="D109" s="6" t="s">
        <v>117</v>
      </c>
      <c r="E109" s="13" t="s">
        <v>118</v>
      </c>
      <c r="F109" s="9" t="str">
        <f t="shared" si="31"/>
        <v>2020-48HUW2342016OTC</v>
      </c>
      <c r="G109" s="6" t="s">
        <v>119</v>
      </c>
      <c r="H109" s="6" t="s">
        <v>95</v>
      </c>
      <c r="I109" s="6" t="s">
        <v>95</v>
      </c>
      <c r="J109" s="6" t="s">
        <v>96</v>
      </c>
      <c r="K109" s="6" t="s">
        <v>121</v>
      </c>
      <c r="L109" s="6">
        <v>2016</v>
      </c>
      <c r="M109" s="6" t="s">
        <v>97</v>
      </c>
      <c r="N109" s="7" t="s">
        <v>51</v>
      </c>
      <c r="O109" s="6" t="s">
        <v>103</v>
      </c>
      <c r="P109" s="7">
        <f>R109/1.01*1.08</f>
        <v>55.283168316831691</v>
      </c>
      <c r="Q109" s="6"/>
      <c r="R109" s="6">
        <v>51.7</v>
      </c>
      <c r="S109" s="6">
        <v>8</v>
      </c>
      <c r="T109" s="6">
        <v>100</v>
      </c>
      <c r="U109" s="6">
        <v>5</v>
      </c>
      <c r="V109" s="13">
        <v>16.635934586368901</v>
      </c>
      <c r="W109" s="6" t="s">
        <v>52</v>
      </c>
      <c r="X109" s="6"/>
      <c r="Y109" s="12">
        <v>435.5</v>
      </c>
      <c r="Z109" s="6" t="s">
        <v>80</v>
      </c>
      <c r="AA109" s="6"/>
      <c r="AB109" s="6"/>
      <c r="AC109" s="12">
        <v>38.5</v>
      </c>
      <c r="AD109" s="7" t="s">
        <v>39</v>
      </c>
      <c r="AE109" s="6"/>
      <c r="AF109" s="6"/>
      <c r="AG109" s="12">
        <f t="shared" si="47"/>
        <v>79.21350358325148</v>
      </c>
      <c r="AH109" s="6" t="s">
        <v>281</v>
      </c>
      <c r="AI109" s="6"/>
      <c r="AJ109" s="6"/>
      <c r="AK109" s="12">
        <v>5.95</v>
      </c>
      <c r="AL109" s="6" t="s">
        <v>67</v>
      </c>
      <c r="AM109" s="6"/>
      <c r="AN109" s="6"/>
      <c r="AO109" s="12">
        <f t="shared" si="45"/>
        <v>11311.688311688311</v>
      </c>
      <c r="AP109" s="6" t="s">
        <v>54</v>
      </c>
      <c r="AQ109" s="6"/>
      <c r="AR109" s="6"/>
      <c r="AS109" s="30">
        <f>25+16/60+3.6/3600</f>
        <v>25.267666666666667</v>
      </c>
      <c r="AT109" s="30">
        <f>82+59/60+20.7/3600</f>
        <v>82.98908333333334</v>
      </c>
      <c r="AU109" s="27">
        <v>42348</v>
      </c>
      <c r="AV109" s="27">
        <v>42448</v>
      </c>
      <c r="AW109" s="27">
        <v>42348</v>
      </c>
      <c r="AX109" s="27">
        <v>42448</v>
      </c>
      <c r="AY109" s="28">
        <f t="shared" si="41"/>
        <v>-21</v>
      </c>
      <c r="AZ109" s="28">
        <f t="shared" si="42"/>
        <v>79</v>
      </c>
      <c r="BA109" s="37">
        <f t="shared" si="43"/>
        <v>101</v>
      </c>
      <c r="BB109" s="28">
        <f t="shared" si="44"/>
        <v>-21</v>
      </c>
      <c r="BC109" s="28">
        <f t="shared" si="26"/>
        <v>79</v>
      </c>
      <c r="BD109" s="26">
        <f t="shared" si="27"/>
        <v>101</v>
      </c>
      <c r="BF109" s="36">
        <f>AU109+60+5</f>
        <v>42413</v>
      </c>
      <c r="BG109" s="26">
        <f t="shared" si="46"/>
        <v>36</v>
      </c>
    </row>
    <row r="110" spans="1:59" s="26" customFormat="1" hidden="1" x14ac:dyDescent="0.3">
      <c r="A110" s="6">
        <v>1</v>
      </c>
      <c r="B110" s="6"/>
      <c r="C110" s="6">
        <v>68</v>
      </c>
      <c r="D110" s="6" t="s">
        <v>117</v>
      </c>
      <c r="E110" s="13" t="s">
        <v>118</v>
      </c>
      <c r="F110" s="9" t="str">
        <f t="shared" si="31"/>
        <v>2020-48HUW2342016OTC</v>
      </c>
      <c r="G110" s="6" t="s">
        <v>119</v>
      </c>
      <c r="H110" s="6" t="s">
        <v>95</v>
      </c>
      <c r="I110" s="6" t="s">
        <v>95</v>
      </c>
      <c r="J110" s="6" t="s">
        <v>96</v>
      </c>
      <c r="K110" s="6" t="s">
        <v>121</v>
      </c>
      <c r="L110" s="6">
        <v>2016</v>
      </c>
      <c r="M110" s="6" t="s">
        <v>97</v>
      </c>
      <c r="N110" s="7" t="s">
        <v>51</v>
      </c>
      <c r="O110" s="6" t="s">
        <v>75</v>
      </c>
      <c r="P110" s="7">
        <f>(8 * R110+ 4 * 0.97*R109) / 12*1.08</f>
        <v>69.677640000000011</v>
      </c>
      <c r="Q110" s="6"/>
      <c r="R110" s="6">
        <v>71.7</v>
      </c>
      <c r="S110" s="6">
        <v>8</v>
      </c>
      <c r="T110" s="6">
        <v>100</v>
      </c>
      <c r="U110" s="6">
        <v>5</v>
      </c>
      <c r="V110" s="13">
        <v>29.338133020351801</v>
      </c>
      <c r="W110" s="6" t="s">
        <v>52</v>
      </c>
      <c r="X110" s="6"/>
      <c r="Y110" s="12">
        <v>339</v>
      </c>
      <c r="Z110" s="6" t="s">
        <v>80</v>
      </c>
      <c r="AA110" s="6"/>
      <c r="AB110" s="6"/>
      <c r="AC110" s="12">
        <v>38</v>
      </c>
      <c r="AD110" s="7" t="s">
        <v>39</v>
      </c>
      <c r="AE110" s="6"/>
      <c r="AF110" s="6"/>
      <c r="AG110" s="12">
        <f t="shared" si="47"/>
        <v>79.937747594793422</v>
      </c>
      <c r="AH110" s="6" t="s">
        <v>281</v>
      </c>
      <c r="AI110" s="6"/>
      <c r="AJ110" s="6"/>
      <c r="AK110" s="12">
        <v>4.6500000000000004</v>
      </c>
      <c r="AL110" s="6" t="s">
        <v>67</v>
      </c>
      <c r="AM110" s="6"/>
      <c r="AN110" s="6"/>
      <c r="AO110" s="12">
        <f t="shared" si="45"/>
        <v>8921.0526315789466</v>
      </c>
      <c r="AP110" s="6" t="s">
        <v>54</v>
      </c>
      <c r="AQ110" s="6"/>
      <c r="AR110" s="6"/>
      <c r="AS110" s="30">
        <f>25+16/60+3.6/3600</f>
        <v>25.267666666666667</v>
      </c>
      <c r="AT110" s="30">
        <f>82+59/60+20.7/3600</f>
        <v>82.98908333333334</v>
      </c>
      <c r="AU110" s="27">
        <v>42348</v>
      </c>
      <c r="AV110" s="27">
        <v>42448</v>
      </c>
      <c r="AW110" s="27">
        <v>42348</v>
      </c>
      <c r="AX110" s="27">
        <v>42448</v>
      </c>
      <c r="AY110" s="28">
        <f t="shared" si="41"/>
        <v>-21</v>
      </c>
      <c r="AZ110" s="28">
        <f t="shared" si="42"/>
        <v>79</v>
      </c>
      <c r="BA110" s="37">
        <f t="shared" si="43"/>
        <v>101</v>
      </c>
      <c r="BB110" s="28">
        <f t="shared" si="44"/>
        <v>-21</v>
      </c>
      <c r="BC110" s="28">
        <f t="shared" si="26"/>
        <v>79</v>
      </c>
      <c r="BD110" s="26">
        <f t="shared" si="27"/>
        <v>101</v>
      </c>
      <c r="BF110" s="36">
        <f>AU110+60+5</f>
        <v>42413</v>
      </c>
      <c r="BG110" s="26">
        <f t="shared" si="46"/>
        <v>36</v>
      </c>
    </row>
    <row r="111" spans="1:59" s="26" customFormat="1" hidden="1" x14ac:dyDescent="0.3">
      <c r="A111" s="6">
        <v>1</v>
      </c>
      <c r="B111" s="6"/>
      <c r="C111" s="6">
        <v>71</v>
      </c>
      <c r="D111" s="6" t="s">
        <v>122</v>
      </c>
      <c r="E111" s="13" t="s">
        <v>123</v>
      </c>
      <c r="F111" s="9" t="str">
        <f t="shared" si="31"/>
        <v>2021-X140HD30862017OTC</v>
      </c>
      <c r="G111" s="6" t="s">
        <v>119</v>
      </c>
      <c r="H111" s="6" t="s">
        <v>95</v>
      </c>
      <c r="I111" s="6" t="s">
        <v>95</v>
      </c>
      <c r="J111" s="6" t="s">
        <v>96</v>
      </c>
      <c r="K111" s="6" t="s">
        <v>124</v>
      </c>
      <c r="L111" s="6">
        <v>2017</v>
      </c>
      <c r="M111" s="6" t="s">
        <v>97</v>
      </c>
      <c r="N111" s="7" t="s">
        <v>51</v>
      </c>
      <c r="O111" s="6" t="s">
        <v>103</v>
      </c>
      <c r="P111" s="7">
        <f>R111/1.01*1.08</f>
        <v>54.748514851485155</v>
      </c>
      <c r="Q111" s="6">
        <v>11.78</v>
      </c>
      <c r="R111" s="6">
        <v>51.2</v>
      </c>
      <c r="S111" s="6">
        <v>8</v>
      </c>
      <c r="T111" s="6">
        <v>150</v>
      </c>
      <c r="U111" s="6">
        <v>3</v>
      </c>
      <c r="V111" s="6">
        <f t="shared" ref="V111:V130" si="48">IF(T111&lt;=90,Q111,Q111/T111*90)</f>
        <v>7.0679999999999996</v>
      </c>
      <c r="W111" s="6" t="s">
        <v>65</v>
      </c>
      <c r="X111" s="6"/>
      <c r="Y111" s="12">
        <v>554</v>
      </c>
      <c r="Z111" s="6" t="s">
        <v>80</v>
      </c>
      <c r="AA111" s="6"/>
      <c r="AB111" s="6">
        <v>26</v>
      </c>
      <c r="AC111" s="12">
        <v>45.4</v>
      </c>
      <c r="AD111" s="7" t="s">
        <v>39</v>
      </c>
      <c r="AE111" s="6"/>
      <c r="AF111" s="6">
        <v>0.9</v>
      </c>
      <c r="AG111" s="12"/>
      <c r="AH111" s="6"/>
      <c r="AI111" s="6"/>
      <c r="AJ111" s="6"/>
      <c r="AK111" s="12"/>
      <c r="AL111" s="6"/>
      <c r="AM111" s="6"/>
      <c r="AN111" s="6"/>
      <c r="AO111" s="12">
        <f t="shared" si="45"/>
        <v>12202.643171806169</v>
      </c>
      <c r="AP111" s="6" t="s">
        <v>54</v>
      </c>
      <c r="AQ111" s="6"/>
      <c r="AR111" s="6"/>
      <c r="AS111" s="30">
        <f t="shared" ref="AS111:AS126" si="49">25+16/60</f>
        <v>25.266666666666666</v>
      </c>
      <c r="AT111" s="30">
        <f t="shared" ref="AT111:AT126" si="50">82+59/60</f>
        <v>82.983333333333334</v>
      </c>
      <c r="AU111" s="25">
        <v>42683</v>
      </c>
      <c r="AV111" s="27">
        <v>42823</v>
      </c>
      <c r="AW111" s="25">
        <v>42683</v>
      </c>
      <c r="AX111" s="27">
        <v>42823</v>
      </c>
      <c r="AY111" s="28">
        <f t="shared" si="41"/>
        <v>-52</v>
      </c>
      <c r="AZ111" s="28">
        <f t="shared" si="42"/>
        <v>88</v>
      </c>
      <c r="BA111" s="37">
        <f t="shared" si="43"/>
        <v>141</v>
      </c>
      <c r="BB111" s="28">
        <f t="shared" si="44"/>
        <v>-52</v>
      </c>
      <c r="BC111" s="28">
        <f t="shared" si="26"/>
        <v>88</v>
      </c>
      <c r="BD111" s="26">
        <f t="shared" si="27"/>
        <v>141</v>
      </c>
      <c r="BF111" s="36">
        <v>42772</v>
      </c>
      <c r="BG111" s="26">
        <f t="shared" si="46"/>
        <v>52</v>
      </c>
    </row>
    <row r="112" spans="1:59" s="26" customFormat="1" hidden="1" x14ac:dyDescent="0.3">
      <c r="A112" s="6">
        <v>1</v>
      </c>
      <c r="B112" s="6"/>
      <c r="C112" s="6">
        <v>71</v>
      </c>
      <c r="D112" s="6" t="s">
        <v>122</v>
      </c>
      <c r="E112" s="13" t="s">
        <v>123</v>
      </c>
      <c r="F112" s="9" t="str">
        <f t="shared" si="31"/>
        <v>2021-X140HD30862017OTC</v>
      </c>
      <c r="G112" s="6" t="s">
        <v>119</v>
      </c>
      <c r="H112" s="6" t="s">
        <v>95</v>
      </c>
      <c r="I112" s="6" t="s">
        <v>95</v>
      </c>
      <c r="J112" s="6" t="s">
        <v>96</v>
      </c>
      <c r="K112" s="6" t="s">
        <v>124</v>
      </c>
      <c r="L112" s="6">
        <v>2017</v>
      </c>
      <c r="M112" s="6" t="s">
        <v>97</v>
      </c>
      <c r="N112" s="7" t="s">
        <v>51</v>
      </c>
      <c r="O112" s="6" t="s">
        <v>75</v>
      </c>
      <c r="P112" s="7">
        <f>(8 * R112+ 4 * 0.97*R111) / 12*1.08</f>
        <v>69.863040000000012</v>
      </c>
      <c r="Q112" s="6">
        <v>21.6</v>
      </c>
      <c r="R112" s="6">
        <v>72.2</v>
      </c>
      <c r="S112" s="6">
        <v>8</v>
      </c>
      <c r="T112" s="6">
        <v>150</v>
      </c>
      <c r="U112" s="6">
        <v>3</v>
      </c>
      <c r="V112" s="6">
        <f t="shared" si="48"/>
        <v>12.96</v>
      </c>
      <c r="W112" s="6" t="s">
        <v>65</v>
      </c>
      <c r="X112" s="6"/>
      <c r="Y112" s="12">
        <v>381</v>
      </c>
      <c r="Z112" s="6" t="s">
        <v>80</v>
      </c>
      <c r="AA112" s="6"/>
      <c r="AB112" s="6">
        <v>21</v>
      </c>
      <c r="AC112" s="12">
        <v>41.7</v>
      </c>
      <c r="AD112" s="7" t="s">
        <v>39</v>
      </c>
      <c r="AE112" s="6"/>
      <c r="AF112" s="6">
        <v>0.53</v>
      </c>
      <c r="AG112" s="12"/>
      <c r="AH112" s="6"/>
      <c r="AI112" s="6"/>
      <c r="AJ112" s="6"/>
      <c r="AK112" s="12"/>
      <c r="AL112" s="6"/>
      <c r="AM112" s="6"/>
      <c r="AN112" s="6"/>
      <c r="AO112" s="12">
        <f t="shared" si="45"/>
        <v>9136.6906474820153</v>
      </c>
      <c r="AP112" s="6" t="s">
        <v>54</v>
      </c>
      <c r="AQ112" s="6"/>
      <c r="AR112" s="6"/>
      <c r="AS112" s="30">
        <f t="shared" si="49"/>
        <v>25.266666666666666</v>
      </c>
      <c r="AT112" s="30">
        <f t="shared" si="50"/>
        <v>82.983333333333334</v>
      </c>
      <c r="AU112" s="25">
        <v>42683</v>
      </c>
      <c r="AV112" s="27">
        <v>42823</v>
      </c>
      <c r="AW112" s="25">
        <v>42683</v>
      </c>
      <c r="AX112" s="27">
        <v>42823</v>
      </c>
      <c r="AY112" s="28">
        <f t="shared" si="41"/>
        <v>-52</v>
      </c>
      <c r="AZ112" s="28">
        <f t="shared" si="42"/>
        <v>88</v>
      </c>
      <c r="BA112" s="37">
        <f t="shared" si="43"/>
        <v>141</v>
      </c>
      <c r="BB112" s="28">
        <f t="shared" si="44"/>
        <v>-52</v>
      </c>
      <c r="BC112" s="28">
        <f t="shared" si="26"/>
        <v>88</v>
      </c>
      <c r="BD112" s="26">
        <f t="shared" si="27"/>
        <v>141</v>
      </c>
      <c r="BF112" s="36">
        <v>42772</v>
      </c>
      <c r="BG112" s="26">
        <f t="shared" si="46"/>
        <v>52</v>
      </c>
    </row>
    <row r="113" spans="1:59" s="26" customFormat="1" hidden="1" x14ac:dyDescent="0.3">
      <c r="A113" s="6">
        <v>1</v>
      </c>
      <c r="B113" s="6"/>
      <c r="C113" s="6">
        <v>71</v>
      </c>
      <c r="D113" s="6" t="s">
        <v>122</v>
      </c>
      <c r="E113" s="13" t="s">
        <v>123</v>
      </c>
      <c r="F113" s="9" t="str">
        <f t="shared" si="31"/>
        <v>2021-X140HD31182017OTC</v>
      </c>
      <c r="G113" s="6" t="s">
        <v>119</v>
      </c>
      <c r="H113" s="6" t="s">
        <v>95</v>
      </c>
      <c r="I113" s="6" t="s">
        <v>95</v>
      </c>
      <c r="J113" s="6" t="s">
        <v>96</v>
      </c>
      <c r="K113" s="6" t="s">
        <v>120</v>
      </c>
      <c r="L113" s="6">
        <v>2017</v>
      </c>
      <c r="M113" s="6" t="s">
        <v>97</v>
      </c>
      <c r="N113" s="7" t="s">
        <v>51</v>
      </c>
      <c r="O113" s="6" t="s">
        <v>103</v>
      </c>
      <c r="P113" s="7">
        <f>R113/1.01*1.08</f>
        <v>55.325940594059418</v>
      </c>
      <c r="Q113" s="6">
        <v>8.4</v>
      </c>
      <c r="R113" s="6">
        <v>51.74</v>
      </c>
      <c r="S113" s="6">
        <v>8</v>
      </c>
      <c r="T113" s="6">
        <v>131</v>
      </c>
      <c r="U113" s="6">
        <v>3</v>
      </c>
      <c r="V113" s="6">
        <f t="shared" si="48"/>
        <v>5.770992366412214</v>
      </c>
      <c r="W113" s="6" t="s">
        <v>65</v>
      </c>
      <c r="X113" s="6"/>
      <c r="Y113" s="12">
        <v>542</v>
      </c>
      <c r="Z113" s="6" t="s">
        <v>80</v>
      </c>
      <c r="AA113" s="6"/>
      <c r="AB113" s="6">
        <v>25</v>
      </c>
      <c r="AC113" s="12">
        <v>38.4</v>
      </c>
      <c r="AD113" s="7" t="s">
        <v>39</v>
      </c>
      <c r="AE113" s="6"/>
      <c r="AF113" s="6">
        <v>0.66</v>
      </c>
      <c r="AG113" s="12"/>
      <c r="AH113" s="6"/>
      <c r="AI113" s="6"/>
      <c r="AJ113" s="6"/>
      <c r="AK113" s="12"/>
      <c r="AL113" s="6"/>
      <c r="AM113" s="6"/>
      <c r="AN113" s="6"/>
      <c r="AO113" s="12">
        <f t="shared" si="45"/>
        <v>14114.583333333334</v>
      </c>
      <c r="AP113" s="6" t="s">
        <v>54</v>
      </c>
      <c r="AQ113" s="6"/>
      <c r="AR113" s="6"/>
      <c r="AS113" s="30">
        <f t="shared" si="49"/>
        <v>25.266666666666666</v>
      </c>
      <c r="AT113" s="30">
        <f t="shared" si="50"/>
        <v>82.983333333333334</v>
      </c>
      <c r="AU113" s="25">
        <v>42709</v>
      </c>
      <c r="AV113" s="27">
        <v>42824</v>
      </c>
      <c r="AW113" s="25">
        <v>42709</v>
      </c>
      <c r="AX113" s="27">
        <v>42824</v>
      </c>
      <c r="AY113" s="28">
        <f t="shared" si="41"/>
        <v>-26</v>
      </c>
      <c r="AZ113" s="28">
        <f t="shared" si="42"/>
        <v>89</v>
      </c>
      <c r="BA113" s="37">
        <f t="shared" si="43"/>
        <v>116</v>
      </c>
      <c r="BB113" s="28">
        <f t="shared" si="44"/>
        <v>-26</v>
      </c>
      <c r="BC113" s="28">
        <f t="shared" si="26"/>
        <v>89</v>
      </c>
      <c r="BD113" s="26">
        <f t="shared" si="27"/>
        <v>116</v>
      </c>
      <c r="BF113" s="36">
        <v>42793</v>
      </c>
      <c r="BG113" s="26">
        <f t="shared" si="46"/>
        <v>32</v>
      </c>
    </row>
    <row r="114" spans="1:59" s="26" customFormat="1" hidden="1" x14ac:dyDescent="0.3">
      <c r="A114" s="6">
        <v>1</v>
      </c>
      <c r="B114" s="6"/>
      <c r="C114" s="6">
        <v>71</v>
      </c>
      <c r="D114" s="6" t="s">
        <v>122</v>
      </c>
      <c r="E114" s="13" t="s">
        <v>123</v>
      </c>
      <c r="F114" s="9" t="str">
        <f t="shared" si="31"/>
        <v>2021-X140HD31182017OTC</v>
      </c>
      <c r="G114" s="6" t="s">
        <v>119</v>
      </c>
      <c r="H114" s="6" t="s">
        <v>95</v>
      </c>
      <c r="I114" s="6" t="s">
        <v>95</v>
      </c>
      <c r="J114" s="6" t="s">
        <v>96</v>
      </c>
      <c r="K114" s="6" t="s">
        <v>120</v>
      </c>
      <c r="L114" s="6">
        <v>2017</v>
      </c>
      <c r="M114" s="6" t="s">
        <v>97</v>
      </c>
      <c r="N114" s="7" t="s">
        <v>51</v>
      </c>
      <c r="O114" s="6" t="s">
        <v>75</v>
      </c>
      <c r="P114" s="7">
        <f>(8 * R114+ 4 * 0.97*R113) / 12*1.08</f>
        <v>71.534808000000012</v>
      </c>
      <c r="Q114" s="6">
        <v>16.5</v>
      </c>
      <c r="R114" s="6">
        <v>74.260000000000005</v>
      </c>
      <c r="S114" s="6">
        <v>8</v>
      </c>
      <c r="T114" s="6">
        <v>131</v>
      </c>
      <c r="U114" s="6">
        <v>3</v>
      </c>
      <c r="V114" s="6">
        <f t="shared" si="48"/>
        <v>11.335877862595419</v>
      </c>
      <c r="W114" s="6" t="s">
        <v>65</v>
      </c>
      <c r="X114" s="6"/>
      <c r="Y114" s="12">
        <v>402</v>
      </c>
      <c r="Z114" s="6" t="s">
        <v>80</v>
      </c>
      <c r="AA114" s="6"/>
      <c r="AB114" s="6">
        <v>24</v>
      </c>
      <c r="AC114" s="12">
        <v>32.799999999999997</v>
      </c>
      <c r="AD114" s="7" t="s">
        <v>39</v>
      </c>
      <c r="AE114" s="6"/>
      <c r="AF114" s="6">
        <v>0.73</v>
      </c>
      <c r="AG114" s="12"/>
      <c r="AH114" s="6"/>
      <c r="AI114" s="6"/>
      <c r="AJ114" s="6"/>
      <c r="AK114" s="12"/>
      <c r="AL114" s="6"/>
      <c r="AM114" s="6"/>
      <c r="AN114" s="6"/>
      <c r="AO114" s="12">
        <f t="shared" si="45"/>
        <v>12256.097560975611</v>
      </c>
      <c r="AP114" s="6" t="s">
        <v>54</v>
      </c>
      <c r="AQ114" s="6"/>
      <c r="AR114" s="6"/>
      <c r="AS114" s="30">
        <f t="shared" si="49"/>
        <v>25.266666666666666</v>
      </c>
      <c r="AT114" s="30">
        <f t="shared" si="50"/>
        <v>82.983333333333334</v>
      </c>
      <c r="AU114" s="25">
        <v>42709</v>
      </c>
      <c r="AV114" s="27">
        <v>42824</v>
      </c>
      <c r="AW114" s="25">
        <v>42709</v>
      </c>
      <c r="AX114" s="27">
        <v>42824</v>
      </c>
      <c r="AY114" s="28">
        <f t="shared" si="41"/>
        <v>-26</v>
      </c>
      <c r="AZ114" s="28">
        <f t="shared" si="42"/>
        <v>89</v>
      </c>
      <c r="BA114" s="37">
        <f t="shared" si="43"/>
        <v>116</v>
      </c>
      <c r="BB114" s="28">
        <f t="shared" si="44"/>
        <v>-26</v>
      </c>
      <c r="BC114" s="28">
        <f t="shared" si="26"/>
        <v>89</v>
      </c>
      <c r="BD114" s="26">
        <f t="shared" si="27"/>
        <v>116</v>
      </c>
      <c r="BF114" s="36">
        <v>42793</v>
      </c>
      <c r="BG114" s="26">
        <f t="shared" si="46"/>
        <v>32</v>
      </c>
    </row>
    <row r="115" spans="1:59" s="26" customFormat="1" hidden="1" x14ac:dyDescent="0.3">
      <c r="A115" s="6">
        <v>1</v>
      </c>
      <c r="B115" s="6"/>
      <c r="C115" s="6">
        <v>71</v>
      </c>
      <c r="D115" s="6" t="s">
        <v>122</v>
      </c>
      <c r="E115" s="13" t="s">
        <v>123</v>
      </c>
      <c r="F115" s="9" t="str">
        <f t="shared" si="31"/>
        <v>2021-X140HUW2342017OTC</v>
      </c>
      <c r="G115" s="6" t="s">
        <v>119</v>
      </c>
      <c r="H115" s="6" t="s">
        <v>95</v>
      </c>
      <c r="I115" s="6" t="s">
        <v>95</v>
      </c>
      <c r="J115" s="6" t="s">
        <v>96</v>
      </c>
      <c r="K115" s="6" t="s">
        <v>121</v>
      </c>
      <c r="L115" s="6">
        <v>2017</v>
      </c>
      <c r="M115" s="6" t="s">
        <v>97</v>
      </c>
      <c r="N115" s="7" t="s">
        <v>51</v>
      </c>
      <c r="O115" s="6" t="s">
        <v>103</v>
      </c>
      <c r="P115" s="7">
        <f>R115/1.01*1.08</f>
        <v>55.325940594059418</v>
      </c>
      <c r="Q115" s="6">
        <v>8.4</v>
      </c>
      <c r="R115" s="6">
        <v>51.74</v>
      </c>
      <c r="S115" s="6">
        <v>8</v>
      </c>
      <c r="T115" s="6">
        <v>131</v>
      </c>
      <c r="U115" s="6">
        <v>3</v>
      </c>
      <c r="V115" s="6">
        <f t="shared" si="48"/>
        <v>5.770992366412214</v>
      </c>
      <c r="W115" s="6" t="s">
        <v>65</v>
      </c>
      <c r="X115" s="6"/>
      <c r="Y115" s="12">
        <v>521</v>
      </c>
      <c r="Z115" s="6" t="s">
        <v>80</v>
      </c>
      <c r="AA115" s="6"/>
      <c r="AB115" s="6">
        <v>28</v>
      </c>
      <c r="AC115" s="12">
        <v>36.9</v>
      </c>
      <c r="AD115" s="7" t="s">
        <v>39</v>
      </c>
      <c r="AE115" s="6"/>
      <c r="AF115" s="6">
        <v>1</v>
      </c>
      <c r="AG115" s="12"/>
      <c r="AH115" s="6"/>
      <c r="AI115" s="6"/>
      <c r="AJ115" s="6"/>
      <c r="AK115" s="12"/>
      <c r="AL115" s="6"/>
      <c r="AM115" s="6"/>
      <c r="AN115" s="6"/>
      <c r="AO115" s="12">
        <f t="shared" si="45"/>
        <v>14119.241192411926</v>
      </c>
      <c r="AP115" s="6" t="s">
        <v>54</v>
      </c>
      <c r="AQ115" s="6"/>
      <c r="AR115" s="6"/>
      <c r="AS115" s="30">
        <f t="shared" si="49"/>
        <v>25.266666666666666</v>
      </c>
      <c r="AT115" s="30">
        <f t="shared" si="50"/>
        <v>82.983333333333334</v>
      </c>
      <c r="AU115" s="25">
        <v>42709</v>
      </c>
      <c r="AV115" s="27">
        <v>42824</v>
      </c>
      <c r="AW115" s="25">
        <v>42709</v>
      </c>
      <c r="AX115" s="27">
        <v>42824</v>
      </c>
      <c r="AY115" s="28">
        <f t="shared" si="41"/>
        <v>-26</v>
      </c>
      <c r="AZ115" s="28">
        <f t="shared" si="42"/>
        <v>89</v>
      </c>
      <c r="BA115" s="37">
        <f t="shared" si="43"/>
        <v>116</v>
      </c>
      <c r="BB115" s="28">
        <f t="shared" si="44"/>
        <v>-26</v>
      </c>
      <c r="BC115" s="28">
        <f t="shared" si="26"/>
        <v>89</v>
      </c>
      <c r="BD115" s="26">
        <f t="shared" si="27"/>
        <v>116</v>
      </c>
      <c r="BF115" s="36">
        <v>42793</v>
      </c>
      <c r="BG115" s="26">
        <f t="shared" si="46"/>
        <v>32</v>
      </c>
    </row>
    <row r="116" spans="1:59" s="26" customFormat="1" hidden="1" x14ac:dyDescent="0.3">
      <c r="A116" s="6">
        <v>1</v>
      </c>
      <c r="B116" s="6"/>
      <c r="C116" s="6">
        <v>71</v>
      </c>
      <c r="D116" s="6" t="s">
        <v>122</v>
      </c>
      <c r="E116" s="13" t="s">
        <v>123</v>
      </c>
      <c r="F116" s="9" t="str">
        <f t="shared" si="31"/>
        <v>2021-X140HUW2342017OTC</v>
      </c>
      <c r="G116" s="6" t="s">
        <v>119</v>
      </c>
      <c r="H116" s="6" t="s">
        <v>95</v>
      </c>
      <c r="I116" s="6" t="s">
        <v>95</v>
      </c>
      <c r="J116" s="6" t="s">
        <v>96</v>
      </c>
      <c r="K116" s="6" t="s">
        <v>121</v>
      </c>
      <c r="L116" s="6">
        <v>2017</v>
      </c>
      <c r="M116" s="6" t="s">
        <v>97</v>
      </c>
      <c r="N116" s="7" t="s">
        <v>51</v>
      </c>
      <c r="O116" s="6" t="s">
        <v>75</v>
      </c>
      <c r="P116" s="7">
        <f>(8 * R116+ 4 * 0.97*R115) / 12*1.08</f>
        <v>71.534808000000012</v>
      </c>
      <c r="Q116" s="6">
        <v>16.5</v>
      </c>
      <c r="R116" s="6">
        <v>74.260000000000005</v>
      </c>
      <c r="S116" s="6">
        <v>8</v>
      </c>
      <c r="T116" s="6">
        <v>131</v>
      </c>
      <c r="U116" s="6">
        <v>3</v>
      </c>
      <c r="V116" s="6">
        <f t="shared" si="48"/>
        <v>11.335877862595419</v>
      </c>
      <c r="W116" s="6" t="s">
        <v>65</v>
      </c>
      <c r="X116" s="6"/>
      <c r="Y116" s="12">
        <v>418</v>
      </c>
      <c r="Z116" s="6" t="s">
        <v>80</v>
      </c>
      <c r="AA116" s="6"/>
      <c r="AB116" s="6">
        <v>21</v>
      </c>
      <c r="AC116" s="12">
        <v>33.200000000000003</v>
      </c>
      <c r="AD116" s="7" t="s">
        <v>39</v>
      </c>
      <c r="AE116" s="6"/>
      <c r="AF116" s="6">
        <v>0.1</v>
      </c>
      <c r="AG116" s="12"/>
      <c r="AH116" s="6"/>
      <c r="AI116" s="6"/>
      <c r="AJ116" s="6"/>
      <c r="AK116" s="12"/>
      <c r="AL116" s="6"/>
      <c r="AM116" s="6"/>
      <c r="AN116" s="6"/>
      <c r="AO116" s="12">
        <f t="shared" si="45"/>
        <v>12590.361445783132</v>
      </c>
      <c r="AP116" s="6" t="s">
        <v>54</v>
      </c>
      <c r="AQ116" s="6"/>
      <c r="AR116" s="6"/>
      <c r="AS116" s="30">
        <f t="shared" si="49"/>
        <v>25.266666666666666</v>
      </c>
      <c r="AT116" s="30">
        <f t="shared" si="50"/>
        <v>82.983333333333334</v>
      </c>
      <c r="AU116" s="25">
        <v>42709</v>
      </c>
      <c r="AV116" s="27">
        <v>42824</v>
      </c>
      <c r="AW116" s="25">
        <v>42709</v>
      </c>
      <c r="AX116" s="27">
        <v>42824</v>
      </c>
      <c r="AY116" s="28">
        <f t="shared" si="41"/>
        <v>-26</v>
      </c>
      <c r="AZ116" s="28">
        <f t="shared" si="42"/>
        <v>89</v>
      </c>
      <c r="BA116" s="37">
        <f t="shared" si="43"/>
        <v>116</v>
      </c>
      <c r="BB116" s="28">
        <f t="shared" si="44"/>
        <v>-26</v>
      </c>
      <c r="BC116" s="28">
        <f t="shared" si="26"/>
        <v>89</v>
      </c>
      <c r="BD116" s="26">
        <f t="shared" si="27"/>
        <v>116</v>
      </c>
      <c r="BF116" s="36">
        <v>42793</v>
      </c>
      <c r="BG116" s="26">
        <f t="shared" si="46"/>
        <v>32</v>
      </c>
    </row>
    <row r="117" spans="1:59" s="26" customFormat="1" hidden="1" x14ac:dyDescent="0.3">
      <c r="A117" s="6">
        <v>1</v>
      </c>
      <c r="B117" s="6"/>
      <c r="C117" s="6">
        <v>71</v>
      </c>
      <c r="D117" s="6" t="s">
        <v>122</v>
      </c>
      <c r="E117" s="13" t="s">
        <v>123</v>
      </c>
      <c r="F117" s="9" t="str">
        <f t="shared" si="31"/>
        <v>2021-X140HUW4682017OTC</v>
      </c>
      <c r="G117" s="6" t="s">
        <v>119</v>
      </c>
      <c r="H117" s="6" t="s">
        <v>95</v>
      </c>
      <c r="I117" s="6" t="s">
        <v>95</v>
      </c>
      <c r="J117" s="6" t="s">
        <v>96</v>
      </c>
      <c r="K117" s="6" t="s">
        <v>125</v>
      </c>
      <c r="L117" s="6">
        <v>2017</v>
      </c>
      <c r="M117" s="6" t="s">
        <v>97</v>
      </c>
      <c r="N117" s="7" t="s">
        <v>51</v>
      </c>
      <c r="O117" s="6" t="s">
        <v>103</v>
      </c>
      <c r="P117" s="7">
        <f>R117/1.01*1.08</f>
        <v>54.748514851485155</v>
      </c>
      <c r="Q117" s="6">
        <v>11.78</v>
      </c>
      <c r="R117" s="6">
        <v>51.2</v>
      </c>
      <c r="S117" s="6">
        <v>8</v>
      </c>
      <c r="T117" s="6">
        <v>150</v>
      </c>
      <c r="U117" s="6">
        <v>3</v>
      </c>
      <c r="V117" s="6">
        <f t="shared" si="48"/>
        <v>7.0679999999999996</v>
      </c>
      <c r="W117" s="6" t="s">
        <v>65</v>
      </c>
      <c r="X117" s="6"/>
      <c r="Y117" s="12">
        <v>545</v>
      </c>
      <c r="Z117" s="6" t="s">
        <v>80</v>
      </c>
      <c r="AA117" s="6"/>
      <c r="AB117" s="6">
        <v>26</v>
      </c>
      <c r="AC117" s="12">
        <v>37.1</v>
      </c>
      <c r="AD117" s="7" t="s">
        <v>39</v>
      </c>
      <c r="AE117" s="6"/>
      <c r="AF117" s="6">
        <v>0.7</v>
      </c>
      <c r="AG117" s="12"/>
      <c r="AH117" s="6"/>
      <c r="AI117" s="6"/>
      <c r="AJ117" s="6"/>
      <c r="AK117" s="12"/>
      <c r="AL117" s="6"/>
      <c r="AM117" s="6"/>
      <c r="AN117" s="6"/>
      <c r="AO117" s="12">
        <f t="shared" si="45"/>
        <v>14690.026954177898</v>
      </c>
      <c r="AP117" s="6" t="s">
        <v>54</v>
      </c>
      <c r="AQ117" s="6"/>
      <c r="AR117" s="6"/>
      <c r="AS117" s="30">
        <f t="shared" si="49"/>
        <v>25.266666666666666</v>
      </c>
      <c r="AT117" s="30">
        <f t="shared" si="50"/>
        <v>82.983333333333334</v>
      </c>
      <c r="AU117" s="25">
        <v>43048</v>
      </c>
      <c r="AV117" s="27">
        <v>43188</v>
      </c>
      <c r="AW117" s="25">
        <v>43048</v>
      </c>
      <c r="AX117" s="27">
        <v>43188</v>
      </c>
      <c r="AY117" s="28">
        <f t="shared" si="41"/>
        <v>-52</v>
      </c>
      <c r="AZ117" s="28">
        <f t="shared" si="42"/>
        <v>88</v>
      </c>
      <c r="BA117" s="37">
        <f t="shared" si="43"/>
        <v>141</v>
      </c>
      <c r="BB117" s="28">
        <f t="shared" si="44"/>
        <v>-52</v>
      </c>
      <c r="BC117" s="28">
        <f t="shared" si="26"/>
        <v>88</v>
      </c>
      <c r="BD117" s="26">
        <f t="shared" si="27"/>
        <v>141</v>
      </c>
      <c r="BF117" s="36">
        <v>43137</v>
      </c>
      <c r="BG117" s="26">
        <f t="shared" si="46"/>
        <v>52</v>
      </c>
    </row>
    <row r="118" spans="1:59" s="26" customFormat="1" hidden="1" x14ac:dyDescent="0.3">
      <c r="A118" s="6">
        <v>1</v>
      </c>
      <c r="B118" s="6"/>
      <c r="C118" s="6">
        <v>71</v>
      </c>
      <c r="D118" s="6" t="s">
        <v>122</v>
      </c>
      <c r="E118" s="13" t="s">
        <v>123</v>
      </c>
      <c r="F118" s="9" t="str">
        <f t="shared" si="31"/>
        <v>2021-X140HUW4682017OTC</v>
      </c>
      <c r="G118" s="6" t="s">
        <v>119</v>
      </c>
      <c r="H118" s="6" t="s">
        <v>95</v>
      </c>
      <c r="I118" s="6" t="s">
        <v>95</v>
      </c>
      <c r="J118" s="6" t="s">
        <v>96</v>
      </c>
      <c r="K118" s="6" t="s">
        <v>125</v>
      </c>
      <c r="L118" s="6">
        <v>2017</v>
      </c>
      <c r="M118" s="6" t="s">
        <v>97</v>
      </c>
      <c r="N118" s="7" t="s">
        <v>51</v>
      </c>
      <c r="O118" s="6" t="s">
        <v>75</v>
      </c>
      <c r="P118" s="7">
        <f>(8 * R118+ 4 * 0.97*R117) / 12*1.08</f>
        <v>69.863040000000012</v>
      </c>
      <c r="Q118" s="6">
        <v>21.6</v>
      </c>
      <c r="R118" s="6">
        <v>72.2</v>
      </c>
      <c r="S118" s="6">
        <v>8</v>
      </c>
      <c r="T118" s="6">
        <v>150</v>
      </c>
      <c r="U118" s="6">
        <v>3</v>
      </c>
      <c r="V118" s="6">
        <f t="shared" si="48"/>
        <v>12.96</v>
      </c>
      <c r="W118" s="6" t="s">
        <v>65</v>
      </c>
      <c r="X118" s="6"/>
      <c r="Y118" s="12">
        <v>365</v>
      </c>
      <c r="Z118" s="6" t="s">
        <v>80</v>
      </c>
      <c r="AA118" s="6"/>
      <c r="AB118" s="6">
        <v>16</v>
      </c>
      <c r="AC118" s="12">
        <v>33</v>
      </c>
      <c r="AD118" s="7" t="s">
        <v>39</v>
      </c>
      <c r="AE118" s="6"/>
      <c r="AF118" s="6">
        <v>0.67</v>
      </c>
      <c r="AG118" s="12"/>
      <c r="AH118" s="6"/>
      <c r="AI118" s="6"/>
      <c r="AJ118" s="6"/>
      <c r="AK118" s="12"/>
      <c r="AL118" s="6"/>
      <c r="AM118" s="6"/>
      <c r="AN118" s="6"/>
      <c r="AO118" s="12">
        <f t="shared" si="45"/>
        <v>11060.60606060606</v>
      </c>
      <c r="AP118" s="6" t="s">
        <v>54</v>
      </c>
      <c r="AQ118" s="6"/>
      <c r="AR118" s="6"/>
      <c r="AS118" s="30">
        <f t="shared" si="49"/>
        <v>25.266666666666666</v>
      </c>
      <c r="AT118" s="30">
        <f t="shared" si="50"/>
        <v>82.983333333333334</v>
      </c>
      <c r="AU118" s="25">
        <v>43048</v>
      </c>
      <c r="AV118" s="27">
        <v>43188</v>
      </c>
      <c r="AW118" s="25">
        <v>43048</v>
      </c>
      <c r="AX118" s="27">
        <v>43188</v>
      </c>
      <c r="AY118" s="28">
        <f t="shared" si="41"/>
        <v>-52</v>
      </c>
      <c r="AZ118" s="28">
        <f t="shared" si="42"/>
        <v>88</v>
      </c>
      <c r="BA118" s="37">
        <f t="shared" si="43"/>
        <v>141</v>
      </c>
      <c r="BB118" s="28">
        <f t="shared" si="44"/>
        <v>-52</v>
      </c>
      <c r="BC118" s="28">
        <f t="shared" si="26"/>
        <v>88</v>
      </c>
      <c r="BD118" s="26">
        <f t="shared" si="27"/>
        <v>141</v>
      </c>
      <c r="BF118" s="36">
        <v>43137</v>
      </c>
      <c r="BG118" s="26">
        <f t="shared" si="46"/>
        <v>52</v>
      </c>
    </row>
    <row r="119" spans="1:59" s="26" customFormat="1" hidden="1" x14ac:dyDescent="0.3">
      <c r="A119" s="6">
        <v>1</v>
      </c>
      <c r="B119" s="6"/>
      <c r="C119" s="6">
        <v>71</v>
      </c>
      <c r="D119" s="6" t="s">
        <v>122</v>
      </c>
      <c r="E119" s="13" t="s">
        <v>123</v>
      </c>
      <c r="F119" s="9" t="str">
        <f t="shared" si="31"/>
        <v>2021-X140HD30862018OTC</v>
      </c>
      <c r="G119" s="6" t="s">
        <v>119</v>
      </c>
      <c r="H119" s="6" t="s">
        <v>95</v>
      </c>
      <c r="I119" s="6" t="s">
        <v>95</v>
      </c>
      <c r="J119" s="6" t="s">
        <v>96</v>
      </c>
      <c r="K119" s="6" t="s">
        <v>124</v>
      </c>
      <c r="L119" s="6">
        <v>2018</v>
      </c>
      <c r="M119" s="6" t="s">
        <v>97</v>
      </c>
      <c r="N119" s="7" t="s">
        <v>51</v>
      </c>
      <c r="O119" s="6" t="s">
        <v>103</v>
      </c>
      <c r="P119" s="7">
        <f>R119/1.01*1.08</f>
        <v>49.049108910891093</v>
      </c>
      <c r="Q119" s="6">
        <v>6.8</v>
      </c>
      <c r="R119" s="6">
        <v>45.87</v>
      </c>
      <c r="S119" s="6">
        <v>8</v>
      </c>
      <c r="T119" s="6">
        <v>150</v>
      </c>
      <c r="U119" s="6">
        <v>3</v>
      </c>
      <c r="V119" s="6">
        <f t="shared" si="48"/>
        <v>4.08</v>
      </c>
      <c r="W119" s="6" t="s">
        <v>65</v>
      </c>
      <c r="X119" s="6"/>
      <c r="Y119" s="12">
        <v>524</v>
      </c>
      <c r="Z119" s="6" t="s">
        <v>80</v>
      </c>
      <c r="AA119" s="6"/>
      <c r="AB119" s="6">
        <v>13</v>
      </c>
      <c r="AC119" s="12">
        <v>41.2</v>
      </c>
      <c r="AD119" s="7" t="s">
        <v>39</v>
      </c>
      <c r="AE119" s="6"/>
      <c r="AF119" s="6">
        <v>0.67</v>
      </c>
      <c r="AG119" s="12"/>
      <c r="AH119" s="6"/>
      <c r="AI119" s="6"/>
      <c r="AJ119" s="6"/>
      <c r="AK119" s="12"/>
      <c r="AL119" s="6"/>
      <c r="AM119" s="6"/>
      <c r="AN119" s="6"/>
      <c r="AO119" s="12">
        <f t="shared" si="45"/>
        <v>12718.446601941747</v>
      </c>
      <c r="AP119" s="6" t="s">
        <v>54</v>
      </c>
      <c r="AQ119" s="6"/>
      <c r="AR119" s="6"/>
      <c r="AS119" s="30">
        <f t="shared" si="49"/>
        <v>25.266666666666666</v>
      </c>
      <c r="AT119" s="30">
        <f t="shared" si="50"/>
        <v>82.983333333333334</v>
      </c>
      <c r="AU119" s="25">
        <v>43048</v>
      </c>
      <c r="AV119" s="27">
        <v>43188</v>
      </c>
      <c r="AW119" s="25">
        <v>43048</v>
      </c>
      <c r="AX119" s="27">
        <v>43188</v>
      </c>
      <c r="AY119" s="28">
        <f t="shared" ref="AY119:AY155" si="51">AU119-INT(YEAR(AV119)&amp;"/1/1")+1</f>
        <v>-52</v>
      </c>
      <c r="AZ119" s="28">
        <f t="shared" ref="AZ119:AZ150" si="52">AV119-INT(YEAR(AV119)&amp;"/1/1")+1</f>
        <v>88</v>
      </c>
      <c r="BA119" s="37">
        <f t="shared" ref="BA119:BA150" si="53">AZ119-AY119+1</f>
        <v>141</v>
      </c>
      <c r="BB119" s="28">
        <f t="shared" ref="BB119:BB155" si="54">AW119-INT(YEAR(AX119)&amp;"/1/1")+1</f>
        <v>-52</v>
      </c>
      <c r="BC119" s="28">
        <f t="shared" ref="BC119:BC182" si="55">AX119-INT(YEAR(AX119)&amp;"/1/1")+1</f>
        <v>88</v>
      </c>
      <c r="BD119" s="26">
        <f t="shared" ref="BD119:BD182" si="56">BC119-BB119+1</f>
        <v>141</v>
      </c>
      <c r="BF119" s="36">
        <v>43137</v>
      </c>
      <c r="BG119" s="26">
        <f t="shared" si="46"/>
        <v>52</v>
      </c>
    </row>
    <row r="120" spans="1:59" s="26" customFormat="1" hidden="1" x14ac:dyDescent="0.3">
      <c r="A120" s="6">
        <v>1</v>
      </c>
      <c r="B120" s="6"/>
      <c r="C120" s="6">
        <v>71</v>
      </c>
      <c r="D120" s="6" t="s">
        <v>122</v>
      </c>
      <c r="E120" s="13" t="s">
        <v>123</v>
      </c>
      <c r="F120" s="9" t="str">
        <f t="shared" si="31"/>
        <v>2021-X140HD30862018OTC</v>
      </c>
      <c r="G120" s="6" t="s">
        <v>119</v>
      </c>
      <c r="H120" s="6" t="s">
        <v>95</v>
      </c>
      <c r="I120" s="6" t="s">
        <v>95</v>
      </c>
      <c r="J120" s="6" t="s">
        <v>96</v>
      </c>
      <c r="K120" s="6" t="s">
        <v>124</v>
      </c>
      <c r="L120" s="6">
        <v>2018</v>
      </c>
      <c r="M120" s="6" t="s">
        <v>97</v>
      </c>
      <c r="N120" s="7" t="s">
        <v>51</v>
      </c>
      <c r="O120" s="6" t="s">
        <v>75</v>
      </c>
      <c r="P120" s="7">
        <f>(8 * R120+ 4 * 0.97*R119) / 12*1.08</f>
        <v>64.380204000000006</v>
      </c>
      <c r="Q120" s="6">
        <v>16.7</v>
      </c>
      <c r="R120" s="6">
        <v>67.17</v>
      </c>
      <c r="S120" s="6">
        <v>8</v>
      </c>
      <c r="T120" s="6">
        <v>150</v>
      </c>
      <c r="U120" s="6">
        <v>3</v>
      </c>
      <c r="V120" s="6">
        <f t="shared" si="48"/>
        <v>10.02</v>
      </c>
      <c r="W120" s="6" t="s">
        <v>65</v>
      </c>
      <c r="X120" s="6"/>
      <c r="Y120" s="12">
        <v>383</v>
      </c>
      <c r="Z120" s="6" t="s">
        <v>80</v>
      </c>
      <c r="AA120" s="6"/>
      <c r="AB120" s="6">
        <v>8</v>
      </c>
      <c r="AC120" s="12">
        <v>36.4</v>
      </c>
      <c r="AD120" s="7" t="s">
        <v>39</v>
      </c>
      <c r="AE120" s="6"/>
      <c r="AF120" s="6">
        <v>0.64</v>
      </c>
      <c r="AG120" s="12"/>
      <c r="AH120" s="6"/>
      <c r="AI120" s="6"/>
      <c r="AJ120" s="6"/>
      <c r="AK120" s="12"/>
      <c r="AL120" s="6"/>
      <c r="AM120" s="6"/>
      <c r="AN120" s="6"/>
      <c r="AO120" s="12">
        <f t="shared" si="45"/>
        <v>10521.978021978022</v>
      </c>
      <c r="AP120" s="6" t="s">
        <v>54</v>
      </c>
      <c r="AQ120" s="6"/>
      <c r="AR120" s="6"/>
      <c r="AS120" s="30">
        <f t="shared" si="49"/>
        <v>25.266666666666666</v>
      </c>
      <c r="AT120" s="30">
        <f t="shared" si="50"/>
        <v>82.983333333333334</v>
      </c>
      <c r="AU120" s="25">
        <v>43048</v>
      </c>
      <c r="AV120" s="27">
        <v>43188</v>
      </c>
      <c r="AW120" s="25">
        <v>43048</v>
      </c>
      <c r="AX120" s="27">
        <v>43188</v>
      </c>
      <c r="AY120" s="28">
        <f t="shared" si="51"/>
        <v>-52</v>
      </c>
      <c r="AZ120" s="28">
        <f t="shared" si="52"/>
        <v>88</v>
      </c>
      <c r="BA120" s="37">
        <f t="shared" si="53"/>
        <v>141</v>
      </c>
      <c r="BB120" s="28">
        <f t="shared" si="54"/>
        <v>-52</v>
      </c>
      <c r="BC120" s="28">
        <f t="shared" si="55"/>
        <v>88</v>
      </c>
      <c r="BD120" s="26">
        <f t="shared" si="56"/>
        <v>141</v>
      </c>
      <c r="BF120" s="36">
        <v>43137</v>
      </c>
      <c r="BG120" s="26">
        <f t="shared" si="46"/>
        <v>52</v>
      </c>
    </row>
    <row r="121" spans="1:59" s="26" customFormat="1" hidden="1" x14ac:dyDescent="0.3">
      <c r="A121" s="6">
        <v>1</v>
      </c>
      <c r="B121" s="6"/>
      <c r="C121" s="6">
        <v>71</v>
      </c>
      <c r="D121" s="6" t="s">
        <v>122</v>
      </c>
      <c r="E121" s="13" t="s">
        <v>123</v>
      </c>
      <c r="F121" s="9" t="str">
        <f t="shared" si="31"/>
        <v>2021-X140HD31182018OTC</v>
      </c>
      <c r="G121" s="6" t="s">
        <v>119</v>
      </c>
      <c r="H121" s="6" t="s">
        <v>95</v>
      </c>
      <c r="I121" s="6" t="s">
        <v>95</v>
      </c>
      <c r="J121" s="6" t="s">
        <v>96</v>
      </c>
      <c r="K121" s="6" t="s">
        <v>120</v>
      </c>
      <c r="L121" s="6">
        <v>2018</v>
      </c>
      <c r="M121" s="6" t="s">
        <v>97</v>
      </c>
      <c r="N121" s="7" t="s">
        <v>51</v>
      </c>
      <c r="O121" s="6" t="s">
        <v>103</v>
      </c>
      <c r="P121" s="7">
        <f>R121/1.01*1.08</f>
        <v>48.300594059405945</v>
      </c>
      <c r="Q121" s="6">
        <v>6.2</v>
      </c>
      <c r="R121" s="6">
        <v>45.17</v>
      </c>
      <c r="S121" s="6">
        <v>8</v>
      </c>
      <c r="T121" s="6">
        <v>131</v>
      </c>
      <c r="U121" s="6">
        <v>3</v>
      </c>
      <c r="V121" s="6">
        <f t="shared" si="48"/>
        <v>4.2595419847328246</v>
      </c>
      <c r="W121" s="6" t="s">
        <v>65</v>
      </c>
      <c r="X121" s="6"/>
      <c r="Y121" s="12">
        <v>463</v>
      </c>
      <c r="Z121" s="6" t="s">
        <v>80</v>
      </c>
      <c r="AA121" s="6"/>
      <c r="AB121" s="6">
        <v>9</v>
      </c>
      <c r="AC121" s="12">
        <v>38.94</v>
      </c>
      <c r="AD121" s="7" t="s">
        <v>39</v>
      </c>
      <c r="AE121" s="6"/>
      <c r="AF121" s="6">
        <v>0.67</v>
      </c>
      <c r="AG121" s="12"/>
      <c r="AH121" s="6"/>
      <c r="AI121" s="6"/>
      <c r="AJ121" s="6"/>
      <c r="AK121" s="12"/>
      <c r="AL121" s="6"/>
      <c r="AM121" s="6"/>
      <c r="AN121" s="6"/>
      <c r="AO121" s="12">
        <f t="shared" si="45"/>
        <v>11890.087313816128</v>
      </c>
      <c r="AP121" s="6" t="s">
        <v>54</v>
      </c>
      <c r="AQ121" s="6"/>
      <c r="AR121" s="6"/>
      <c r="AS121" s="30">
        <f t="shared" si="49"/>
        <v>25.266666666666666</v>
      </c>
      <c r="AT121" s="30">
        <f t="shared" si="50"/>
        <v>82.983333333333334</v>
      </c>
      <c r="AU121" s="25">
        <v>42709</v>
      </c>
      <c r="AV121" s="27">
        <v>42824</v>
      </c>
      <c r="AW121" s="25">
        <v>42709</v>
      </c>
      <c r="AX121" s="27">
        <v>42824</v>
      </c>
      <c r="AY121" s="28">
        <f t="shared" si="51"/>
        <v>-26</v>
      </c>
      <c r="AZ121" s="28">
        <f t="shared" si="52"/>
        <v>89</v>
      </c>
      <c r="BA121" s="37">
        <f t="shared" si="53"/>
        <v>116</v>
      </c>
      <c r="BB121" s="28">
        <f t="shared" si="54"/>
        <v>-26</v>
      </c>
      <c r="BC121" s="28">
        <f t="shared" si="55"/>
        <v>89</v>
      </c>
      <c r="BD121" s="26">
        <f t="shared" si="56"/>
        <v>116</v>
      </c>
      <c r="BF121" s="36">
        <v>42793</v>
      </c>
      <c r="BG121" s="26">
        <f t="shared" si="46"/>
        <v>32</v>
      </c>
    </row>
    <row r="122" spans="1:59" s="26" customFormat="1" hidden="1" x14ac:dyDescent="0.3">
      <c r="A122" s="6">
        <v>1</v>
      </c>
      <c r="B122" s="6"/>
      <c r="C122" s="6">
        <v>71</v>
      </c>
      <c r="D122" s="6" t="s">
        <v>122</v>
      </c>
      <c r="E122" s="13" t="s">
        <v>123</v>
      </c>
      <c r="F122" s="9" t="str">
        <f t="shared" si="31"/>
        <v>2021-X140HD31182018OTC</v>
      </c>
      <c r="G122" s="6" t="s">
        <v>119</v>
      </c>
      <c r="H122" s="6" t="s">
        <v>95</v>
      </c>
      <c r="I122" s="6" t="s">
        <v>95</v>
      </c>
      <c r="J122" s="6" t="s">
        <v>96</v>
      </c>
      <c r="K122" s="6" t="s">
        <v>120</v>
      </c>
      <c r="L122" s="6">
        <v>2018</v>
      </c>
      <c r="M122" s="6" t="s">
        <v>97</v>
      </c>
      <c r="N122" s="7" t="s">
        <v>51</v>
      </c>
      <c r="O122" s="6" t="s">
        <v>75</v>
      </c>
      <c r="P122" s="7">
        <f>(8 * R122+ 4 * 0.97*R121) / 12*1.08</f>
        <v>65.402964000000011</v>
      </c>
      <c r="Q122" s="6">
        <v>15.2</v>
      </c>
      <c r="R122" s="6">
        <v>68.930000000000007</v>
      </c>
      <c r="S122" s="6">
        <v>8</v>
      </c>
      <c r="T122" s="6">
        <v>131</v>
      </c>
      <c r="U122" s="6">
        <v>3</v>
      </c>
      <c r="V122" s="6">
        <f t="shared" si="48"/>
        <v>10.442748091603054</v>
      </c>
      <c r="W122" s="6" t="s">
        <v>65</v>
      </c>
      <c r="X122" s="6"/>
      <c r="Y122" s="12">
        <v>346</v>
      </c>
      <c r="Z122" s="6" t="s">
        <v>80</v>
      </c>
      <c r="AA122" s="6"/>
      <c r="AB122" s="6">
        <v>10</v>
      </c>
      <c r="AC122" s="12">
        <v>34.4</v>
      </c>
      <c r="AD122" s="7" t="s">
        <v>39</v>
      </c>
      <c r="AE122" s="6"/>
      <c r="AF122" s="6">
        <v>1.0900000000000001</v>
      </c>
      <c r="AG122" s="12"/>
      <c r="AH122" s="6"/>
      <c r="AI122" s="6"/>
      <c r="AJ122" s="6"/>
      <c r="AK122" s="12"/>
      <c r="AL122" s="6"/>
      <c r="AM122" s="6"/>
      <c r="AN122" s="6"/>
      <c r="AO122" s="12">
        <f t="shared" si="45"/>
        <v>10058.139534883721</v>
      </c>
      <c r="AP122" s="6" t="s">
        <v>54</v>
      </c>
      <c r="AQ122" s="6"/>
      <c r="AR122" s="6"/>
      <c r="AS122" s="30">
        <f t="shared" si="49"/>
        <v>25.266666666666666</v>
      </c>
      <c r="AT122" s="30">
        <f t="shared" si="50"/>
        <v>82.983333333333334</v>
      </c>
      <c r="AU122" s="25">
        <v>42709</v>
      </c>
      <c r="AV122" s="27">
        <v>42824</v>
      </c>
      <c r="AW122" s="25">
        <v>42709</v>
      </c>
      <c r="AX122" s="27">
        <v>42824</v>
      </c>
      <c r="AY122" s="28">
        <f t="shared" si="51"/>
        <v>-26</v>
      </c>
      <c r="AZ122" s="28">
        <f t="shared" si="52"/>
        <v>89</v>
      </c>
      <c r="BA122" s="37">
        <f t="shared" si="53"/>
        <v>116</v>
      </c>
      <c r="BB122" s="28">
        <f t="shared" si="54"/>
        <v>-26</v>
      </c>
      <c r="BC122" s="28">
        <f t="shared" si="55"/>
        <v>89</v>
      </c>
      <c r="BD122" s="26">
        <f t="shared" si="56"/>
        <v>116</v>
      </c>
      <c r="BF122" s="36">
        <v>42793</v>
      </c>
      <c r="BG122" s="26">
        <f t="shared" si="46"/>
        <v>32</v>
      </c>
    </row>
    <row r="123" spans="1:59" s="26" customFormat="1" hidden="1" x14ac:dyDescent="0.3">
      <c r="A123" s="6">
        <v>1</v>
      </c>
      <c r="B123" s="6"/>
      <c r="C123" s="6">
        <v>71</v>
      </c>
      <c r="D123" s="6" t="s">
        <v>122</v>
      </c>
      <c r="E123" s="13" t="s">
        <v>123</v>
      </c>
      <c r="F123" s="9" t="str">
        <f t="shared" si="31"/>
        <v>2021-X140HUW2342018OTC</v>
      </c>
      <c r="G123" s="6" t="s">
        <v>119</v>
      </c>
      <c r="H123" s="6" t="s">
        <v>95</v>
      </c>
      <c r="I123" s="6" t="s">
        <v>95</v>
      </c>
      <c r="J123" s="6" t="s">
        <v>96</v>
      </c>
      <c r="K123" s="6" t="s">
        <v>121</v>
      </c>
      <c r="L123" s="6">
        <v>2018</v>
      </c>
      <c r="M123" s="6" t="s">
        <v>97</v>
      </c>
      <c r="N123" s="7" t="s">
        <v>51</v>
      </c>
      <c r="O123" s="6" t="s">
        <v>103</v>
      </c>
      <c r="P123" s="7">
        <f>R123/1.01*1.08</f>
        <v>48.300594059405945</v>
      </c>
      <c r="Q123" s="6">
        <v>6.2</v>
      </c>
      <c r="R123" s="6">
        <v>45.17</v>
      </c>
      <c r="S123" s="6">
        <v>8</v>
      </c>
      <c r="T123" s="6">
        <v>131</v>
      </c>
      <c r="U123" s="6">
        <v>3</v>
      </c>
      <c r="V123" s="6">
        <f t="shared" si="48"/>
        <v>4.2595419847328246</v>
      </c>
      <c r="W123" s="6" t="s">
        <v>65</v>
      </c>
      <c r="X123" s="6"/>
      <c r="Y123" s="12">
        <v>478</v>
      </c>
      <c r="Z123" s="6" t="s">
        <v>80</v>
      </c>
      <c r="AA123" s="6"/>
      <c r="AB123" s="6">
        <v>13</v>
      </c>
      <c r="AC123" s="12">
        <v>39.64</v>
      </c>
      <c r="AD123" s="7" t="s">
        <v>39</v>
      </c>
      <c r="AE123" s="6"/>
      <c r="AF123" s="6">
        <v>1.1200000000000001</v>
      </c>
      <c r="AG123" s="12"/>
      <c r="AH123" s="6"/>
      <c r="AI123" s="6"/>
      <c r="AJ123" s="6"/>
      <c r="AK123" s="12"/>
      <c r="AL123" s="6"/>
      <c r="AM123" s="6"/>
      <c r="AN123" s="6"/>
      <c r="AO123" s="12">
        <f t="shared" si="45"/>
        <v>12058.526740665993</v>
      </c>
      <c r="AP123" s="6" t="s">
        <v>54</v>
      </c>
      <c r="AQ123" s="6"/>
      <c r="AR123" s="6"/>
      <c r="AS123" s="30">
        <f t="shared" si="49"/>
        <v>25.266666666666666</v>
      </c>
      <c r="AT123" s="30">
        <f t="shared" si="50"/>
        <v>82.983333333333334</v>
      </c>
      <c r="AU123" s="25">
        <v>42709</v>
      </c>
      <c r="AV123" s="27">
        <v>42824</v>
      </c>
      <c r="AW123" s="25">
        <v>42709</v>
      </c>
      <c r="AX123" s="27">
        <v>42824</v>
      </c>
      <c r="AY123" s="28">
        <f t="shared" si="51"/>
        <v>-26</v>
      </c>
      <c r="AZ123" s="28">
        <f t="shared" si="52"/>
        <v>89</v>
      </c>
      <c r="BA123" s="37">
        <f t="shared" si="53"/>
        <v>116</v>
      </c>
      <c r="BB123" s="28">
        <f t="shared" si="54"/>
        <v>-26</v>
      </c>
      <c r="BC123" s="28">
        <f t="shared" si="55"/>
        <v>89</v>
      </c>
      <c r="BD123" s="26">
        <f t="shared" si="56"/>
        <v>116</v>
      </c>
      <c r="BF123" s="36">
        <v>42793</v>
      </c>
      <c r="BG123" s="26">
        <f t="shared" si="46"/>
        <v>32</v>
      </c>
    </row>
    <row r="124" spans="1:59" s="26" customFormat="1" hidden="1" x14ac:dyDescent="0.3">
      <c r="A124" s="6">
        <v>1</v>
      </c>
      <c r="B124" s="6"/>
      <c r="C124" s="6">
        <v>71</v>
      </c>
      <c r="D124" s="6" t="s">
        <v>122</v>
      </c>
      <c r="E124" s="13" t="s">
        <v>123</v>
      </c>
      <c r="F124" s="9" t="str">
        <f t="shared" si="31"/>
        <v>2021-X140HUW2342018OTC</v>
      </c>
      <c r="G124" s="6" t="s">
        <v>119</v>
      </c>
      <c r="H124" s="6" t="s">
        <v>95</v>
      </c>
      <c r="I124" s="6" t="s">
        <v>95</v>
      </c>
      <c r="J124" s="6" t="s">
        <v>96</v>
      </c>
      <c r="K124" s="6" t="s">
        <v>121</v>
      </c>
      <c r="L124" s="6">
        <v>2018</v>
      </c>
      <c r="M124" s="6" t="s">
        <v>97</v>
      </c>
      <c r="N124" s="7" t="s">
        <v>51</v>
      </c>
      <c r="O124" s="6" t="s">
        <v>75</v>
      </c>
      <c r="P124" s="7">
        <f>(8 * R124+ 4 * 0.97*R123) / 12*1.08</f>
        <v>65.402964000000011</v>
      </c>
      <c r="Q124" s="6">
        <v>15.2</v>
      </c>
      <c r="R124" s="6">
        <v>68.930000000000007</v>
      </c>
      <c r="S124" s="6">
        <v>8</v>
      </c>
      <c r="T124" s="6">
        <v>131</v>
      </c>
      <c r="U124" s="6">
        <v>3</v>
      </c>
      <c r="V124" s="6">
        <f t="shared" si="48"/>
        <v>10.442748091603054</v>
      </c>
      <c r="W124" s="6" t="s">
        <v>65</v>
      </c>
      <c r="X124" s="6"/>
      <c r="Y124" s="12">
        <v>375</v>
      </c>
      <c r="Z124" s="6" t="s">
        <v>80</v>
      </c>
      <c r="AA124" s="6"/>
      <c r="AB124" s="6">
        <v>9</v>
      </c>
      <c r="AC124" s="12">
        <v>35.93</v>
      </c>
      <c r="AD124" s="7" t="s">
        <v>39</v>
      </c>
      <c r="AE124" s="6"/>
      <c r="AF124" s="6">
        <v>0.49</v>
      </c>
      <c r="AG124" s="12"/>
      <c r="AH124" s="6"/>
      <c r="AI124" s="6"/>
      <c r="AJ124" s="6"/>
      <c r="AK124" s="12"/>
      <c r="AL124" s="6"/>
      <c r="AM124" s="6"/>
      <c r="AN124" s="6"/>
      <c r="AO124" s="12">
        <f t="shared" si="45"/>
        <v>10436.960757027555</v>
      </c>
      <c r="AP124" s="6" t="s">
        <v>54</v>
      </c>
      <c r="AQ124" s="6"/>
      <c r="AR124" s="6"/>
      <c r="AS124" s="30">
        <f t="shared" si="49"/>
        <v>25.266666666666666</v>
      </c>
      <c r="AT124" s="30">
        <f t="shared" si="50"/>
        <v>82.983333333333334</v>
      </c>
      <c r="AU124" s="25">
        <v>42709</v>
      </c>
      <c r="AV124" s="27">
        <v>42824</v>
      </c>
      <c r="AW124" s="25">
        <v>42709</v>
      </c>
      <c r="AX124" s="27">
        <v>42824</v>
      </c>
      <c r="AY124" s="28">
        <f t="shared" si="51"/>
        <v>-26</v>
      </c>
      <c r="AZ124" s="28">
        <f t="shared" si="52"/>
        <v>89</v>
      </c>
      <c r="BA124" s="37">
        <f t="shared" si="53"/>
        <v>116</v>
      </c>
      <c r="BB124" s="28">
        <f t="shared" si="54"/>
        <v>-26</v>
      </c>
      <c r="BC124" s="28">
        <f t="shared" si="55"/>
        <v>89</v>
      </c>
      <c r="BD124" s="26">
        <f t="shared" si="56"/>
        <v>116</v>
      </c>
      <c r="BF124" s="36">
        <v>42793</v>
      </c>
      <c r="BG124" s="26">
        <f t="shared" si="46"/>
        <v>32</v>
      </c>
    </row>
    <row r="125" spans="1:59" s="26" customFormat="1" hidden="1" x14ac:dyDescent="0.3">
      <c r="A125" s="6">
        <v>1</v>
      </c>
      <c r="B125" s="6"/>
      <c r="C125" s="6">
        <v>71</v>
      </c>
      <c r="D125" s="6" t="s">
        <v>122</v>
      </c>
      <c r="E125" s="13" t="s">
        <v>123</v>
      </c>
      <c r="F125" s="9" t="str">
        <f t="shared" si="31"/>
        <v>2021-X140HUW4682018OTC</v>
      </c>
      <c r="G125" s="6" t="s">
        <v>119</v>
      </c>
      <c r="H125" s="6" t="s">
        <v>95</v>
      </c>
      <c r="I125" s="6" t="s">
        <v>95</v>
      </c>
      <c r="J125" s="6" t="s">
        <v>96</v>
      </c>
      <c r="K125" s="6" t="s">
        <v>125</v>
      </c>
      <c r="L125" s="6">
        <v>2018</v>
      </c>
      <c r="M125" s="6" t="s">
        <v>97</v>
      </c>
      <c r="N125" s="7" t="s">
        <v>51</v>
      </c>
      <c r="O125" s="6" t="s">
        <v>103</v>
      </c>
      <c r="P125" s="7">
        <f>R125/1.01*1.08</f>
        <v>49.049108910891093</v>
      </c>
      <c r="Q125" s="6">
        <v>6.8</v>
      </c>
      <c r="R125" s="6">
        <v>45.87</v>
      </c>
      <c r="S125" s="6">
        <v>8</v>
      </c>
      <c r="T125" s="6">
        <v>150</v>
      </c>
      <c r="U125" s="6">
        <v>3</v>
      </c>
      <c r="V125" s="6">
        <f t="shared" si="48"/>
        <v>4.08</v>
      </c>
      <c r="W125" s="6" t="s">
        <v>65</v>
      </c>
      <c r="X125" s="6"/>
      <c r="Y125" s="12">
        <v>514</v>
      </c>
      <c r="Z125" s="6" t="s">
        <v>80</v>
      </c>
      <c r="AA125" s="6"/>
      <c r="AB125" s="6">
        <v>17</v>
      </c>
      <c r="AC125" s="12">
        <v>33.9</v>
      </c>
      <c r="AD125" s="7" t="s">
        <v>39</v>
      </c>
      <c r="AE125" s="6"/>
      <c r="AF125" s="6">
        <v>0.9</v>
      </c>
      <c r="AG125" s="12"/>
      <c r="AH125" s="6"/>
      <c r="AI125" s="6"/>
      <c r="AJ125" s="6"/>
      <c r="AK125" s="12"/>
      <c r="AL125" s="6"/>
      <c r="AM125" s="6"/>
      <c r="AN125" s="6"/>
      <c r="AO125" s="12">
        <f t="shared" si="45"/>
        <v>15162.241887905604</v>
      </c>
      <c r="AP125" s="6" t="s">
        <v>54</v>
      </c>
      <c r="AQ125" s="6"/>
      <c r="AR125" s="6"/>
      <c r="AS125" s="30">
        <f t="shared" si="49"/>
        <v>25.266666666666666</v>
      </c>
      <c r="AT125" s="30">
        <f t="shared" si="50"/>
        <v>82.983333333333334</v>
      </c>
      <c r="AU125" s="25">
        <v>43048</v>
      </c>
      <c r="AV125" s="27">
        <v>43188</v>
      </c>
      <c r="AW125" s="25">
        <v>43048</v>
      </c>
      <c r="AX125" s="27">
        <v>43188</v>
      </c>
      <c r="AY125" s="28">
        <f t="shared" si="51"/>
        <v>-52</v>
      </c>
      <c r="AZ125" s="28">
        <f t="shared" si="52"/>
        <v>88</v>
      </c>
      <c r="BA125" s="37">
        <f t="shared" si="53"/>
        <v>141</v>
      </c>
      <c r="BB125" s="28">
        <f t="shared" si="54"/>
        <v>-52</v>
      </c>
      <c r="BC125" s="28">
        <f t="shared" si="55"/>
        <v>88</v>
      </c>
      <c r="BD125" s="26">
        <f t="shared" si="56"/>
        <v>141</v>
      </c>
      <c r="BF125" s="36">
        <v>43137</v>
      </c>
      <c r="BG125" s="26">
        <f t="shared" si="46"/>
        <v>52</v>
      </c>
    </row>
    <row r="126" spans="1:59" s="26" customFormat="1" hidden="1" x14ac:dyDescent="0.3">
      <c r="A126" s="6">
        <v>1</v>
      </c>
      <c r="B126" s="6"/>
      <c r="C126" s="6">
        <v>71</v>
      </c>
      <c r="D126" s="6" t="s">
        <v>122</v>
      </c>
      <c r="E126" s="13" t="s">
        <v>123</v>
      </c>
      <c r="F126" s="9" t="str">
        <f t="shared" si="31"/>
        <v>2021-X140HUW4682018OTC</v>
      </c>
      <c r="G126" s="6" t="s">
        <v>119</v>
      </c>
      <c r="H126" s="6" t="s">
        <v>95</v>
      </c>
      <c r="I126" s="6" t="s">
        <v>95</v>
      </c>
      <c r="J126" s="6" t="s">
        <v>96</v>
      </c>
      <c r="K126" s="6" t="s">
        <v>125</v>
      </c>
      <c r="L126" s="6">
        <v>2018</v>
      </c>
      <c r="M126" s="6" t="s">
        <v>97</v>
      </c>
      <c r="N126" s="7" t="s">
        <v>51</v>
      </c>
      <c r="O126" s="6" t="s">
        <v>75</v>
      </c>
      <c r="P126" s="7">
        <f>(8 * R126+ 4 * 0.97*R125) / 12*1.08</f>
        <v>64.380204000000006</v>
      </c>
      <c r="Q126" s="6">
        <v>16.7</v>
      </c>
      <c r="R126" s="6">
        <v>67.17</v>
      </c>
      <c r="S126" s="6">
        <v>8</v>
      </c>
      <c r="T126" s="6">
        <v>150</v>
      </c>
      <c r="U126" s="6">
        <v>3</v>
      </c>
      <c r="V126" s="6">
        <f t="shared" si="48"/>
        <v>10.02</v>
      </c>
      <c r="W126" s="6" t="s">
        <v>65</v>
      </c>
      <c r="X126" s="6"/>
      <c r="Y126" s="12">
        <v>363</v>
      </c>
      <c r="Z126" s="6" t="s">
        <v>80</v>
      </c>
      <c r="AA126" s="6"/>
      <c r="AB126" s="6">
        <v>7</v>
      </c>
      <c r="AC126" s="12">
        <v>28.5</v>
      </c>
      <c r="AD126" s="7" t="s">
        <v>39</v>
      </c>
      <c r="AE126" s="6"/>
      <c r="AF126" s="6">
        <v>0.5</v>
      </c>
      <c r="AG126" s="12"/>
      <c r="AH126" s="6"/>
      <c r="AI126" s="6"/>
      <c r="AJ126" s="6"/>
      <c r="AK126" s="12"/>
      <c r="AL126" s="6"/>
      <c r="AM126" s="6"/>
      <c r="AN126" s="6"/>
      <c r="AO126" s="12">
        <f t="shared" si="45"/>
        <v>12736.842105263158</v>
      </c>
      <c r="AP126" s="6" t="s">
        <v>54</v>
      </c>
      <c r="AQ126" s="6"/>
      <c r="AR126" s="6"/>
      <c r="AS126" s="30">
        <f t="shared" si="49"/>
        <v>25.266666666666666</v>
      </c>
      <c r="AT126" s="30">
        <f t="shared" si="50"/>
        <v>82.983333333333334</v>
      </c>
      <c r="AU126" s="25">
        <v>43048</v>
      </c>
      <c r="AV126" s="27">
        <v>43188</v>
      </c>
      <c r="AW126" s="25">
        <v>43048</v>
      </c>
      <c r="AX126" s="27">
        <v>43188</v>
      </c>
      <c r="AY126" s="28">
        <f t="shared" si="51"/>
        <v>-52</v>
      </c>
      <c r="AZ126" s="28">
        <f t="shared" si="52"/>
        <v>88</v>
      </c>
      <c r="BA126" s="37">
        <f t="shared" si="53"/>
        <v>141</v>
      </c>
      <c r="BB126" s="28">
        <f t="shared" si="54"/>
        <v>-52</v>
      </c>
      <c r="BC126" s="28">
        <f t="shared" si="55"/>
        <v>88</v>
      </c>
      <c r="BD126" s="26">
        <f t="shared" si="56"/>
        <v>141</v>
      </c>
      <c r="BF126" s="36">
        <v>43137</v>
      </c>
      <c r="BG126" s="26">
        <f t="shared" si="46"/>
        <v>52</v>
      </c>
    </row>
    <row r="127" spans="1:59" s="26" customFormat="1" hidden="1" x14ac:dyDescent="0.3">
      <c r="A127" s="6">
        <v>1</v>
      </c>
      <c r="B127" s="6"/>
      <c r="C127" s="6">
        <v>77</v>
      </c>
      <c r="D127" s="13" t="s">
        <v>126</v>
      </c>
      <c r="E127" s="13" t="s">
        <v>93</v>
      </c>
      <c r="F127" s="9" t="str">
        <f t="shared" si="31"/>
        <v>2020-13HD29672017OTC</v>
      </c>
      <c r="G127" s="6" t="s">
        <v>94</v>
      </c>
      <c r="H127" s="6" t="s">
        <v>95</v>
      </c>
      <c r="I127" s="6" t="s">
        <v>95</v>
      </c>
      <c r="J127" s="6" t="s">
        <v>96</v>
      </c>
      <c r="K127" s="6" t="s">
        <v>90</v>
      </c>
      <c r="L127" s="6">
        <v>2017</v>
      </c>
      <c r="M127" s="6" t="s">
        <v>97</v>
      </c>
      <c r="N127" s="7" t="s">
        <v>51</v>
      </c>
      <c r="O127" s="6" t="s">
        <v>103</v>
      </c>
      <c r="P127" s="6">
        <f>R127/1.01*T127*12/1000+R127/1.01*(90-T127)*12/1000</f>
        <v>56.031683168316825</v>
      </c>
      <c r="Q127" s="6">
        <v>11.9</v>
      </c>
      <c r="R127" s="6">
        <v>52.4</v>
      </c>
      <c r="S127" s="6">
        <v>8</v>
      </c>
      <c r="T127" s="6">
        <v>88</v>
      </c>
      <c r="U127" s="6">
        <v>3</v>
      </c>
      <c r="V127" s="6">
        <f t="shared" si="48"/>
        <v>11.9</v>
      </c>
      <c r="W127" s="14" t="s">
        <v>65</v>
      </c>
      <c r="X127" s="6"/>
      <c r="Y127" s="12"/>
      <c r="Z127" s="6"/>
      <c r="AA127" s="6"/>
      <c r="AB127" s="6"/>
      <c r="AC127" s="12">
        <v>49.15</v>
      </c>
      <c r="AD127" s="7" t="s">
        <v>39</v>
      </c>
      <c r="AE127" s="6"/>
      <c r="AF127" s="6">
        <v>0.87</v>
      </c>
      <c r="AG127" s="12"/>
      <c r="AH127" s="6"/>
      <c r="AI127" s="6"/>
      <c r="AJ127" s="6"/>
      <c r="AK127" s="12"/>
      <c r="AL127" s="6"/>
      <c r="AM127" s="6"/>
      <c r="AN127" s="6"/>
      <c r="AO127" s="12"/>
      <c r="AP127" s="6"/>
      <c r="AQ127" s="6"/>
      <c r="AR127" s="6"/>
      <c r="AS127" s="26">
        <v>25.133333333333333</v>
      </c>
      <c r="AT127" s="26">
        <v>83.016666666666666</v>
      </c>
      <c r="AU127" s="27">
        <v>42687</v>
      </c>
      <c r="AV127" s="27">
        <v>42843</v>
      </c>
      <c r="AW127" s="25">
        <v>42695</v>
      </c>
      <c r="AX127" s="25">
        <v>42788</v>
      </c>
      <c r="AY127" s="28">
        <f t="shared" si="51"/>
        <v>-48</v>
      </c>
      <c r="AZ127" s="28">
        <f t="shared" si="52"/>
        <v>108</v>
      </c>
      <c r="BA127" s="37">
        <f t="shared" si="53"/>
        <v>157</v>
      </c>
      <c r="BB127" s="28">
        <f t="shared" si="54"/>
        <v>-40</v>
      </c>
      <c r="BC127" s="28">
        <f t="shared" si="55"/>
        <v>53</v>
      </c>
      <c r="BD127" s="26">
        <f t="shared" si="56"/>
        <v>94</v>
      </c>
    </row>
    <row r="128" spans="1:59" s="26" customFormat="1" hidden="1" x14ac:dyDescent="0.3">
      <c r="A128" s="6">
        <v>1</v>
      </c>
      <c r="B128" s="6"/>
      <c r="C128" s="6">
        <v>77</v>
      </c>
      <c r="D128" s="13" t="s">
        <v>126</v>
      </c>
      <c r="E128" s="13" t="s">
        <v>93</v>
      </c>
      <c r="F128" s="9" t="str">
        <f t="shared" si="31"/>
        <v>2020-13HD29672017OTC</v>
      </c>
      <c r="G128" s="6" t="s">
        <v>94</v>
      </c>
      <c r="H128" s="6" t="s">
        <v>95</v>
      </c>
      <c r="I128" s="6" t="s">
        <v>95</v>
      </c>
      <c r="J128" s="6" t="s">
        <v>96</v>
      </c>
      <c r="K128" s="6" t="s">
        <v>90</v>
      </c>
      <c r="L128" s="6">
        <v>2017</v>
      </c>
      <c r="M128" s="6" t="s">
        <v>97</v>
      </c>
      <c r="N128" s="7" t="s">
        <v>51</v>
      </c>
      <c r="O128" s="6" t="s">
        <v>75</v>
      </c>
      <c r="P128" s="6">
        <f>(8 * R128+ 4 * 0.97*R127) / 12*T128*12/1000+R127/1.01*(90-T128)*12/1000</f>
        <v>61.376604514851486</v>
      </c>
      <c r="Q128" s="6">
        <v>18.3</v>
      </c>
      <c r="R128" s="6">
        <v>60</v>
      </c>
      <c r="S128" s="6">
        <v>8</v>
      </c>
      <c r="T128" s="6">
        <v>88</v>
      </c>
      <c r="U128" s="6">
        <v>3</v>
      </c>
      <c r="V128" s="6">
        <f t="shared" si="48"/>
        <v>18.3</v>
      </c>
      <c r="W128" s="14" t="s">
        <v>65</v>
      </c>
      <c r="X128" s="6"/>
      <c r="Y128" s="12"/>
      <c r="Z128" s="6"/>
      <c r="AA128" s="6"/>
      <c r="AB128" s="6"/>
      <c r="AC128" s="12">
        <v>46.93</v>
      </c>
      <c r="AD128" s="7" t="s">
        <v>39</v>
      </c>
      <c r="AE128" s="6"/>
      <c r="AF128" s="6">
        <v>0.57999999999999996</v>
      </c>
      <c r="AG128" s="12"/>
      <c r="AH128" s="6"/>
      <c r="AI128" s="6"/>
      <c r="AJ128" s="6"/>
      <c r="AK128" s="12"/>
      <c r="AL128" s="6"/>
      <c r="AM128" s="6"/>
      <c r="AN128" s="6"/>
      <c r="AO128" s="12"/>
      <c r="AP128" s="6"/>
      <c r="AQ128" s="6"/>
      <c r="AR128" s="6"/>
      <c r="AS128" s="26">
        <v>25.133333333333333</v>
      </c>
      <c r="AT128" s="26">
        <v>83.016666666666666</v>
      </c>
      <c r="AU128" s="27">
        <v>42687</v>
      </c>
      <c r="AV128" s="27">
        <v>42843</v>
      </c>
      <c r="AW128" s="25">
        <v>42695</v>
      </c>
      <c r="AX128" s="25">
        <v>42788</v>
      </c>
      <c r="AY128" s="28">
        <f t="shared" si="51"/>
        <v>-48</v>
      </c>
      <c r="AZ128" s="28">
        <f t="shared" si="52"/>
        <v>108</v>
      </c>
      <c r="BA128" s="37">
        <f t="shared" si="53"/>
        <v>157</v>
      </c>
      <c r="BB128" s="28">
        <f t="shared" si="54"/>
        <v>-40</v>
      </c>
      <c r="BC128" s="28">
        <f t="shared" si="55"/>
        <v>53</v>
      </c>
      <c r="BD128" s="26">
        <f t="shared" si="56"/>
        <v>94</v>
      </c>
    </row>
    <row r="129" spans="1:59" s="26" customFormat="1" hidden="1" x14ac:dyDescent="0.3">
      <c r="A129" s="6">
        <v>1</v>
      </c>
      <c r="B129" s="6"/>
      <c r="C129" s="6">
        <v>77</v>
      </c>
      <c r="D129" s="13" t="s">
        <v>126</v>
      </c>
      <c r="E129" s="13" t="s">
        <v>93</v>
      </c>
      <c r="F129" s="9" t="str">
        <f t="shared" si="31"/>
        <v>2020-13HD29672017OTC</v>
      </c>
      <c r="G129" s="6" t="s">
        <v>94</v>
      </c>
      <c r="H129" s="6" t="s">
        <v>95</v>
      </c>
      <c r="I129" s="6" t="s">
        <v>95</v>
      </c>
      <c r="J129" s="6" t="s">
        <v>96</v>
      </c>
      <c r="K129" s="6" t="s">
        <v>90</v>
      </c>
      <c r="L129" s="6">
        <v>2017</v>
      </c>
      <c r="M129" s="6" t="s">
        <v>97</v>
      </c>
      <c r="N129" s="7" t="s">
        <v>51</v>
      </c>
      <c r="O129" s="6" t="s">
        <v>103</v>
      </c>
      <c r="P129" s="7">
        <f>R129/1.01*1.08</f>
        <v>59.560396039603972</v>
      </c>
      <c r="Q129" s="6">
        <v>13</v>
      </c>
      <c r="R129" s="6">
        <v>55.7</v>
      </c>
      <c r="S129" s="6">
        <v>8</v>
      </c>
      <c r="T129" s="6">
        <v>99</v>
      </c>
      <c r="U129" s="6">
        <v>3</v>
      </c>
      <c r="V129" s="6">
        <f t="shared" si="48"/>
        <v>11.81818181818182</v>
      </c>
      <c r="W129" s="14" t="s">
        <v>65</v>
      </c>
      <c r="X129" s="6"/>
      <c r="Y129" s="12"/>
      <c r="Z129" s="6"/>
      <c r="AA129" s="6"/>
      <c r="AB129" s="6"/>
      <c r="AC129" s="12">
        <v>45.11</v>
      </c>
      <c r="AD129" s="7" t="s">
        <v>39</v>
      </c>
      <c r="AE129" s="6"/>
      <c r="AF129" s="6">
        <v>0.88</v>
      </c>
      <c r="AG129" s="12"/>
      <c r="AH129" s="6"/>
      <c r="AI129" s="6"/>
      <c r="AJ129" s="6"/>
      <c r="AK129" s="12"/>
      <c r="AL129" s="6"/>
      <c r="AM129" s="6"/>
      <c r="AN129" s="6"/>
      <c r="AO129" s="12"/>
      <c r="AP129" s="6"/>
      <c r="AQ129" s="6"/>
      <c r="AR129" s="6"/>
      <c r="AS129" s="26">
        <v>25.133333333333333</v>
      </c>
      <c r="AT129" s="26">
        <v>83.016666666666666</v>
      </c>
      <c r="AU129" s="27">
        <v>42711</v>
      </c>
      <c r="AV129" s="27">
        <v>42840</v>
      </c>
      <c r="AW129" s="25">
        <v>42725</v>
      </c>
      <c r="AX129" s="25">
        <v>42826</v>
      </c>
      <c r="AY129" s="28">
        <f t="shared" si="51"/>
        <v>-24</v>
      </c>
      <c r="AZ129" s="28">
        <f t="shared" si="52"/>
        <v>105</v>
      </c>
      <c r="BA129" s="37">
        <f t="shared" si="53"/>
        <v>130</v>
      </c>
      <c r="BB129" s="28">
        <f t="shared" si="54"/>
        <v>-10</v>
      </c>
      <c r="BC129" s="28">
        <f t="shared" si="55"/>
        <v>91</v>
      </c>
      <c r="BD129" s="26">
        <f t="shared" si="56"/>
        <v>102</v>
      </c>
    </row>
    <row r="130" spans="1:59" s="26" customFormat="1" hidden="1" x14ac:dyDescent="0.3">
      <c r="A130" s="6">
        <v>1</v>
      </c>
      <c r="B130" s="6"/>
      <c r="C130" s="6">
        <v>77</v>
      </c>
      <c r="D130" s="13" t="s">
        <v>126</v>
      </c>
      <c r="E130" s="13" t="s">
        <v>93</v>
      </c>
      <c r="F130" s="9" t="str">
        <f t="shared" ref="F130:F193" si="57">D130&amp;K130&amp;L130&amp;M130</f>
        <v>2020-13HD29672017OTC</v>
      </c>
      <c r="G130" s="6" t="s">
        <v>94</v>
      </c>
      <c r="H130" s="6" t="s">
        <v>95</v>
      </c>
      <c r="I130" s="6" t="s">
        <v>95</v>
      </c>
      <c r="J130" s="6" t="s">
        <v>96</v>
      </c>
      <c r="K130" s="6" t="s">
        <v>90</v>
      </c>
      <c r="L130" s="6">
        <v>2017</v>
      </c>
      <c r="M130" s="6" t="s">
        <v>97</v>
      </c>
      <c r="N130" s="7" t="s">
        <v>51</v>
      </c>
      <c r="O130" s="6" t="s">
        <v>75</v>
      </c>
      <c r="P130" s="7">
        <f>(8 * R130+ 4 * 0.97*R129) / 12*1.08</f>
        <v>65.45844000000001</v>
      </c>
      <c r="Q130" s="6">
        <v>21.5</v>
      </c>
      <c r="R130" s="6">
        <v>63.9</v>
      </c>
      <c r="S130" s="6">
        <v>8</v>
      </c>
      <c r="T130" s="6">
        <v>99</v>
      </c>
      <c r="U130" s="6">
        <v>3</v>
      </c>
      <c r="V130" s="6">
        <f t="shared" si="48"/>
        <v>19.545454545454547</v>
      </c>
      <c r="W130" s="14" t="s">
        <v>65</v>
      </c>
      <c r="X130" s="6"/>
      <c r="Y130" s="12"/>
      <c r="Z130" s="6"/>
      <c r="AA130" s="6"/>
      <c r="AB130" s="6"/>
      <c r="AC130" s="12">
        <v>39.380000000000003</v>
      </c>
      <c r="AD130" s="7" t="s">
        <v>39</v>
      </c>
      <c r="AE130" s="6"/>
      <c r="AF130" s="6">
        <v>0.94</v>
      </c>
      <c r="AG130" s="12"/>
      <c r="AH130" s="6"/>
      <c r="AI130" s="6"/>
      <c r="AJ130" s="6"/>
      <c r="AK130" s="12"/>
      <c r="AL130" s="6"/>
      <c r="AM130" s="6"/>
      <c r="AN130" s="6"/>
      <c r="AO130" s="12"/>
      <c r="AP130" s="6"/>
      <c r="AQ130" s="6"/>
      <c r="AR130" s="6"/>
      <c r="AS130" s="26">
        <v>25.133333333333333</v>
      </c>
      <c r="AT130" s="26">
        <v>83.016666666666666</v>
      </c>
      <c r="AU130" s="27">
        <v>42711</v>
      </c>
      <c r="AV130" s="27">
        <v>42840</v>
      </c>
      <c r="AW130" s="25">
        <v>42725</v>
      </c>
      <c r="AX130" s="25">
        <v>42826</v>
      </c>
      <c r="AY130" s="28">
        <f t="shared" si="51"/>
        <v>-24</v>
      </c>
      <c r="AZ130" s="28">
        <f t="shared" si="52"/>
        <v>105</v>
      </c>
      <c r="BA130" s="37">
        <f t="shared" si="53"/>
        <v>130</v>
      </c>
      <c r="BB130" s="28">
        <f t="shared" si="54"/>
        <v>-10</v>
      </c>
      <c r="BC130" s="28">
        <f t="shared" si="55"/>
        <v>91</v>
      </c>
      <c r="BD130" s="26">
        <f t="shared" si="56"/>
        <v>102</v>
      </c>
    </row>
    <row r="131" spans="1:59" s="26" customFormat="1" hidden="1" x14ac:dyDescent="0.3">
      <c r="A131" s="6">
        <v>1</v>
      </c>
      <c r="B131" s="6"/>
      <c r="C131" s="6"/>
      <c r="D131" s="13" t="s">
        <v>260</v>
      </c>
      <c r="E131" s="13" t="s">
        <v>261</v>
      </c>
      <c r="F131" s="9" t="str">
        <f t="shared" si="57"/>
        <v>Heagle1979Blueboy1977OTC</v>
      </c>
      <c r="G131" s="6" t="s">
        <v>262</v>
      </c>
      <c r="H131" s="6" t="s">
        <v>130</v>
      </c>
      <c r="I131" s="6" t="s">
        <v>130</v>
      </c>
      <c r="J131" s="6" t="s">
        <v>263</v>
      </c>
      <c r="K131" s="6" t="s">
        <v>264</v>
      </c>
      <c r="L131" s="6">
        <v>1977</v>
      </c>
      <c r="M131" s="6" t="s">
        <v>97</v>
      </c>
      <c r="N131" s="7" t="s">
        <v>51</v>
      </c>
      <c r="O131" s="6" t="s">
        <v>132</v>
      </c>
      <c r="P131" s="6">
        <f>(7*R131+5*0.976*R131)/12*T131*12/1000+R132/1.01*(90-T131)*12/1000</f>
        <v>45.265437623762374</v>
      </c>
      <c r="Q131" s="6"/>
      <c r="R131" s="6">
        <v>30</v>
      </c>
      <c r="S131" s="6">
        <v>7</v>
      </c>
      <c r="T131" s="6">
        <f t="shared" ref="T131:T162" si="58">X131-W131+1</f>
        <v>53</v>
      </c>
      <c r="U131" s="6">
        <v>4</v>
      </c>
      <c r="V131" s="6">
        <v>6.4205589999999999</v>
      </c>
      <c r="W131" s="25">
        <v>28224</v>
      </c>
      <c r="X131" s="25">
        <v>28276</v>
      </c>
      <c r="Y131" s="12">
        <v>5.84</v>
      </c>
      <c r="Z131" s="6"/>
      <c r="AA131" s="6"/>
      <c r="AB131" s="6"/>
      <c r="AC131" s="12"/>
      <c r="AD131" s="7"/>
      <c r="AE131" s="6"/>
      <c r="AF131" s="6"/>
      <c r="AG131" s="12"/>
      <c r="AH131" s="6"/>
      <c r="AI131" s="6"/>
      <c r="AJ131" s="6"/>
      <c r="AK131" s="12"/>
      <c r="AL131" s="6"/>
      <c r="AM131" s="6"/>
      <c r="AN131" s="6"/>
      <c r="AO131" s="12"/>
      <c r="AP131" s="6"/>
      <c r="AQ131" s="6"/>
      <c r="AR131" s="6"/>
      <c r="AS131" s="26">
        <v>35.794889233112599</v>
      </c>
      <c r="AT131" s="26">
        <v>-78.694466693999303</v>
      </c>
      <c r="AU131" s="27">
        <v>28066</v>
      </c>
      <c r="AV131" s="27">
        <v>28285</v>
      </c>
      <c r="AW131" s="25">
        <v>28224</v>
      </c>
      <c r="AX131" s="25">
        <v>28276</v>
      </c>
      <c r="AY131" s="28">
        <f t="shared" si="51"/>
        <v>-59</v>
      </c>
      <c r="AZ131" s="28">
        <f t="shared" si="52"/>
        <v>160</v>
      </c>
      <c r="BA131" s="37">
        <f t="shared" si="53"/>
        <v>220</v>
      </c>
      <c r="BB131" s="28">
        <f t="shared" si="54"/>
        <v>99</v>
      </c>
      <c r="BC131" s="28">
        <f t="shared" si="55"/>
        <v>151</v>
      </c>
      <c r="BD131" s="26">
        <f t="shared" si="56"/>
        <v>53</v>
      </c>
      <c r="BF131" s="36">
        <f t="shared" ref="BF131:BF155" si="59">AW131+9+5</f>
        <v>28238</v>
      </c>
      <c r="BG131" s="26">
        <f t="shared" ref="BG131:BG162" si="60">AV131-BF131+1</f>
        <v>48</v>
      </c>
    </row>
    <row r="132" spans="1:59" s="26" customFormat="1" hidden="1" x14ac:dyDescent="0.3">
      <c r="A132" s="6">
        <v>1</v>
      </c>
      <c r="B132" s="6"/>
      <c r="C132" s="6"/>
      <c r="D132" s="13" t="s">
        <v>260</v>
      </c>
      <c r="E132" s="13" t="s">
        <v>261</v>
      </c>
      <c r="F132" s="9" t="str">
        <f t="shared" si="57"/>
        <v>Heagle1979Blueboy1977OTC</v>
      </c>
      <c r="G132" s="6" t="s">
        <v>262</v>
      </c>
      <c r="H132" s="6" t="s">
        <v>130</v>
      </c>
      <c r="I132" s="6" t="s">
        <v>130</v>
      </c>
      <c r="J132" s="6" t="s">
        <v>263</v>
      </c>
      <c r="K132" s="6" t="s">
        <v>264</v>
      </c>
      <c r="L132" s="6">
        <v>1977</v>
      </c>
      <c r="M132" s="6" t="s">
        <v>97</v>
      </c>
      <c r="N132" s="7" t="s">
        <v>51</v>
      </c>
      <c r="O132" s="6" t="s">
        <v>74</v>
      </c>
      <c r="P132" s="7">
        <f>R132/1.01*1.08</f>
        <v>64.158415841584173</v>
      </c>
      <c r="Q132" s="6"/>
      <c r="R132" s="6">
        <v>60</v>
      </c>
      <c r="S132" s="6">
        <v>7</v>
      </c>
      <c r="T132" s="6">
        <f t="shared" si="58"/>
        <v>53</v>
      </c>
      <c r="U132" s="6">
        <v>4</v>
      </c>
      <c r="V132" s="6">
        <v>22.414709999999999</v>
      </c>
      <c r="W132" s="25">
        <v>28224</v>
      </c>
      <c r="X132" s="25">
        <v>28276</v>
      </c>
      <c r="Y132" s="12"/>
      <c r="Z132" s="6"/>
      <c r="AA132" s="6"/>
      <c r="AB132" s="6"/>
      <c r="AC132" s="12"/>
      <c r="AD132" s="7"/>
      <c r="AE132" s="6"/>
      <c r="AF132" s="6"/>
      <c r="AG132" s="12"/>
      <c r="AH132" s="6"/>
      <c r="AI132" s="6"/>
      <c r="AJ132" s="6"/>
      <c r="AK132" s="12"/>
      <c r="AL132" s="6"/>
      <c r="AM132" s="6"/>
      <c r="AN132" s="6"/>
      <c r="AO132" s="12"/>
      <c r="AP132" s="6"/>
      <c r="AQ132" s="6"/>
      <c r="AR132" s="6"/>
      <c r="AS132" s="26">
        <v>35.794889233112599</v>
      </c>
      <c r="AT132" s="26">
        <v>-78.694466693999303</v>
      </c>
      <c r="AU132" s="27">
        <v>28066</v>
      </c>
      <c r="AV132" s="27">
        <v>28285</v>
      </c>
      <c r="AW132" s="25">
        <v>28224</v>
      </c>
      <c r="AX132" s="25">
        <v>28276</v>
      </c>
      <c r="AY132" s="28">
        <f t="shared" si="51"/>
        <v>-59</v>
      </c>
      <c r="AZ132" s="28">
        <f t="shared" si="52"/>
        <v>160</v>
      </c>
      <c r="BA132" s="37">
        <f t="shared" si="53"/>
        <v>220</v>
      </c>
      <c r="BB132" s="28">
        <f t="shared" si="54"/>
        <v>99</v>
      </c>
      <c r="BC132" s="28">
        <f t="shared" si="55"/>
        <v>151</v>
      </c>
      <c r="BD132" s="26">
        <f t="shared" si="56"/>
        <v>53</v>
      </c>
      <c r="BF132" s="36">
        <f t="shared" si="59"/>
        <v>28238</v>
      </c>
      <c r="BG132" s="26">
        <f t="shared" si="60"/>
        <v>48</v>
      </c>
    </row>
    <row r="133" spans="1:59" s="26" customFormat="1" hidden="1" x14ac:dyDescent="0.3">
      <c r="A133" s="6">
        <v>1</v>
      </c>
      <c r="B133" s="6"/>
      <c r="C133" s="6"/>
      <c r="D133" s="13" t="s">
        <v>260</v>
      </c>
      <c r="E133" s="13" t="s">
        <v>261</v>
      </c>
      <c r="F133" s="9" t="str">
        <f t="shared" si="57"/>
        <v>Heagle1979Blueboy1977OTC</v>
      </c>
      <c r="G133" s="6" t="s">
        <v>262</v>
      </c>
      <c r="H133" s="6" t="s">
        <v>130</v>
      </c>
      <c r="I133" s="6" t="s">
        <v>130</v>
      </c>
      <c r="J133" s="6" t="s">
        <v>263</v>
      </c>
      <c r="K133" s="6" t="s">
        <v>264</v>
      </c>
      <c r="L133" s="6">
        <v>1977</v>
      </c>
      <c r="M133" s="6" t="s">
        <v>97</v>
      </c>
      <c r="N133" s="7" t="s">
        <v>51</v>
      </c>
      <c r="O133" s="6" t="s">
        <v>103</v>
      </c>
      <c r="P133" s="6">
        <f>(7*R133+5*0.976*R132)/12*T133*12/1000+R132/1.01*(90-T133)*12/1000</f>
        <v>64.154637623762369</v>
      </c>
      <c r="Q133" s="6"/>
      <c r="R133" s="6">
        <v>60</v>
      </c>
      <c r="S133" s="6">
        <v>7</v>
      </c>
      <c r="T133" s="6">
        <f t="shared" si="58"/>
        <v>53</v>
      </c>
      <c r="U133" s="6">
        <v>4</v>
      </c>
      <c r="V133" s="6">
        <v>22.414709999999999</v>
      </c>
      <c r="W133" s="25">
        <v>28224</v>
      </c>
      <c r="X133" s="25">
        <v>28276</v>
      </c>
      <c r="Y133" s="12">
        <v>5.74</v>
      </c>
      <c r="Z133" s="6"/>
      <c r="AA133" s="6"/>
      <c r="AB133" s="6"/>
      <c r="AC133" s="12"/>
      <c r="AD133" s="7"/>
      <c r="AE133" s="6"/>
      <c r="AF133" s="6"/>
      <c r="AG133" s="12"/>
      <c r="AH133" s="6"/>
      <c r="AI133" s="6"/>
      <c r="AJ133" s="6"/>
      <c r="AK133" s="12"/>
      <c r="AL133" s="6"/>
      <c r="AM133" s="6"/>
      <c r="AN133" s="6"/>
      <c r="AO133" s="12"/>
      <c r="AP133" s="6"/>
      <c r="AQ133" s="6"/>
      <c r="AR133" s="6"/>
      <c r="AS133" s="26">
        <v>35.794889233112599</v>
      </c>
      <c r="AT133" s="26">
        <v>-78.694466693999303</v>
      </c>
      <c r="AU133" s="27">
        <v>28066</v>
      </c>
      <c r="AV133" s="27">
        <v>28285</v>
      </c>
      <c r="AW133" s="25">
        <v>28224</v>
      </c>
      <c r="AX133" s="25">
        <v>28276</v>
      </c>
      <c r="AY133" s="28">
        <f t="shared" si="51"/>
        <v>-59</v>
      </c>
      <c r="AZ133" s="28">
        <f t="shared" si="52"/>
        <v>160</v>
      </c>
      <c r="BA133" s="37">
        <f t="shared" si="53"/>
        <v>220</v>
      </c>
      <c r="BB133" s="28">
        <f t="shared" si="54"/>
        <v>99</v>
      </c>
      <c r="BC133" s="28">
        <f t="shared" si="55"/>
        <v>151</v>
      </c>
      <c r="BD133" s="26">
        <f t="shared" si="56"/>
        <v>53</v>
      </c>
      <c r="BF133" s="36">
        <f t="shared" si="59"/>
        <v>28238</v>
      </c>
      <c r="BG133" s="26">
        <f t="shared" si="60"/>
        <v>48</v>
      </c>
    </row>
    <row r="134" spans="1:59" s="26" customFormat="1" hidden="1" x14ac:dyDescent="0.3">
      <c r="A134" s="6">
        <v>1</v>
      </c>
      <c r="B134" s="6"/>
      <c r="C134" s="6"/>
      <c r="D134" s="13" t="s">
        <v>260</v>
      </c>
      <c r="E134" s="13" t="s">
        <v>261</v>
      </c>
      <c r="F134" s="9" t="str">
        <f t="shared" si="57"/>
        <v>Heagle1979Blueboy1977OTC</v>
      </c>
      <c r="G134" s="6" t="s">
        <v>262</v>
      </c>
      <c r="H134" s="6" t="s">
        <v>130</v>
      </c>
      <c r="I134" s="6" t="s">
        <v>130</v>
      </c>
      <c r="J134" s="6" t="s">
        <v>263</v>
      </c>
      <c r="K134" s="6" t="s">
        <v>264</v>
      </c>
      <c r="L134" s="6">
        <v>1977</v>
      </c>
      <c r="M134" s="6" t="s">
        <v>97</v>
      </c>
      <c r="N134" s="7" t="s">
        <v>51</v>
      </c>
      <c r="O134" s="6" t="s">
        <v>137</v>
      </c>
      <c r="P134" s="6">
        <f>(7*R134+5*0.976*R132)/12*T134*12/1000+R132/1.01*(90-T134)*12/1000</f>
        <v>78.994637623762372</v>
      </c>
      <c r="Q134" s="6"/>
      <c r="R134" s="6">
        <v>100</v>
      </c>
      <c r="S134" s="6">
        <v>7</v>
      </c>
      <c r="T134" s="6">
        <f t="shared" si="58"/>
        <v>53</v>
      </c>
      <c r="U134" s="6">
        <v>4</v>
      </c>
      <c r="V134" s="6">
        <v>36.707799999999999</v>
      </c>
      <c r="W134" s="25">
        <v>28224</v>
      </c>
      <c r="X134" s="25">
        <v>28276</v>
      </c>
      <c r="Y134" s="12">
        <v>4.97</v>
      </c>
      <c r="Z134" s="6"/>
      <c r="AA134" s="6"/>
      <c r="AB134" s="6"/>
      <c r="AC134" s="12"/>
      <c r="AD134" s="7"/>
      <c r="AE134" s="6"/>
      <c r="AF134" s="6"/>
      <c r="AG134" s="12"/>
      <c r="AH134" s="6"/>
      <c r="AI134" s="6"/>
      <c r="AJ134" s="6"/>
      <c r="AK134" s="12"/>
      <c r="AL134" s="6"/>
      <c r="AM134" s="6"/>
      <c r="AN134" s="6"/>
      <c r="AO134" s="12"/>
      <c r="AP134" s="6"/>
      <c r="AQ134" s="6"/>
      <c r="AR134" s="6"/>
      <c r="AS134" s="26">
        <v>35.794889233112599</v>
      </c>
      <c r="AT134" s="26">
        <v>-78.694466693999303</v>
      </c>
      <c r="AU134" s="27">
        <v>28066</v>
      </c>
      <c r="AV134" s="27">
        <v>28285</v>
      </c>
      <c r="AW134" s="25">
        <v>28224</v>
      </c>
      <c r="AX134" s="25">
        <v>28276</v>
      </c>
      <c r="AY134" s="28">
        <f t="shared" si="51"/>
        <v>-59</v>
      </c>
      <c r="AZ134" s="28">
        <f t="shared" si="52"/>
        <v>160</v>
      </c>
      <c r="BA134" s="37">
        <f t="shared" si="53"/>
        <v>220</v>
      </c>
      <c r="BB134" s="28">
        <f t="shared" si="54"/>
        <v>99</v>
      </c>
      <c r="BC134" s="28">
        <f t="shared" si="55"/>
        <v>151</v>
      </c>
      <c r="BD134" s="26">
        <f t="shared" si="56"/>
        <v>53</v>
      </c>
      <c r="BF134" s="36">
        <f t="shared" si="59"/>
        <v>28238</v>
      </c>
      <c r="BG134" s="26">
        <f t="shared" si="60"/>
        <v>48</v>
      </c>
    </row>
    <row r="135" spans="1:59" s="26" customFormat="1" hidden="1" x14ac:dyDescent="0.3">
      <c r="A135" s="6">
        <v>1</v>
      </c>
      <c r="B135" s="6"/>
      <c r="C135" s="6"/>
      <c r="D135" s="13" t="s">
        <v>260</v>
      </c>
      <c r="E135" s="13" t="s">
        <v>261</v>
      </c>
      <c r="F135" s="9" t="str">
        <f t="shared" si="57"/>
        <v>Heagle1979Blueboy1977OTC</v>
      </c>
      <c r="G135" s="6" t="s">
        <v>262</v>
      </c>
      <c r="H135" s="6" t="s">
        <v>130</v>
      </c>
      <c r="I135" s="6" t="s">
        <v>130</v>
      </c>
      <c r="J135" s="6" t="s">
        <v>263</v>
      </c>
      <c r="K135" s="6" t="s">
        <v>264</v>
      </c>
      <c r="L135" s="6">
        <v>1977</v>
      </c>
      <c r="M135" s="6" t="s">
        <v>97</v>
      </c>
      <c r="N135" s="7" t="s">
        <v>51</v>
      </c>
      <c r="O135" s="6" t="s">
        <v>138</v>
      </c>
      <c r="P135" s="6">
        <f>(7*R135+5*0.976*R132)/12*T135*12/1000+R132/1.01*(90-T135)*12/1000</f>
        <v>90.124637623762382</v>
      </c>
      <c r="Q135" s="6"/>
      <c r="R135" s="6">
        <v>130</v>
      </c>
      <c r="S135" s="6">
        <v>7</v>
      </c>
      <c r="T135" s="6">
        <f t="shared" si="58"/>
        <v>53</v>
      </c>
      <c r="U135" s="6">
        <v>4</v>
      </c>
      <c r="V135" s="6">
        <v>47.635179999999998</v>
      </c>
      <c r="W135" s="25">
        <v>28224</v>
      </c>
      <c r="X135" s="25">
        <v>28276</v>
      </c>
      <c r="Y135" s="12">
        <v>4.0199999999999996</v>
      </c>
      <c r="Z135" s="6"/>
      <c r="AA135" s="6"/>
      <c r="AB135" s="6"/>
      <c r="AC135" s="12"/>
      <c r="AD135" s="7"/>
      <c r="AE135" s="6"/>
      <c r="AF135" s="6"/>
      <c r="AG135" s="12"/>
      <c r="AH135" s="6"/>
      <c r="AI135" s="6"/>
      <c r="AJ135" s="6"/>
      <c r="AK135" s="12"/>
      <c r="AL135" s="6"/>
      <c r="AM135" s="6"/>
      <c r="AN135" s="6"/>
      <c r="AO135" s="12"/>
      <c r="AP135" s="6"/>
      <c r="AQ135" s="6"/>
      <c r="AR135" s="6"/>
      <c r="AS135" s="26">
        <v>35.794889233112599</v>
      </c>
      <c r="AT135" s="26">
        <v>-78.694466693999303</v>
      </c>
      <c r="AU135" s="27">
        <v>28066</v>
      </c>
      <c r="AV135" s="27">
        <v>28285</v>
      </c>
      <c r="AW135" s="25">
        <v>28224</v>
      </c>
      <c r="AX135" s="25">
        <v>28276</v>
      </c>
      <c r="AY135" s="28">
        <f t="shared" si="51"/>
        <v>-59</v>
      </c>
      <c r="AZ135" s="28">
        <f t="shared" si="52"/>
        <v>160</v>
      </c>
      <c r="BA135" s="37">
        <f t="shared" si="53"/>
        <v>220</v>
      </c>
      <c r="BB135" s="28">
        <f t="shared" si="54"/>
        <v>99</v>
      </c>
      <c r="BC135" s="28">
        <f t="shared" si="55"/>
        <v>151</v>
      </c>
      <c r="BD135" s="26">
        <f t="shared" si="56"/>
        <v>53</v>
      </c>
      <c r="BF135" s="36">
        <f t="shared" si="59"/>
        <v>28238</v>
      </c>
      <c r="BG135" s="26">
        <f t="shared" si="60"/>
        <v>48</v>
      </c>
    </row>
    <row r="136" spans="1:59" s="26" customFormat="1" hidden="1" x14ac:dyDescent="0.3">
      <c r="A136" s="6">
        <v>1</v>
      </c>
      <c r="B136" s="6"/>
      <c r="C136" s="6"/>
      <c r="D136" s="13" t="s">
        <v>260</v>
      </c>
      <c r="E136" s="13" t="s">
        <v>261</v>
      </c>
      <c r="F136" s="9" t="str">
        <f t="shared" si="57"/>
        <v>Heagle1979Coker47-271977OTC</v>
      </c>
      <c r="G136" s="6" t="s">
        <v>262</v>
      </c>
      <c r="H136" s="6" t="s">
        <v>130</v>
      </c>
      <c r="I136" s="6" t="s">
        <v>130</v>
      </c>
      <c r="J136" s="6" t="s">
        <v>263</v>
      </c>
      <c r="K136" s="6" t="s">
        <v>265</v>
      </c>
      <c r="L136" s="6">
        <v>1977</v>
      </c>
      <c r="M136" s="6" t="s">
        <v>97</v>
      </c>
      <c r="N136" s="7" t="s">
        <v>51</v>
      </c>
      <c r="O136" s="6" t="s">
        <v>132</v>
      </c>
      <c r="P136" s="6">
        <f>(7*R136+5*0.976*R136)/12*T136*12/1000+R137/1.01*(90-T136)*12/1000</f>
        <v>45.265437623762374</v>
      </c>
      <c r="Q136" s="6"/>
      <c r="R136" s="6">
        <v>30</v>
      </c>
      <c r="S136" s="6">
        <v>7</v>
      </c>
      <c r="T136" s="6">
        <f t="shared" si="58"/>
        <v>53</v>
      </c>
      <c r="U136" s="6">
        <v>4</v>
      </c>
      <c r="V136" s="6">
        <v>6.4205589999999999</v>
      </c>
      <c r="W136" s="25">
        <v>28224</v>
      </c>
      <c r="X136" s="25">
        <v>28276</v>
      </c>
      <c r="Y136" s="12">
        <v>5.09</v>
      </c>
      <c r="Z136" s="6"/>
      <c r="AA136" s="6"/>
      <c r="AB136" s="6"/>
      <c r="AC136" s="12"/>
      <c r="AD136" s="7"/>
      <c r="AE136" s="6"/>
      <c r="AF136" s="6"/>
      <c r="AG136" s="12"/>
      <c r="AH136" s="6"/>
      <c r="AI136" s="6"/>
      <c r="AJ136" s="6"/>
      <c r="AK136" s="12"/>
      <c r="AL136" s="6"/>
      <c r="AM136" s="6"/>
      <c r="AN136" s="6"/>
      <c r="AO136" s="12"/>
      <c r="AP136" s="6"/>
      <c r="AQ136" s="6"/>
      <c r="AR136" s="6"/>
      <c r="AS136" s="26">
        <v>35.794889233112599</v>
      </c>
      <c r="AT136" s="26">
        <v>-78.694466693999303</v>
      </c>
      <c r="AU136" s="27">
        <v>28066</v>
      </c>
      <c r="AV136" s="27">
        <v>28285</v>
      </c>
      <c r="AW136" s="25">
        <v>28224</v>
      </c>
      <c r="AX136" s="25">
        <v>28276</v>
      </c>
      <c r="AY136" s="28">
        <f t="shared" si="51"/>
        <v>-59</v>
      </c>
      <c r="AZ136" s="28">
        <f t="shared" si="52"/>
        <v>160</v>
      </c>
      <c r="BA136" s="37">
        <f t="shared" si="53"/>
        <v>220</v>
      </c>
      <c r="BB136" s="28">
        <f t="shared" si="54"/>
        <v>99</v>
      </c>
      <c r="BC136" s="28">
        <f t="shared" si="55"/>
        <v>151</v>
      </c>
      <c r="BD136" s="26">
        <f t="shared" si="56"/>
        <v>53</v>
      </c>
      <c r="BF136" s="36">
        <f t="shared" si="59"/>
        <v>28238</v>
      </c>
      <c r="BG136" s="26">
        <f t="shared" si="60"/>
        <v>48</v>
      </c>
    </row>
    <row r="137" spans="1:59" s="26" customFormat="1" hidden="1" x14ac:dyDescent="0.3">
      <c r="A137" s="6">
        <v>1</v>
      </c>
      <c r="B137" s="6"/>
      <c r="C137" s="6"/>
      <c r="D137" s="13" t="s">
        <v>260</v>
      </c>
      <c r="E137" s="13" t="s">
        <v>261</v>
      </c>
      <c r="F137" s="9" t="str">
        <f t="shared" si="57"/>
        <v>Heagle1979Coker47-271977OTC</v>
      </c>
      <c r="G137" s="6" t="s">
        <v>262</v>
      </c>
      <c r="H137" s="6" t="s">
        <v>130</v>
      </c>
      <c r="I137" s="6" t="s">
        <v>130</v>
      </c>
      <c r="J137" s="6" t="s">
        <v>263</v>
      </c>
      <c r="K137" s="6" t="s">
        <v>265</v>
      </c>
      <c r="L137" s="6">
        <v>1977</v>
      </c>
      <c r="M137" s="6" t="s">
        <v>97</v>
      </c>
      <c r="N137" s="7" t="s">
        <v>51</v>
      </c>
      <c r="O137" s="6" t="s">
        <v>74</v>
      </c>
      <c r="P137" s="7">
        <f>R137/1.01*1.08</f>
        <v>64.158415841584173</v>
      </c>
      <c r="Q137" s="6"/>
      <c r="R137" s="6">
        <v>60</v>
      </c>
      <c r="S137" s="6">
        <v>7</v>
      </c>
      <c r="T137" s="6">
        <f t="shared" si="58"/>
        <v>53</v>
      </c>
      <c r="U137" s="6">
        <v>4</v>
      </c>
      <c r="V137" s="6">
        <v>22.414709999999999</v>
      </c>
      <c r="W137" s="25">
        <v>28224</v>
      </c>
      <c r="X137" s="25">
        <v>28276</v>
      </c>
      <c r="Y137" s="12"/>
      <c r="Z137" s="6"/>
      <c r="AA137" s="6"/>
      <c r="AB137" s="6"/>
      <c r="AC137" s="12"/>
      <c r="AD137" s="7"/>
      <c r="AE137" s="6"/>
      <c r="AF137" s="6"/>
      <c r="AG137" s="12"/>
      <c r="AH137" s="6"/>
      <c r="AI137" s="6"/>
      <c r="AJ137" s="6"/>
      <c r="AK137" s="12"/>
      <c r="AL137" s="6"/>
      <c r="AM137" s="6"/>
      <c r="AN137" s="6"/>
      <c r="AO137" s="12"/>
      <c r="AP137" s="6"/>
      <c r="AQ137" s="6"/>
      <c r="AR137" s="6"/>
      <c r="AS137" s="26">
        <v>35.794889233112599</v>
      </c>
      <c r="AT137" s="26">
        <v>-78.694466693999303</v>
      </c>
      <c r="AU137" s="27">
        <v>28066</v>
      </c>
      <c r="AV137" s="27">
        <v>28285</v>
      </c>
      <c r="AW137" s="25">
        <v>28224</v>
      </c>
      <c r="AX137" s="25">
        <v>28276</v>
      </c>
      <c r="AY137" s="28">
        <f t="shared" si="51"/>
        <v>-59</v>
      </c>
      <c r="AZ137" s="28">
        <f t="shared" si="52"/>
        <v>160</v>
      </c>
      <c r="BA137" s="37">
        <f t="shared" si="53"/>
        <v>220</v>
      </c>
      <c r="BB137" s="28">
        <f t="shared" si="54"/>
        <v>99</v>
      </c>
      <c r="BC137" s="28">
        <f t="shared" si="55"/>
        <v>151</v>
      </c>
      <c r="BD137" s="26">
        <f t="shared" si="56"/>
        <v>53</v>
      </c>
      <c r="BF137" s="36">
        <f t="shared" si="59"/>
        <v>28238</v>
      </c>
      <c r="BG137" s="26">
        <f t="shared" si="60"/>
        <v>48</v>
      </c>
    </row>
    <row r="138" spans="1:59" s="26" customFormat="1" hidden="1" x14ac:dyDescent="0.3">
      <c r="A138" s="6">
        <v>1</v>
      </c>
      <c r="B138" s="6"/>
      <c r="C138" s="6"/>
      <c r="D138" s="13" t="s">
        <v>260</v>
      </c>
      <c r="E138" s="13" t="s">
        <v>261</v>
      </c>
      <c r="F138" s="9" t="str">
        <f t="shared" si="57"/>
        <v>Heagle1979Coker47-271977OTC</v>
      </c>
      <c r="G138" s="6" t="s">
        <v>262</v>
      </c>
      <c r="H138" s="6" t="s">
        <v>130</v>
      </c>
      <c r="I138" s="6" t="s">
        <v>130</v>
      </c>
      <c r="J138" s="6" t="s">
        <v>263</v>
      </c>
      <c r="K138" s="6" t="s">
        <v>265</v>
      </c>
      <c r="L138" s="6">
        <v>1977</v>
      </c>
      <c r="M138" s="6" t="s">
        <v>97</v>
      </c>
      <c r="N138" s="7" t="s">
        <v>51</v>
      </c>
      <c r="O138" s="6" t="s">
        <v>103</v>
      </c>
      <c r="P138" s="6">
        <f>(7*R138+5*0.976*R137)/12*T138*12/1000+R137/1.01*(90-T138)*12/1000</f>
        <v>64.154637623762369</v>
      </c>
      <c r="Q138" s="6"/>
      <c r="R138" s="6">
        <v>60</v>
      </c>
      <c r="S138" s="6">
        <v>7</v>
      </c>
      <c r="T138" s="6">
        <f t="shared" si="58"/>
        <v>53</v>
      </c>
      <c r="U138" s="6">
        <v>4</v>
      </c>
      <c r="V138" s="6">
        <v>22.414709999999999</v>
      </c>
      <c r="W138" s="25">
        <v>28224</v>
      </c>
      <c r="X138" s="25">
        <v>28276</v>
      </c>
      <c r="Y138" s="12">
        <v>4.55</v>
      </c>
      <c r="Z138" s="6"/>
      <c r="AA138" s="6"/>
      <c r="AB138" s="6"/>
      <c r="AC138" s="12"/>
      <c r="AD138" s="7"/>
      <c r="AE138" s="6"/>
      <c r="AF138" s="6"/>
      <c r="AG138" s="12"/>
      <c r="AH138" s="6"/>
      <c r="AI138" s="6"/>
      <c r="AJ138" s="6"/>
      <c r="AK138" s="12"/>
      <c r="AL138" s="6"/>
      <c r="AM138" s="6"/>
      <c r="AN138" s="6"/>
      <c r="AO138" s="12"/>
      <c r="AP138" s="6"/>
      <c r="AQ138" s="6"/>
      <c r="AR138" s="6"/>
      <c r="AS138" s="26">
        <v>35.794889233112599</v>
      </c>
      <c r="AT138" s="26">
        <v>-78.694466693999303</v>
      </c>
      <c r="AU138" s="27">
        <v>28066</v>
      </c>
      <c r="AV138" s="27">
        <v>28285</v>
      </c>
      <c r="AW138" s="25">
        <v>28224</v>
      </c>
      <c r="AX138" s="25">
        <v>28276</v>
      </c>
      <c r="AY138" s="28">
        <f t="shared" si="51"/>
        <v>-59</v>
      </c>
      <c r="AZ138" s="28">
        <f t="shared" si="52"/>
        <v>160</v>
      </c>
      <c r="BA138" s="37">
        <f t="shared" si="53"/>
        <v>220</v>
      </c>
      <c r="BB138" s="28">
        <f t="shared" si="54"/>
        <v>99</v>
      </c>
      <c r="BC138" s="28">
        <f t="shared" si="55"/>
        <v>151</v>
      </c>
      <c r="BD138" s="26">
        <f t="shared" si="56"/>
        <v>53</v>
      </c>
      <c r="BF138" s="36">
        <f t="shared" si="59"/>
        <v>28238</v>
      </c>
      <c r="BG138" s="26">
        <f t="shared" si="60"/>
        <v>48</v>
      </c>
    </row>
    <row r="139" spans="1:59" s="26" customFormat="1" hidden="1" x14ac:dyDescent="0.3">
      <c r="A139" s="6">
        <v>1</v>
      </c>
      <c r="B139" s="6"/>
      <c r="C139" s="6"/>
      <c r="D139" s="13" t="s">
        <v>260</v>
      </c>
      <c r="E139" s="13" t="s">
        <v>261</v>
      </c>
      <c r="F139" s="9" t="str">
        <f t="shared" si="57"/>
        <v>Heagle1979Coker47-271977OTC</v>
      </c>
      <c r="G139" s="6" t="s">
        <v>262</v>
      </c>
      <c r="H139" s="6" t="s">
        <v>130</v>
      </c>
      <c r="I139" s="6" t="s">
        <v>130</v>
      </c>
      <c r="J139" s="6" t="s">
        <v>263</v>
      </c>
      <c r="K139" s="6" t="s">
        <v>265</v>
      </c>
      <c r="L139" s="6">
        <v>1977</v>
      </c>
      <c r="M139" s="6" t="s">
        <v>97</v>
      </c>
      <c r="N139" s="7" t="s">
        <v>51</v>
      </c>
      <c r="O139" s="6" t="s">
        <v>137</v>
      </c>
      <c r="P139" s="6">
        <f>(7*R139+5*0.976*R137)/12*T139*12/1000+R137/1.01*(90-T139)*12/1000</f>
        <v>78.994637623762372</v>
      </c>
      <c r="Q139" s="6"/>
      <c r="R139" s="6">
        <v>100</v>
      </c>
      <c r="S139" s="6">
        <v>7</v>
      </c>
      <c r="T139" s="6">
        <f t="shared" si="58"/>
        <v>53</v>
      </c>
      <c r="U139" s="6">
        <v>4</v>
      </c>
      <c r="V139" s="6">
        <v>36.707799999999999</v>
      </c>
      <c r="W139" s="25">
        <v>28224</v>
      </c>
      <c r="X139" s="25">
        <v>28276</v>
      </c>
      <c r="Y139" s="12">
        <v>3.82</v>
      </c>
      <c r="Z139" s="6"/>
      <c r="AA139" s="6"/>
      <c r="AB139" s="6"/>
      <c r="AC139" s="12"/>
      <c r="AD139" s="7"/>
      <c r="AE139" s="6"/>
      <c r="AF139" s="6"/>
      <c r="AG139" s="12"/>
      <c r="AH139" s="6"/>
      <c r="AI139" s="6"/>
      <c r="AJ139" s="6"/>
      <c r="AK139" s="12"/>
      <c r="AL139" s="6"/>
      <c r="AM139" s="6"/>
      <c r="AN139" s="6"/>
      <c r="AO139" s="12"/>
      <c r="AP139" s="6"/>
      <c r="AQ139" s="6"/>
      <c r="AR139" s="6"/>
      <c r="AS139" s="26">
        <v>35.794889233112599</v>
      </c>
      <c r="AT139" s="26">
        <v>-78.694466693999303</v>
      </c>
      <c r="AU139" s="27">
        <v>28066</v>
      </c>
      <c r="AV139" s="27">
        <v>28285</v>
      </c>
      <c r="AW139" s="25">
        <v>28224</v>
      </c>
      <c r="AX139" s="25">
        <v>28276</v>
      </c>
      <c r="AY139" s="28">
        <f t="shared" si="51"/>
        <v>-59</v>
      </c>
      <c r="AZ139" s="28">
        <f t="shared" si="52"/>
        <v>160</v>
      </c>
      <c r="BA139" s="37">
        <f t="shared" si="53"/>
        <v>220</v>
      </c>
      <c r="BB139" s="28">
        <f t="shared" si="54"/>
        <v>99</v>
      </c>
      <c r="BC139" s="28">
        <f t="shared" si="55"/>
        <v>151</v>
      </c>
      <c r="BD139" s="26">
        <f t="shared" si="56"/>
        <v>53</v>
      </c>
      <c r="BF139" s="36">
        <f t="shared" si="59"/>
        <v>28238</v>
      </c>
      <c r="BG139" s="26">
        <f t="shared" si="60"/>
        <v>48</v>
      </c>
    </row>
    <row r="140" spans="1:59" s="26" customFormat="1" hidden="1" x14ac:dyDescent="0.3">
      <c r="A140" s="6">
        <v>1</v>
      </c>
      <c r="B140" s="6"/>
      <c r="C140" s="6"/>
      <c r="D140" s="13" t="s">
        <v>260</v>
      </c>
      <c r="E140" s="13" t="s">
        <v>261</v>
      </c>
      <c r="F140" s="9" t="str">
        <f t="shared" si="57"/>
        <v>Heagle1979Coker47-271977OTC</v>
      </c>
      <c r="G140" s="6" t="s">
        <v>262</v>
      </c>
      <c r="H140" s="6" t="s">
        <v>130</v>
      </c>
      <c r="I140" s="6" t="s">
        <v>130</v>
      </c>
      <c r="J140" s="6" t="s">
        <v>263</v>
      </c>
      <c r="K140" s="6" t="s">
        <v>265</v>
      </c>
      <c r="L140" s="6">
        <v>1977</v>
      </c>
      <c r="M140" s="6" t="s">
        <v>97</v>
      </c>
      <c r="N140" s="7" t="s">
        <v>51</v>
      </c>
      <c r="O140" s="6" t="s">
        <v>138</v>
      </c>
      <c r="P140" s="6">
        <f>(7*R140+5*0.976*R137)/12*T140*12/1000+R137/1.01*(90-T140)*12/1000</f>
        <v>90.124637623762382</v>
      </c>
      <c r="Q140" s="6"/>
      <c r="R140" s="6">
        <v>130</v>
      </c>
      <c r="S140" s="6">
        <v>7</v>
      </c>
      <c r="T140" s="6">
        <f t="shared" si="58"/>
        <v>53</v>
      </c>
      <c r="U140" s="6">
        <v>4</v>
      </c>
      <c r="V140" s="6">
        <v>47.635179999999998</v>
      </c>
      <c r="W140" s="25">
        <v>28224</v>
      </c>
      <c r="X140" s="25">
        <v>28276</v>
      </c>
      <c r="Y140" s="12">
        <v>2.91</v>
      </c>
      <c r="Z140" s="6"/>
      <c r="AA140" s="6"/>
      <c r="AB140" s="6"/>
      <c r="AC140" s="12"/>
      <c r="AD140" s="7"/>
      <c r="AE140" s="6"/>
      <c r="AF140" s="6"/>
      <c r="AG140" s="12"/>
      <c r="AH140" s="6"/>
      <c r="AI140" s="6"/>
      <c r="AJ140" s="6"/>
      <c r="AK140" s="12"/>
      <c r="AL140" s="6"/>
      <c r="AM140" s="6"/>
      <c r="AN140" s="6"/>
      <c r="AO140" s="12"/>
      <c r="AP140" s="6"/>
      <c r="AQ140" s="6"/>
      <c r="AR140" s="6"/>
      <c r="AS140" s="26">
        <v>35.794889233112599</v>
      </c>
      <c r="AT140" s="26">
        <v>-78.694466693999303</v>
      </c>
      <c r="AU140" s="27">
        <v>28066</v>
      </c>
      <c r="AV140" s="27">
        <v>28285</v>
      </c>
      <c r="AW140" s="25">
        <v>28224</v>
      </c>
      <c r="AX140" s="25">
        <v>28276</v>
      </c>
      <c r="AY140" s="28">
        <f t="shared" si="51"/>
        <v>-59</v>
      </c>
      <c r="AZ140" s="28">
        <f t="shared" si="52"/>
        <v>160</v>
      </c>
      <c r="BA140" s="37">
        <f t="shared" si="53"/>
        <v>220</v>
      </c>
      <c r="BB140" s="28">
        <f t="shared" si="54"/>
        <v>99</v>
      </c>
      <c r="BC140" s="28">
        <f t="shared" si="55"/>
        <v>151</v>
      </c>
      <c r="BD140" s="26">
        <f t="shared" si="56"/>
        <v>53</v>
      </c>
      <c r="BF140" s="36">
        <f t="shared" si="59"/>
        <v>28238</v>
      </c>
      <c r="BG140" s="26">
        <f t="shared" si="60"/>
        <v>48</v>
      </c>
    </row>
    <row r="141" spans="1:59" s="26" customFormat="1" hidden="1" x14ac:dyDescent="0.3">
      <c r="A141" s="6">
        <v>1</v>
      </c>
      <c r="B141" s="6"/>
      <c r="C141" s="6"/>
      <c r="D141" s="13" t="s">
        <v>260</v>
      </c>
      <c r="E141" s="13" t="s">
        <v>261</v>
      </c>
      <c r="F141" s="9" t="str">
        <f t="shared" si="57"/>
        <v>Heagle1979Holly1977OTC</v>
      </c>
      <c r="G141" s="6" t="s">
        <v>262</v>
      </c>
      <c r="H141" s="6" t="s">
        <v>130</v>
      </c>
      <c r="I141" s="6" t="s">
        <v>130</v>
      </c>
      <c r="J141" s="6" t="s">
        <v>263</v>
      </c>
      <c r="K141" s="6" t="s">
        <v>266</v>
      </c>
      <c r="L141" s="6">
        <v>1977</v>
      </c>
      <c r="M141" s="6" t="s">
        <v>97</v>
      </c>
      <c r="N141" s="7" t="s">
        <v>51</v>
      </c>
      <c r="O141" s="6" t="s">
        <v>132</v>
      </c>
      <c r="P141" s="6">
        <f>(7*R141+5*0.976*R141)/12*T141*12/1000+R142/1.01*(90-T141)*12/1000</f>
        <v>45.265437623762374</v>
      </c>
      <c r="Q141" s="6"/>
      <c r="R141" s="6">
        <v>30</v>
      </c>
      <c r="S141" s="6">
        <v>7</v>
      </c>
      <c r="T141" s="6">
        <f t="shared" si="58"/>
        <v>53</v>
      </c>
      <c r="U141" s="6">
        <v>4</v>
      </c>
      <c r="V141" s="6">
        <v>6.4205589999999999</v>
      </c>
      <c r="W141" s="25">
        <v>28224</v>
      </c>
      <c r="X141" s="25">
        <v>28276</v>
      </c>
      <c r="Y141" s="12">
        <v>4.95</v>
      </c>
      <c r="Z141" s="6"/>
      <c r="AA141" s="6"/>
      <c r="AB141" s="6"/>
      <c r="AC141" s="12"/>
      <c r="AD141" s="7"/>
      <c r="AE141" s="6"/>
      <c r="AF141" s="6"/>
      <c r="AG141" s="12"/>
      <c r="AH141" s="6"/>
      <c r="AI141" s="6"/>
      <c r="AJ141" s="6"/>
      <c r="AK141" s="12"/>
      <c r="AL141" s="6"/>
      <c r="AM141" s="6"/>
      <c r="AN141" s="6"/>
      <c r="AO141" s="12"/>
      <c r="AP141" s="6"/>
      <c r="AQ141" s="6"/>
      <c r="AR141" s="6"/>
      <c r="AS141" s="26">
        <v>35.794889233112599</v>
      </c>
      <c r="AT141" s="26">
        <v>-78.694466693999303</v>
      </c>
      <c r="AU141" s="27">
        <v>28066</v>
      </c>
      <c r="AV141" s="27">
        <v>28285</v>
      </c>
      <c r="AW141" s="25">
        <v>28224</v>
      </c>
      <c r="AX141" s="25">
        <v>28276</v>
      </c>
      <c r="AY141" s="28">
        <f t="shared" si="51"/>
        <v>-59</v>
      </c>
      <c r="AZ141" s="28">
        <f t="shared" si="52"/>
        <v>160</v>
      </c>
      <c r="BA141" s="37">
        <f t="shared" si="53"/>
        <v>220</v>
      </c>
      <c r="BB141" s="28">
        <f t="shared" si="54"/>
        <v>99</v>
      </c>
      <c r="BC141" s="28">
        <f t="shared" si="55"/>
        <v>151</v>
      </c>
      <c r="BD141" s="26">
        <f t="shared" si="56"/>
        <v>53</v>
      </c>
      <c r="BF141" s="36">
        <f t="shared" si="59"/>
        <v>28238</v>
      </c>
      <c r="BG141" s="26">
        <f t="shared" si="60"/>
        <v>48</v>
      </c>
    </row>
    <row r="142" spans="1:59" s="26" customFormat="1" hidden="1" x14ac:dyDescent="0.3">
      <c r="A142" s="6">
        <v>1</v>
      </c>
      <c r="B142" s="6"/>
      <c r="C142" s="6"/>
      <c r="D142" s="13" t="s">
        <v>260</v>
      </c>
      <c r="E142" s="13" t="s">
        <v>261</v>
      </c>
      <c r="F142" s="9" t="str">
        <f t="shared" si="57"/>
        <v>Heagle1979Holly1977OTC</v>
      </c>
      <c r="G142" s="6" t="s">
        <v>262</v>
      </c>
      <c r="H142" s="6" t="s">
        <v>130</v>
      </c>
      <c r="I142" s="6" t="s">
        <v>130</v>
      </c>
      <c r="J142" s="6" t="s">
        <v>263</v>
      </c>
      <c r="K142" s="6" t="s">
        <v>266</v>
      </c>
      <c r="L142" s="6">
        <v>1977</v>
      </c>
      <c r="M142" s="6" t="s">
        <v>97</v>
      </c>
      <c r="N142" s="7" t="s">
        <v>51</v>
      </c>
      <c r="O142" s="6" t="s">
        <v>74</v>
      </c>
      <c r="P142" s="7">
        <f>R142/1.01*1.08</f>
        <v>64.158415841584173</v>
      </c>
      <c r="Q142" s="6"/>
      <c r="R142" s="6">
        <v>60</v>
      </c>
      <c r="S142" s="6">
        <v>7</v>
      </c>
      <c r="T142" s="6">
        <f t="shared" si="58"/>
        <v>53</v>
      </c>
      <c r="U142" s="6">
        <v>4</v>
      </c>
      <c r="V142" s="6">
        <v>22.414709999999999</v>
      </c>
      <c r="W142" s="25">
        <v>28224</v>
      </c>
      <c r="X142" s="25">
        <v>28276</v>
      </c>
      <c r="Y142" s="12"/>
      <c r="Z142" s="6"/>
      <c r="AA142" s="6"/>
      <c r="AB142" s="6"/>
      <c r="AC142" s="12"/>
      <c r="AD142" s="7"/>
      <c r="AE142" s="6"/>
      <c r="AF142" s="6"/>
      <c r="AG142" s="12"/>
      <c r="AH142" s="6"/>
      <c r="AI142" s="6"/>
      <c r="AJ142" s="6"/>
      <c r="AK142" s="12"/>
      <c r="AL142" s="6"/>
      <c r="AM142" s="6"/>
      <c r="AN142" s="6"/>
      <c r="AO142" s="12"/>
      <c r="AP142" s="6"/>
      <c r="AQ142" s="6"/>
      <c r="AR142" s="6"/>
      <c r="AS142" s="26">
        <v>35.794889233112599</v>
      </c>
      <c r="AT142" s="26">
        <v>-78.694466693999303</v>
      </c>
      <c r="AU142" s="27">
        <v>28066</v>
      </c>
      <c r="AV142" s="27">
        <v>28285</v>
      </c>
      <c r="AW142" s="25">
        <v>28224</v>
      </c>
      <c r="AX142" s="25">
        <v>28276</v>
      </c>
      <c r="AY142" s="28">
        <f t="shared" si="51"/>
        <v>-59</v>
      </c>
      <c r="AZ142" s="28">
        <f t="shared" si="52"/>
        <v>160</v>
      </c>
      <c r="BA142" s="37">
        <f t="shared" si="53"/>
        <v>220</v>
      </c>
      <c r="BB142" s="28">
        <f t="shared" si="54"/>
        <v>99</v>
      </c>
      <c r="BC142" s="28">
        <f t="shared" si="55"/>
        <v>151</v>
      </c>
      <c r="BD142" s="26">
        <f t="shared" si="56"/>
        <v>53</v>
      </c>
      <c r="BF142" s="36">
        <f t="shared" si="59"/>
        <v>28238</v>
      </c>
      <c r="BG142" s="26">
        <f t="shared" si="60"/>
        <v>48</v>
      </c>
    </row>
    <row r="143" spans="1:59" s="26" customFormat="1" hidden="1" x14ac:dyDescent="0.3">
      <c r="A143" s="6">
        <v>1</v>
      </c>
      <c r="B143" s="6"/>
      <c r="C143" s="6"/>
      <c r="D143" s="13" t="s">
        <v>260</v>
      </c>
      <c r="E143" s="13" t="s">
        <v>261</v>
      </c>
      <c r="F143" s="9" t="str">
        <f t="shared" si="57"/>
        <v>Heagle1979Holly1977OTC</v>
      </c>
      <c r="G143" s="6" t="s">
        <v>262</v>
      </c>
      <c r="H143" s="6" t="s">
        <v>130</v>
      </c>
      <c r="I143" s="6" t="s">
        <v>130</v>
      </c>
      <c r="J143" s="6" t="s">
        <v>263</v>
      </c>
      <c r="K143" s="6" t="s">
        <v>266</v>
      </c>
      <c r="L143" s="6">
        <v>1977</v>
      </c>
      <c r="M143" s="6" t="s">
        <v>97</v>
      </c>
      <c r="N143" s="7" t="s">
        <v>51</v>
      </c>
      <c r="O143" s="6" t="s">
        <v>103</v>
      </c>
      <c r="P143" s="6">
        <f>(7*R143+5*0.976*R142)/12*T143*12/1000+R142/1.01*(90-T143)*12/1000</f>
        <v>64.154637623762369</v>
      </c>
      <c r="Q143" s="6"/>
      <c r="R143" s="6">
        <v>60</v>
      </c>
      <c r="S143" s="6">
        <v>7</v>
      </c>
      <c r="T143" s="6">
        <f t="shared" si="58"/>
        <v>53</v>
      </c>
      <c r="U143" s="6">
        <v>4</v>
      </c>
      <c r="V143" s="6">
        <v>22.414709999999999</v>
      </c>
      <c r="W143" s="25">
        <v>28224</v>
      </c>
      <c r="X143" s="25">
        <v>28276</v>
      </c>
      <c r="Y143" s="12">
        <v>4.91</v>
      </c>
      <c r="Z143" s="6"/>
      <c r="AA143" s="6"/>
      <c r="AB143" s="6"/>
      <c r="AC143" s="12"/>
      <c r="AD143" s="7"/>
      <c r="AE143" s="6"/>
      <c r="AF143" s="6"/>
      <c r="AG143" s="12"/>
      <c r="AH143" s="6"/>
      <c r="AI143" s="6"/>
      <c r="AJ143" s="6"/>
      <c r="AK143" s="12"/>
      <c r="AL143" s="6"/>
      <c r="AM143" s="6"/>
      <c r="AN143" s="6"/>
      <c r="AO143" s="12"/>
      <c r="AP143" s="6"/>
      <c r="AQ143" s="6"/>
      <c r="AR143" s="6"/>
      <c r="AS143" s="26">
        <v>35.794889233112599</v>
      </c>
      <c r="AT143" s="26">
        <v>-78.694466693999303</v>
      </c>
      <c r="AU143" s="27">
        <v>28066</v>
      </c>
      <c r="AV143" s="27">
        <v>28285</v>
      </c>
      <c r="AW143" s="25">
        <v>28224</v>
      </c>
      <c r="AX143" s="25">
        <v>28276</v>
      </c>
      <c r="AY143" s="28">
        <f t="shared" si="51"/>
        <v>-59</v>
      </c>
      <c r="AZ143" s="28">
        <f t="shared" si="52"/>
        <v>160</v>
      </c>
      <c r="BA143" s="37">
        <f t="shared" si="53"/>
        <v>220</v>
      </c>
      <c r="BB143" s="28">
        <f t="shared" si="54"/>
        <v>99</v>
      </c>
      <c r="BC143" s="28">
        <f t="shared" si="55"/>
        <v>151</v>
      </c>
      <c r="BD143" s="26">
        <f t="shared" si="56"/>
        <v>53</v>
      </c>
      <c r="BF143" s="36">
        <f t="shared" si="59"/>
        <v>28238</v>
      </c>
      <c r="BG143" s="26">
        <f t="shared" si="60"/>
        <v>48</v>
      </c>
    </row>
    <row r="144" spans="1:59" s="26" customFormat="1" hidden="1" x14ac:dyDescent="0.3">
      <c r="A144" s="6">
        <v>1</v>
      </c>
      <c r="B144" s="6"/>
      <c r="C144" s="6"/>
      <c r="D144" s="13" t="s">
        <v>260</v>
      </c>
      <c r="E144" s="13" t="s">
        <v>261</v>
      </c>
      <c r="F144" s="9" t="str">
        <f t="shared" si="57"/>
        <v>Heagle1979Holly1977OTC</v>
      </c>
      <c r="G144" s="6" t="s">
        <v>262</v>
      </c>
      <c r="H144" s="6" t="s">
        <v>130</v>
      </c>
      <c r="I144" s="6" t="s">
        <v>130</v>
      </c>
      <c r="J144" s="6" t="s">
        <v>263</v>
      </c>
      <c r="K144" s="6" t="s">
        <v>266</v>
      </c>
      <c r="L144" s="6">
        <v>1977</v>
      </c>
      <c r="M144" s="6" t="s">
        <v>97</v>
      </c>
      <c r="N144" s="7" t="s">
        <v>51</v>
      </c>
      <c r="O144" s="6" t="s">
        <v>137</v>
      </c>
      <c r="P144" s="6">
        <f>(7*R144+5*0.976*R142)/12*T144*12/1000+R142/1.01*(90-T144)*12/1000</f>
        <v>78.994637623762372</v>
      </c>
      <c r="Q144" s="6"/>
      <c r="R144" s="6">
        <v>100</v>
      </c>
      <c r="S144" s="6">
        <v>7</v>
      </c>
      <c r="T144" s="6">
        <f t="shared" si="58"/>
        <v>53</v>
      </c>
      <c r="U144" s="6">
        <v>4</v>
      </c>
      <c r="V144" s="6">
        <v>36.707799999999999</v>
      </c>
      <c r="W144" s="25">
        <v>28224</v>
      </c>
      <c r="X144" s="25">
        <v>28276</v>
      </c>
      <c r="Y144" s="12">
        <v>4.43</v>
      </c>
      <c r="Z144" s="6"/>
      <c r="AA144" s="6"/>
      <c r="AB144" s="6"/>
      <c r="AC144" s="12"/>
      <c r="AD144" s="7"/>
      <c r="AE144" s="6"/>
      <c r="AF144" s="6"/>
      <c r="AG144" s="12"/>
      <c r="AH144" s="6"/>
      <c r="AI144" s="6"/>
      <c r="AJ144" s="6"/>
      <c r="AK144" s="12"/>
      <c r="AL144" s="6"/>
      <c r="AM144" s="6"/>
      <c r="AN144" s="6"/>
      <c r="AO144" s="12"/>
      <c r="AP144" s="6"/>
      <c r="AQ144" s="6"/>
      <c r="AR144" s="6"/>
      <c r="AS144" s="26">
        <v>35.794889233112599</v>
      </c>
      <c r="AT144" s="26">
        <v>-78.694466693999303</v>
      </c>
      <c r="AU144" s="27">
        <v>28066</v>
      </c>
      <c r="AV144" s="27">
        <v>28285</v>
      </c>
      <c r="AW144" s="25">
        <v>28224</v>
      </c>
      <c r="AX144" s="25">
        <v>28276</v>
      </c>
      <c r="AY144" s="28">
        <f t="shared" si="51"/>
        <v>-59</v>
      </c>
      <c r="AZ144" s="28">
        <f t="shared" si="52"/>
        <v>160</v>
      </c>
      <c r="BA144" s="37">
        <f t="shared" si="53"/>
        <v>220</v>
      </c>
      <c r="BB144" s="28">
        <f t="shared" si="54"/>
        <v>99</v>
      </c>
      <c r="BC144" s="28">
        <f t="shared" si="55"/>
        <v>151</v>
      </c>
      <c r="BD144" s="26">
        <f t="shared" si="56"/>
        <v>53</v>
      </c>
      <c r="BF144" s="36">
        <f t="shared" si="59"/>
        <v>28238</v>
      </c>
      <c r="BG144" s="26">
        <f t="shared" si="60"/>
        <v>48</v>
      </c>
    </row>
    <row r="145" spans="1:59" s="26" customFormat="1" hidden="1" x14ac:dyDescent="0.3">
      <c r="A145" s="6">
        <v>1</v>
      </c>
      <c r="B145" s="6"/>
      <c r="C145" s="6"/>
      <c r="D145" s="13" t="s">
        <v>260</v>
      </c>
      <c r="E145" s="13" t="s">
        <v>261</v>
      </c>
      <c r="F145" s="9" t="str">
        <f t="shared" si="57"/>
        <v>Heagle1979Holly1977OTC</v>
      </c>
      <c r="G145" s="6" t="s">
        <v>262</v>
      </c>
      <c r="H145" s="6" t="s">
        <v>130</v>
      </c>
      <c r="I145" s="6" t="s">
        <v>130</v>
      </c>
      <c r="J145" s="6" t="s">
        <v>263</v>
      </c>
      <c r="K145" s="6" t="s">
        <v>266</v>
      </c>
      <c r="L145" s="6">
        <v>1977</v>
      </c>
      <c r="M145" s="6" t="s">
        <v>97</v>
      </c>
      <c r="N145" s="7" t="s">
        <v>51</v>
      </c>
      <c r="O145" s="6" t="s">
        <v>138</v>
      </c>
      <c r="P145" s="6">
        <f>(7*R145+5*0.976*R142)/12*T145*12/1000+R142/1.01*(90-T145)*12/1000</f>
        <v>90.124637623762382</v>
      </c>
      <c r="Q145" s="6"/>
      <c r="R145" s="6">
        <v>130</v>
      </c>
      <c r="S145" s="6">
        <v>7</v>
      </c>
      <c r="T145" s="6">
        <f t="shared" si="58"/>
        <v>53</v>
      </c>
      <c r="U145" s="6">
        <v>4</v>
      </c>
      <c r="V145" s="6">
        <v>47.635179999999998</v>
      </c>
      <c r="W145" s="25">
        <v>28224</v>
      </c>
      <c r="X145" s="25">
        <v>28276</v>
      </c>
      <c r="Y145" s="12">
        <v>3.3</v>
      </c>
      <c r="Z145" s="6"/>
      <c r="AA145" s="6"/>
      <c r="AB145" s="6"/>
      <c r="AC145" s="12"/>
      <c r="AD145" s="7"/>
      <c r="AE145" s="6"/>
      <c r="AF145" s="6"/>
      <c r="AG145" s="12"/>
      <c r="AH145" s="6"/>
      <c r="AI145" s="6"/>
      <c r="AJ145" s="6"/>
      <c r="AK145" s="12"/>
      <c r="AL145" s="6"/>
      <c r="AM145" s="6"/>
      <c r="AN145" s="6"/>
      <c r="AO145" s="12"/>
      <c r="AP145" s="6"/>
      <c r="AQ145" s="6"/>
      <c r="AR145" s="6"/>
      <c r="AS145" s="26">
        <v>35.794889233112599</v>
      </c>
      <c r="AT145" s="26">
        <v>-78.694466693999303</v>
      </c>
      <c r="AU145" s="27">
        <v>28066</v>
      </c>
      <c r="AV145" s="27">
        <v>28285</v>
      </c>
      <c r="AW145" s="25">
        <v>28224</v>
      </c>
      <c r="AX145" s="25">
        <v>28276</v>
      </c>
      <c r="AY145" s="28">
        <f t="shared" si="51"/>
        <v>-59</v>
      </c>
      <c r="AZ145" s="28">
        <f t="shared" si="52"/>
        <v>160</v>
      </c>
      <c r="BA145" s="37">
        <f t="shared" si="53"/>
        <v>220</v>
      </c>
      <c r="BB145" s="28">
        <f t="shared" si="54"/>
        <v>99</v>
      </c>
      <c r="BC145" s="28">
        <f t="shared" si="55"/>
        <v>151</v>
      </c>
      <c r="BD145" s="26">
        <f t="shared" si="56"/>
        <v>53</v>
      </c>
      <c r="BF145" s="36">
        <f t="shared" si="59"/>
        <v>28238</v>
      </c>
      <c r="BG145" s="26">
        <f t="shared" si="60"/>
        <v>48</v>
      </c>
    </row>
    <row r="146" spans="1:59" s="26" customFormat="1" hidden="1" x14ac:dyDescent="0.3">
      <c r="A146" s="6">
        <v>1</v>
      </c>
      <c r="B146" s="6"/>
      <c r="C146" s="6"/>
      <c r="D146" s="13" t="s">
        <v>260</v>
      </c>
      <c r="E146" s="13" t="s">
        <v>261</v>
      </c>
      <c r="F146" s="9" t="str">
        <f t="shared" si="57"/>
        <v>Heagle1979Oasis1977OTC</v>
      </c>
      <c r="G146" s="6" t="s">
        <v>262</v>
      </c>
      <c r="H146" s="6" t="s">
        <v>130</v>
      </c>
      <c r="I146" s="6" t="s">
        <v>130</v>
      </c>
      <c r="J146" s="6" t="s">
        <v>263</v>
      </c>
      <c r="K146" s="6" t="s">
        <v>267</v>
      </c>
      <c r="L146" s="6">
        <v>1977</v>
      </c>
      <c r="M146" s="6" t="s">
        <v>97</v>
      </c>
      <c r="N146" s="7" t="s">
        <v>51</v>
      </c>
      <c r="O146" s="6" t="s">
        <v>132</v>
      </c>
      <c r="P146" s="6">
        <f>(7*R146+5*0.976*R146)/12*T146*12/1000+R147/1.01*(90-T146)*12/1000</f>
        <v>45.265437623762374</v>
      </c>
      <c r="Q146" s="6"/>
      <c r="R146" s="6">
        <v>30</v>
      </c>
      <c r="S146" s="6">
        <v>7</v>
      </c>
      <c r="T146" s="6">
        <f t="shared" si="58"/>
        <v>53</v>
      </c>
      <c r="U146" s="6">
        <v>4</v>
      </c>
      <c r="V146" s="6">
        <v>6.4205589999999999</v>
      </c>
      <c r="W146" s="25">
        <v>28224</v>
      </c>
      <c r="X146" s="25">
        <v>28276</v>
      </c>
      <c r="Y146" s="12">
        <v>4.45</v>
      </c>
      <c r="Z146" s="6"/>
      <c r="AA146" s="6"/>
      <c r="AB146" s="6"/>
      <c r="AC146" s="12"/>
      <c r="AD146" s="7"/>
      <c r="AE146" s="6"/>
      <c r="AF146" s="6"/>
      <c r="AG146" s="12"/>
      <c r="AH146" s="6"/>
      <c r="AI146" s="6"/>
      <c r="AJ146" s="6"/>
      <c r="AK146" s="12"/>
      <c r="AL146" s="6"/>
      <c r="AM146" s="6"/>
      <c r="AN146" s="6"/>
      <c r="AO146" s="12"/>
      <c r="AP146" s="6"/>
      <c r="AQ146" s="6"/>
      <c r="AR146" s="6"/>
      <c r="AS146" s="26">
        <v>35.794889233112599</v>
      </c>
      <c r="AT146" s="26">
        <v>-78.694466693999303</v>
      </c>
      <c r="AU146" s="27">
        <v>28066</v>
      </c>
      <c r="AV146" s="27">
        <v>28285</v>
      </c>
      <c r="AW146" s="25">
        <v>28224</v>
      </c>
      <c r="AX146" s="25">
        <v>28276</v>
      </c>
      <c r="AY146" s="28">
        <f t="shared" si="51"/>
        <v>-59</v>
      </c>
      <c r="AZ146" s="28">
        <f t="shared" si="52"/>
        <v>160</v>
      </c>
      <c r="BA146" s="37">
        <f t="shared" si="53"/>
        <v>220</v>
      </c>
      <c r="BB146" s="28">
        <f t="shared" si="54"/>
        <v>99</v>
      </c>
      <c r="BC146" s="28">
        <f t="shared" si="55"/>
        <v>151</v>
      </c>
      <c r="BD146" s="26">
        <f t="shared" si="56"/>
        <v>53</v>
      </c>
      <c r="BF146" s="36">
        <f t="shared" si="59"/>
        <v>28238</v>
      </c>
      <c r="BG146" s="26">
        <f t="shared" si="60"/>
        <v>48</v>
      </c>
    </row>
    <row r="147" spans="1:59" s="26" customFormat="1" hidden="1" x14ac:dyDescent="0.3">
      <c r="A147" s="6">
        <v>1</v>
      </c>
      <c r="B147" s="6"/>
      <c r="C147" s="6"/>
      <c r="D147" s="13" t="s">
        <v>260</v>
      </c>
      <c r="E147" s="13" t="s">
        <v>261</v>
      </c>
      <c r="F147" s="9" t="str">
        <f t="shared" si="57"/>
        <v>Heagle1979Oasis1977OTC</v>
      </c>
      <c r="G147" s="6" t="s">
        <v>262</v>
      </c>
      <c r="H147" s="6" t="s">
        <v>130</v>
      </c>
      <c r="I147" s="6" t="s">
        <v>130</v>
      </c>
      <c r="J147" s="6" t="s">
        <v>263</v>
      </c>
      <c r="K147" s="6" t="s">
        <v>267</v>
      </c>
      <c r="L147" s="6">
        <v>1977</v>
      </c>
      <c r="M147" s="6" t="s">
        <v>97</v>
      </c>
      <c r="N147" s="7" t="s">
        <v>51</v>
      </c>
      <c r="O147" s="6" t="s">
        <v>74</v>
      </c>
      <c r="P147" s="7">
        <f>R147/1.01*1.08</f>
        <v>64.158415841584173</v>
      </c>
      <c r="Q147" s="6"/>
      <c r="R147" s="6">
        <v>60</v>
      </c>
      <c r="S147" s="6">
        <v>7</v>
      </c>
      <c r="T147" s="6">
        <f t="shared" si="58"/>
        <v>53</v>
      </c>
      <c r="U147" s="6">
        <v>4</v>
      </c>
      <c r="V147" s="6">
        <v>22.414709999999999</v>
      </c>
      <c r="W147" s="25">
        <v>28224</v>
      </c>
      <c r="X147" s="25">
        <v>28276</v>
      </c>
      <c r="Y147" s="12"/>
      <c r="Z147" s="6"/>
      <c r="AA147" s="6"/>
      <c r="AB147" s="6"/>
      <c r="AC147" s="12"/>
      <c r="AD147" s="7"/>
      <c r="AE147" s="6"/>
      <c r="AF147" s="6"/>
      <c r="AG147" s="12"/>
      <c r="AH147" s="6"/>
      <c r="AI147" s="6"/>
      <c r="AJ147" s="6"/>
      <c r="AK147" s="12"/>
      <c r="AL147" s="6"/>
      <c r="AM147" s="6"/>
      <c r="AN147" s="6"/>
      <c r="AO147" s="12"/>
      <c r="AP147" s="6"/>
      <c r="AQ147" s="6"/>
      <c r="AR147" s="6"/>
      <c r="AS147" s="26">
        <v>35.794889233112599</v>
      </c>
      <c r="AT147" s="26">
        <v>-78.694466693999303</v>
      </c>
      <c r="AU147" s="27">
        <v>28066</v>
      </c>
      <c r="AV147" s="27">
        <v>28285</v>
      </c>
      <c r="AW147" s="25">
        <v>28224</v>
      </c>
      <c r="AX147" s="25">
        <v>28276</v>
      </c>
      <c r="AY147" s="28">
        <f t="shared" si="51"/>
        <v>-59</v>
      </c>
      <c r="AZ147" s="28">
        <f t="shared" si="52"/>
        <v>160</v>
      </c>
      <c r="BA147" s="37">
        <f t="shared" si="53"/>
        <v>220</v>
      </c>
      <c r="BB147" s="28">
        <f t="shared" si="54"/>
        <v>99</v>
      </c>
      <c r="BC147" s="28">
        <f t="shared" si="55"/>
        <v>151</v>
      </c>
      <c r="BD147" s="26">
        <f t="shared" si="56"/>
        <v>53</v>
      </c>
      <c r="BF147" s="36">
        <f t="shared" si="59"/>
        <v>28238</v>
      </c>
      <c r="BG147" s="26">
        <f t="shared" si="60"/>
        <v>48</v>
      </c>
    </row>
    <row r="148" spans="1:59" s="26" customFormat="1" hidden="1" x14ac:dyDescent="0.3">
      <c r="A148" s="6">
        <v>1</v>
      </c>
      <c r="B148" s="6"/>
      <c r="C148" s="6"/>
      <c r="D148" s="13" t="s">
        <v>260</v>
      </c>
      <c r="E148" s="13" t="s">
        <v>261</v>
      </c>
      <c r="F148" s="9" t="str">
        <f t="shared" si="57"/>
        <v>Heagle1979Oasis1977OTC</v>
      </c>
      <c r="G148" s="6" t="s">
        <v>262</v>
      </c>
      <c r="H148" s="6" t="s">
        <v>130</v>
      </c>
      <c r="I148" s="6" t="s">
        <v>130</v>
      </c>
      <c r="J148" s="6" t="s">
        <v>263</v>
      </c>
      <c r="K148" s="6" t="s">
        <v>267</v>
      </c>
      <c r="L148" s="6">
        <v>1977</v>
      </c>
      <c r="M148" s="6" t="s">
        <v>97</v>
      </c>
      <c r="N148" s="7" t="s">
        <v>51</v>
      </c>
      <c r="O148" s="6" t="s">
        <v>103</v>
      </c>
      <c r="P148" s="6">
        <f>(7*R148+5*0.976*R147)/12*T148*12/1000+R147/1.01*(90-T148)*12/1000</f>
        <v>64.154637623762369</v>
      </c>
      <c r="Q148" s="6"/>
      <c r="R148" s="6">
        <v>60</v>
      </c>
      <c r="S148" s="6">
        <v>7</v>
      </c>
      <c r="T148" s="6">
        <f t="shared" si="58"/>
        <v>53</v>
      </c>
      <c r="U148" s="6">
        <v>4</v>
      </c>
      <c r="V148" s="6">
        <v>22.414709999999999</v>
      </c>
      <c r="W148" s="25">
        <v>28224</v>
      </c>
      <c r="X148" s="25">
        <v>28276</v>
      </c>
      <c r="Y148" s="12">
        <v>4.41</v>
      </c>
      <c r="Z148" s="6"/>
      <c r="AA148" s="6"/>
      <c r="AB148" s="6"/>
      <c r="AC148" s="12"/>
      <c r="AD148" s="7"/>
      <c r="AE148" s="6"/>
      <c r="AF148" s="6"/>
      <c r="AG148" s="12"/>
      <c r="AH148" s="6"/>
      <c r="AI148" s="6"/>
      <c r="AJ148" s="6"/>
      <c r="AK148" s="12"/>
      <c r="AL148" s="6"/>
      <c r="AM148" s="6"/>
      <c r="AN148" s="6"/>
      <c r="AO148" s="12"/>
      <c r="AP148" s="6"/>
      <c r="AQ148" s="6"/>
      <c r="AR148" s="6"/>
      <c r="AS148" s="26">
        <v>35.794889233112599</v>
      </c>
      <c r="AT148" s="26">
        <v>-78.694466693999303</v>
      </c>
      <c r="AU148" s="27">
        <v>28066</v>
      </c>
      <c r="AV148" s="27">
        <v>28285</v>
      </c>
      <c r="AW148" s="25">
        <v>28224</v>
      </c>
      <c r="AX148" s="25">
        <v>28276</v>
      </c>
      <c r="AY148" s="28">
        <f t="shared" si="51"/>
        <v>-59</v>
      </c>
      <c r="AZ148" s="28">
        <f t="shared" si="52"/>
        <v>160</v>
      </c>
      <c r="BA148" s="37">
        <f t="shared" si="53"/>
        <v>220</v>
      </c>
      <c r="BB148" s="28">
        <f t="shared" si="54"/>
        <v>99</v>
      </c>
      <c r="BC148" s="28">
        <f t="shared" si="55"/>
        <v>151</v>
      </c>
      <c r="BD148" s="26">
        <f t="shared" si="56"/>
        <v>53</v>
      </c>
      <c r="BF148" s="36">
        <f t="shared" si="59"/>
        <v>28238</v>
      </c>
      <c r="BG148" s="26">
        <f t="shared" si="60"/>
        <v>48</v>
      </c>
    </row>
    <row r="149" spans="1:59" s="26" customFormat="1" hidden="1" x14ac:dyDescent="0.3">
      <c r="A149" s="6">
        <v>1</v>
      </c>
      <c r="B149" s="6"/>
      <c r="C149" s="6"/>
      <c r="D149" s="13" t="s">
        <v>260</v>
      </c>
      <c r="E149" s="13" t="s">
        <v>261</v>
      </c>
      <c r="F149" s="9" t="str">
        <f t="shared" si="57"/>
        <v>Heagle1979Oasis1977OTC</v>
      </c>
      <c r="G149" s="6" t="s">
        <v>262</v>
      </c>
      <c r="H149" s="6" t="s">
        <v>130</v>
      </c>
      <c r="I149" s="6" t="s">
        <v>130</v>
      </c>
      <c r="J149" s="6" t="s">
        <v>263</v>
      </c>
      <c r="K149" s="6" t="s">
        <v>267</v>
      </c>
      <c r="L149" s="6">
        <v>1977</v>
      </c>
      <c r="M149" s="6" t="s">
        <v>97</v>
      </c>
      <c r="N149" s="7" t="s">
        <v>51</v>
      </c>
      <c r="O149" s="6" t="s">
        <v>137</v>
      </c>
      <c r="P149" s="6">
        <f>(7*R149+5*0.976*R147)/12*T149*12/1000+R147/1.01*(90-T149)*12/1000</f>
        <v>78.994637623762372</v>
      </c>
      <c r="Q149" s="6"/>
      <c r="R149" s="6">
        <v>100</v>
      </c>
      <c r="S149" s="6">
        <v>7</v>
      </c>
      <c r="T149" s="6">
        <f t="shared" si="58"/>
        <v>53</v>
      </c>
      <c r="U149" s="6">
        <v>4</v>
      </c>
      <c r="V149" s="6">
        <v>36.707799999999999</v>
      </c>
      <c r="W149" s="25">
        <v>28224</v>
      </c>
      <c r="X149" s="25">
        <v>28276</v>
      </c>
      <c r="Y149" s="12">
        <v>3.89</v>
      </c>
      <c r="Z149" s="6"/>
      <c r="AA149" s="6"/>
      <c r="AB149" s="6"/>
      <c r="AC149" s="12"/>
      <c r="AD149" s="7"/>
      <c r="AE149" s="6"/>
      <c r="AF149" s="6"/>
      <c r="AG149" s="12"/>
      <c r="AH149" s="6"/>
      <c r="AI149" s="6"/>
      <c r="AJ149" s="6"/>
      <c r="AK149" s="12"/>
      <c r="AL149" s="6"/>
      <c r="AM149" s="6"/>
      <c r="AN149" s="6"/>
      <c r="AO149" s="12"/>
      <c r="AP149" s="6"/>
      <c r="AQ149" s="6"/>
      <c r="AR149" s="6"/>
      <c r="AS149" s="26">
        <v>35.794889233112599</v>
      </c>
      <c r="AT149" s="26">
        <v>-78.694466693999303</v>
      </c>
      <c r="AU149" s="27">
        <v>28066</v>
      </c>
      <c r="AV149" s="27">
        <v>28285</v>
      </c>
      <c r="AW149" s="25">
        <v>28224</v>
      </c>
      <c r="AX149" s="25">
        <v>28276</v>
      </c>
      <c r="AY149" s="28">
        <f t="shared" si="51"/>
        <v>-59</v>
      </c>
      <c r="AZ149" s="28">
        <f t="shared" si="52"/>
        <v>160</v>
      </c>
      <c r="BA149" s="37">
        <f t="shared" si="53"/>
        <v>220</v>
      </c>
      <c r="BB149" s="28">
        <f t="shared" si="54"/>
        <v>99</v>
      </c>
      <c r="BC149" s="28">
        <f t="shared" si="55"/>
        <v>151</v>
      </c>
      <c r="BD149" s="26">
        <f t="shared" si="56"/>
        <v>53</v>
      </c>
      <c r="BF149" s="36">
        <f t="shared" si="59"/>
        <v>28238</v>
      </c>
      <c r="BG149" s="26">
        <f t="shared" si="60"/>
        <v>48</v>
      </c>
    </row>
    <row r="150" spans="1:59" s="26" customFormat="1" hidden="1" x14ac:dyDescent="0.3">
      <c r="A150" s="6">
        <v>1</v>
      </c>
      <c r="B150" s="6"/>
      <c r="C150" s="6"/>
      <c r="D150" s="13" t="s">
        <v>260</v>
      </c>
      <c r="E150" s="13" t="s">
        <v>261</v>
      </c>
      <c r="F150" s="9" t="str">
        <f t="shared" si="57"/>
        <v>Heagle1979Oasis1977OTC</v>
      </c>
      <c r="G150" s="6" t="s">
        <v>262</v>
      </c>
      <c r="H150" s="6" t="s">
        <v>130</v>
      </c>
      <c r="I150" s="6" t="s">
        <v>130</v>
      </c>
      <c r="J150" s="6" t="s">
        <v>263</v>
      </c>
      <c r="K150" s="6" t="s">
        <v>267</v>
      </c>
      <c r="L150" s="6">
        <v>1977</v>
      </c>
      <c r="M150" s="6" t="s">
        <v>97</v>
      </c>
      <c r="N150" s="7" t="s">
        <v>51</v>
      </c>
      <c r="O150" s="6" t="s">
        <v>138</v>
      </c>
      <c r="P150" s="6">
        <f>(7*R150+5*0.976*R147)/12*T150*12/1000+R147/1.01*(90-T150)*12/1000</f>
        <v>90.124637623762382</v>
      </c>
      <c r="Q150" s="6"/>
      <c r="R150" s="6">
        <v>130</v>
      </c>
      <c r="S150" s="6">
        <v>7</v>
      </c>
      <c r="T150" s="6">
        <f t="shared" si="58"/>
        <v>53</v>
      </c>
      <c r="U150" s="6">
        <v>4</v>
      </c>
      <c r="V150" s="6">
        <v>47.635179999999998</v>
      </c>
      <c r="W150" s="25">
        <v>28224</v>
      </c>
      <c r="X150" s="25">
        <v>28276</v>
      </c>
      <c r="Y150" s="12">
        <v>3.28</v>
      </c>
      <c r="Z150" s="6"/>
      <c r="AA150" s="6"/>
      <c r="AB150" s="6"/>
      <c r="AC150" s="12"/>
      <c r="AD150" s="7"/>
      <c r="AE150" s="6"/>
      <c r="AF150" s="6"/>
      <c r="AG150" s="12"/>
      <c r="AH150" s="6"/>
      <c r="AI150" s="6"/>
      <c r="AJ150" s="6"/>
      <c r="AK150" s="12"/>
      <c r="AL150" s="6"/>
      <c r="AM150" s="6"/>
      <c r="AN150" s="6"/>
      <c r="AO150" s="12"/>
      <c r="AP150" s="6"/>
      <c r="AQ150" s="6"/>
      <c r="AR150" s="6"/>
      <c r="AS150" s="26">
        <v>35.794889233112599</v>
      </c>
      <c r="AT150" s="26">
        <v>-78.694466693999303</v>
      </c>
      <c r="AU150" s="27">
        <v>28066</v>
      </c>
      <c r="AV150" s="27">
        <v>28285</v>
      </c>
      <c r="AW150" s="25">
        <v>28224</v>
      </c>
      <c r="AX150" s="25">
        <v>28276</v>
      </c>
      <c r="AY150" s="28">
        <f t="shared" si="51"/>
        <v>-59</v>
      </c>
      <c r="AZ150" s="28">
        <f t="shared" si="52"/>
        <v>160</v>
      </c>
      <c r="BA150" s="37">
        <f t="shared" si="53"/>
        <v>220</v>
      </c>
      <c r="BB150" s="28">
        <f t="shared" si="54"/>
        <v>99</v>
      </c>
      <c r="BC150" s="28">
        <f t="shared" si="55"/>
        <v>151</v>
      </c>
      <c r="BD150" s="26">
        <f t="shared" si="56"/>
        <v>53</v>
      </c>
      <c r="BF150" s="36">
        <f t="shared" si="59"/>
        <v>28238</v>
      </c>
      <c r="BG150" s="26">
        <f t="shared" si="60"/>
        <v>48</v>
      </c>
    </row>
    <row r="151" spans="1:59" s="26" customFormat="1" hidden="1" x14ac:dyDescent="0.3">
      <c r="A151" s="6">
        <v>1</v>
      </c>
      <c r="B151" s="6"/>
      <c r="C151" s="6"/>
      <c r="D151" s="13" t="s">
        <v>260</v>
      </c>
      <c r="E151" s="13" t="s">
        <v>261</v>
      </c>
      <c r="F151" s="9" t="str">
        <f t="shared" si="57"/>
        <v>Heagle1979combined cultivars1977OTC</v>
      </c>
      <c r="G151" s="6" t="s">
        <v>262</v>
      </c>
      <c r="H151" s="6" t="s">
        <v>130</v>
      </c>
      <c r="I151" s="6" t="s">
        <v>130</v>
      </c>
      <c r="J151" s="6" t="s">
        <v>263</v>
      </c>
      <c r="K151" s="6" t="s">
        <v>268</v>
      </c>
      <c r="L151" s="6">
        <v>1977</v>
      </c>
      <c r="M151" s="6" t="s">
        <v>97</v>
      </c>
      <c r="N151" s="7" t="s">
        <v>51</v>
      </c>
      <c r="O151" s="6" t="s">
        <v>132</v>
      </c>
      <c r="P151" s="6">
        <f>(7*R151+5*0.976*R151)/12*T151*12/1000+R152/1.01*(90-T151)*12/1000</f>
        <v>45.265437623762374</v>
      </c>
      <c r="Q151" s="6"/>
      <c r="R151" s="6">
        <v>30</v>
      </c>
      <c r="S151" s="6">
        <v>7</v>
      </c>
      <c r="T151" s="6">
        <f t="shared" si="58"/>
        <v>53</v>
      </c>
      <c r="U151" s="6">
        <v>4</v>
      </c>
      <c r="V151" s="6">
        <v>6.4205589999999999</v>
      </c>
      <c r="W151" s="25">
        <v>28224</v>
      </c>
      <c r="X151" s="25">
        <v>28276</v>
      </c>
      <c r="Y151" s="12"/>
      <c r="Z151" s="6"/>
      <c r="AA151" s="6"/>
      <c r="AB151" s="6"/>
      <c r="AC151" s="12">
        <v>3.49</v>
      </c>
      <c r="AD151" s="7" t="s">
        <v>269</v>
      </c>
      <c r="AE151" s="6"/>
      <c r="AF151" s="6"/>
      <c r="AG151" s="12"/>
      <c r="AH151" s="6"/>
      <c r="AI151" s="6"/>
      <c r="AJ151" s="6"/>
      <c r="AK151" s="12"/>
      <c r="AL151" s="6"/>
      <c r="AM151" s="6"/>
      <c r="AN151" s="6"/>
      <c r="AO151" s="12">
        <v>145.55873925501433</v>
      </c>
      <c r="AP151" s="6" t="s">
        <v>67</v>
      </c>
      <c r="AQ151" s="6"/>
      <c r="AR151" s="6"/>
      <c r="AS151" s="26">
        <v>35.794889233112599</v>
      </c>
      <c r="AT151" s="26">
        <v>-78.694466693999303</v>
      </c>
      <c r="AU151" s="27">
        <v>28066</v>
      </c>
      <c r="AV151" s="27">
        <v>28285</v>
      </c>
      <c r="AW151" s="25">
        <v>28224</v>
      </c>
      <c r="AX151" s="25">
        <v>28276</v>
      </c>
      <c r="AY151" s="28">
        <f t="shared" si="51"/>
        <v>-59</v>
      </c>
      <c r="AZ151" s="28">
        <f t="shared" ref="AZ151:AZ182" si="61">AV151-INT(YEAR(AV151)&amp;"/1/1")+1</f>
        <v>160</v>
      </c>
      <c r="BA151" s="37">
        <f t="shared" ref="BA151:BA155" si="62">AZ151-AY151+1</f>
        <v>220</v>
      </c>
      <c r="BB151" s="28">
        <f t="shared" si="54"/>
        <v>99</v>
      </c>
      <c r="BC151" s="28">
        <f t="shared" si="55"/>
        <v>151</v>
      </c>
      <c r="BD151" s="26">
        <f t="shared" si="56"/>
        <v>53</v>
      </c>
      <c r="BF151" s="36">
        <f t="shared" si="59"/>
        <v>28238</v>
      </c>
      <c r="BG151" s="26">
        <f t="shared" si="60"/>
        <v>48</v>
      </c>
    </row>
    <row r="152" spans="1:59" s="26" customFormat="1" hidden="1" x14ac:dyDescent="0.3">
      <c r="A152" s="6">
        <v>1</v>
      </c>
      <c r="B152" s="6"/>
      <c r="C152" s="6"/>
      <c r="D152" s="13" t="s">
        <v>260</v>
      </c>
      <c r="E152" s="13" t="s">
        <v>261</v>
      </c>
      <c r="F152" s="9" t="str">
        <f t="shared" si="57"/>
        <v>Heagle1979combined cultivars1977OTC</v>
      </c>
      <c r="G152" s="6" t="s">
        <v>262</v>
      </c>
      <c r="H152" s="6" t="s">
        <v>130</v>
      </c>
      <c r="I152" s="6" t="s">
        <v>130</v>
      </c>
      <c r="J152" s="6" t="s">
        <v>263</v>
      </c>
      <c r="K152" s="6" t="s">
        <v>268</v>
      </c>
      <c r="L152" s="6">
        <v>1977</v>
      </c>
      <c r="M152" s="6" t="s">
        <v>97</v>
      </c>
      <c r="N152" s="7" t="s">
        <v>51</v>
      </c>
      <c r="O152" s="6" t="s">
        <v>74</v>
      </c>
      <c r="P152" s="7">
        <f>R152/1.01*1.08</f>
        <v>64.158415841584173</v>
      </c>
      <c r="Q152" s="6"/>
      <c r="R152" s="6">
        <v>60</v>
      </c>
      <c r="S152" s="6">
        <v>7</v>
      </c>
      <c r="T152" s="6">
        <f t="shared" si="58"/>
        <v>53</v>
      </c>
      <c r="U152" s="6">
        <v>4</v>
      </c>
      <c r="V152" s="6">
        <v>22.414709999999999</v>
      </c>
      <c r="W152" s="25">
        <v>28224</v>
      </c>
      <c r="X152" s="25">
        <v>28276</v>
      </c>
      <c r="Y152" s="12"/>
      <c r="Z152" s="6"/>
      <c r="AA152" s="6"/>
      <c r="AB152" s="6"/>
      <c r="AC152" s="12"/>
      <c r="AD152" s="7"/>
      <c r="AE152" s="6"/>
      <c r="AF152" s="6"/>
      <c r="AG152" s="12"/>
      <c r="AH152" s="6"/>
      <c r="AI152" s="6"/>
      <c r="AJ152" s="6"/>
      <c r="AK152" s="12"/>
      <c r="AL152" s="6"/>
      <c r="AM152" s="6"/>
      <c r="AN152" s="6"/>
      <c r="AO152" s="12"/>
      <c r="AP152" s="6"/>
      <c r="AQ152" s="6"/>
      <c r="AR152" s="6"/>
      <c r="AS152" s="26">
        <v>35.794889233112599</v>
      </c>
      <c r="AT152" s="26">
        <v>-78.694466693999303</v>
      </c>
      <c r="AU152" s="27">
        <v>28066</v>
      </c>
      <c r="AV152" s="27">
        <v>28285</v>
      </c>
      <c r="AW152" s="25">
        <v>28224</v>
      </c>
      <c r="AX152" s="25">
        <v>28276</v>
      </c>
      <c r="AY152" s="28">
        <f t="shared" si="51"/>
        <v>-59</v>
      </c>
      <c r="AZ152" s="28">
        <f t="shared" si="61"/>
        <v>160</v>
      </c>
      <c r="BA152" s="37">
        <f t="shared" si="62"/>
        <v>220</v>
      </c>
      <c r="BB152" s="28">
        <f t="shared" si="54"/>
        <v>99</v>
      </c>
      <c r="BC152" s="28">
        <f t="shared" si="55"/>
        <v>151</v>
      </c>
      <c r="BD152" s="26">
        <f t="shared" si="56"/>
        <v>53</v>
      </c>
      <c r="BF152" s="36">
        <f t="shared" si="59"/>
        <v>28238</v>
      </c>
      <c r="BG152" s="26">
        <f t="shared" si="60"/>
        <v>48</v>
      </c>
    </row>
    <row r="153" spans="1:59" s="26" customFormat="1" hidden="1" x14ac:dyDescent="0.3">
      <c r="A153" s="6">
        <v>1</v>
      </c>
      <c r="B153" s="6"/>
      <c r="C153" s="6"/>
      <c r="D153" s="13" t="s">
        <v>260</v>
      </c>
      <c r="E153" s="13" t="s">
        <v>261</v>
      </c>
      <c r="F153" s="9" t="str">
        <f t="shared" si="57"/>
        <v>Heagle1979combined cultivars1977OTC</v>
      </c>
      <c r="G153" s="6" t="s">
        <v>262</v>
      </c>
      <c r="H153" s="6" t="s">
        <v>130</v>
      </c>
      <c r="I153" s="6" t="s">
        <v>130</v>
      </c>
      <c r="J153" s="6" t="s">
        <v>263</v>
      </c>
      <c r="K153" s="6" t="s">
        <v>268</v>
      </c>
      <c r="L153" s="6">
        <v>1977</v>
      </c>
      <c r="M153" s="6" t="s">
        <v>97</v>
      </c>
      <c r="N153" s="7" t="s">
        <v>51</v>
      </c>
      <c r="O153" s="6" t="s">
        <v>103</v>
      </c>
      <c r="P153" s="6">
        <f>(7*R153+5*0.976*R152)/12*T153*12/1000+R152/1.01*(90-T153)*12/1000</f>
        <v>64.154637623762369</v>
      </c>
      <c r="Q153" s="6"/>
      <c r="R153" s="6">
        <v>60</v>
      </c>
      <c r="S153" s="6">
        <v>7</v>
      </c>
      <c r="T153" s="6">
        <f t="shared" si="58"/>
        <v>53</v>
      </c>
      <c r="U153" s="6">
        <v>4</v>
      </c>
      <c r="V153" s="6">
        <v>22.414709999999999</v>
      </c>
      <c r="W153" s="25">
        <v>28224</v>
      </c>
      <c r="X153" s="25">
        <v>28276</v>
      </c>
      <c r="Y153" s="12"/>
      <c r="Z153" s="6"/>
      <c r="AA153" s="6"/>
      <c r="AB153" s="6"/>
      <c r="AC153" s="12">
        <v>3.52</v>
      </c>
      <c r="AD153" s="7" t="s">
        <v>269</v>
      </c>
      <c r="AE153" s="6"/>
      <c r="AF153" s="6"/>
      <c r="AG153" s="12"/>
      <c r="AH153" s="6"/>
      <c r="AI153" s="6"/>
      <c r="AJ153" s="6"/>
      <c r="AK153" s="12"/>
      <c r="AL153" s="6"/>
      <c r="AM153" s="6"/>
      <c r="AN153" s="6"/>
      <c r="AO153" s="12">
        <v>139.20454545454547</v>
      </c>
      <c r="AP153" s="6" t="s">
        <v>67</v>
      </c>
      <c r="AQ153" s="6"/>
      <c r="AR153" s="6"/>
      <c r="AS153" s="26">
        <v>35.794889233112599</v>
      </c>
      <c r="AT153" s="26">
        <v>-78.694466693999303</v>
      </c>
      <c r="AU153" s="27">
        <v>28066</v>
      </c>
      <c r="AV153" s="27">
        <v>28285</v>
      </c>
      <c r="AW153" s="25">
        <v>28224</v>
      </c>
      <c r="AX153" s="25">
        <v>28276</v>
      </c>
      <c r="AY153" s="28">
        <f t="shared" si="51"/>
        <v>-59</v>
      </c>
      <c r="AZ153" s="28">
        <f t="shared" si="61"/>
        <v>160</v>
      </c>
      <c r="BA153" s="37">
        <f t="shared" si="62"/>
        <v>220</v>
      </c>
      <c r="BB153" s="28">
        <f t="shared" si="54"/>
        <v>99</v>
      </c>
      <c r="BC153" s="28">
        <f t="shared" si="55"/>
        <v>151</v>
      </c>
      <c r="BD153" s="26">
        <f t="shared" si="56"/>
        <v>53</v>
      </c>
      <c r="BF153" s="36">
        <f t="shared" si="59"/>
        <v>28238</v>
      </c>
      <c r="BG153" s="26">
        <f t="shared" si="60"/>
        <v>48</v>
      </c>
    </row>
    <row r="154" spans="1:59" s="26" customFormat="1" hidden="1" x14ac:dyDescent="0.3">
      <c r="A154" s="6">
        <v>1</v>
      </c>
      <c r="B154" s="6"/>
      <c r="C154" s="6"/>
      <c r="D154" s="13" t="s">
        <v>260</v>
      </c>
      <c r="E154" s="13" t="s">
        <v>261</v>
      </c>
      <c r="F154" s="9" t="str">
        <f t="shared" si="57"/>
        <v>Heagle1979combined cultivars1977OTC</v>
      </c>
      <c r="G154" s="6" t="s">
        <v>262</v>
      </c>
      <c r="H154" s="6" t="s">
        <v>130</v>
      </c>
      <c r="I154" s="6" t="s">
        <v>130</v>
      </c>
      <c r="J154" s="6" t="s">
        <v>263</v>
      </c>
      <c r="K154" s="6" t="s">
        <v>268</v>
      </c>
      <c r="L154" s="6">
        <v>1977</v>
      </c>
      <c r="M154" s="6" t="s">
        <v>97</v>
      </c>
      <c r="N154" s="7" t="s">
        <v>51</v>
      </c>
      <c r="O154" s="6" t="s">
        <v>137</v>
      </c>
      <c r="P154" s="6">
        <f>(7*R154+5*0.976*R152)/12*T154*12/1000+R152/1.01*(90-T154)*12/1000</f>
        <v>78.994637623762372</v>
      </c>
      <c r="Q154" s="6"/>
      <c r="R154" s="6">
        <v>100</v>
      </c>
      <c r="S154" s="6">
        <v>7</v>
      </c>
      <c r="T154" s="6">
        <f t="shared" si="58"/>
        <v>53</v>
      </c>
      <c r="U154" s="6">
        <v>4</v>
      </c>
      <c r="V154" s="6">
        <v>36.707799999999999</v>
      </c>
      <c r="W154" s="25">
        <v>28224</v>
      </c>
      <c r="X154" s="25">
        <v>28276</v>
      </c>
      <c r="Y154" s="12"/>
      <c r="Z154" s="6"/>
      <c r="AA154" s="6"/>
      <c r="AB154" s="6"/>
      <c r="AC154" s="12">
        <v>3.43</v>
      </c>
      <c r="AD154" s="7" t="s">
        <v>269</v>
      </c>
      <c r="AE154" s="6"/>
      <c r="AF154" s="6"/>
      <c r="AG154" s="12"/>
      <c r="AH154" s="6"/>
      <c r="AI154" s="6"/>
      <c r="AJ154" s="6"/>
      <c r="AK154" s="12"/>
      <c r="AL154" s="6"/>
      <c r="AM154" s="6"/>
      <c r="AN154" s="6"/>
      <c r="AO154" s="12">
        <v>124.78134110787171</v>
      </c>
      <c r="AP154" s="6" t="s">
        <v>67</v>
      </c>
      <c r="AQ154" s="6"/>
      <c r="AR154" s="6"/>
      <c r="AS154" s="26">
        <v>35.794889233112599</v>
      </c>
      <c r="AT154" s="26">
        <v>-78.694466693999303</v>
      </c>
      <c r="AU154" s="27">
        <v>28066</v>
      </c>
      <c r="AV154" s="27">
        <v>28285</v>
      </c>
      <c r="AW154" s="25">
        <v>28224</v>
      </c>
      <c r="AX154" s="25">
        <v>28276</v>
      </c>
      <c r="AY154" s="28">
        <f t="shared" si="51"/>
        <v>-59</v>
      </c>
      <c r="AZ154" s="28">
        <f t="shared" si="61"/>
        <v>160</v>
      </c>
      <c r="BA154" s="37">
        <f t="shared" si="62"/>
        <v>220</v>
      </c>
      <c r="BB154" s="28">
        <f t="shared" si="54"/>
        <v>99</v>
      </c>
      <c r="BC154" s="28">
        <f t="shared" si="55"/>
        <v>151</v>
      </c>
      <c r="BD154" s="26">
        <f t="shared" si="56"/>
        <v>53</v>
      </c>
      <c r="BF154" s="36">
        <f t="shared" si="59"/>
        <v>28238</v>
      </c>
      <c r="BG154" s="26">
        <f t="shared" si="60"/>
        <v>48</v>
      </c>
    </row>
    <row r="155" spans="1:59" s="26" customFormat="1" hidden="1" x14ac:dyDescent="0.3">
      <c r="A155" s="6">
        <v>1</v>
      </c>
      <c r="B155" s="6"/>
      <c r="C155" s="6"/>
      <c r="D155" s="13" t="s">
        <v>260</v>
      </c>
      <c r="E155" s="13" t="s">
        <v>261</v>
      </c>
      <c r="F155" s="9" t="str">
        <f t="shared" si="57"/>
        <v>Heagle1979combined cultivars1977OTC</v>
      </c>
      <c r="G155" s="6" t="s">
        <v>262</v>
      </c>
      <c r="H155" s="6" t="s">
        <v>130</v>
      </c>
      <c r="I155" s="6" t="s">
        <v>130</v>
      </c>
      <c r="J155" s="6" t="s">
        <v>263</v>
      </c>
      <c r="K155" s="6" t="s">
        <v>268</v>
      </c>
      <c r="L155" s="6">
        <v>1977</v>
      </c>
      <c r="M155" s="6" t="s">
        <v>97</v>
      </c>
      <c r="N155" s="7" t="s">
        <v>51</v>
      </c>
      <c r="O155" s="6" t="s">
        <v>138</v>
      </c>
      <c r="P155" s="6">
        <f>(7*R155+5*0.976*R152)/12*T155*12/1000+R152/1.01*(90-T155)*12/1000</f>
        <v>90.124637623762382</v>
      </c>
      <c r="Q155" s="6"/>
      <c r="R155" s="6">
        <v>130</v>
      </c>
      <c r="S155" s="6">
        <v>7</v>
      </c>
      <c r="T155" s="6">
        <f t="shared" si="58"/>
        <v>53</v>
      </c>
      <c r="U155" s="6">
        <v>4</v>
      </c>
      <c r="V155" s="6">
        <v>47.635179999999998</v>
      </c>
      <c r="W155" s="25">
        <v>28224</v>
      </c>
      <c r="X155" s="25">
        <v>28276</v>
      </c>
      <c r="Y155" s="12"/>
      <c r="Z155" s="6"/>
      <c r="AA155" s="6"/>
      <c r="AB155" s="6"/>
      <c r="AC155" s="12">
        <v>2.87</v>
      </c>
      <c r="AD155" s="7" t="s">
        <v>269</v>
      </c>
      <c r="AE155" s="6"/>
      <c r="AF155" s="6"/>
      <c r="AG155" s="12"/>
      <c r="AH155" s="6"/>
      <c r="AI155" s="6"/>
      <c r="AJ155" s="6"/>
      <c r="AK155" s="12"/>
      <c r="AL155" s="6"/>
      <c r="AM155" s="6"/>
      <c r="AN155" s="6"/>
      <c r="AO155" s="12">
        <v>117.77003484320556</v>
      </c>
      <c r="AP155" s="6" t="s">
        <v>67</v>
      </c>
      <c r="AQ155" s="6"/>
      <c r="AR155" s="6"/>
      <c r="AS155" s="26">
        <v>35.794889233112599</v>
      </c>
      <c r="AT155" s="26">
        <v>-78.694466693999303</v>
      </c>
      <c r="AU155" s="27">
        <v>28066</v>
      </c>
      <c r="AV155" s="27">
        <v>28285</v>
      </c>
      <c r="AW155" s="25">
        <v>28224</v>
      </c>
      <c r="AX155" s="25">
        <v>28276</v>
      </c>
      <c r="AY155" s="28">
        <f t="shared" si="51"/>
        <v>-59</v>
      </c>
      <c r="AZ155" s="28">
        <f t="shared" si="61"/>
        <v>160</v>
      </c>
      <c r="BA155" s="37">
        <f t="shared" si="62"/>
        <v>220</v>
      </c>
      <c r="BB155" s="28">
        <f t="shared" si="54"/>
        <v>99</v>
      </c>
      <c r="BC155" s="28">
        <f t="shared" si="55"/>
        <v>151</v>
      </c>
      <c r="BD155" s="26">
        <f t="shared" si="56"/>
        <v>53</v>
      </c>
      <c r="BF155" s="36">
        <f t="shared" si="59"/>
        <v>28238</v>
      </c>
      <c r="BG155" s="26">
        <f t="shared" si="60"/>
        <v>48</v>
      </c>
    </row>
    <row r="156" spans="1:59" s="26" customFormat="1" hidden="1" x14ac:dyDescent="0.3">
      <c r="A156" s="6">
        <v>1</v>
      </c>
      <c r="B156" s="6"/>
      <c r="C156" s="6"/>
      <c r="D156" s="6" t="s">
        <v>127</v>
      </c>
      <c r="E156" s="9" t="s">
        <v>128</v>
      </c>
      <c r="F156" s="9" t="str">
        <f t="shared" si="57"/>
        <v>1985-2071982OTC</v>
      </c>
      <c r="G156" s="6" t="s">
        <v>129</v>
      </c>
      <c r="H156" s="6" t="s">
        <v>130</v>
      </c>
      <c r="I156" s="6" t="s">
        <v>131</v>
      </c>
      <c r="J156" s="6" t="s">
        <v>96</v>
      </c>
      <c r="K156" s="6"/>
      <c r="L156" s="6">
        <v>1982</v>
      </c>
      <c r="M156" s="6" t="s">
        <v>36</v>
      </c>
      <c r="N156" s="6" t="s">
        <v>51</v>
      </c>
      <c r="O156" s="6" t="s">
        <v>132</v>
      </c>
      <c r="P156" s="6">
        <f>(7*R156+5*0.976*R156)/12*T156*12/1000+R157/1.01*(90-T156)*12/1000</f>
        <v>30.414247128712876</v>
      </c>
      <c r="Q156" s="6"/>
      <c r="R156" s="6">
        <v>22</v>
      </c>
      <c r="S156" s="6">
        <v>7</v>
      </c>
      <c r="T156" s="6">
        <f t="shared" si="58"/>
        <v>61</v>
      </c>
      <c r="U156" s="6">
        <v>4</v>
      </c>
      <c r="V156" s="13">
        <v>0.93580380470402003</v>
      </c>
      <c r="W156" s="10">
        <v>30089</v>
      </c>
      <c r="X156" s="10">
        <v>30149</v>
      </c>
      <c r="Y156" s="12">
        <v>533.1</v>
      </c>
      <c r="Z156" s="6" t="s">
        <v>53</v>
      </c>
      <c r="AA156" s="6">
        <v>5.71</v>
      </c>
      <c r="AB156" s="6" t="s">
        <v>133</v>
      </c>
      <c r="AC156" s="12">
        <v>32.6</v>
      </c>
      <c r="AD156" s="7" t="s">
        <v>39</v>
      </c>
      <c r="AE156" s="6"/>
      <c r="AF156" s="6"/>
      <c r="AG156" s="12">
        <f>Y156/AC156*1000/(AK156)</f>
        <v>23.040072724167874</v>
      </c>
      <c r="AH156" s="6" t="s">
        <v>134</v>
      </c>
      <c r="AI156" s="6"/>
      <c r="AJ156" s="6"/>
      <c r="AK156" s="6">
        <f>AM156*5.71</f>
        <v>709.75299999999993</v>
      </c>
      <c r="AL156" s="6" t="s">
        <v>135</v>
      </c>
      <c r="AM156" s="6">
        <v>124.3</v>
      </c>
      <c r="AN156" s="6" t="s">
        <v>135</v>
      </c>
      <c r="AO156" s="12">
        <f t="shared" ref="AO156:AO185" si="63">Y156/AC156*1000</f>
        <v>16352.76073619632</v>
      </c>
      <c r="AP156" s="6" t="s">
        <v>54</v>
      </c>
      <c r="AQ156" s="6"/>
      <c r="AR156" s="6"/>
      <c r="AS156" s="26">
        <v>42.448509999999999</v>
      </c>
      <c r="AT156" s="26">
        <v>-76.478620000000006</v>
      </c>
      <c r="AU156" s="29"/>
      <c r="AV156" s="27">
        <v>30154</v>
      </c>
      <c r="AW156" s="25">
        <v>30089</v>
      </c>
      <c r="AX156" s="25">
        <v>30149</v>
      </c>
      <c r="AY156" s="28"/>
      <c r="AZ156" s="28">
        <f t="shared" si="61"/>
        <v>203</v>
      </c>
      <c r="BA156" s="37"/>
      <c r="BB156" s="28">
        <f t="shared" ref="BB156:BB187" si="64">AW156-INT(YEAR(AW156)&amp;"/1/1")+1</f>
        <v>138</v>
      </c>
      <c r="BC156" s="28">
        <f t="shared" si="55"/>
        <v>198</v>
      </c>
      <c r="BD156" s="26">
        <f t="shared" si="56"/>
        <v>61</v>
      </c>
      <c r="BF156" s="36">
        <f>AW156+9</f>
        <v>30098</v>
      </c>
      <c r="BG156" s="26">
        <f t="shared" si="60"/>
        <v>57</v>
      </c>
    </row>
    <row r="157" spans="1:59" s="26" customFormat="1" hidden="1" x14ac:dyDescent="0.3">
      <c r="A157" s="6">
        <v>1</v>
      </c>
      <c r="B157" s="6"/>
      <c r="C157" s="6"/>
      <c r="D157" s="6" t="s">
        <v>127</v>
      </c>
      <c r="E157" s="9" t="s">
        <v>128</v>
      </c>
      <c r="F157" s="9" t="str">
        <f t="shared" si="57"/>
        <v>1985-2071982OTC</v>
      </c>
      <c r="G157" s="6" t="s">
        <v>129</v>
      </c>
      <c r="H157" s="6" t="s">
        <v>130</v>
      </c>
      <c r="I157" s="6" t="s">
        <v>131</v>
      </c>
      <c r="J157" s="6" t="s">
        <v>96</v>
      </c>
      <c r="K157" s="6"/>
      <c r="L157" s="6">
        <v>1982</v>
      </c>
      <c r="M157" s="6" t="s">
        <v>36</v>
      </c>
      <c r="N157" s="6" t="s">
        <v>51</v>
      </c>
      <c r="O157" s="6" t="s">
        <v>103</v>
      </c>
      <c r="P157" s="7">
        <f>R157/1.01*1.08</f>
        <v>44.910891089108915</v>
      </c>
      <c r="Q157" s="6"/>
      <c r="R157" s="6">
        <v>42</v>
      </c>
      <c r="S157" s="6">
        <v>7</v>
      </c>
      <c r="T157" s="6">
        <f t="shared" si="58"/>
        <v>61</v>
      </c>
      <c r="U157" s="6">
        <v>4</v>
      </c>
      <c r="V157" s="13">
        <v>6.1929762965283297</v>
      </c>
      <c r="W157" s="10">
        <v>30089</v>
      </c>
      <c r="X157" s="10">
        <v>30149</v>
      </c>
      <c r="Y157" s="12">
        <v>355.2</v>
      </c>
      <c r="Z157" s="6" t="s">
        <v>53</v>
      </c>
      <c r="AA157" s="6">
        <v>5.71</v>
      </c>
      <c r="AB157" s="6" t="s">
        <v>133</v>
      </c>
      <c r="AC157" s="12">
        <v>24.7</v>
      </c>
      <c r="AD157" s="7" t="s">
        <v>39</v>
      </c>
      <c r="AE157" s="6"/>
      <c r="AF157" s="6"/>
      <c r="AG157" s="12">
        <f>Y157/AC157*1000/(AK157)</f>
        <v>22.506595677619703</v>
      </c>
      <c r="AH157" s="6" t="s">
        <v>134</v>
      </c>
      <c r="AI157" s="6"/>
      <c r="AJ157" s="6"/>
      <c r="AK157" s="6">
        <f>AM157*5.71</f>
        <v>638.94900000000007</v>
      </c>
      <c r="AL157" s="6" t="s">
        <v>135</v>
      </c>
      <c r="AM157" s="6">
        <v>111.9</v>
      </c>
      <c r="AN157" s="6" t="s">
        <v>135</v>
      </c>
      <c r="AO157" s="12">
        <f t="shared" si="63"/>
        <v>14380.566801619434</v>
      </c>
      <c r="AP157" s="6" t="s">
        <v>54</v>
      </c>
      <c r="AQ157" s="6"/>
      <c r="AR157" s="6"/>
      <c r="AS157" s="26">
        <v>42.448509999999999</v>
      </c>
      <c r="AT157" s="26">
        <v>-76.478620000000006</v>
      </c>
      <c r="AU157" s="29"/>
      <c r="AV157" s="27">
        <v>30154</v>
      </c>
      <c r="AW157" s="25">
        <v>30089</v>
      </c>
      <c r="AX157" s="25">
        <v>30149</v>
      </c>
      <c r="AY157" s="28"/>
      <c r="AZ157" s="28">
        <f t="shared" si="61"/>
        <v>203</v>
      </c>
      <c r="BA157" s="37"/>
      <c r="BB157" s="28">
        <f t="shared" si="64"/>
        <v>138</v>
      </c>
      <c r="BC157" s="28">
        <f t="shared" si="55"/>
        <v>198</v>
      </c>
      <c r="BD157" s="26">
        <f t="shared" si="56"/>
        <v>61</v>
      </c>
      <c r="BF157" s="36">
        <f>AW157+9</f>
        <v>30098</v>
      </c>
      <c r="BG157" s="26">
        <f t="shared" si="60"/>
        <v>57</v>
      </c>
    </row>
    <row r="158" spans="1:59" s="26" customFormat="1" hidden="1" x14ac:dyDescent="0.3">
      <c r="A158" s="6">
        <v>1</v>
      </c>
      <c r="B158" s="6"/>
      <c r="C158" s="6"/>
      <c r="D158" s="6" t="s">
        <v>127</v>
      </c>
      <c r="E158" s="9" t="s">
        <v>128</v>
      </c>
      <c r="F158" s="9" t="str">
        <f t="shared" si="57"/>
        <v>1985-2071982OTC</v>
      </c>
      <c r="G158" s="6" t="s">
        <v>129</v>
      </c>
      <c r="H158" s="6" t="s">
        <v>130</v>
      </c>
      <c r="I158" s="6" t="s">
        <v>131</v>
      </c>
      <c r="J158" s="6" t="s">
        <v>96</v>
      </c>
      <c r="K158" s="6"/>
      <c r="L158" s="6">
        <v>1982</v>
      </c>
      <c r="M158" s="6" t="s">
        <v>36</v>
      </c>
      <c r="N158" s="6" t="s">
        <v>51</v>
      </c>
      <c r="O158" s="6" t="s">
        <v>136</v>
      </c>
      <c r="P158" s="6">
        <f>(7*R158+5*0.976*R157)/12*T158*12/1000+R157/1.01*(90-T158)*12/1000</f>
        <v>53.44784712871288</v>
      </c>
      <c r="Q158" s="6"/>
      <c r="R158" s="6">
        <v>62</v>
      </c>
      <c r="S158" s="6">
        <v>7</v>
      </c>
      <c r="T158" s="6">
        <f t="shared" si="58"/>
        <v>61</v>
      </c>
      <c r="U158" s="6">
        <v>4</v>
      </c>
      <c r="V158" s="13">
        <v>12.6935773654142</v>
      </c>
      <c r="W158" s="10">
        <v>30089</v>
      </c>
      <c r="X158" s="10">
        <v>30149</v>
      </c>
      <c r="Y158" s="12">
        <v>232.2</v>
      </c>
      <c r="Z158" s="6" t="s">
        <v>53</v>
      </c>
      <c r="AA158" s="6">
        <v>5.71</v>
      </c>
      <c r="AB158" s="6" t="s">
        <v>133</v>
      </c>
      <c r="AC158" s="12">
        <v>17.7</v>
      </c>
      <c r="AD158" s="7" t="s">
        <v>39</v>
      </c>
      <c r="AE158" s="6"/>
      <c r="AF158" s="6"/>
      <c r="AG158" s="12">
        <f>Y158/AC158*1000/(AK158)</f>
        <v>19.960780419062402</v>
      </c>
      <c r="AH158" s="6" t="s">
        <v>134</v>
      </c>
      <c r="AI158" s="6"/>
      <c r="AJ158" s="6"/>
      <c r="AK158" s="6">
        <f>AM158*5.71</f>
        <v>657.221</v>
      </c>
      <c r="AL158" s="6" t="s">
        <v>135</v>
      </c>
      <c r="AM158" s="6">
        <v>115.1</v>
      </c>
      <c r="AN158" s="6" t="s">
        <v>135</v>
      </c>
      <c r="AO158" s="12">
        <f t="shared" si="63"/>
        <v>13118.644067796611</v>
      </c>
      <c r="AP158" s="6" t="s">
        <v>54</v>
      </c>
      <c r="AQ158" s="6"/>
      <c r="AR158" s="6"/>
      <c r="AS158" s="26">
        <v>42.448509999999999</v>
      </c>
      <c r="AT158" s="26">
        <v>-76.478620000000006</v>
      </c>
      <c r="AU158" s="29"/>
      <c r="AV158" s="27">
        <v>30154</v>
      </c>
      <c r="AW158" s="25">
        <v>30089</v>
      </c>
      <c r="AX158" s="25">
        <v>30149</v>
      </c>
      <c r="AY158" s="28"/>
      <c r="AZ158" s="28">
        <f t="shared" si="61"/>
        <v>203</v>
      </c>
      <c r="BA158" s="37"/>
      <c r="BB158" s="28">
        <f t="shared" si="64"/>
        <v>138</v>
      </c>
      <c r="BC158" s="28">
        <f t="shared" si="55"/>
        <v>198</v>
      </c>
      <c r="BD158" s="26">
        <f t="shared" si="56"/>
        <v>61</v>
      </c>
      <c r="BF158" s="36">
        <f>AW158+9</f>
        <v>30098</v>
      </c>
      <c r="BG158" s="26">
        <f t="shared" si="60"/>
        <v>57</v>
      </c>
    </row>
    <row r="159" spans="1:59" s="26" customFormat="1" hidden="1" x14ac:dyDescent="0.3">
      <c r="A159" s="6">
        <v>1</v>
      </c>
      <c r="B159" s="6"/>
      <c r="C159" s="6"/>
      <c r="D159" s="6" t="s">
        <v>127</v>
      </c>
      <c r="E159" s="9" t="s">
        <v>128</v>
      </c>
      <c r="F159" s="9" t="str">
        <f t="shared" si="57"/>
        <v>1985-2071982OTC</v>
      </c>
      <c r="G159" s="6" t="s">
        <v>129</v>
      </c>
      <c r="H159" s="6" t="s">
        <v>130</v>
      </c>
      <c r="I159" s="6" t="s">
        <v>131</v>
      </c>
      <c r="J159" s="6" t="s">
        <v>96</v>
      </c>
      <c r="K159" s="6"/>
      <c r="L159" s="6">
        <v>1982</v>
      </c>
      <c r="M159" s="6" t="s">
        <v>36</v>
      </c>
      <c r="N159" s="6" t="s">
        <v>51</v>
      </c>
      <c r="O159" s="6" t="s">
        <v>137</v>
      </c>
      <c r="P159" s="6">
        <f>(7*R159+5*0.976*R157)/12*T159*12/1000+R157/1.01*(90-T159)*12/1000</f>
        <v>61.987847128712879</v>
      </c>
      <c r="Q159" s="6"/>
      <c r="R159" s="6">
        <v>82</v>
      </c>
      <c r="S159" s="6">
        <v>7</v>
      </c>
      <c r="T159" s="6">
        <f t="shared" si="58"/>
        <v>61</v>
      </c>
      <c r="U159" s="6">
        <v>4</v>
      </c>
      <c r="V159" s="13">
        <v>20.3789423805928</v>
      </c>
      <c r="W159" s="10">
        <v>30089</v>
      </c>
      <c r="X159" s="10">
        <v>30149</v>
      </c>
      <c r="Y159" s="12">
        <v>169.8</v>
      </c>
      <c r="Z159" s="6" t="s">
        <v>53</v>
      </c>
      <c r="AA159" s="6">
        <v>5.71</v>
      </c>
      <c r="AB159" s="6" t="s">
        <v>133</v>
      </c>
      <c r="AC159" s="12">
        <v>14.1</v>
      </c>
      <c r="AD159" s="7" t="s">
        <v>39</v>
      </c>
      <c r="AE159" s="6"/>
      <c r="AF159" s="6"/>
      <c r="AG159" s="12">
        <f>Y159/AC159*1000/(AK159)</f>
        <v>17.964468312994871</v>
      </c>
      <c r="AH159" s="6" t="s">
        <v>134</v>
      </c>
      <c r="AI159" s="6"/>
      <c r="AJ159" s="6"/>
      <c r="AK159" s="6">
        <f>AM159*5.71</f>
        <v>670.35400000000004</v>
      </c>
      <c r="AL159" s="6" t="s">
        <v>135</v>
      </c>
      <c r="AM159" s="6">
        <v>117.4</v>
      </c>
      <c r="AN159" s="6" t="s">
        <v>135</v>
      </c>
      <c r="AO159" s="12">
        <f t="shared" si="63"/>
        <v>12042.553191489364</v>
      </c>
      <c r="AP159" s="6" t="s">
        <v>54</v>
      </c>
      <c r="AQ159" s="6"/>
      <c r="AR159" s="6"/>
      <c r="AS159" s="26">
        <v>42.448509999999999</v>
      </c>
      <c r="AT159" s="26">
        <v>-76.478620000000006</v>
      </c>
      <c r="AU159" s="29"/>
      <c r="AV159" s="27">
        <v>30154</v>
      </c>
      <c r="AW159" s="25">
        <v>30089</v>
      </c>
      <c r="AX159" s="25">
        <v>30149</v>
      </c>
      <c r="AY159" s="28"/>
      <c r="AZ159" s="28">
        <f t="shared" si="61"/>
        <v>203</v>
      </c>
      <c r="BA159" s="37"/>
      <c r="BB159" s="28">
        <f t="shared" si="64"/>
        <v>138</v>
      </c>
      <c r="BC159" s="28">
        <f t="shared" si="55"/>
        <v>198</v>
      </c>
      <c r="BD159" s="26">
        <f t="shared" si="56"/>
        <v>61</v>
      </c>
      <c r="BF159" s="36">
        <f>AW159+9</f>
        <v>30098</v>
      </c>
      <c r="BG159" s="26">
        <f t="shared" si="60"/>
        <v>57</v>
      </c>
    </row>
    <row r="160" spans="1:59" s="26" customFormat="1" hidden="1" x14ac:dyDescent="0.3">
      <c r="A160" s="6">
        <v>1</v>
      </c>
      <c r="B160" s="6"/>
      <c r="C160" s="6"/>
      <c r="D160" s="6" t="s">
        <v>127</v>
      </c>
      <c r="E160" s="9" t="s">
        <v>128</v>
      </c>
      <c r="F160" s="9" t="str">
        <f t="shared" si="57"/>
        <v>1985-2071982OTC</v>
      </c>
      <c r="G160" s="6" t="s">
        <v>129</v>
      </c>
      <c r="H160" s="6" t="s">
        <v>130</v>
      </c>
      <c r="I160" s="6" t="s">
        <v>131</v>
      </c>
      <c r="J160" s="6" t="s">
        <v>96</v>
      </c>
      <c r="K160" s="6"/>
      <c r="L160" s="6">
        <v>1982</v>
      </c>
      <c r="M160" s="6" t="s">
        <v>36</v>
      </c>
      <c r="N160" s="6" t="s">
        <v>51</v>
      </c>
      <c r="O160" s="6" t="s">
        <v>138</v>
      </c>
      <c r="P160" s="6">
        <f>(7*R160+5*0.976*R157)/12*T160*12/1000+R157/1.01*(90-T160)*12/1000</f>
        <v>67.96584712871288</v>
      </c>
      <c r="Q160" s="6"/>
      <c r="R160" s="6">
        <v>96</v>
      </c>
      <c r="S160" s="6">
        <v>7</v>
      </c>
      <c r="T160" s="6">
        <f t="shared" si="58"/>
        <v>61</v>
      </c>
      <c r="U160" s="6">
        <v>4</v>
      </c>
      <c r="V160" s="13">
        <v>26.0316178897634</v>
      </c>
      <c r="W160" s="10">
        <v>30089</v>
      </c>
      <c r="X160" s="10">
        <v>30149</v>
      </c>
      <c r="Y160" s="12">
        <v>143</v>
      </c>
      <c r="Z160" s="6" t="s">
        <v>53</v>
      </c>
      <c r="AA160" s="6">
        <v>5.71</v>
      </c>
      <c r="AB160" s="6" t="s">
        <v>133</v>
      </c>
      <c r="AC160" s="12">
        <v>13</v>
      </c>
      <c r="AD160" s="7" t="s">
        <v>39</v>
      </c>
      <c r="AE160" s="6"/>
      <c r="AF160" s="6"/>
      <c r="AG160" s="12">
        <f>Y160/AC160*1000/(AK160)</f>
        <v>19.26444833625219</v>
      </c>
      <c r="AH160" s="6" t="s">
        <v>134</v>
      </c>
      <c r="AI160" s="6"/>
      <c r="AJ160" s="6"/>
      <c r="AK160" s="6">
        <f>AM160*5.71</f>
        <v>571</v>
      </c>
      <c r="AL160" s="6" t="s">
        <v>135</v>
      </c>
      <c r="AM160" s="6">
        <v>100</v>
      </c>
      <c r="AN160" s="6" t="s">
        <v>135</v>
      </c>
      <c r="AO160" s="12">
        <f t="shared" si="63"/>
        <v>11000</v>
      </c>
      <c r="AP160" s="6" t="s">
        <v>54</v>
      </c>
      <c r="AQ160" s="6"/>
      <c r="AR160" s="6"/>
      <c r="AS160" s="26">
        <v>42.448509999999999</v>
      </c>
      <c r="AT160" s="26">
        <v>-76.478620000000006</v>
      </c>
      <c r="AU160" s="29"/>
      <c r="AV160" s="27">
        <v>30154</v>
      </c>
      <c r="AW160" s="25">
        <v>30089</v>
      </c>
      <c r="AX160" s="25">
        <v>30149</v>
      </c>
      <c r="AY160" s="28"/>
      <c r="AZ160" s="28">
        <f t="shared" si="61"/>
        <v>203</v>
      </c>
      <c r="BA160" s="37"/>
      <c r="BB160" s="28">
        <f t="shared" si="64"/>
        <v>138</v>
      </c>
      <c r="BC160" s="28">
        <f t="shared" si="55"/>
        <v>198</v>
      </c>
      <c r="BD160" s="26">
        <f t="shared" si="56"/>
        <v>61</v>
      </c>
      <c r="BF160" s="36">
        <f>AW160+9</f>
        <v>30098</v>
      </c>
      <c r="BG160" s="26">
        <f t="shared" si="60"/>
        <v>57</v>
      </c>
    </row>
    <row r="161" spans="1:59" s="26" customFormat="1" hidden="1" x14ac:dyDescent="0.3">
      <c r="A161" s="6">
        <v>1</v>
      </c>
      <c r="B161" s="6"/>
      <c r="C161" s="6"/>
      <c r="D161" s="6" t="s">
        <v>139</v>
      </c>
      <c r="E161" s="9" t="s">
        <v>140</v>
      </c>
      <c r="F161" s="9" t="str">
        <f t="shared" si="57"/>
        <v>1985-215Abe1982OTC</v>
      </c>
      <c r="G161" s="6" t="s">
        <v>141</v>
      </c>
      <c r="H161" s="6" t="s">
        <v>130</v>
      </c>
      <c r="I161" s="6" t="s">
        <v>131</v>
      </c>
      <c r="J161" s="6" t="s">
        <v>96</v>
      </c>
      <c r="K161" s="6" t="s">
        <v>142</v>
      </c>
      <c r="L161" s="6">
        <v>1982</v>
      </c>
      <c r="M161" s="6" t="s">
        <v>36</v>
      </c>
      <c r="N161" s="6" t="s">
        <v>51</v>
      </c>
      <c r="O161" s="6" t="s">
        <v>132</v>
      </c>
      <c r="P161" s="6">
        <f>(7*R161+5*0.976*R161)/12*T161*12/1000+R162/1.01*(90-T161)*12/1000</f>
        <v>31.863816237623759</v>
      </c>
      <c r="Q161" s="6"/>
      <c r="R161" s="6">
        <v>23</v>
      </c>
      <c r="S161" s="6">
        <v>7</v>
      </c>
      <c r="T161" s="6">
        <f t="shared" si="58"/>
        <v>56</v>
      </c>
      <c r="U161" s="6">
        <v>4</v>
      </c>
      <c r="V161" s="13">
        <v>1.18114946986415</v>
      </c>
      <c r="W161" s="10">
        <v>30079</v>
      </c>
      <c r="X161" s="10">
        <v>30134</v>
      </c>
      <c r="Y161" s="12">
        <v>531.5</v>
      </c>
      <c r="Z161" s="6" t="s">
        <v>53</v>
      </c>
      <c r="AA161" s="6">
        <v>4.92</v>
      </c>
      <c r="AB161" s="6" t="s">
        <v>133</v>
      </c>
      <c r="AC161" s="12">
        <v>42.9</v>
      </c>
      <c r="AD161" s="7" t="s">
        <v>39</v>
      </c>
      <c r="AE161" s="6"/>
      <c r="AF161" s="6"/>
      <c r="AG161" s="12">
        <v>22.5</v>
      </c>
      <c r="AH161" s="6" t="s">
        <v>134</v>
      </c>
      <c r="AI161" s="6"/>
      <c r="AJ161" s="6"/>
      <c r="AK161" s="6">
        <v>91</v>
      </c>
      <c r="AL161" s="6" t="s">
        <v>143</v>
      </c>
      <c r="AM161" s="6"/>
      <c r="AN161" s="6"/>
      <c r="AO161" s="12">
        <f t="shared" si="63"/>
        <v>12389.277389277389</v>
      </c>
      <c r="AP161" s="6" t="s">
        <v>54</v>
      </c>
      <c r="AQ161" s="6"/>
      <c r="AR161" s="6"/>
      <c r="AS161" s="26">
        <v>41.709166000000003</v>
      </c>
      <c r="AT161" s="26">
        <v>-87.981992000000005</v>
      </c>
      <c r="AU161" s="27">
        <v>29872</v>
      </c>
      <c r="AV161" s="25">
        <v>30139</v>
      </c>
      <c r="AW161" s="25">
        <v>30079</v>
      </c>
      <c r="AX161" s="25">
        <v>30134</v>
      </c>
      <c r="AY161" s="28">
        <f t="shared" ref="AY161:AY192" si="65">AU161-INT(YEAR(AV161)&amp;"/1/1")+1</f>
        <v>-79</v>
      </c>
      <c r="AZ161" s="28">
        <f t="shared" si="61"/>
        <v>188</v>
      </c>
      <c r="BA161" s="37">
        <f t="shared" ref="BA161:BA192" si="66">AZ161-AY161+1</f>
        <v>268</v>
      </c>
      <c r="BB161" s="28">
        <f t="shared" si="64"/>
        <v>128</v>
      </c>
      <c r="BC161" s="28">
        <f t="shared" si="55"/>
        <v>183</v>
      </c>
      <c r="BD161" s="26">
        <f t="shared" si="56"/>
        <v>56</v>
      </c>
      <c r="BE161" s="36">
        <v>30090</v>
      </c>
      <c r="BF161" s="36">
        <v>30105</v>
      </c>
      <c r="BG161" s="26">
        <f t="shared" si="60"/>
        <v>35</v>
      </c>
    </row>
    <row r="162" spans="1:59" s="26" customFormat="1" hidden="1" x14ac:dyDescent="0.3">
      <c r="A162" s="6">
        <v>1</v>
      </c>
      <c r="B162" s="6"/>
      <c r="C162" s="6"/>
      <c r="D162" s="6" t="s">
        <v>139</v>
      </c>
      <c r="E162" s="9" t="s">
        <v>140</v>
      </c>
      <c r="F162" s="9" t="str">
        <f t="shared" si="57"/>
        <v>1985-215Abe1982OTC</v>
      </c>
      <c r="G162" s="6" t="s">
        <v>141</v>
      </c>
      <c r="H162" s="6" t="s">
        <v>130</v>
      </c>
      <c r="I162" s="6" t="s">
        <v>131</v>
      </c>
      <c r="J162" s="6" t="s">
        <v>96</v>
      </c>
      <c r="K162" s="6" t="s">
        <v>142</v>
      </c>
      <c r="L162" s="6">
        <v>1982</v>
      </c>
      <c r="M162" s="6" t="s">
        <v>36</v>
      </c>
      <c r="N162" s="6" t="s">
        <v>51</v>
      </c>
      <c r="O162" s="6" t="s">
        <v>103</v>
      </c>
      <c r="P162" s="7">
        <f>R162/1.01*1.08</f>
        <v>43.841584158415841</v>
      </c>
      <c r="Q162" s="6"/>
      <c r="R162" s="6">
        <v>41</v>
      </c>
      <c r="S162" s="6">
        <v>7</v>
      </c>
      <c r="T162" s="6">
        <f t="shared" si="58"/>
        <v>56</v>
      </c>
      <c r="U162" s="6">
        <v>4</v>
      </c>
      <c r="V162" s="13">
        <v>5.5357140123631297</v>
      </c>
      <c r="W162" s="10">
        <v>30079</v>
      </c>
      <c r="X162" s="10">
        <v>30134</v>
      </c>
      <c r="Y162" s="12">
        <v>505</v>
      </c>
      <c r="Z162" s="6" t="s">
        <v>53</v>
      </c>
      <c r="AA162" s="6">
        <v>4.92</v>
      </c>
      <c r="AB162" s="6" t="s">
        <v>133</v>
      </c>
      <c r="AC162" s="12">
        <v>43.6</v>
      </c>
      <c r="AD162" s="7" t="s">
        <v>39</v>
      </c>
      <c r="AE162" s="6"/>
      <c r="AF162" s="6"/>
      <c r="AG162" s="12">
        <v>21.4</v>
      </c>
      <c r="AH162" s="6" t="s">
        <v>134</v>
      </c>
      <c r="AI162" s="6"/>
      <c r="AJ162" s="6"/>
      <c r="AK162" s="6">
        <v>101</v>
      </c>
      <c r="AL162" s="6" t="s">
        <v>143</v>
      </c>
      <c r="AM162" s="6"/>
      <c r="AN162" s="6"/>
      <c r="AO162" s="12">
        <f t="shared" si="63"/>
        <v>11582.568807339449</v>
      </c>
      <c r="AP162" s="6" t="s">
        <v>54</v>
      </c>
      <c r="AQ162" s="6"/>
      <c r="AR162" s="6"/>
      <c r="AS162" s="26">
        <v>41.709166000000003</v>
      </c>
      <c r="AT162" s="26">
        <v>-87.981992000000005</v>
      </c>
      <c r="AU162" s="27">
        <v>29872</v>
      </c>
      <c r="AV162" s="25">
        <v>30139</v>
      </c>
      <c r="AW162" s="25">
        <v>30079</v>
      </c>
      <c r="AX162" s="25">
        <v>30134</v>
      </c>
      <c r="AY162" s="28">
        <f t="shared" si="65"/>
        <v>-79</v>
      </c>
      <c r="AZ162" s="28">
        <f t="shared" si="61"/>
        <v>188</v>
      </c>
      <c r="BA162" s="37">
        <f t="shared" si="66"/>
        <v>268</v>
      </c>
      <c r="BB162" s="28">
        <f t="shared" si="64"/>
        <v>128</v>
      </c>
      <c r="BC162" s="28">
        <f t="shared" si="55"/>
        <v>183</v>
      </c>
      <c r="BD162" s="26">
        <f t="shared" si="56"/>
        <v>56</v>
      </c>
      <c r="BE162" s="36">
        <v>30090</v>
      </c>
      <c r="BF162" s="36">
        <v>30105</v>
      </c>
      <c r="BG162" s="26">
        <f t="shared" si="60"/>
        <v>35</v>
      </c>
    </row>
    <row r="163" spans="1:59" s="26" customFormat="1" hidden="1" x14ac:dyDescent="0.3">
      <c r="A163" s="6">
        <v>1</v>
      </c>
      <c r="B163" s="6"/>
      <c r="C163" s="6"/>
      <c r="D163" s="6" t="s">
        <v>139</v>
      </c>
      <c r="E163" s="9" t="s">
        <v>140</v>
      </c>
      <c r="F163" s="9" t="str">
        <f t="shared" si="57"/>
        <v>1985-215Abe1982OTC</v>
      </c>
      <c r="G163" s="6" t="s">
        <v>141</v>
      </c>
      <c r="H163" s="6" t="s">
        <v>130</v>
      </c>
      <c r="I163" s="6" t="s">
        <v>131</v>
      </c>
      <c r="J163" s="6" t="s">
        <v>96</v>
      </c>
      <c r="K163" s="6" t="s">
        <v>142</v>
      </c>
      <c r="L163" s="6">
        <v>1982</v>
      </c>
      <c r="M163" s="6" t="s">
        <v>36</v>
      </c>
      <c r="N163" s="6" t="s">
        <v>51</v>
      </c>
      <c r="O163" s="6" t="s">
        <v>136</v>
      </c>
      <c r="P163" s="6">
        <f>(7*R163+5*0.976*R162)/12*T163*12/1000+R162/1.01*(90-T163)*12/1000</f>
        <v>54.422856237623755</v>
      </c>
      <c r="Q163" s="6"/>
      <c r="R163" s="6">
        <v>68</v>
      </c>
      <c r="S163" s="6">
        <v>7</v>
      </c>
      <c r="T163" s="6">
        <f t="shared" ref="T163:T194" si="67">X163-W163+1</f>
        <v>56</v>
      </c>
      <c r="U163" s="6">
        <v>4</v>
      </c>
      <c r="V163" s="13">
        <v>13.533045231200999</v>
      </c>
      <c r="W163" s="10">
        <v>30079</v>
      </c>
      <c r="X163" s="10">
        <v>30134</v>
      </c>
      <c r="Y163" s="12">
        <v>463.3</v>
      </c>
      <c r="Z163" s="6" t="s">
        <v>53</v>
      </c>
      <c r="AA163" s="6">
        <v>4.92</v>
      </c>
      <c r="AB163" s="6" t="s">
        <v>133</v>
      </c>
      <c r="AC163" s="12">
        <v>38</v>
      </c>
      <c r="AD163" s="7" t="s">
        <v>39</v>
      </c>
      <c r="AE163" s="6"/>
      <c r="AF163" s="6"/>
      <c r="AG163" s="12">
        <v>22.1</v>
      </c>
      <c r="AH163" s="6" t="s">
        <v>134</v>
      </c>
      <c r="AI163" s="6"/>
      <c r="AJ163" s="6"/>
      <c r="AK163" s="6">
        <v>89</v>
      </c>
      <c r="AL163" s="6" t="s">
        <v>143</v>
      </c>
      <c r="AM163" s="6"/>
      <c r="AN163" s="6"/>
      <c r="AO163" s="12">
        <f t="shared" si="63"/>
        <v>12192.105263157895</v>
      </c>
      <c r="AP163" s="6" t="s">
        <v>54</v>
      </c>
      <c r="AQ163" s="6"/>
      <c r="AR163" s="6"/>
      <c r="AS163" s="26">
        <v>41.709166000000003</v>
      </c>
      <c r="AT163" s="26">
        <v>-87.981992000000005</v>
      </c>
      <c r="AU163" s="27">
        <v>29872</v>
      </c>
      <c r="AV163" s="25">
        <v>30139</v>
      </c>
      <c r="AW163" s="25">
        <v>30079</v>
      </c>
      <c r="AX163" s="25">
        <v>30134</v>
      </c>
      <c r="AY163" s="28">
        <f t="shared" si="65"/>
        <v>-79</v>
      </c>
      <c r="AZ163" s="28">
        <f t="shared" si="61"/>
        <v>188</v>
      </c>
      <c r="BA163" s="37">
        <f t="shared" si="66"/>
        <v>268</v>
      </c>
      <c r="BB163" s="28">
        <f t="shared" si="64"/>
        <v>128</v>
      </c>
      <c r="BC163" s="28">
        <f t="shared" si="55"/>
        <v>183</v>
      </c>
      <c r="BD163" s="26">
        <f t="shared" si="56"/>
        <v>56</v>
      </c>
      <c r="BE163" s="36">
        <v>30090</v>
      </c>
      <c r="BF163" s="36">
        <v>30105</v>
      </c>
      <c r="BG163" s="26">
        <f t="shared" ref="BG163:BG185" si="68">AV163-BF163+1</f>
        <v>35</v>
      </c>
    </row>
    <row r="164" spans="1:59" s="26" customFormat="1" hidden="1" x14ac:dyDescent="0.3">
      <c r="A164" s="6">
        <v>1</v>
      </c>
      <c r="B164" s="6"/>
      <c r="C164" s="6"/>
      <c r="D164" s="6" t="s">
        <v>139</v>
      </c>
      <c r="E164" s="9" t="s">
        <v>140</v>
      </c>
      <c r="F164" s="9" t="str">
        <f t="shared" si="57"/>
        <v>1985-215Abe1982OTC</v>
      </c>
      <c r="G164" s="6" t="s">
        <v>141</v>
      </c>
      <c r="H164" s="6" t="s">
        <v>130</v>
      </c>
      <c r="I164" s="6" t="s">
        <v>131</v>
      </c>
      <c r="J164" s="6" t="s">
        <v>96</v>
      </c>
      <c r="K164" s="6" t="s">
        <v>142</v>
      </c>
      <c r="L164" s="6">
        <v>1982</v>
      </c>
      <c r="M164" s="6" t="s">
        <v>36</v>
      </c>
      <c r="N164" s="6" t="s">
        <v>51</v>
      </c>
      <c r="O164" s="6" t="s">
        <v>137</v>
      </c>
      <c r="P164" s="6">
        <f>(7*R164+5*0.976*R162)/12*T164*12/1000+R162/1.01*(90-T164)*12/1000</f>
        <v>65.006856237623765</v>
      </c>
      <c r="Q164" s="6"/>
      <c r="R164" s="6">
        <v>95</v>
      </c>
      <c r="S164" s="6">
        <v>7</v>
      </c>
      <c r="T164" s="6">
        <f t="shared" si="67"/>
        <v>56</v>
      </c>
      <c r="U164" s="6">
        <v>4</v>
      </c>
      <c r="V164" s="13">
        <v>23.216148995419001</v>
      </c>
      <c r="W164" s="10">
        <v>30079</v>
      </c>
      <c r="X164" s="10">
        <v>30134</v>
      </c>
      <c r="Y164" s="12">
        <v>360.6</v>
      </c>
      <c r="Z164" s="6" t="s">
        <v>53</v>
      </c>
      <c r="AA164" s="6">
        <v>4.92</v>
      </c>
      <c r="AB164" s="6" t="s">
        <v>133</v>
      </c>
      <c r="AC164" s="12">
        <v>31</v>
      </c>
      <c r="AD164" s="7" t="s">
        <v>39</v>
      </c>
      <c r="AE164" s="6"/>
      <c r="AF164" s="6"/>
      <c r="AG164" s="12">
        <v>20.6</v>
      </c>
      <c r="AH164" s="6" t="s">
        <v>134</v>
      </c>
      <c r="AI164" s="6"/>
      <c r="AJ164" s="6"/>
      <c r="AK164" s="12">
        <v>87</v>
      </c>
      <c r="AL164" s="6" t="s">
        <v>143</v>
      </c>
      <c r="AM164" s="6"/>
      <c r="AN164" s="6"/>
      <c r="AO164" s="12">
        <f t="shared" si="63"/>
        <v>11632.258064516129</v>
      </c>
      <c r="AP164" s="6" t="s">
        <v>54</v>
      </c>
      <c r="AQ164" s="6"/>
      <c r="AR164" s="6"/>
      <c r="AS164" s="26">
        <v>41.709166000000003</v>
      </c>
      <c r="AT164" s="26">
        <v>-87.981992000000005</v>
      </c>
      <c r="AU164" s="27">
        <v>29872</v>
      </c>
      <c r="AV164" s="25">
        <v>30139</v>
      </c>
      <c r="AW164" s="25">
        <v>30079</v>
      </c>
      <c r="AX164" s="25">
        <v>30134</v>
      </c>
      <c r="AY164" s="28">
        <f t="shared" si="65"/>
        <v>-79</v>
      </c>
      <c r="AZ164" s="28">
        <f t="shared" si="61"/>
        <v>188</v>
      </c>
      <c r="BA164" s="37">
        <f t="shared" si="66"/>
        <v>268</v>
      </c>
      <c r="BB164" s="28">
        <f t="shared" si="64"/>
        <v>128</v>
      </c>
      <c r="BC164" s="28">
        <f t="shared" si="55"/>
        <v>183</v>
      </c>
      <c r="BD164" s="26">
        <f t="shared" si="56"/>
        <v>56</v>
      </c>
      <c r="BE164" s="36">
        <v>30090</v>
      </c>
      <c r="BF164" s="36">
        <v>30105</v>
      </c>
      <c r="BG164" s="26">
        <f t="shared" si="68"/>
        <v>35</v>
      </c>
    </row>
    <row r="165" spans="1:59" s="26" customFormat="1" hidden="1" x14ac:dyDescent="0.3">
      <c r="A165" s="6">
        <v>1</v>
      </c>
      <c r="B165" s="6"/>
      <c r="C165" s="6"/>
      <c r="D165" s="6" t="s">
        <v>139</v>
      </c>
      <c r="E165" s="9" t="s">
        <v>140</v>
      </c>
      <c r="F165" s="9" t="str">
        <f t="shared" si="57"/>
        <v>1985-215Abe1982OTC</v>
      </c>
      <c r="G165" s="6" t="s">
        <v>141</v>
      </c>
      <c r="H165" s="6" t="s">
        <v>130</v>
      </c>
      <c r="I165" s="6" t="s">
        <v>131</v>
      </c>
      <c r="J165" s="6" t="s">
        <v>96</v>
      </c>
      <c r="K165" s="6" t="s">
        <v>142</v>
      </c>
      <c r="L165" s="6">
        <v>1982</v>
      </c>
      <c r="M165" s="6" t="s">
        <v>36</v>
      </c>
      <c r="N165" s="6" t="s">
        <v>51</v>
      </c>
      <c r="O165" s="6" t="s">
        <v>138</v>
      </c>
      <c r="P165" s="6">
        <f>(7*R165+5*0.976*R162)/12*T165*12/1000+R162/1.01*(90-T165)*12/1000</f>
        <v>75.59085623762374</v>
      </c>
      <c r="Q165" s="6"/>
      <c r="R165" s="6">
        <v>122</v>
      </c>
      <c r="S165" s="6">
        <v>7</v>
      </c>
      <c r="T165" s="6">
        <f t="shared" si="67"/>
        <v>56</v>
      </c>
      <c r="U165" s="6">
        <v>4</v>
      </c>
      <c r="V165" s="13">
        <v>33.3905050705403</v>
      </c>
      <c r="W165" s="10">
        <v>30079</v>
      </c>
      <c r="X165" s="10">
        <v>30134</v>
      </c>
      <c r="Y165" s="12">
        <v>273.60000000000002</v>
      </c>
      <c r="Z165" s="6" t="s">
        <v>53</v>
      </c>
      <c r="AA165" s="6">
        <v>4.92</v>
      </c>
      <c r="AB165" s="6" t="s">
        <v>133</v>
      </c>
      <c r="AC165" s="12">
        <v>26</v>
      </c>
      <c r="AD165" s="7" t="s">
        <v>39</v>
      </c>
      <c r="AE165" s="6"/>
      <c r="AF165" s="6"/>
      <c r="AG165" s="12">
        <v>20</v>
      </c>
      <c r="AH165" s="6" t="s">
        <v>134</v>
      </c>
      <c r="AI165" s="6"/>
      <c r="AJ165" s="6"/>
      <c r="AK165" s="12">
        <v>114</v>
      </c>
      <c r="AL165" s="6" t="s">
        <v>143</v>
      </c>
      <c r="AM165" s="6"/>
      <c r="AN165" s="6"/>
      <c r="AO165" s="12">
        <f t="shared" si="63"/>
        <v>10523.076923076926</v>
      </c>
      <c r="AP165" s="6" t="s">
        <v>54</v>
      </c>
      <c r="AQ165" s="6"/>
      <c r="AR165" s="6"/>
      <c r="AS165" s="26">
        <v>41.709166000000003</v>
      </c>
      <c r="AT165" s="26">
        <v>-87.981992000000005</v>
      </c>
      <c r="AU165" s="27">
        <v>29872</v>
      </c>
      <c r="AV165" s="25">
        <v>30139</v>
      </c>
      <c r="AW165" s="25">
        <v>30079</v>
      </c>
      <c r="AX165" s="25">
        <v>30134</v>
      </c>
      <c r="AY165" s="28">
        <f t="shared" si="65"/>
        <v>-79</v>
      </c>
      <c r="AZ165" s="28">
        <f t="shared" si="61"/>
        <v>188</v>
      </c>
      <c r="BA165" s="37">
        <f t="shared" si="66"/>
        <v>268</v>
      </c>
      <c r="BB165" s="28">
        <f t="shared" si="64"/>
        <v>128</v>
      </c>
      <c r="BC165" s="28">
        <f t="shared" si="55"/>
        <v>183</v>
      </c>
      <c r="BD165" s="26">
        <f t="shared" si="56"/>
        <v>56</v>
      </c>
      <c r="BE165" s="36">
        <v>30090</v>
      </c>
      <c r="BF165" s="36">
        <v>30105</v>
      </c>
      <c r="BG165" s="26">
        <f t="shared" si="68"/>
        <v>35</v>
      </c>
    </row>
    <row r="166" spans="1:59" s="26" customFormat="1" hidden="1" x14ac:dyDescent="0.3">
      <c r="A166" s="6">
        <v>1</v>
      </c>
      <c r="B166" s="6"/>
      <c r="C166" s="6"/>
      <c r="D166" s="6" t="s">
        <v>139</v>
      </c>
      <c r="E166" s="9" t="s">
        <v>140</v>
      </c>
      <c r="F166" s="9" t="str">
        <f t="shared" si="57"/>
        <v>1985-215Arthur-711982OTC</v>
      </c>
      <c r="G166" s="6" t="s">
        <v>141</v>
      </c>
      <c r="H166" s="6" t="s">
        <v>130</v>
      </c>
      <c r="I166" s="6" t="s">
        <v>131</v>
      </c>
      <c r="J166" s="6" t="s">
        <v>96</v>
      </c>
      <c r="K166" s="6" t="s">
        <v>144</v>
      </c>
      <c r="L166" s="6">
        <v>1982</v>
      </c>
      <c r="M166" s="6" t="s">
        <v>36</v>
      </c>
      <c r="N166" s="6" t="s">
        <v>51</v>
      </c>
      <c r="O166" s="6" t="s">
        <v>132</v>
      </c>
      <c r="P166" s="6">
        <f>(7*R166+5*0.976*R166)/12*T166*12/1000+R167/1.01*(90-T166)*12/1000</f>
        <v>31.863816237623759</v>
      </c>
      <c r="Q166" s="6"/>
      <c r="R166" s="6">
        <v>23</v>
      </c>
      <c r="S166" s="6">
        <v>7</v>
      </c>
      <c r="T166" s="6">
        <f t="shared" si="67"/>
        <v>56</v>
      </c>
      <c r="U166" s="6">
        <v>4</v>
      </c>
      <c r="V166" s="13">
        <v>1.18114946986415</v>
      </c>
      <c r="W166" s="10">
        <v>30079</v>
      </c>
      <c r="X166" s="10">
        <v>30134</v>
      </c>
      <c r="Y166" s="12">
        <v>464.7</v>
      </c>
      <c r="Z166" s="6" t="s">
        <v>53</v>
      </c>
      <c r="AA166" s="6">
        <v>4.92</v>
      </c>
      <c r="AB166" s="6" t="s">
        <v>133</v>
      </c>
      <c r="AC166" s="12">
        <v>43.2</v>
      </c>
      <c r="AD166" s="7" t="s">
        <v>39</v>
      </c>
      <c r="AE166" s="6"/>
      <c r="AF166" s="6"/>
      <c r="AG166" s="12">
        <v>23.1</v>
      </c>
      <c r="AH166" s="6" t="s">
        <v>134</v>
      </c>
      <c r="AI166" s="6"/>
      <c r="AJ166" s="6"/>
      <c r="AK166" s="12">
        <v>78</v>
      </c>
      <c r="AL166" s="6" t="s">
        <v>143</v>
      </c>
      <c r="AM166" s="6"/>
      <c r="AN166" s="6"/>
      <c r="AO166" s="12">
        <f t="shared" si="63"/>
        <v>10756.944444444443</v>
      </c>
      <c r="AP166" s="6" t="s">
        <v>54</v>
      </c>
      <c r="AQ166" s="6"/>
      <c r="AR166" s="6"/>
      <c r="AS166" s="26">
        <v>41.709166000000003</v>
      </c>
      <c r="AT166" s="26">
        <v>-87.981992000000005</v>
      </c>
      <c r="AU166" s="27">
        <v>29872</v>
      </c>
      <c r="AV166" s="25">
        <v>30139</v>
      </c>
      <c r="AW166" s="25">
        <v>30079</v>
      </c>
      <c r="AX166" s="25">
        <v>30134</v>
      </c>
      <c r="AY166" s="28">
        <f t="shared" si="65"/>
        <v>-79</v>
      </c>
      <c r="AZ166" s="28">
        <f t="shared" si="61"/>
        <v>188</v>
      </c>
      <c r="BA166" s="37">
        <f t="shared" si="66"/>
        <v>268</v>
      </c>
      <c r="BB166" s="28">
        <f t="shared" si="64"/>
        <v>128</v>
      </c>
      <c r="BC166" s="28">
        <f t="shared" si="55"/>
        <v>183</v>
      </c>
      <c r="BD166" s="26">
        <f t="shared" si="56"/>
        <v>56</v>
      </c>
      <c r="BE166" s="36">
        <v>30090</v>
      </c>
      <c r="BF166" s="36">
        <v>30105</v>
      </c>
      <c r="BG166" s="26">
        <f t="shared" si="68"/>
        <v>35</v>
      </c>
    </row>
    <row r="167" spans="1:59" s="26" customFormat="1" hidden="1" x14ac:dyDescent="0.3">
      <c r="A167" s="6">
        <v>1</v>
      </c>
      <c r="B167" s="6"/>
      <c r="C167" s="6"/>
      <c r="D167" s="6" t="s">
        <v>139</v>
      </c>
      <c r="E167" s="9" t="s">
        <v>140</v>
      </c>
      <c r="F167" s="9" t="str">
        <f t="shared" si="57"/>
        <v>1985-215Arthur-711982OTC</v>
      </c>
      <c r="G167" s="6" t="s">
        <v>141</v>
      </c>
      <c r="H167" s="6" t="s">
        <v>130</v>
      </c>
      <c r="I167" s="6" t="s">
        <v>131</v>
      </c>
      <c r="J167" s="6" t="s">
        <v>96</v>
      </c>
      <c r="K167" s="6" t="s">
        <v>144</v>
      </c>
      <c r="L167" s="6">
        <v>1982</v>
      </c>
      <c r="M167" s="6" t="s">
        <v>36</v>
      </c>
      <c r="N167" s="6" t="s">
        <v>51</v>
      </c>
      <c r="O167" s="6" t="s">
        <v>103</v>
      </c>
      <c r="P167" s="7">
        <f>R167/1.01*1.08</f>
        <v>43.841584158415841</v>
      </c>
      <c r="Q167" s="6"/>
      <c r="R167" s="6">
        <v>41</v>
      </c>
      <c r="S167" s="6">
        <v>7</v>
      </c>
      <c r="T167" s="6">
        <f t="shared" si="67"/>
        <v>56</v>
      </c>
      <c r="U167" s="6">
        <v>4</v>
      </c>
      <c r="V167" s="13">
        <v>5.5357140123631297</v>
      </c>
      <c r="W167" s="10">
        <v>30079</v>
      </c>
      <c r="X167" s="10">
        <v>30134</v>
      </c>
      <c r="Y167" s="12">
        <v>430</v>
      </c>
      <c r="Z167" s="6" t="s">
        <v>53</v>
      </c>
      <c r="AA167" s="6">
        <v>4.92</v>
      </c>
      <c r="AB167" s="6" t="s">
        <v>133</v>
      </c>
      <c r="AC167" s="12">
        <v>42.599999999999994</v>
      </c>
      <c r="AD167" s="7" t="s">
        <v>39</v>
      </c>
      <c r="AE167" s="6"/>
      <c r="AF167" s="6"/>
      <c r="AG167" s="12">
        <v>21.6</v>
      </c>
      <c r="AH167" s="6" t="s">
        <v>134</v>
      </c>
      <c r="AI167" s="6"/>
      <c r="AJ167" s="6"/>
      <c r="AK167" s="12">
        <v>87</v>
      </c>
      <c r="AL167" s="6" t="s">
        <v>143</v>
      </c>
      <c r="AM167" s="6"/>
      <c r="AN167" s="6"/>
      <c r="AO167" s="12">
        <f t="shared" si="63"/>
        <v>10093.896713615024</v>
      </c>
      <c r="AP167" s="6" t="s">
        <v>54</v>
      </c>
      <c r="AQ167" s="6"/>
      <c r="AR167" s="6"/>
      <c r="AS167" s="26">
        <v>41.709166000000003</v>
      </c>
      <c r="AT167" s="26">
        <v>-87.981992000000005</v>
      </c>
      <c r="AU167" s="27">
        <v>29872</v>
      </c>
      <c r="AV167" s="25">
        <v>30139</v>
      </c>
      <c r="AW167" s="25">
        <v>30079</v>
      </c>
      <c r="AX167" s="25">
        <v>30134</v>
      </c>
      <c r="AY167" s="28">
        <f t="shared" si="65"/>
        <v>-79</v>
      </c>
      <c r="AZ167" s="28">
        <f t="shared" si="61"/>
        <v>188</v>
      </c>
      <c r="BA167" s="37">
        <f t="shared" si="66"/>
        <v>268</v>
      </c>
      <c r="BB167" s="28">
        <f t="shared" si="64"/>
        <v>128</v>
      </c>
      <c r="BC167" s="28">
        <f t="shared" si="55"/>
        <v>183</v>
      </c>
      <c r="BD167" s="26">
        <f t="shared" si="56"/>
        <v>56</v>
      </c>
      <c r="BE167" s="36">
        <v>30090</v>
      </c>
      <c r="BF167" s="36">
        <v>30105</v>
      </c>
      <c r="BG167" s="26">
        <f t="shared" si="68"/>
        <v>35</v>
      </c>
    </row>
    <row r="168" spans="1:59" s="26" customFormat="1" hidden="1" x14ac:dyDescent="0.3">
      <c r="A168" s="6">
        <v>1</v>
      </c>
      <c r="B168" s="6"/>
      <c r="C168" s="6"/>
      <c r="D168" s="6" t="s">
        <v>139</v>
      </c>
      <c r="E168" s="9" t="s">
        <v>140</v>
      </c>
      <c r="F168" s="9" t="str">
        <f t="shared" si="57"/>
        <v>1985-215Arthur-711982OTC</v>
      </c>
      <c r="G168" s="6" t="s">
        <v>141</v>
      </c>
      <c r="H168" s="6" t="s">
        <v>130</v>
      </c>
      <c r="I168" s="6" t="s">
        <v>131</v>
      </c>
      <c r="J168" s="6" t="s">
        <v>96</v>
      </c>
      <c r="K168" s="6" t="s">
        <v>144</v>
      </c>
      <c r="L168" s="6">
        <v>1982</v>
      </c>
      <c r="M168" s="6" t="s">
        <v>36</v>
      </c>
      <c r="N168" s="6" t="s">
        <v>51</v>
      </c>
      <c r="O168" s="6" t="s">
        <v>136</v>
      </c>
      <c r="P168" s="6">
        <f>(7*R168+5*0.976*R167)/12*T168*12/1000+R167/1.01*(90-T168)*12/1000</f>
        <v>54.422856237623755</v>
      </c>
      <c r="Q168" s="6"/>
      <c r="R168" s="6">
        <v>68</v>
      </c>
      <c r="S168" s="6">
        <v>7</v>
      </c>
      <c r="T168" s="6">
        <f t="shared" si="67"/>
        <v>56</v>
      </c>
      <c r="U168" s="6">
        <v>4</v>
      </c>
      <c r="V168" s="13">
        <v>13.533045231200999</v>
      </c>
      <c r="W168" s="10">
        <v>30079</v>
      </c>
      <c r="X168" s="10">
        <v>30134</v>
      </c>
      <c r="Y168" s="12">
        <v>395.8</v>
      </c>
      <c r="Z168" s="6" t="s">
        <v>53</v>
      </c>
      <c r="AA168" s="6">
        <v>4.92</v>
      </c>
      <c r="AB168" s="6" t="s">
        <v>133</v>
      </c>
      <c r="AC168" s="12">
        <v>39.4</v>
      </c>
      <c r="AD168" s="7" t="s">
        <v>39</v>
      </c>
      <c r="AE168" s="6"/>
      <c r="AF168" s="6"/>
      <c r="AG168" s="12">
        <v>21.8</v>
      </c>
      <c r="AH168" s="6" t="s">
        <v>134</v>
      </c>
      <c r="AI168" s="6"/>
      <c r="AJ168" s="6"/>
      <c r="AK168" s="12">
        <v>78</v>
      </c>
      <c r="AL168" s="6" t="s">
        <v>143</v>
      </c>
      <c r="AM168" s="6"/>
      <c r="AN168" s="6"/>
      <c r="AO168" s="12">
        <f t="shared" si="63"/>
        <v>10045.685279187819</v>
      </c>
      <c r="AP168" s="6" t="s">
        <v>54</v>
      </c>
      <c r="AQ168" s="6"/>
      <c r="AR168" s="6"/>
      <c r="AS168" s="26">
        <v>41.709166000000003</v>
      </c>
      <c r="AT168" s="26">
        <v>-87.981992000000005</v>
      </c>
      <c r="AU168" s="27">
        <v>29872</v>
      </c>
      <c r="AV168" s="25">
        <v>30139</v>
      </c>
      <c r="AW168" s="25">
        <v>30079</v>
      </c>
      <c r="AX168" s="25">
        <v>30134</v>
      </c>
      <c r="AY168" s="28">
        <f t="shared" si="65"/>
        <v>-79</v>
      </c>
      <c r="AZ168" s="28">
        <f t="shared" si="61"/>
        <v>188</v>
      </c>
      <c r="BA168" s="37">
        <f t="shared" si="66"/>
        <v>268</v>
      </c>
      <c r="BB168" s="28">
        <f t="shared" si="64"/>
        <v>128</v>
      </c>
      <c r="BC168" s="28">
        <f t="shared" si="55"/>
        <v>183</v>
      </c>
      <c r="BD168" s="26">
        <f t="shared" si="56"/>
        <v>56</v>
      </c>
      <c r="BE168" s="36">
        <v>30090</v>
      </c>
      <c r="BF168" s="36">
        <v>30105</v>
      </c>
      <c r="BG168" s="26">
        <f t="shared" si="68"/>
        <v>35</v>
      </c>
    </row>
    <row r="169" spans="1:59" s="26" customFormat="1" hidden="1" x14ac:dyDescent="0.3">
      <c r="A169" s="6">
        <v>1</v>
      </c>
      <c r="B169" s="6"/>
      <c r="C169" s="6"/>
      <c r="D169" s="6" t="s">
        <v>139</v>
      </c>
      <c r="E169" s="9" t="s">
        <v>140</v>
      </c>
      <c r="F169" s="9" t="str">
        <f t="shared" si="57"/>
        <v>1985-215Arthur-711982OTC</v>
      </c>
      <c r="G169" s="6" t="s">
        <v>141</v>
      </c>
      <c r="H169" s="6" t="s">
        <v>130</v>
      </c>
      <c r="I169" s="6" t="s">
        <v>131</v>
      </c>
      <c r="J169" s="6" t="s">
        <v>96</v>
      </c>
      <c r="K169" s="6" t="s">
        <v>144</v>
      </c>
      <c r="L169" s="6">
        <v>1982</v>
      </c>
      <c r="M169" s="6" t="s">
        <v>36</v>
      </c>
      <c r="N169" s="6" t="s">
        <v>51</v>
      </c>
      <c r="O169" s="6" t="s">
        <v>137</v>
      </c>
      <c r="P169" s="6">
        <f>(7*R169+5*0.976*R167)/12*T169*12/1000+R167/1.01*(90-T169)*12/1000</f>
        <v>65.006856237623765</v>
      </c>
      <c r="Q169" s="6"/>
      <c r="R169" s="6">
        <v>95</v>
      </c>
      <c r="S169" s="6">
        <v>7</v>
      </c>
      <c r="T169" s="6">
        <f t="shared" si="67"/>
        <v>56</v>
      </c>
      <c r="U169" s="6">
        <v>4</v>
      </c>
      <c r="V169" s="13">
        <v>23.216148995419001</v>
      </c>
      <c r="W169" s="10">
        <v>30079</v>
      </c>
      <c r="X169" s="10">
        <v>30134</v>
      </c>
      <c r="Y169" s="12">
        <v>315.10000000000002</v>
      </c>
      <c r="Z169" s="6" t="s">
        <v>53</v>
      </c>
      <c r="AA169" s="6">
        <v>4.92</v>
      </c>
      <c r="AB169" s="6" t="s">
        <v>133</v>
      </c>
      <c r="AC169" s="12">
        <v>32.400000000000006</v>
      </c>
      <c r="AD169" s="7" t="s">
        <v>39</v>
      </c>
      <c r="AE169" s="6"/>
      <c r="AF169" s="6"/>
      <c r="AG169" s="12">
        <v>20.6</v>
      </c>
      <c r="AH169" s="6" t="s">
        <v>134</v>
      </c>
      <c r="AI169" s="6"/>
      <c r="AJ169" s="6"/>
      <c r="AK169" s="12">
        <v>87</v>
      </c>
      <c r="AL169" s="6" t="s">
        <v>143</v>
      </c>
      <c r="AM169" s="6"/>
      <c r="AN169" s="6"/>
      <c r="AO169" s="12">
        <f t="shared" si="63"/>
        <v>9725.3086419753072</v>
      </c>
      <c r="AP169" s="6" t="s">
        <v>54</v>
      </c>
      <c r="AQ169" s="6"/>
      <c r="AR169" s="6"/>
      <c r="AS169" s="26">
        <v>41.709166000000003</v>
      </c>
      <c r="AT169" s="26">
        <v>-87.981992000000005</v>
      </c>
      <c r="AU169" s="27">
        <v>29872</v>
      </c>
      <c r="AV169" s="25">
        <v>30139</v>
      </c>
      <c r="AW169" s="25">
        <v>30079</v>
      </c>
      <c r="AX169" s="25">
        <v>30134</v>
      </c>
      <c r="AY169" s="28">
        <f t="shared" si="65"/>
        <v>-79</v>
      </c>
      <c r="AZ169" s="28">
        <f t="shared" si="61"/>
        <v>188</v>
      </c>
      <c r="BA169" s="37">
        <f t="shared" si="66"/>
        <v>268</v>
      </c>
      <c r="BB169" s="28">
        <f t="shared" si="64"/>
        <v>128</v>
      </c>
      <c r="BC169" s="28">
        <f t="shared" si="55"/>
        <v>183</v>
      </c>
      <c r="BD169" s="26">
        <f t="shared" si="56"/>
        <v>56</v>
      </c>
      <c r="BE169" s="36">
        <v>30090</v>
      </c>
      <c r="BF169" s="36">
        <v>30105</v>
      </c>
      <c r="BG169" s="26">
        <f t="shared" si="68"/>
        <v>35</v>
      </c>
    </row>
    <row r="170" spans="1:59" s="26" customFormat="1" hidden="1" x14ac:dyDescent="0.3">
      <c r="A170" s="6">
        <v>1</v>
      </c>
      <c r="B170" s="6"/>
      <c r="C170" s="6"/>
      <c r="D170" s="6" t="s">
        <v>139</v>
      </c>
      <c r="E170" s="9" t="s">
        <v>140</v>
      </c>
      <c r="F170" s="9" t="str">
        <f t="shared" si="57"/>
        <v>1985-215Arthur-711982OTC</v>
      </c>
      <c r="G170" s="6" t="s">
        <v>141</v>
      </c>
      <c r="H170" s="6" t="s">
        <v>130</v>
      </c>
      <c r="I170" s="6" t="s">
        <v>131</v>
      </c>
      <c r="J170" s="6" t="s">
        <v>96</v>
      </c>
      <c r="K170" s="6" t="s">
        <v>144</v>
      </c>
      <c r="L170" s="6">
        <v>1982</v>
      </c>
      <c r="M170" s="6" t="s">
        <v>36</v>
      </c>
      <c r="N170" s="6" t="s">
        <v>51</v>
      </c>
      <c r="O170" s="6" t="s">
        <v>138</v>
      </c>
      <c r="P170" s="6">
        <f>(7*R170+5*0.976*R167)/12*T170*12/1000+R167/1.01*(90-T170)*12/1000</f>
        <v>75.59085623762374</v>
      </c>
      <c r="Q170" s="6"/>
      <c r="R170" s="6">
        <v>122</v>
      </c>
      <c r="S170" s="6">
        <v>7</v>
      </c>
      <c r="T170" s="6">
        <f t="shared" si="67"/>
        <v>56</v>
      </c>
      <c r="U170" s="6">
        <v>4</v>
      </c>
      <c r="V170" s="13">
        <v>33.3905050705403</v>
      </c>
      <c r="W170" s="10">
        <v>30079</v>
      </c>
      <c r="X170" s="10">
        <v>30134</v>
      </c>
      <c r="Y170" s="12">
        <v>241.2</v>
      </c>
      <c r="Z170" s="6" t="s">
        <v>53</v>
      </c>
      <c r="AA170" s="6">
        <v>4.92</v>
      </c>
      <c r="AB170" s="6" t="s">
        <v>133</v>
      </c>
      <c r="AC170" s="12">
        <v>26.5</v>
      </c>
      <c r="AD170" s="7" t="s">
        <v>39</v>
      </c>
      <c r="AE170" s="6"/>
      <c r="AF170" s="6"/>
      <c r="AG170" s="12">
        <v>19.600000000000001</v>
      </c>
      <c r="AH170" s="6" t="s">
        <v>134</v>
      </c>
      <c r="AI170" s="6"/>
      <c r="AJ170" s="6"/>
      <c r="AK170" s="12">
        <v>84</v>
      </c>
      <c r="AL170" s="6" t="s">
        <v>143</v>
      </c>
      <c r="AM170" s="6"/>
      <c r="AN170" s="6"/>
      <c r="AO170" s="12">
        <f t="shared" si="63"/>
        <v>9101.8867924528295</v>
      </c>
      <c r="AP170" s="6" t="s">
        <v>54</v>
      </c>
      <c r="AQ170" s="6"/>
      <c r="AR170" s="6"/>
      <c r="AS170" s="26">
        <v>41.709166000000003</v>
      </c>
      <c r="AT170" s="26">
        <v>-87.981992000000005</v>
      </c>
      <c r="AU170" s="27">
        <v>29872</v>
      </c>
      <c r="AV170" s="25">
        <v>30139</v>
      </c>
      <c r="AW170" s="25">
        <v>30079</v>
      </c>
      <c r="AX170" s="25">
        <v>30134</v>
      </c>
      <c r="AY170" s="28">
        <f t="shared" si="65"/>
        <v>-79</v>
      </c>
      <c r="AZ170" s="28">
        <f t="shared" si="61"/>
        <v>188</v>
      </c>
      <c r="BA170" s="37">
        <f t="shared" si="66"/>
        <v>268</v>
      </c>
      <c r="BB170" s="28">
        <f t="shared" si="64"/>
        <v>128</v>
      </c>
      <c r="BC170" s="28">
        <f t="shared" si="55"/>
        <v>183</v>
      </c>
      <c r="BD170" s="26">
        <f t="shared" si="56"/>
        <v>56</v>
      </c>
      <c r="BE170" s="36">
        <v>30090</v>
      </c>
      <c r="BF170" s="36">
        <v>30105</v>
      </c>
      <c r="BG170" s="26">
        <f t="shared" si="68"/>
        <v>35</v>
      </c>
    </row>
    <row r="171" spans="1:59" s="26" customFormat="1" hidden="1" x14ac:dyDescent="0.3">
      <c r="A171" s="6">
        <v>1</v>
      </c>
      <c r="B171" s="6"/>
      <c r="C171" s="6"/>
      <c r="D171" s="6" t="s">
        <v>139</v>
      </c>
      <c r="E171" s="9" t="s">
        <v>140</v>
      </c>
      <c r="F171" s="9" t="str">
        <f t="shared" si="57"/>
        <v>1985-215Roland1982OTC</v>
      </c>
      <c r="G171" s="6" t="s">
        <v>141</v>
      </c>
      <c r="H171" s="6" t="s">
        <v>130</v>
      </c>
      <c r="I171" s="6" t="s">
        <v>131</v>
      </c>
      <c r="J171" s="6" t="s">
        <v>96</v>
      </c>
      <c r="K171" s="6" t="s">
        <v>145</v>
      </c>
      <c r="L171" s="6">
        <v>1982</v>
      </c>
      <c r="M171" s="6" t="s">
        <v>36</v>
      </c>
      <c r="N171" s="6" t="s">
        <v>51</v>
      </c>
      <c r="O171" s="6" t="s">
        <v>132</v>
      </c>
      <c r="P171" s="6">
        <f>(7*R171+5*0.976*R171)/12*T171*12/1000+R172/1.01*(90-T171)*12/1000</f>
        <v>31.863816237623759</v>
      </c>
      <c r="Q171" s="6"/>
      <c r="R171" s="6">
        <v>23</v>
      </c>
      <c r="S171" s="6">
        <v>7</v>
      </c>
      <c r="T171" s="6">
        <f t="shared" si="67"/>
        <v>56</v>
      </c>
      <c r="U171" s="6">
        <v>4</v>
      </c>
      <c r="V171" s="13">
        <v>1.18114946986415</v>
      </c>
      <c r="W171" s="10">
        <v>30079</v>
      </c>
      <c r="X171" s="10">
        <v>30134</v>
      </c>
      <c r="Y171" s="12">
        <v>500.7</v>
      </c>
      <c r="Z171" s="6" t="s">
        <v>53</v>
      </c>
      <c r="AA171" s="6">
        <v>4.92</v>
      </c>
      <c r="AB171" s="6" t="s">
        <v>133</v>
      </c>
      <c r="AC171" s="12">
        <v>36.4</v>
      </c>
      <c r="AD171" s="7" t="s">
        <v>39</v>
      </c>
      <c r="AE171" s="6"/>
      <c r="AF171" s="6"/>
      <c r="AG171" s="12">
        <v>30.8</v>
      </c>
      <c r="AH171" s="6" t="s">
        <v>134</v>
      </c>
      <c r="AI171" s="6"/>
      <c r="AJ171" s="6"/>
      <c r="AK171" s="12">
        <v>82</v>
      </c>
      <c r="AL171" s="6" t="s">
        <v>143</v>
      </c>
      <c r="AM171" s="6"/>
      <c r="AN171" s="6"/>
      <c r="AO171" s="12">
        <f t="shared" si="63"/>
        <v>13755.494505494506</v>
      </c>
      <c r="AP171" s="6" t="s">
        <v>54</v>
      </c>
      <c r="AQ171" s="6"/>
      <c r="AR171" s="6"/>
      <c r="AS171" s="26">
        <v>41.709166000000003</v>
      </c>
      <c r="AT171" s="26">
        <v>-87.981992000000005</v>
      </c>
      <c r="AU171" s="27">
        <v>29872</v>
      </c>
      <c r="AV171" s="25">
        <v>30139</v>
      </c>
      <c r="AW171" s="25">
        <v>30079</v>
      </c>
      <c r="AX171" s="25">
        <v>30134</v>
      </c>
      <c r="AY171" s="28">
        <f t="shared" si="65"/>
        <v>-79</v>
      </c>
      <c r="AZ171" s="28">
        <f t="shared" si="61"/>
        <v>188</v>
      </c>
      <c r="BA171" s="37">
        <f t="shared" si="66"/>
        <v>268</v>
      </c>
      <c r="BB171" s="28">
        <f t="shared" si="64"/>
        <v>128</v>
      </c>
      <c r="BC171" s="28">
        <f t="shared" si="55"/>
        <v>183</v>
      </c>
      <c r="BD171" s="26">
        <f t="shared" si="56"/>
        <v>56</v>
      </c>
      <c r="BE171" s="36">
        <v>30090</v>
      </c>
      <c r="BF171" s="36">
        <v>30105</v>
      </c>
      <c r="BG171" s="26">
        <f t="shared" si="68"/>
        <v>35</v>
      </c>
    </row>
    <row r="172" spans="1:59" s="26" customFormat="1" hidden="1" x14ac:dyDescent="0.3">
      <c r="A172" s="6">
        <v>1</v>
      </c>
      <c r="B172" s="6"/>
      <c r="C172" s="6"/>
      <c r="D172" s="6" t="s">
        <v>139</v>
      </c>
      <c r="E172" s="9" t="s">
        <v>140</v>
      </c>
      <c r="F172" s="9" t="str">
        <f t="shared" si="57"/>
        <v>1985-215Roland1982OTC</v>
      </c>
      <c r="G172" s="6" t="s">
        <v>141</v>
      </c>
      <c r="H172" s="6" t="s">
        <v>130</v>
      </c>
      <c r="I172" s="6" t="s">
        <v>131</v>
      </c>
      <c r="J172" s="6" t="s">
        <v>96</v>
      </c>
      <c r="K172" s="6" t="s">
        <v>145</v>
      </c>
      <c r="L172" s="6">
        <v>1982</v>
      </c>
      <c r="M172" s="6" t="s">
        <v>36</v>
      </c>
      <c r="N172" s="6" t="s">
        <v>51</v>
      </c>
      <c r="O172" s="6" t="s">
        <v>103</v>
      </c>
      <c r="P172" s="7">
        <f>R172/1.01*1.08</f>
        <v>43.841584158415841</v>
      </c>
      <c r="Q172" s="6"/>
      <c r="R172" s="6">
        <v>41</v>
      </c>
      <c r="S172" s="6">
        <v>7</v>
      </c>
      <c r="T172" s="6">
        <f t="shared" si="67"/>
        <v>56</v>
      </c>
      <c r="U172" s="6">
        <v>4</v>
      </c>
      <c r="V172" s="13">
        <v>5.5357140123631297</v>
      </c>
      <c r="W172" s="10">
        <v>30079</v>
      </c>
      <c r="X172" s="10">
        <v>30134</v>
      </c>
      <c r="Y172" s="12">
        <v>466.8</v>
      </c>
      <c r="Z172" s="6" t="s">
        <v>53</v>
      </c>
      <c r="AA172" s="6">
        <v>4.92</v>
      </c>
      <c r="AB172" s="6" t="s">
        <v>133</v>
      </c>
      <c r="AC172" s="12">
        <v>33.199999999999996</v>
      </c>
      <c r="AD172" s="7" t="s">
        <v>39</v>
      </c>
      <c r="AE172" s="6"/>
      <c r="AF172" s="6"/>
      <c r="AG172" s="12">
        <v>30.9</v>
      </c>
      <c r="AH172" s="6" t="s">
        <v>134</v>
      </c>
      <c r="AI172" s="6"/>
      <c r="AJ172" s="6"/>
      <c r="AK172" s="12">
        <v>75</v>
      </c>
      <c r="AL172" s="6" t="s">
        <v>143</v>
      </c>
      <c r="AM172" s="6"/>
      <c r="AN172" s="6"/>
      <c r="AO172" s="12">
        <f t="shared" si="63"/>
        <v>14060.240963855424</v>
      </c>
      <c r="AP172" s="6" t="s">
        <v>54</v>
      </c>
      <c r="AQ172" s="6"/>
      <c r="AR172" s="6"/>
      <c r="AS172" s="26">
        <v>41.709166000000003</v>
      </c>
      <c r="AT172" s="26">
        <v>-87.981992000000005</v>
      </c>
      <c r="AU172" s="27">
        <v>29872</v>
      </c>
      <c r="AV172" s="25">
        <v>30139</v>
      </c>
      <c r="AW172" s="25">
        <v>30079</v>
      </c>
      <c r="AX172" s="25">
        <v>30134</v>
      </c>
      <c r="AY172" s="28">
        <f t="shared" si="65"/>
        <v>-79</v>
      </c>
      <c r="AZ172" s="28">
        <f t="shared" si="61"/>
        <v>188</v>
      </c>
      <c r="BA172" s="37">
        <f t="shared" si="66"/>
        <v>268</v>
      </c>
      <c r="BB172" s="28">
        <f t="shared" si="64"/>
        <v>128</v>
      </c>
      <c r="BC172" s="28">
        <f t="shared" si="55"/>
        <v>183</v>
      </c>
      <c r="BD172" s="26">
        <f t="shared" si="56"/>
        <v>56</v>
      </c>
      <c r="BE172" s="36">
        <v>30090</v>
      </c>
      <c r="BF172" s="36">
        <v>30105</v>
      </c>
      <c r="BG172" s="26">
        <f t="shared" si="68"/>
        <v>35</v>
      </c>
    </row>
    <row r="173" spans="1:59" s="26" customFormat="1" hidden="1" x14ac:dyDescent="0.3">
      <c r="A173" s="6">
        <v>1</v>
      </c>
      <c r="B173" s="6"/>
      <c r="C173" s="6"/>
      <c r="D173" s="6" t="s">
        <v>139</v>
      </c>
      <c r="E173" s="9" t="s">
        <v>140</v>
      </c>
      <c r="F173" s="9" t="str">
        <f t="shared" si="57"/>
        <v>1985-215Roland1982OTC</v>
      </c>
      <c r="G173" s="6" t="s">
        <v>141</v>
      </c>
      <c r="H173" s="6" t="s">
        <v>130</v>
      </c>
      <c r="I173" s="6" t="s">
        <v>131</v>
      </c>
      <c r="J173" s="6" t="s">
        <v>96</v>
      </c>
      <c r="K173" s="6" t="s">
        <v>145</v>
      </c>
      <c r="L173" s="6">
        <v>1982</v>
      </c>
      <c r="M173" s="6" t="s">
        <v>36</v>
      </c>
      <c r="N173" s="6" t="s">
        <v>51</v>
      </c>
      <c r="O173" s="6" t="s">
        <v>136</v>
      </c>
      <c r="P173" s="6">
        <f>(7*R173+5*0.976*R172)/12*T173*12/1000+R172/1.01*(90-T173)*12/1000</f>
        <v>54.422856237623755</v>
      </c>
      <c r="Q173" s="6"/>
      <c r="R173" s="6">
        <v>68</v>
      </c>
      <c r="S173" s="6">
        <v>7</v>
      </c>
      <c r="T173" s="6">
        <f t="shared" si="67"/>
        <v>56</v>
      </c>
      <c r="U173" s="6">
        <v>4</v>
      </c>
      <c r="V173" s="13">
        <v>13.533045231200999</v>
      </c>
      <c r="W173" s="10">
        <v>30079</v>
      </c>
      <c r="X173" s="10">
        <v>30134</v>
      </c>
      <c r="Y173" s="12">
        <v>355.7</v>
      </c>
      <c r="Z173" s="6" t="s">
        <v>53</v>
      </c>
      <c r="AA173" s="6">
        <v>4.92</v>
      </c>
      <c r="AB173" s="6" t="s">
        <v>133</v>
      </c>
      <c r="AC173" s="12">
        <v>27.3</v>
      </c>
      <c r="AD173" s="7" t="s">
        <v>39</v>
      </c>
      <c r="AE173" s="6"/>
      <c r="AF173" s="6"/>
      <c r="AG173" s="12">
        <v>29.1</v>
      </c>
      <c r="AH173" s="6" t="s">
        <v>134</v>
      </c>
      <c r="AI173" s="6"/>
      <c r="AJ173" s="6"/>
      <c r="AK173" s="12">
        <v>84</v>
      </c>
      <c r="AL173" s="6" t="s">
        <v>143</v>
      </c>
      <c r="AM173" s="6"/>
      <c r="AN173" s="6"/>
      <c r="AO173" s="12">
        <f t="shared" si="63"/>
        <v>13029.304029304029</v>
      </c>
      <c r="AP173" s="6" t="s">
        <v>54</v>
      </c>
      <c r="AQ173" s="6"/>
      <c r="AR173" s="6"/>
      <c r="AS173" s="26">
        <v>41.709166000000003</v>
      </c>
      <c r="AT173" s="26">
        <v>-87.981992000000005</v>
      </c>
      <c r="AU173" s="27">
        <v>29872</v>
      </c>
      <c r="AV173" s="25">
        <v>30139</v>
      </c>
      <c r="AW173" s="25">
        <v>30079</v>
      </c>
      <c r="AX173" s="25">
        <v>30134</v>
      </c>
      <c r="AY173" s="28">
        <f t="shared" si="65"/>
        <v>-79</v>
      </c>
      <c r="AZ173" s="28">
        <f t="shared" si="61"/>
        <v>188</v>
      </c>
      <c r="BA173" s="37">
        <f t="shared" si="66"/>
        <v>268</v>
      </c>
      <c r="BB173" s="28">
        <f t="shared" si="64"/>
        <v>128</v>
      </c>
      <c r="BC173" s="28">
        <f t="shared" si="55"/>
        <v>183</v>
      </c>
      <c r="BD173" s="26">
        <f t="shared" si="56"/>
        <v>56</v>
      </c>
      <c r="BE173" s="36">
        <v>30090</v>
      </c>
      <c r="BF173" s="36">
        <v>30105</v>
      </c>
      <c r="BG173" s="26">
        <f t="shared" si="68"/>
        <v>35</v>
      </c>
    </row>
    <row r="174" spans="1:59" s="26" customFormat="1" hidden="1" x14ac:dyDescent="0.3">
      <c r="A174" s="6">
        <v>1</v>
      </c>
      <c r="B174" s="6"/>
      <c r="C174" s="6"/>
      <c r="D174" s="6" t="s">
        <v>139</v>
      </c>
      <c r="E174" s="9" t="s">
        <v>140</v>
      </c>
      <c r="F174" s="9" t="str">
        <f t="shared" si="57"/>
        <v>1985-215Roland1982OTC</v>
      </c>
      <c r="G174" s="6" t="s">
        <v>141</v>
      </c>
      <c r="H174" s="6" t="s">
        <v>130</v>
      </c>
      <c r="I174" s="6" t="s">
        <v>131</v>
      </c>
      <c r="J174" s="6" t="s">
        <v>96</v>
      </c>
      <c r="K174" s="6" t="s">
        <v>145</v>
      </c>
      <c r="L174" s="6">
        <v>1982</v>
      </c>
      <c r="M174" s="6" t="s">
        <v>36</v>
      </c>
      <c r="N174" s="6" t="s">
        <v>51</v>
      </c>
      <c r="O174" s="6" t="s">
        <v>137</v>
      </c>
      <c r="P174" s="6">
        <f>(7*R174+5*0.976*R172)/12*T174*12/1000+R172/1.01*(90-T174)*12/1000</f>
        <v>65.006856237623765</v>
      </c>
      <c r="Q174" s="6"/>
      <c r="R174" s="6">
        <v>95</v>
      </c>
      <c r="S174" s="6">
        <v>7</v>
      </c>
      <c r="T174" s="6">
        <f t="shared" si="67"/>
        <v>56</v>
      </c>
      <c r="U174" s="6">
        <v>4</v>
      </c>
      <c r="V174" s="13">
        <v>23.216148995419001</v>
      </c>
      <c r="W174" s="10">
        <v>30079</v>
      </c>
      <c r="X174" s="10">
        <v>30134</v>
      </c>
      <c r="Y174" s="12">
        <v>245.5</v>
      </c>
      <c r="Z174" s="6" t="s">
        <v>53</v>
      </c>
      <c r="AA174" s="6">
        <v>4.92</v>
      </c>
      <c r="AB174" s="6" t="s">
        <v>133</v>
      </c>
      <c r="AC174" s="12">
        <v>20.7</v>
      </c>
      <c r="AD174" s="7" t="s">
        <v>39</v>
      </c>
      <c r="AE174" s="6"/>
      <c r="AF174" s="6"/>
      <c r="AG174" s="12">
        <v>26.8</v>
      </c>
      <c r="AH174" s="6" t="s">
        <v>134</v>
      </c>
      <c r="AI174" s="6"/>
      <c r="AJ174" s="6"/>
      <c r="AK174" s="12">
        <v>86</v>
      </c>
      <c r="AL174" s="6" t="s">
        <v>143</v>
      </c>
      <c r="AM174" s="6"/>
      <c r="AN174" s="6"/>
      <c r="AO174" s="12">
        <f t="shared" si="63"/>
        <v>11859.903381642513</v>
      </c>
      <c r="AP174" s="6" t="s">
        <v>54</v>
      </c>
      <c r="AQ174" s="6"/>
      <c r="AR174" s="6"/>
      <c r="AS174" s="26">
        <v>41.709166000000003</v>
      </c>
      <c r="AT174" s="26">
        <v>-87.981992000000005</v>
      </c>
      <c r="AU174" s="27">
        <v>29872</v>
      </c>
      <c r="AV174" s="25">
        <v>30139</v>
      </c>
      <c r="AW174" s="25">
        <v>30079</v>
      </c>
      <c r="AX174" s="25">
        <v>30134</v>
      </c>
      <c r="AY174" s="28">
        <f t="shared" si="65"/>
        <v>-79</v>
      </c>
      <c r="AZ174" s="28">
        <f t="shared" si="61"/>
        <v>188</v>
      </c>
      <c r="BA174" s="37">
        <f t="shared" si="66"/>
        <v>268</v>
      </c>
      <c r="BB174" s="28">
        <f t="shared" si="64"/>
        <v>128</v>
      </c>
      <c r="BC174" s="28">
        <f t="shared" si="55"/>
        <v>183</v>
      </c>
      <c r="BD174" s="26">
        <f t="shared" si="56"/>
        <v>56</v>
      </c>
      <c r="BE174" s="36">
        <v>30090</v>
      </c>
      <c r="BF174" s="36">
        <v>30105</v>
      </c>
      <c r="BG174" s="26">
        <f t="shared" si="68"/>
        <v>35</v>
      </c>
    </row>
    <row r="175" spans="1:59" s="26" customFormat="1" hidden="1" x14ac:dyDescent="0.3">
      <c r="A175" s="6">
        <v>1</v>
      </c>
      <c r="B175" s="6"/>
      <c r="C175" s="6"/>
      <c r="D175" s="6" t="s">
        <v>139</v>
      </c>
      <c r="E175" s="9" t="s">
        <v>140</v>
      </c>
      <c r="F175" s="9" t="str">
        <f t="shared" si="57"/>
        <v>1985-215Roland1982OTC</v>
      </c>
      <c r="G175" s="6" t="s">
        <v>141</v>
      </c>
      <c r="H175" s="6" t="s">
        <v>130</v>
      </c>
      <c r="I175" s="6" t="s">
        <v>131</v>
      </c>
      <c r="J175" s="6" t="s">
        <v>96</v>
      </c>
      <c r="K175" s="6" t="s">
        <v>145</v>
      </c>
      <c r="L175" s="6">
        <v>1982</v>
      </c>
      <c r="M175" s="6" t="s">
        <v>36</v>
      </c>
      <c r="N175" s="6" t="s">
        <v>51</v>
      </c>
      <c r="O175" s="6" t="s">
        <v>138</v>
      </c>
      <c r="P175" s="6">
        <f>(7*R175+5*0.976*R172)/12*T175*12/1000+R172/1.01*(90-T175)*12/1000</f>
        <v>75.59085623762374</v>
      </c>
      <c r="Q175" s="6"/>
      <c r="R175" s="6">
        <v>122</v>
      </c>
      <c r="S175" s="6">
        <v>7</v>
      </c>
      <c r="T175" s="6">
        <f t="shared" si="67"/>
        <v>56</v>
      </c>
      <c r="U175" s="6">
        <v>4</v>
      </c>
      <c r="V175" s="13">
        <v>33.3905050705403</v>
      </c>
      <c r="W175" s="10">
        <v>30079</v>
      </c>
      <c r="X175" s="10">
        <v>30134</v>
      </c>
      <c r="Y175" s="12">
        <v>185.9</v>
      </c>
      <c r="Z175" s="6" t="s">
        <v>53</v>
      </c>
      <c r="AA175" s="6">
        <v>4.92</v>
      </c>
      <c r="AB175" s="6" t="s">
        <v>133</v>
      </c>
      <c r="AC175" s="12">
        <v>18.3</v>
      </c>
      <c r="AD175" s="7" t="s">
        <v>39</v>
      </c>
      <c r="AE175" s="6"/>
      <c r="AF175" s="6"/>
      <c r="AG175" s="12">
        <v>22.9</v>
      </c>
      <c r="AH175" s="6" t="s">
        <v>134</v>
      </c>
      <c r="AI175" s="6"/>
      <c r="AJ175" s="6"/>
      <c r="AK175" s="12">
        <v>72</v>
      </c>
      <c r="AL175" s="6" t="s">
        <v>143</v>
      </c>
      <c r="AM175" s="6"/>
      <c r="AN175" s="6"/>
      <c r="AO175" s="12">
        <f t="shared" si="63"/>
        <v>10158.469945355191</v>
      </c>
      <c r="AP175" s="6" t="s">
        <v>54</v>
      </c>
      <c r="AQ175" s="6"/>
      <c r="AR175" s="6"/>
      <c r="AS175" s="26">
        <v>41.709166000000003</v>
      </c>
      <c r="AT175" s="26">
        <v>-87.981992000000005</v>
      </c>
      <c r="AU175" s="27">
        <v>29872</v>
      </c>
      <c r="AV175" s="25">
        <v>30139</v>
      </c>
      <c r="AW175" s="25">
        <v>30079</v>
      </c>
      <c r="AX175" s="25">
        <v>30134</v>
      </c>
      <c r="AY175" s="28">
        <f t="shared" si="65"/>
        <v>-79</v>
      </c>
      <c r="AZ175" s="28">
        <f t="shared" si="61"/>
        <v>188</v>
      </c>
      <c r="BA175" s="37">
        <f t="shared" si="66"/>
        <v>268</v>
      </c>
      <c r="BB175" s="28">
        <f t="shared" si="64"/>
        <v>128</v>
      </c>
      <c r="BC175" s="28">
        <f t="shared" si="55"/>
        <v>183</v>
      </c>
      <c r="BD175" s="26">
        <f t="shared" si="56"/>
        <v>56</v>
      </c>
      <c r="BE175" s="36">
        <v>30090</v>
      </c>
      <c r="BF175" s="36">
        <v>30105</v>
      </c>
      <c r="BG175" s="26">
        <f t="shared" si="68"/>
        <v>35</v>
      </c>
    </row>
    <row r="176" spans="1:59" s="26" customFormat="1" hidden="1" x14ac:dyDescent="0.3">
      <c r="A176" s="6">
        <v>1</v>
      </c>
      <c r="B176" s="6"/>
      <c r="C176" s="6"/>
      <c r="D176" s="6" t="s">
        <v>139</v>
      </c>
      <c r="E176" s="9" t="s">
        <v>140</v>
      </c>
      <c r="F176" s="9" t="str">
        <f t="shared" si="57"/>
        <v>1985-215Abe1983OTC</v>
      </c>
      <c r="G176" s="6" t="s">
        <v>141</v>
      </c>
      <c r="H176" s="6" t="s">
        <v>130</v>
      </c>
      <c r="I176" s="6" t="s">
        <v>131</v>
      </c>
      <c r="J176" s="6" t="s">
        <v>96</v>
      </c>
      <c r="K176" s="6" t="s">
        <v>142</v>
      </c>
      <c r="L176" s="6">
        <v>1983</v>
      </c>
      <c r="M176" s="6" t="s">
        <v>36</v>
      </c>
      <c r="N176" s="6" t="s">
        <v>51</v>
      </c>
      <c r="O176" s="6" t="s">
        <v>132</v>
      </c>
      <c r="P176" s="6">
        <f>(7*R176+5*0.976*R176)/12*T176*12/1000+R177/1.01*(90-T176)*12/1000</f>
        <v>30.36716198019802</v>
      </c>
      <c r="Q176" s="6"/>
      <c r="R176" s="6">
        <v>18</v>
      </c>
      <c r="S176" s="6">
        <v>7</v>
      </c>
      <c r="T176" s="6">
        <f t="shared" si="67"/>
        <v>54</v>
      </c>
      <c r="U176" s="6">
        <v>4</v>
      </c>
      <c r="V176" s="13">
        <v>0.92844217674115304</v>
      </c>
      <c r="W176" s="10">
        <v>30444</v>
      </c>
      <c r="X176" s="10">
        <v>30497</v>
      </c>
      <c r="Y176" s="12">
        <v>580.79999999999995</v>
      </c>
      <c r="Z176" s="6" t="s">
        <v>53</v>
      </c>
      <c r="AA176" s="6">
        <v>40</v>
      </c>
      <c r="AB176" s="6" t="s">
        <v>146</v>
      </c>
      <c r="AC176" s="12">
        <v>34.4</v>
      </c>
      <c r="AD176" s="7" t="s">
        <v>39</v>
      </c>
      <c r="AE176" s="6"/>
      <c r="AF176" s="6"/>
      <c r="AG176" s="12">
        <v>18.899999999999999</v>
      </c>
      <c r="AH176" s="6" t="s">
        <v>134</v>
      </c>
      <c r="AI176" s="6"/>
      <c r="AJ176" s="6"/>
      <c r="AK176" s="12">
        <v>167</v>
      </c>
      <c r="AL176" s="6" t="s">
        <v>143</v>
      </c>
      <c r="AM176" s="6"/>
      <c r="AN176" s="6"/>
      <c r="AO176" s="12">
        <f t="shared" si="63"/>
        <v>16883.720930232557</v>
      </c>
      <c r="AP176" s="6" t="s">
        <v>54</v>
      </c>
      <c r="AQ176" s="6"/>
      <c r="AR176" s="6"/>
      <c r="AS176" s="26">
        <v>41.709166000000003</v>
      </c>
      <c r="AT176" s="26">
        <v>-87.981992000000005</v>
      </c>
      <c r="AU176" s="27">
        <v>30237</v>
      </c>
      <c r="AV176" s="25">
        <v>30504</v>
      </c>
      <c r="AW176" s="25">
        <v>30444</v>
      </c>
      <c r="AX176" s="25">
        <v>30497</v>
      </c>
      <c r="AY176" s="28">
        <f t="shared" si="65"/>
        <v>-79</v>
      </c>
      <c r="AZ176" s="28">
        <f t="shared" si="61"/>
        <v>188</v>
      </c>
      <c r="BA176" s="37">
        <f t="shared" si="66"/>
        <v>268</v>
      </c>
      <c r="BB176" s="28">
        <f t="shared" si="64"/>
        <v>128</v>
      </c>
      <c r="BC176" s="28">
        <f t="shared" si="55"/>
        <v>181</v>
      </c>
      <c r="BD176" s="26">
        <f t="shared" si="56"/>
        <v>54</v>
      </c>
      <c r="BE176" s="36">
        <v>30463</v>
      </c>
      <c r="BF176" s="36">
        <v>30481</v>
      </c>
      <c r="BG176" s="26">
        <f t="shared" si="68"/>
        <v>24</v>
      </c>
    </row>
    <row r="177" spans="1:59" s="26" customFormat="1" hidden="1" x14ac:dyDescent="0.3">
      <c r="A177" s="6">
        <v>1</v>
      </c>
      <c r="B177" s="6"/>
      <c r="C177" s="6"/>
      <c r="D177" s="6" t="s">
        <v>139</v>
      </c>
      <c r="E177" s="9" t="s">
        <v>140</v>
      </c>
      <c r="F177" s="9" t="str">
        <f t="shared" si="57"/>
        <v>1985-215Abe1983OTC</v>
      </c>
      <c r="G177" s="6" t="s">
        <v>141</v>
      </c>
      <c r="H177" s="6" t="s">
        <v>130</v>
      </c>
      <c r="I177" s="6" t="s">
        <v>131</v>
      </c>
      <c r="J177" s="6" t="s">
        <v>96</v>
      </c>
      <c r="K177" s="6" t="s">
        <v>142</v>
      </c>
      <c r="L177" s="6">
        <v>1983</v>
      </c>
      <c r="M177" s="6" t="s">
        <v>36</v>
      </c>
      <c r="N177" s="6" t="s">
        <v>51</v>
      </c>
      <c r="O177" s="6" t="s">
        <v>103</v>
      </c>
      <c r="P177" s="7">
        <f>R177/1.01*1.08</f>
        <v>47.049504950495056</v>
      </c>
      <c r="Q177" s="6"/>
      <c r="R177" s="6">
        <v>44</v>
      </c>
      <c r="S177" s="6">
        <v>7</v>
      </c>
      <c r="T177" s="6">
        <f t="shared" si="67"/>
        <v>54</v>
      </c>
      <c r="U177" s="6">
        <v>4</v>
      </c>
      <c r="V177" s="13">
        <v>7.6334510419664303</v>
      </c>
      <c r="W177" s="10">
        <v>30444</v>
      </c>
      <c r="X177" s="10">
        <v>30497</v>
      </c>
      <c r="Y177" s="12">
        <v>598.6</v>
      </c>
      <c r="Z177" s="6" t="s">
        <v>53</v>
      </c>
      <c r="AA177" s="6">
        <v>40</v>
      </c>
      <c r="AB177" s="6" t="s">
        <v>146</v>
      </c>
      <c r="AC177" s="12">
        <v>34.5</v>
      </c>
      <c r="AD177" s="7" t="s">
        <v>39</v>
      </c>
      <c r="AE177" s="6"/>
      <c r="AF177" s="6"/>
      <c r="AG177" s="12">
        <v>18.600000000000001</v>
      </c>
      <c r="AH177" s="6" t="s">
        <v>134</v>
      </c>
      <c r="AI177" s="6"/>
      <c r="AJ177" s="6"/>
      <c r="AK177" s="12">
        <v>196</v>
      </c>
      <c r="AL177" s="6" t="s">
        <v>143</v>
      </c>
      <c r="AM177" s="6"/>
      <c r="AN177" s="6"/>
      <c r="AO177" s="12">
        <f t="shared" si="63"/>
        <v>17350.72463768116</v>
      </c>
      <c r="AP177" s="6" t="s">
        <v>54</v>
      </c>
      <c r="AQ177" s="6"/>
      <c r="AR177" s="6"/>
      <c r="AS177" s="26">
        <v>41.709166000000003</v>
      </c>
      <c r="AT177" s="26">
        <v>-87.981992000000005</v>
      </c>
      <c r="AU177" s="27">
        <v>30237</v>
      </c>
      <c r="AV177" s="25">
        <v>30504</v>
      </c>
      <c r="AW177" s="25">
        <v>30444</v>
      </c>
      <c r="AX177" s="25">
        <v>30497</v>
      </c>
      <c r="AY177" s="28">
        <f t="shared" si="65"/>
        <v>-79</v>
      </c>
      <c r="AZ177" s="28">
        <f t="shared" si="61"/>
        <v>188</v>
      </c>
      <c r="BA177" s="37">
        <f t="shared" si="66"/>
        <v>268</v>
      </c>
      <c r="BB177" s="28">
        <f t="shared" si="64"/>
        <v>128</v>
      </c>
      <c r="BC177" s="28">
        <f t="shared" si="55"/>
        <v>181</v>
      </c>
      <c r="BD177" s="26">
        <f t="shared" si="56"/>
        <v>54</v>
      </c>
      <c r="BE177" s="36">
        <v>30463</v>
      </c>
      <c r="BF177" s="36">
        <v>30481</v>
      </c>
      <c r="BG177" s="26">
        <f t="shared" si="68"/>
        <v>24</v>
      </c>
    </row>
    <row r="178" spans="1:59" s="26" customFormat="1" hidden="1" x14ac:dyDescent="0.3">
      <c r="A178" s="6">
        <v>1</v>
      </c>
      <c r="B178" s="6"/>
      <c r="C178" s="6"/>
      <c r="D178" s="6" t="s">
        <v>139</v>
      </c>
      <c r="E178" s="9" t="s">
        <v>140</v>
      </c>
      <c r="F178" s="9" t="str">
        <f t="shared" si="57"/>
        <v>1985-215Abe1983OTC</v>
      </c>
      <c r="G178" s="6" t="s">
        <v>141</v>
      </c>
      <c r="H178" s="6" t="s">
        <v>130</v>
      </c>
      <c r="I178" s="6" t="s">
        <v>131</v>
      </c>
      <c r="J178" s="6" t="s">
        <v>96</v>
      </c>
      <c r="K178" s="6" t="s">
        <v>142</v>
      </c>
      <c r="L178" s="6">
        <v>1983</v>
      </c>
      <c r="M178" s="6" t="s">
        <v>36</v>
      </c>
      <c r="N178" s="6" t="s">
        <v>51</v>
      </c>
      <c r="O178" s="6" t="s">
        <v>136</v>
      </c>
      <c r="P178" s="6">
        <f>(7*R178+5*0.976*R177)/12*T178*12/1000+R177/1.01*(90-T178)*12/1000</f>
        <v>53.850681980198019</v>
      </c>
      <c r="Q178" s="6"/>
      <c r="R178" s="6">
        <v>62</v>
      </c>
      <c r="S178" s="6">
        <v>7</v>
      </c>
      <c r="T178" s="6">
        <f t="shared" si="67"/>
        <v>54</v>
      </c>
      <c r="U178" s="6">
        <v>4</v>
      </c>
      <c r="V178" s="13">
        <v>13.0387932804637</v>
      </c>
      <c r="W178" s="10">
        <v>30444</v>
      </c>
      <c r="X178" s="10">
        <v>30497</v>
      </c>
      <c r="Y178" s="12">
        <v>598.20000000000005</v>
      </c>
      <c r="Z178" s="6" t="s">
        <v>53</v>
      </c>
      <c r="AA178" s="6">
        <v>40</v>
      </c>
      <c r="AB178" s="6" t="s">
        <v>146</v>
      </c>
      <c r="AC178" s="12">
        <v>33.6</v>
      </c>
      <c r="AD178" s="7" t="s">
        <v>39</v>
      </c>
      <c r="AE178" s="6"/>
      <c r="AF178" s="6"/>
      <c r="AG178" s="12">
        <v>20.3</v>
      </c>
      <c r="AH178" s="6" t="s">
        <v>134</v>
      </c>
      <c r="AI178" s="6"/>
      <c r="AJ178" s="6"/>
      <c r="AK178" s="12">
        <v>154</v>
      </c>
      <c r="AL178" s="6" t="s">
        <v>143</v>
      </c>
      <c r="AM178" s="6"/>
      <c r="AN178" s="6"/>
      <c r="AO178" s="12">
        <f t="shared" si="63"/>
        <v>17803.571428571431</v>
      </c>
      <c r="AP178" s="6" t="s">
        <v>54</v>
      </c>
      <c r="AQ178" s="6"/>
      <c r="AR178" s="6"/>
      <c r="AS178" s="26">
        <v>41.709166000000003</v>
      </c>
      <c r="AT178" s="26">
        <v>-87.981992000000005</v>
      </c>
      <c r="AU178" s="27">
        <v>30237</v>
      </c>
      <c r="AV178" s="25">
        <v>30504</v>
      </c>
      <c r="AW178" s="25">
        <v>30444</v>
      </c>
      <c r="AX178" s="25">
        <v>30497</v>
      </c>
      <c r="AY178" s="28">
        <f t="shared" si="65"/>
        <v>-79</v>
      </c>
      <c r="AZ178" s="28">
        <f t="shared" si="61"/>
        <v>188</v>
      </c>
      <c r="BA178" s="37">
        <f t="shared" si="66"/>
        <v>268</v>
      </c>
      <c r="BB178" s="28">
        <f t="shared" si="64"/>
        <v>128</v>
      </c>
      <c r="BC178" s="28">
        <f t="shared" si="55"/>
        <v>181</v>
      </c>
      <c r="BD178" s="26">
        <f t="shared" si="56"/>
        <v>54</v>
      </c>
      <c r="BE178" s="36">
        <v>30463</v>
      </c>
      <c r="BF178" s="36">
        <v>30481</v>
      </c>
      <c r="BG178" s="26">
        <f t="shared" si="68"/>
        <v>24</v>
      </c>
    </row>
    <row r="179" spans="1:59" s="26" customFormat="1" hidden="1" x14ac:dyDescent="0.3">
      <c r="A179" s="6">
        <v>1</v>
      </c>
      <c r="B179" s="6"/>
      <c r="C179" s="6"/>
      <c r="D179" s="6" t="s">
        <v>139</v>
      </c>
      <c r="E179" s="9" t="s">
        <v>140</v>
      </c>
      <c r="F179" s="9" t="str">
        <f t="shared" si="57"/>
        <v>1985-215Abe1983OTC</v>
      </c>
      <c r="G179" s="6" t="s">
        <v>141</v>
      </c>
      <c r="H179" s="6" t="s">
        <v>130</v>
      </c>
      <c r="I179" s="6" t="s">
        <v>131</v>
      </c>
      <c r="J179" s="6" t="s">
        <v>96</v>
      </c>
      <c r="K179" s="6" t="s">
        <v>142</v>
      </c>
      <c r="L179" s="6">
        <v>1983</v>
      </c>
      <c r="M179" s="6" t="s">
        <v>36</v>
      </c>
      <c r="N179" s="6" t="s">
        <v>51</v>
      </c>
      <c r="O179" s="6" t="s">
        <v>137</v>
      </c>
      <c r="P179" s="6">
        <f>(7*R179+5*0.976*R177)/12*T179*12/1000+R177/1.01*(90-T179)*12/1000</f>
        <v>59.89868198019802</v>
      </c>
      <c r="Q179" s="6"/>
      <c r="R179" s="6">
        <v>78</v>
      </c>
      <c r="S179" s="6">
        <v>7</v>
      </c>
      <c r="T179" s="6">
        <f t="shared" si="67"/>
        <v>54</v>
      </c>
      <c r="U179" s="6">
        <v>4</v>
      </c>
      <c r="V179" s="13">
        <v>18.443321520960399</v>
      </c>
      <c r="W179" s="10">
        <v>30444</v>
      </c>
      <c r="X179" s="10">
        <v>30497</v>
      </c>
      <c r="Y179" s="12">
        <v>576.20000000000005</v>
      </c>
      <c r="Z179" s="6" t="s">
        <v>53</v>
      </c>
      <c r="AA179" s="6">
        <v>40</v>
      </c>
      <c r="AB179" s="6" t="s">
        <v>146</v>
      </c>
      <c r="AC179" s="12">
        <v>32.599999999999994</v>
      </c>
      <c r="AD179" s="7" t="s">
        <v>39</v>
      </c>
      <c r="AE179" s="6"/>
      <c r="AF179" s="6"/>
      <c r="AG179" s="12">
        <v>19.8</v>
      </c>
      <c r="AH179" s="6" t="s">
        <v>134</v>
      </c>
      <c r="AI179" s="6"/>
      <c r="AJ179" s="6"/>
      <c r="AK179" s="12">
        <v>160</v>
      </c>
      <c r="AL179" s="6" t="s">
        <v>143</v>
      </c>
      <c r="AM179" s="6"/>
      <c r="AN179" s="6"/>
      <c r="AO179" s="12">
        <f t="shared" si="63"/>
        <v>17674.846625766877</v>
      </c>
      <c r="AP179" s="6" t="s">
        <v>54</v>
      </c>
      <c r="AQ179" s="6"/>
      <c r="AR179" s="6"/>
      <c r="AS179" s="26">
        <v>41.709166000000003</v>
      </c>
      <c r="AT179" s="26">
        <v>-87.981992000000005</v>
      </c>
      <c r="AU179" s="27">
        <v>30237</v>
      </c>
      <c r="AV179" s="25">
        <v>30504</v>
      </c>
      <c r="AW179" s="25">
        <v>30444</v>
      </c>
      <c r="AX179" s="25">
        <v>30497</v>
      </c>
      <c r="AY179" s="28">
        <f t="shared" si="65"/>
        <v>-79</v>
      </c>
      <c r="AZ179" s="28">
        <f t="shared" si="61"/>
        <v>188</v>
      </c>
      <c r="BA179" s="37">
        <f t="shared" si="66"/>
        <v>268</v>
      </c>
      <c r="BB179" s="28">
        <f t="shared" si="64"/>
        <v>128</v>
      </c>
      <c r="BC179" s="28">
        <f t="shared" si="55"/>
        <v>181</v>
      </c>
      <c r="BD179" s="26">
        <f t="shared" si="56"/>
        <v>54</v>
      </c>
      <c r="BE179" s="36">
        <v>30463</v>
      </c>
      <c r="BF179" s="36">
        <v>30481</v>
      </c>
      <c r="BG179" s="26">
        <f t="shared" si="68"/>
        <v>24</v>
      </c>
    </row>
    <row r="180" spans="1:59" s="26" customFormat="1" hidden="1" x14ac:dyDescent="0.3">
      <c r="A180" s="6">
        <v>1</v>
      </c>
      <c r="B180" s="6"/>
      <c r="C180" s="6"/>
      <c r="D180" s="6" t="s">
        <v>139</v>
      </c>
      <c r="E180" s="9" t="s">
        <v>140</v>
      </c>
      <c r="F180" s="9" t="str">
        <f t="shared" si="57"/>
        <v>1985-215Abe1983OTC</v>
      </c>
      <c r="G180" s="6" t="s">
        <v>141</v>
      </c>
      <c r="H180" s="6" t="s">
        <v>130</v>
      </c>
      <c r="I180" s="6" t="s">
        <v>131</v>
      </c>
      <c r="J180" s="6" t="s">
        <v>96</v>
      </c>
      <c r="K180" s="6" t="s">
        <v>142</v>
      </c>
      <c r="L180" s="6">
        <v>1983</v>
      </c>
      <c r="M180" s="6" t="s">
        <v>36</v>
      </c>
      <c r="N180" s="6" t="s">
        <v>51</v>
      </c>
      <c r="O180" s="6" t="s">
        <v>138</v>
      </c>
      <c r="P180" s="6">
        <f>(7*R180+5*0.976*R177)/12*T180*12/1000+R177/1.01*(90-T180)*12/1000</f>
        <v>66.324681980198022</v>
      </c>
      <c r="Q180" s="6"/>
      <c r="R180" s="6">
        <v>95</v>
      </c>
      <c r="S180" s="6">
        <v>7</v>
      </c>
      <c r="T180" s="6">
        <f t="shared" si="67"/>
        <v>54</v>
      </c>
      <c r="U180" s="6">
        <v>4</v>
      </c>
      <c r="V180" s="13">
        <v>24.466415950252401</v>
      </c>
      <c r="W180" s="10">
        <v>30444</v>
      </c>
      <c r="X180" s="10">
        <v>30497</v>
      </c>
      <c r="Y180" s="12">
        <v>493.9</v>
      </c>
      <c r="Z180" s="6" t="s">
        <v>53</v>
      </c>
      <c r="AA180" s="6">
        <v>40</v>
      </c>
      <c r="AB180" s="6" t="s">
        <v>146</v>
      </c>
      <c r="AC180" s="12">
        <v>28.799999999999997</v>
      </c>
      <c r="AD180" s="7" t="s">
        <v>39</v>
      </c>
      <c r="AE180" s="6"/>
      <c r="AF180" s="6"/>
      <c r="AG180" s="12">
        <v>19.5</v>
      </c>
      <c r="AH180" s="6" t="s">
        <v>134</v>
      </c>
      <c r="AI180" s="6"/>
      <c r="AJ180" s="6"/>
      <c r="AK180" s="12">
        <v>155</v>
      </c>
      <c r="AL180" s="6" t="s">
        <v>143</v>
      </c>
      <c r="AM180" s="6"/>
      <c r="AN180" s="6"/>
      <c r="AO180" s="12">
        <f t="shared" si="63"/>
        <v>17149.305555555558</v>
      </c>
      <c r="AP180" s="6" t="s">
        <v>54</v>
      </c>
      <c r="AQ180" s="6"/>
      <c r="AR180" s="6"/>
      <c r="AS180" s="26">
        <v>41.709166000000003</v>
      </c>
      <c r="AT180" s="26">
        <v>-87.981992000000005</v>
      </c>
      <c r="AU180" s="27">
        <v>30237</v>
      </c>
      <c r="AV180" s="25">
        <v>30504</v>
      </c>
      <c r="AW180" s="25">
        <v>30444</v>
      </c>
      <c r="AX180" s="25">
        <v>30497</v>
      </c>
      <c r="AY180" s="28">
        <f t="shared" si="65"/>
        <v>-79</v>
      </c>
      <c r="AZ180" s="28">
        <f t="shared" si="61"/>
        <v>188</v>
      </c>
      <c r="BA180" s="37">
        <f t="shared" si="66"/>
        <v>268</v>
      </c>
      <c r="BB180" s="28">
        <f t="shared" si="64"/>
        <v>128</v>
      </c>
      <c r="BC180" s="28">
        <f t="shared" si="55"/>
        <v>181</v>
      </c>
      <c r="BD180" s="26">
        <f t="shared" si="56"/>
        <v>54</v>
      </c>
      <c r="BE180" s="36">
        <v>30463</v>
      </c>
      <c r="BF180" s="36">
        <v>30481</v>
      </c>
      <c r="BG180" s="26">
        <f t="shared" si="68"/>
        <v>24</v>
      </c>
    </row>
    <row r="181" spans="1:59" s="26" customFormat="1" hidden="1" x14ac:dyDescent="0.3">
      <c r="A181" s="6">
        <v>1</v>
      </c>
      <c r="B181" s="6"/>
      <c r="C181" s="6"/>
      <c r="D181" s="6" t="s">
        <v>139</v>
      </c>
      <c r="E181" s="9" t="s">
        <v>140</v>
      </c>
      <c r="F181" s="9" t="str">
        <f t="shared" si="57"/>
        <v>1985-215Arthur-711983OTC</v>
      </c>
      <c r="G181" s="6" t="s">
        <v>141</v>
      </c>
      <c r="H181" s="6" t="s">
        <v>130</v>
      </c>
      <c r="I181" s="6" t="s">
        <v>131</v>
      </c>
      <c r="J181" s="6" t="s">
        <v>96</v>
      </c>
      <c r="K181" s="6" t="s">
        <v>144</v>
      </c>
      <c r="L181" s="6">
        <v>1983</v>
      </c>
      <c r="M181" s="6" t="s">
        <v>36</v>
      </c>
      <c r="N181" s="6" t="s">
        <v>51</v>
      </c>
      <c r="O181" s="6" t="s">
        <v>132</v>
      </c>
      <c r="P181" s="6">
        <f>(7*R181+5*0.976*R181)/12*T181*12/1000+R182/1.01*(90-T181)*12/1000</f>
        <v>30.36716198019802</v>
      </c>
      <c r="Q181" s="6"/>
      <c r="R181" s="6">
        <v>18</v>
      </c>
      <c r="S181" s="6">
        <v>7</v>
      </c>
      <c r="T181" s="6">
        <f t="shared" si="67"/>
        <v>54</v>
      </c>
      <c r="U181" s="6">
        <v>4</v>
      </c>
      <c r="V181" s="13">
        <v>0.92844217674115304</v>
      </c>
      <c r="W181" s="10">
        <v>30444</v>
      </c>
      <c r="X181" s="10">
        <v>30497</v>
      </c>
      <c r="Y181" s="12">
        <v>515.1</v>
      </c>
      <c r="Z181" s="6" t="s">
        <v>53</v>
      </c>
      <c r="AA181" s="6">
        <v>40</v>
      </c>
      <c r="AB181" s="6" t="s">
        <v>146</v>
      </c>
      <c r="AC181" s="12">
        <v>31</v>
      </c>
      <c r="AD181" s="7" t="s">
        <v>39</v>
      </c>
      <c r="AE181" s="6"/>
      <c r="AF181" s="6"/>
      <c r="AG181" s="12">
        <v>20.2</v>
      </c>
      <c r="AH181" s="6" t="s">
        <v>134</v>
      </c>
      <c r="AI181" s="6"/>
      <c r="AJ181" s="6"/>
      <c r="AK181" s="12">
        <v>160</v>
      </c>
      <c r="AL181" s="6" t="s">
        <v>143</v>
      </c>
      <c r="AM181" s="6"/>
      <c r="AN181" s="6"/>
      <c r="AO181" s="12">
        <f t="shared" si="63"/>
        <v>16616.129032258064</v>
      </c>
      <c r="AP181" s="6" t="s">
        <v>54</v>
      </c>
      <c r="AQ181" s="6"/>
      <c r="AR181" s="6"/>
      <c r="AS181" s="26">
        <v>41.709166000000003</v>
      </c>
      <c r="AT181" s="26">
        <v>-87.981992000000005</v>
      </c>
      <c r="AU181" s="27">
        <v>30237</v>
      </c>
      <c r="AV181" s="25">
        <v>30504</v>
      </c>
      <c r="AW181" s="25">
        <v>30444</v>
      </c>
      <c r="AX181" s="25">
        <v>30497</v>
      </c>
      <c r="AY181" s="28">
        <f t="shared" si="65"/>
        <v>-79</v>
      </c>
      <c r="AZ181" s="28">
        <f t="shared" si="61"/>
        <v>188</v>
      </c>
      <c r="BA181" s="37">
        <f t="shared" si="66"/>
        <v>268</v>
      </c>
      <c r="BB181" s="28">
        <f t="shared" si="64"/>
        <v>128</v>
      </c>
      <c r="BC181" s="28">
        <f t="shared" si="55"/>
        <v>181</v>
      </c>
      <c r="BD181" s="26">
        <f t="shared" si="56"/>
        <v>54</v>
      </c>
      <c r="BE181" s="36">
        <v>30463</v>
      </c>
      <c r="BF181" s="36">
        <v>30481</v>
      </c>
      <c r="BG181" s="26">
        <f t="shared" si="68"/>
        <v>24</v>
      </c>
    </row>
    <row r="182" spans="1:59" s="26" customFormat="1" hidden="1" x14ac:dyDescent="0.3">
      <c r="A182" s="6">
        <v>1</v>
      </c>
      <c r="B182" s="6"/>
      <c r="C182" s="6"/>
      <c r="D182" s="6" t="s">
        <v>139</v>
      </c>
      <c r="E182" s="9" t="s">
        <v>140</v>
      </c>
      <c r="F182" s="9" t="str">
        <f t="shared" si="57"/>
        <v>1985-215Arthur-711983OTC</v>
      </c>
      <c r="G182" s="6" t="s">
        <v>141</v>
      </c>
      <c r="H182" s="6" t="s">
        <v>130</v>
      </c>
      <c r="I182" s="6" t="s">
        <v>131</v>
      </c>
      <c r="J182" s="6" t="s">
        <v>96</v>
      </c>
      <c r="K182" s="6" t="s">
        <v>144</v>
      </c>
      <c r="L182" s="6">
        <v>1983</v>
      </c>
      <c r="M182" s="6" t="s">
        <v>36</v>
      </c>
      <c r="N182" s="6" t="s">
        <v>51</v>
      </c>
      <c r="O182" s="6" t="s">
        <v>103</v>
      </c>
      <c r="P182" s="7">
        <f>R182/1.01*1.08</f>
        <v>47.049504950495056</v>
      </c>
      <c r="Q182" s="6"/>
      <c r="R182" s="6">
        <v>44</v>
      </c>
      <c r="S182" s="6">
        <v>7</v>
      </c>
      <c r="T182" s="6">
        <f t="shared" si="67"/>
        <v>54</v>
      </c>
      <c r="U182" s="6">
        <v>4</v>
      </c>
      <c r="V182" s="13">
        <v>7.6334510419664303</v>
      </c>
      <c r="W182" s="10">
        <v>30444</v>
      </c>
      <c r="X182" s="10">
        <v>30497</v>
      </c>
      <c r="Y182" s="12">
        <v>562.20000000000005</v>
      </c>
      <c r="Z182" s="6" t="s">
        <v>53</v>
      </c>
      <c r="AA182" s="6">
        <v>40</v>
      </c>
      <c r="AB182" s="6" t="s">
        <v>146</v>
      </c>
      <c r="AC182" s="12">
        <v>31.299999999999997</v>
      </c>
      <c r="AD182" s="7" t="s">
        <v>39</v>
      </c>
      <c r="AE182" s="6"/>
      <c r="AF182" s="6"/>
      <c r="AG182" s="12">
        <v>22.6</v>
      </c>
      <c r="AH182" s="6" t="s">
        <v>134</v>
      </c>
      <c r="AI182" s="6"/>
      <c r="AJ182" s="6"/>
      <c r="AK182" s="12">
        <v>143</v>
      </c>
      <c r="AL182" s="6" t="s">
        <v>143</v>
      </c>
      <c r="AM182" s="6"/>
      <c r="AN182" s="6"/>
      <c r="AO182" s="12">
        <f t="shared" si="63"/>
        <v>17961.661341853036</v>
      </c>
      <c r="AP182" s="6" t="s">
        <v>54</v>
      </c>
      <c r="AQ182" s="6"/>
      <c r="AR182" s="6"/>
      <c r="AS182" s="26">
        <v>41.709166000000003</v>
      </c>
      <c r="AT182" s="26">
        <v>-87.981992000000005</v>
      </c>
      <c r="AU182" s="27">
        <v>30237</v>
      </c>
      <c r="AV182" s="25">
        <v>30504</v>
      </c>
      <c r="AW182" s="25">
        <v>30444</v>
      </c>
      <c r="AX182" s="25">
        <v>30497</v>
      </c>
      <c r="AY182" s="28">
        <f t="shared" si="65"/>
        <v>-79</v>
      </c>
      <c r="AZ182" s="28">
        <f t="shared" si="61"/>
        <v>188</v>
      </c>
      <c r="BA182" s="37">
        <f t="shared" si="66"/>
        <v>268</v>
      </c>
      <c r="BB182" s="28">
        <f t="shared" si="64"/>
        <v>128</v>
      </c>
      <c r="BC182" s="28">
        <f t="shared" si="55"/>
        <v>181</v>
      </c>
      <c r="BD182" s="26">
        <f t="shared" si="56"/>
        <v>54</v>
      </c>
      <c r="BE182" s="36">
        <v>30463</v>
      </c>
      <c r="BF182" s="36">
        <v>30481</v>
      </c>
      <c r="BG182" s="26">
        <f t="shared" si="68"/>
        <v>24</v>
      </c>
    </row>
    <row r="183" spans="1:59" s="26" customFormat="1" hidden="1" x14ac:dyDescent="0.3">
      <c r="A183" s="6">
        <v>1</v>
      </c>
      <c r="B183" s="6"/>
      <c r="C183" s="6"/>
      <c r="D183" s="6" t="s">
        <v>139</v>
      </c>
      <c r="E183" s="9" t="s">
        <v>140</v>
      </c>
      <c r="F183" s="9" t="str">
        <f t="shared" si="57"/>
        <v>1985-215Arthur-711983OTC</v>
      </c>
      <c r="G183" s="6" t="s">
        <v>141</v>
      </c>
      <c r="H183" s="6" t="s">
        <v>130</v>
      </c>
      <c r="I183" s="6" t="s">
        <v>131</v>
      </c>
      <c r="J183" s="6" t="s">
        <v>96</v>
      </c>
      <c r="K183" s="6" t="s">
        <v>144</v>
      </c>
      <c r="L183" s="6">
        <v>1983</v>
      </c>
      <c r="M183" s="6" t="s">
        <v>36</v>
      </c>
      <c r="N183" s="6" t="s">
        <v>51</v>
      </c>
      <c r="O183" s="6" t="s">
        <v>136</v>
      </c>
      <c r="P183" s="6">
        <f>(7*R183+5*0.976*R182)/12*T183*12/1000+R182/1.01*(90-T183)*12/1000</f>
        <v>53.850681980198019</v>
      </c>
      <c r="Q183" s="6"/>
      <c r="R183" s="6">
        <v>62</v>
      </c>
      <c r="S183" s="6">
        <v>7</v>
      </c>
      <c r="T183" s="6">
        <f t="shared" si="67"/>
        <v>54</v>
      </c>
      <c r="U183" s="6">
        <v>4</v>
      </c>
      <c r="V183" s="13">
        <v>13.0387932804637</v>
      </c>
      <c r="W183" s="10">
        <v>30444</v>
      </c>
      <c r="X183" s="10">
        <v>30497</v>
      </c>
      <c r="Y183" s="12">
        <v>521.4</v>
      </c>
      <c r="Z183" s="6" t="s">
        <v>53</v>
      </c>
      <c r="AA183" s="6">
        <v>40</v>
      </c>
      <c r="AB183" s="6" t="s">
        <v>146</v>
      </c>
      <c r="AC183" s="12">
        <v>30.4</v>
      </c>
      <c r="AD183" s="7" t="s">
        <v>39</v>
      </c>
      <c r="AE183" s="6"/>
      <c r="AF183" s="6"/>
      <c r="AG183" s="12">
        <v>21.7</v>
      </c>
      <c r="AH183" s="6" t="s">
        <v>134</v>
      </c>
      <c r="AI183" s="6"/>
      <c r="AJ183" s="6"/>
      <c r="AK183" s="12">
        <v>137</v>
      </c>
      <c r="AL183" s="6" t="s">
        <v>143</v>
      </c>
      <c r="AM183" s="6"/>
      <c r="AN183" s="6"/>
      <c r="AO183" s="12">
        <f t="shared" si="63"/>
        <v>17151.315789473683</v>
      </c>
      <c r="AP183" s="6" t="s">
        <v>54</v>
      </c>
      <c r="AQ183" s="6"/>
      <c r="AR183" s="6"/>
      <c r="AS183" s="26">
        <v>41.709166000000003</v>
      </c>
      <c r="AT183" s="26">
        <v>-87.981992000000005</v>
      </c>
      <c r="AU183" s="27">
        <v>30237</v>
      </c>
      <c r="AV183" s="25">
        <v>30504</v>
      </c>
      <c r="AW183" s="25">
        <v>30444</v>
      </c>
      <c r="AX183" s="25">
        <v>30497</v>
      </c>
      <c r="AY183" s="28">
        <f t="shared" si="65"/>
        <v>-79</v>
      </c>
      <c r="AZ183" s="28">
        <f t="shared" ref="AZ183:AZ214" si="69">AV183-INT(YEAR(AV183)&amp;"/1/1")+1</f>
        <v>188</v>
      </c>
      <c r="BA183" s="37">
        <f t="shared" si="66"/>
        <v>268</v>
      </c>
      <c r="BB183" s="28">
        <f t="shared" si="64"/>
        <v>128</v>
      </c>
      <c r="BC183" s="28">
        <f t="shared" ref="BC183:BC246" si="70">AX183-INT(YEAR(AX183)&amp;"/1/1")+1</f>
        <v>181</v>
      </c>
      <c r="BD183" s="26">
        <f t="shared" ref="BD183:BD246" si="71">BC183-BB183+1</f>
        <v>54</v>
      </c>
      <c r="BE183" s="36">
        <v>30463</v>
      </c>
      <c r="BF183" s="36">
        <v>30481</v>
      </c>
      <c r="BG183" s="26">
        <f t="shared" si="68"/>
        <v>24</v>
      </c>
    </row>
    <row r="184" spans="1:59" s="26" customFormat="1" hidden="1" x14ac:dyDescent="0.3">
      <c r="A184" s="6">
        <v>1</v>
      </c>
      <c r="B184" s="6"/>
      <c r="C184" s="6"/>
      <c r="D184" s="6" t="s">
        <v>139</v>
      </c>
      <c r="E184" s="9" t="s">
        <v>140</v>
      </c>
      <c r="F184" s="9" t="str">
        <f t="shared" si="57"/>
        <v>1985-215Arthur-711983OTC</v>
      </c>
      <c r="G184" s="6" t="s">
        <v>141</v>
      </c>
      <c r="H184" s="6" t="s">
        <v>130</v>
      </c>
      <c r="I184" s="6" t="s">
        <v>131</v>
      </c>
      <c r="J184" s="6" t="s">
        <v>96</v>
      </c>
      <c r="K184" s="6" t="s">
        <v>144</v>
      </c>
      <c r="L184" s="6">
        <v>1983</v>
      </c>
      <c r="M184" s="6" t="s">
        <v>36</v>
      </c>
      <c r="N184" s="6" t="s">
        <v>51</v>
      </c>
      <c r="O184" s="6" t="s">
        <v>137</v>
      </c>
      <c r="P184" s="6">
        <f>(7*R184+5*0.976*R182)/12*T184*12/1000+R182/1.01*(90-T184)*12/1000</f>
        <v>59.89868198019802</v>
      </c>
      <c r="Q184" s="6"/>
      <c r="R184" s="6">
        <v>78</v>
      </c>
      <c r="S184" s="6">
        <v>7</v>
      </c>
      <c r="T184" s="6">
        <f t="shared" si="67"/>
        <v>54</v>
      </c>
      <c r="U184" s="6">
        <v>4</v>
      </c>
      <c r="V184" s="13">
        <v>18.443321520960399</v>
      </c>
      <c r="W184" s="10">
        <v>30444</v>
      </c>
      <c r="X184" s="10">
        <v>30497</v>
      </c>
      <c r="Y184" s="12">
        <v>494.3</v>
      </c>
      <c r="Z184" s="6" t="s">
        <v>53</v>
      </c>
      <c r="AA184" s="6">
        <v>40</v>
      </c>
      <c r="AB184" s="6" t="s">
        <v>146</v>
      </c>
      <c r="AC184" s="12">
        <v>27.3</v>
      </c>
      <c r="AD184" s="7" t="s">
        <v>39</v>
      </c>
      <c r="AE184" s="6"/>
      <c r="AF184" s="6"/>
      <c r="AG184" s="12">
        <v>21.4</v>
      </c>
      <c r="AH184" s="6" t="s">
        <v>134</v>
      </c>
      <c r="AI184" s="6"/>
      <c r="AJ184" s="6"/>
      <c r="AK184" s="12">
        <v>157</v>
      </c>
      <c r="AL184" s="6" t="s">
        <v>143</v>
      </c>
      <c r="AM184" s="6"/>
      <c r="AN184" s="6"/>
      <c r="AO184" s="12">
        <f t="shared" si="63"/>
        <v>18106.227106227107</v>
      </c>
      <c r="AP184" s="6" t="s">
        <v>54</v>
      </c>
      <c r="AQ184" s="6"/>
      <c r="AR184" s="6"/>
      <c r="AS184" s="26">
        <v>41.709166000000003</v>
      </c>
      <c r="AT184" s="26">
        <v>-87.981992000000005</v>
      </c>
      <c r="AU184" s="27">
        <v>30237</v>
      </c>
      <c r="AV184" s="25">
        <v>30504</v>
      </c>
      <c r="AW184" s="25">
        <v>30444</v>
      </c>
      <c r="AX184" s="25">
        <v>30497</v>
      </c>
      <c r="AY184" s="28">
        <f t="shared" si="65"/>
        <v>-79</v>
      </c>
      <c r="AZ184" s="28">
        <f t="shared" si="69"/>
        <v>188</v>
      </c>
      <c r="BA184" s="37">
        <f t="shared" si="66"/>
        <v>268</v>
      </c>
      <c r="BB184" s="28">
        <f t="shared" si="64"/>
        <v>128</v>
      </c>
      <c r="BC184" s="28">
        <f t="shared" si="70"/>
        <v>181</v>
      </c>
      <c r="BD184" s="26">
        <f t="shared" si="71"/>
        <v>54</v>
      </c>
      <c r="BE184" s="36">
        <v>30463</v>
      </c>
      <c r="BF184" s="36">
        <v>30481</v>
      </c>
      <c r="BG184" s="26">
        <f t="shared" si="68"/>
        <v>24</v>
      </c>
    </row>
    <row r="185" spans="1:59" s="26" customFormat="1" hidden="1" x14ac:dyDescent="0.3">
      <c r="A185" s="6">
        <v>1</v>
      </c>
      <c r="B185" s="6"/>
      <c r="C185" s="6"/>
      <c r="D185" s="6" t="s">
        <v>139</v>
      </c>
      <c r="E185" s="9" t="s">
        <v>140</v>
      </c>
      <c r="F185" s="9" t="str">
        <f t="shared" si="57"/>
        <v>1985-215Arthur-711983OTC</v>
      </c>
      <c r="G185" s="6" t="s">
        <v>141</v>
      </c>
      <c r="H185" s="6" t="s">
        <v>130</v>
      </c>
      <c r="I185" s="6" t="s">
        <v>131</v>
      </c>
      <c r="J185" s="6" t="s">
        <v>96</v>
      </c>
      <c r="K185" s="6" t="s">
        <v>144</v>
      </c>
      <c r="L185" s="6">
        <v>1983</v>
      </c>
      <c r="M185" s="6" t="s">
        <v>36</v>
      </c>
      <c r="N185" s="6" t="s">
        <v>51</v>
      </c>
      <c r="O185" s="6" t="s">
        <v>138</v>
      </c>
      <c r="P185" s="6">
        <f>(7*R185+5*0.976*R182)/12*T185*12/1000+R182/1.01*(90-T185)*12/1000</f>
        <v>66.324681980198022</v>
      </c>
      <c r="Q185" s="6"/>
      <c r="R185" s="6">
        <v>95</v>
      </c>
      <c r="S185" s="6">
        <v>7</v>
      </c>
      <c r="T185" s="6">
        <f t="shared" si="67"/>
        <v>54</v>
      </c>
      <c r="U185" s="6">
        <v>4</v>
      </c>
      <c r="V185" s="13">
        <v>24.466415950252401</v>
      </c>
      <c r="W185" s="10">
        <v>30444</v>
      </c>
      <c r="X185" s="10">
        <v>30497</v>
      </c>
      <c r="Y185" s="12">
        <v>439.7</v>
      </c>
      <c r="Z185" s="6" t="s">
        <v>53</v>
      </c>
      <c r="AA185" s="6">
        <v>40</v>
      </c>
      <c r="AB185" s="6" t="s">
        <v>146</v>
      </c>
      <c r="AC185" s="12">
        <v>25.9</v>
      </c>
      <c r="AD185" s="7" t="s">
        <v>39</v>
      </c>
      <c r="AE185" s="6"/>
      <c r="AF185" s="6"/>
      <c r="AG185" s="12">
        <v>21.9</v>
      </c>
      <c r="AH185" s="6" t="s">
        <v>134</v>
      </c>
      <c r="AI185" s="6"/>
      <c r="AJ185" s="6"/>
      <c r="AK185" s="12">
        <v>136</v>
      </c>
      <c r="AL185" s="6" t="s">
        <v>143</v>
      </c>
      <c r="AM185" s="6"/>
      <c r="AN185" s="6"/>
      <c r="AO185" s="12">
        <f t="shared" si="63"/>
        <v>16976.833976833976</v>
      </c>
      <c r="AP185" s="6" t="s">
        <v>54</v>
      </c>
      <c r="AQ185" s="6"/>
      <c r="AR185" s="6"/>
      <c r="AS185" s="26">
        <v>41.709166000000003</v>
      </c>
      <c r="AT185" s="26">
        <v>-87.981992000000005</v>
      </c>
      <c r="AU185" s="27">
        <v>30237</v>
      </c>
      <c r="AV185" s="25">
        <v>30504</v>
      </c>
      <c r="AW185" s="25">
        <v>30444</v>
      </c>
      <c r="AX185" s="25">
        <v>30497</v>
      </c>
      <c r="AY185" s="28">
        <f t="shared" si="65"/>
        <v>-79</v>
      </c>
      <c r="AZ185" s="28">
        <f t="shared" si="69"/>
        <v>188</v>
      </c>
      <c r="BA185" s="37">
        <f t="shared" si="66"/>
        <v>268</v>
      </c>
      <c r="BB185" s="28">
        <f t="shared" si="64"/>
        <v>128</v>
      </c>
      <c r="BC185" s="28">
        <f t="shared" si="70"/>
        <v>181</v>
      </c>
      <c r="BD185" s="26">
        <f t="shared" si="71"/>
        <v>54</v>
      </c>
      <c r="BE185" s="36">
        <v>30463</v>
      </c>
      <c r="BF185" s="36">
        <v>30481</v>
      </c>
      <c r="BG185" s="26">
        <f t="shared" si="68"/>
        <v>24</v>
      </c>
    </row>
    <row r="186" spans="1:59" s="26" customFormat="1" hidden="1" x14ac:dyDescent="0.3">
      <c r="A186" s="6">
        <v>0</v>
      </c>
      <c r="B186" s="6"/>
      <c r="C186" s="6"/>
      <c r="D186" s="6" t="s">
        <v>147</v>
      </c>
      <c r="E186" s="9" t="s">
        <v>148</v>
      </c>
      <c r="F186" s="9" t="str">
        <f t="shared" si="57"/>
        <v>1996-89/91Massey1991OTC</v>
      </c>
      <c r="G186" s="6" t="s">
        <v>149</v>
      </c>
      <c r="H186" s="6" t="s">
        <v>130</v>
      </c>
      <c r="I186" s="6" t="s">
        <v>131</v>
      </c>
      <c r="J186" s="6" t="s">
        <v>96</v>
      </c>
      <c r="K186" s="6" t="s">
        <v>150</v>
      </c>
      <c r="L186" s="6">
        <v>1991</v>
      </c>
      <c r="M186" s="6" t="s">
        <v>97</v>
      </c>
      <c r="N186" s="6" t="s">
        <v>37</v>
      </c>
      <c r="O186" s="6" t="s">
        <v>74</v>
      </c>
      <c r="P186" s="7">
        <f>R186/1.01*1.08</f>
        <v>48.653465346534652</v>
      </c>
      <c r="Q186" s="6"/>
      <c r="R186" s="6">
        <v>45.5</v>
      </c>
      <c r="S186" s="6">
        <v>7</v>
      </c>
      <c r="T186" s="6">
        <f t="shared" si="67"/>
        <v>61</v>
      </c>
      <c r="U186" s="6">
        <v>4</v>
      </c>
      <c r="V186" s="13">
        <v>8.8102571203145104</v>
      </c>
      <c r="W186" s="10">
        <v>33329</v>
      </c>
      <c r="X186" s="10">
        <v>33389</v>
      </c>
      <c r="Y186" s="12"/>
      <c r="Z186" s="6"/>
      <c r="AA186" s="6"/>
      <c r="AB186" s="6"/>
      <c r="AC186" s="12"/>
      <c r="AD186" s="7"/>
      <c r="AE186" s="6"/>
      <c r="AF186" s="6"/>
      <c r="AG186" s="12"/>
      <c r="AH186" s="6"/>
      <c r="AI186" s="6"/>
      <c r="AJ186" s="6"/>
      <c r="AK186" s="12"/>
      <c r="AL186" s="6"/>
      <c r="AM186" s="6"/>
      <c r="AN186" s="6"/>
      <c r="AO186" s="12"/>
      <c r="AP186" s="6"/>
      <c r="AQ186" s="6"/>
      <c r="AR186" s="6"/>
      <c r="AS186" s="30">
        <f t="shared" ref="AS186:AS191" si="72">39+2/60</f>
        <v>39.033333333333331</v>
      </c>
      <c r="AT186" s="30">
        <f t="shared" ref="AT186:AT191" si="73">-(76+53/60)</f>
        <v>-76.88333333333334</v>
      </c>
      <c r="AU186" s="27">
        <v>33161</v>
      </c>
      <c r="AV186" s="25">
        <v>33389</v>
      </c>
      <c r="AW186" s="25">
        <v>33329</v>
      </c>
      <c r="AX186" s="25">
        <v>33389</v>
      </c>
      <c r="AY186" s="28">
        <f t="shared" si="65"/>
        <v>-77</v>
      </c>
      <c r="AZ186" s="28">
        <f t="shared" si="69"/>
        <v>151</v>
      </c>
      <c r="BA186" s="37">
        <f t="shared" si="66"/>
        <v>229</v>
      </c>
      <c r="BB186" s="28">
        <f t="shared" si="64"/>
        <v>91</v>
      </c>
      <c r="BC186" s="28">
        <f t="shared" si="70"/>
        <v>151</v>
      </c>
      <c r="BD186" s="26">
        <f t="shared" si="71"/>
        <v>61</v>
      </c>
    </row>
    <row r="187" spans="1:59" s="26" customFormat="1" hidden="1" x14ac:dyDescent="0.3">
      <c r="A187" s="6">
        <v>1</v>
      </c>
      <c r="B187" s="6"/>
      <c r="C187" s="6"/>
      <c r="D187" s="6" t="s">
        <v>147</v>
      </c>
      <c r="E187" s="9" t="s">
        <v>148</v>
      </c>
      <c r="F187" s="9" t="str">
        <f t="shared" si="57"/>
        <v>1996-89/91Massey1991OTC</v>
      </c>
      <c r="G187" s="6" t="s">
        <v>149</v>
      </c>
      <c r="H187" s="6" t="s">
        <v>130</v>
      </c>
      <c r="I187" s="6" t="s">
        <v>131</v>
      </c>
      <c r="J187" s="6" t="s">
        <v>96</v>
      </c>
      <c r="K187" s="6" t="s">
        <v>150</v>
      </c>
      <c r="L187" s="6">
        <v>1991</v>
      </c>
      <c r="M187" s="6" t="s">
        <v>97</v>
      </c>
      <c r="N187" s="6" t="s">
        <v>37</v>
      </c>
      <c r="O187" s="6" t="s">
        <v>132</v>
      </c>
      <c r="P187" s="6">
        <f>R187/1.01*T187*12/1000+R186/1.01*(90-T187)*12/1000</f>
        <v>29.15762376237624</v>
      </c>
      <c r="Q187" s="6"/>
      <c r="R187" s="6">
        <v>18.600000000000001</v>
      </c>
      <c r="S187" s="6">
        <v>7</v>
      </c>
      <c r="T187" s="6">
        <f t="shared" si="67"/>
        <v>61</v>
      </c>
      <c r="U187" s="6">
        <v>4</v>
      </c>
      <c r="V187" s="13">
        <v>0.75102620657091901</v>
      </c>
      <c r="W187" s="10">
        <v>33329</v>
      </c>
      <c r="X187" s="10">
        <v>33389</v>
      </c>
      <c r="Y187" s="12">
        <v>538</v>
      </c>
      <c r="Z187" s="6" t="s">
        <v>80</v>
      </c>
      <c r="AA187" s="6"/>
      <c r="AB187" s="6"/>
      <c r="AC187" s="12">
        <v>33.700000000000003</v>
      </c>
      <c r="AD187" s="7" t="s">
        <v>39</v>
      </c>
      <c r="AE187" s="6"/>
      <c r="AF187" s="6"/>
      <c r="AG187" s="12"/>
      <c r="AH187" s="6"/>
      <c r="AI187" s="6"/>
      <c r="AJ187" s="6"/>
      <c r="AK187" s="12"/>
      <c r="AL187" s="6"/>
      <c r="AM187" s="6"/>
      <c r="AN187" s="6"/>
      <c r="AO187" s="12">
        <v>17300</v>
      </c>
      <c r="AP187" s="6" t="s">
        <v>54</v>
      </c>
      <c r="AQ187" s="6"/>
      <c r="AR187" s="6"/>
      <c r="AS187" s="30">
        <f t="shared" si="72"/>
        <v>39.033333333333331</v>
      </c>
      <c r="AT187" s="30">
        <f t="shared" si="73"/>
        <v>-76.88333333333334</v>
      </c>
      <c r="AU187" s="27">
        <v>33161</v>
      </c>
      <c r="AV187" s="25">
        <v>33389</v>
      </c>
      <c r="AW187" s="25">
        <v>33329</v>
      </c>
      <c r="AX187" s="25">
        <v>33389</v>
      </c>
      <c r="AY187" s="28">
        <f t="shared" si="65"/>
        <v>-77</v>
      </c>
      <c r="AZ187" s="28">
        <f t="shared" si="69"/>
        <v>151</v>
      </c>
      <c r="BA187" s="37">
        <f t="shared" si="66"/>
        <v>229</v>
      </c>
      <c r="BB187" s="28">
        <f t="shared" si="64"/>
        <v>91</v>
      </c>
      <c r="BC187" s="28">
        <f t="shared" si="70"/>
        <v>151</v>
      </c>
      <c r="BD187" s="26">
        <f t="shared" si="71"/>
        <v>61</v>
      </c>
    </row>
    <row r="188" spans="1:59" s="26" customFormat="1" hidden="1" x14ac:dyDescent="0.3">
      <c r="A188" s="6">
        <v>1</v>
      </c>
      <c r="B188" s="6"/>
      <c r="C188" s="6"/>
      <c r="D188" s="6" t="s">
        <v>147</v>
      </c>
      <c r="E188" s="9" t="s">
        <v>148</v>
      </c>
      <c r="F188" s="9" t="str">
        <f t="shared" si="57"/>
        <v>1996-89/91Massey1991OTC</v>
      </c>
      <c r="G188" s="6" t="s">
        <v>149</v>
      </c>
      <c r="H188" s="6" t="s">
        <v>130</v>
      </c>
      <c r="I188" s="6" t="s">
        <v>131</v>
      </c>
      <c r="J188" s="6" t="s">
        <v>96</v>
      </c>
      <c r="K188" s="6" t="s">
        <v>150</v>
      </c>
      <c r="L188" s="6">
        <v>1991</v>
      </c>
      <c r="M188" s="6" t="s">
        <v>97</v>
      </c>
      <c r="N188" s="6" t="s">
        <v>37</v>
      </c>
      <c r="O188" s="6" t="s">
        <v>151</v>
      </c>
      <c r="P188" s="6">
        <f>(7*R188+5*0.976*R187)/12*T188*12/1000+R186/1.01*(90-T188)*12/1000</f>
        <v>47.132975722772279</v>
      </c>
      <c r="Q188" s="6"/>
      <c r="R188" s="6">
        <v>60.7</v>
      </c>
      <c r="S188" s="6">
        <v>7</v>
      </c>
      <c r="T188" s="6">
        <f t="shared" si="67"/>
        <v>61</v>
      </c>
      <c r="U188" s="6">
        <v>4</v>
      </c>
      <c r="V188" s="13">
        <v>7.6927950240969301</v>
      </c>
      <c r="W188" s="10">
        <v>33329</v>
      </c>
      <c r="X188" s="10">
        <v>33389</v>
      </c>
      <c r="Y188" s="12">
        <v>414</v>
      </c>
      <c r="Z188" s="6" t="s">
        <v>80</v>
      </c>
      <c r="AA188" s="6"/>
      <c r="AB188" s="6"/>
      <c r="AC188" s="12">
        <v>29.9</v>
      </c>
      <c r="AD188" s="7" t="s">
        <v>39</v>
      </c>
      <c r="AE188" s="6"/>
      <c r="AF188" s="6"/>
      <c r="AG188" s="12"/>
      <c r="AH188" s="6"/>
      <c r="AI188" s="6"/>
      <c r="AJ188" s="6"/>
      <c r="AK188" s="12"/>
      <c r="AL188" s="6"/>
      <c r="AM188" s="6"/>
      <c r="AN188" s="6"/>
      <c r="AO188" s="12">
        <v>16500</v>
      </c>
      <c r="AP188" s="6" t="s">
        <v>54</v>
      </c>
      <c r="AQ188" s="6"/>
      <c r="AR188" s="6"/>
      <c r="AS188" s="30">
        <f t="shared" si="72"/>
        <v>39.033333333333331</v>
      </c>
      <c r="AT188" s="30">
        <f t="shared" si="73"/>
        <v>-76.88333333333334</v>
      </c>
      <c r="AU188" s="27">
        <v>33161</v>
      </c>
      <c r="AV188" s="25">
        <v>33389</v>
      </c>
      <c r="AW188" s="25">
        <v>33329</v>
      </c>
      <c r="AX188" s="25">
        <v>33389</v>
      </c>
      <c r="AY188" s="28">
        <f t="shared" si="65"/>
        <v>-77</v>
      </c>
      <c r="AZ188" s="28">
        <f t="shared" si="69"/>
        <v>151</v>
      </c>
      <c r="BA188" s="37">
        <f t="shared" si="66"/>
        <v>229</v>
      </c>
      <c r="BB188" s="28">
        <f t="shared" ref="BB188:BB219" si="74">AW188-INT(YEAR(AW188)&amp;"/1/1")+1</f>
        <v>91</v>
      </c>
      <c r="BC188" s="28">
        <f t="shared" si="70"/>
        <v>151</v>
      </c>
      <c r="BD188" s="26">
        <f t="shared" si="71"/>
        <v>61</v>
      </c>
    </row>
    <row r="189" spans="1:59" s="26" customFormat="1" hidden="1" x14ac:dyDescent="0.3">
      <c r="A189" s="6">
        <v>0</v>
      </c>
      <c r="B189" s="6"/>
      <c r="C189" s="6"/>
      <c r="D189" s="6" t="s">
        <v>147</v>
      </c>
      <c r="E189" s="9" t="s">
        <v>152</v>
      </c>
      <c r="F189" s="9" t="str">
        <f t="shared" si="57"/>
        <v>1996-89/91Saluda1992OTC</v>
      </c>
      <c r="G189" s="6" t="s">
        <v>149</v>
      </c>
      <c r="H189" s="6" t="s">
        <v>130</v>
      </c>
      <c r="I189" s="6" t="s">
        <v>131</v>
      </c>
      <c r="J189" s="6" t="s">
        <v>96</v>
      </c>
      <c r="K189" s="6" t="s">
        <v>153</v>
      </c>
      <c r="L189" s="6">
        <v>1992</v>
      </c>
      <c r="M189" s="6" t="s">
        <v>97</v>
      </c>
      <c r="N189" s="6" t="s">
        <v>37</v>
      </c>
      <c r="O189" s="6" t="s">
        <v>74</v>
      </c>
      <c r="P189" s="7">
        <f>R189/1.01*1.08</f>
        <v>43.520792079207929</v>
      </c>
      <c r="Q189" s="6"/>
      <c r="R189" s="6">
        <v>40.700000000000003</v>
      </c>
      <c r="S189" s="6">
        <v>7</v>
      </c>
      <c r="T189" s="6">
        <f t="shared" si="67"/>
        <v>71</v>
      </c>
      <c r="U189" s="6">
        <v>4</v>
      </c>
      <c r="V189" s="13">
        <v>5.3473211011920796</v>
      </c>
      <c r="W189" s="10">
        <v>33708</v>
      </c>
      <c r="X189" s="10">
        <v>33778</v>
      </c>
      <c r="Y189" s="12"/>
      <c r="Z189" s="6"/>
      <c r="AA189" s="6"/>
      <c r="AB189" s="6"/>
      <c r="AC189" s="12"/>
      <c r="AD189" s="7"/>
      <c r="AE189" s="6"/>
      <c r="AF189" s="6"/>
      <c r="AG189" s="12"/>
      <c r="AH189" s="6"/>
      <c r="AI189" s="6"/>
      <c r="AJ189" s="6"/>
      <c r="AK189" s="12"/>
      <c r="AL189" s="6"/>
      <c r="AM189" s="6"/>
      <c r="AN189" s="6"/>
      <c r="AO189" s="12"/>
      <c r="AP189" s="6"/>
      <c r="AQ189" s="6"/>
      <c r="AR189" s="6"/>
      <c r="AS189" s="30">
        <f t="shared" si="72"/>
        <v>39.033333333333331</v>
      </c>
      <c r="AT189" s="30">
        <f t="shared" si="73"/>
        <v>-76.88333333333334</v>
      </c>
      <c r="AU189" s="27">
        <v>33526</v>
      </c>
      <c r="AV189" s="25">
        <v>33778</v>
      </c>
      <c r="AW189" s="25">
        <v>33708</v>
      </c>
      <c r="AX189" s="25">
        <v>33778</v>
      </c>
      <c r="AY189" s="28">
        <f t="shared" si="65"/>
        <v>-77</v>
      </c>
      <c r="AZ189" s="28">
        <f t="shared" si="69"/>
        <v>175</v>
      </c>
      <c r="BA189" s="37">
        <f t="shared" si="66"/>
        <v>253</v>
      </c>
      <c r="BB189" s="28">
        <f t="shared" si="74"/>
        <v>105</v>
      </c>
      <c r="BC189" s="28">
        <f t="shared" si="70"/>
        <v>175</v>
      </c>
      <c r="BD189" s="26">
        <f t="shared" si="71"/>
        <v>71</v>
      </c>
    </row>
    <row r="190" spans="1:59" s="26" customFormat="1" hidden="1" x14ac:dyDescent="0.3">
      <c r="A190" s="6">
        <v>1</v>
      </c>
      <c r="B190" s="6"/>
      <c r="C190" s="6"/>
      <c r="D190" s="6" t="s">
        <v>147</v>
      </c>
      <c r="E190" s="9" t="s">
        <v>148</v>
      </c>
      <c r="F190" s="9" t="str">
        <f t="shared" si="57"/>
        <v>1996-89/91Saluda1992OTC</v>
      </c>
      <c r="G190" s="6" t="s">
        <v>149</v>
      </c>
      <c r="H190" s="6" t="s">
        <v>130</v>
      </c>
      <c r="I190" s="6" t="s">
        <v>131</v>
      </c>
      <c r="J190" s="6" t="s">
        <v>96</v>
      </c>
      <c r="K190" s="6" t="s">
        <v>153</v>
      </c>
      <c r="L190" s="6">
        <v>1992</v>
      </c>
      <c r="M190" s="6" t="s">
        <v>97</v>
      </c>
      <c r="N190" s="6" t="s">
        <v>37</v>
      </c>
      <c r="O190" s="6" t="s">
        <v>132</v>
      </c>
      <c r="P190" s="6">
        <f>R190/1.01*T190*12/1000+R189/1.01*(90-T190)*12/1000</f>
        <v>26.227722772277229</v>
      </c>
      <c r="Q190" s="6"/>
      <c r="R190" s="6">
        <v>20.2</v>
      </c>
      <c r="S190" s="6">
        <v>7</v>
      </c>
      <c r="T190" s="6">
        <f t="shared" si="67"/>
        <v>71</v>
      </c>
      <c r="U190" s="6">
        <v>4</v>
      </c>
      <c r="V190" s="13">
        <v>0.39988967535184999</v>
      </c>
      <c r="W190" s="10">
        <v>33708</v>
      </c>
      <c r="X190" s="10">
        <v>33778</v>
      </c>
      <c r="Y190" s="12">
        <v>520</v>
      </c>
      <c r="Z190" s="6" t="s">
        <v>80</v>
      </c>
      <c r="AA190" s="6"/>
      <c r="AB190" s="6"/>
      <c r="AC190" s="12">
        <v>33.9</v>
      </c>
      <c r="AD190" s="7" t="s">
        <v>39</v>
      </c>
      <c r="AE190" s="6"/>
      <c r="AF190" s="6"/>
      <c r="AG190" s="12"/>
      <c r="AH190" s="6"/>
      <c r="AI190" s="6"/>
      <c r="AJ190" s="6"/>
      <c r="AK190" s="12"/>
      <c r="AL190" s="6"/>
      <c r="AM190" s="6"/>
      <c r="AN190" s="6"/>
      <c r="AO190" s="12">
        <v>16000</v>
      </c>
      <c r="AP190" s="6" t="s">
        <v>54</v>
      </c>
      <c r="AQ190" s="6"/>
      <c r="AR190" s="6"/>
      <c r="AS190" s="30">
        <f t="shared" si="72"/>
        <v>39.033333333333331</v>
      </c>
      <c r="AT190" s="30">
        <f t="shared" si="73"/>
        <v>-76.88333333333334</v>
      </c>
      <c r="AU190" s="27">
        <v>33526</v>
      </c>
      <c r="AV190" s="25">
        <v>33778</v>
      </c>
      <c r="AW190" s="25">
        <v>33708</v>
      </c>
      <c r="AX190" s="25">
        <v>33778</v>
      </c>
      <c r="AY190" s="28">
        <f t="shared" si="65"/>
        <v>-77</v>
      </c>
      <c r="AZ190" s="28">
        <f t="shared" si="69"/>
        <v>175</v>
      </c>
      <c r="BA190" s="37">
        <f t="shared" si="66"/>
        <v>253</v>
      </c>
      <c r="BB190" s="28">
        <f t="shared" si="74"/>
        <v>105</v>
      </c>
      <c r="BC190" s="28">
        <f t="shared" si="70"/>
        <v>175</v>
      </c>
      <c r="BD190" s="26">
        <f t="shared" si="71"/>
        <v>71</v>
      </c>
    </row>
    <row r="191" spans="1:59" s="26" customFormat="1" hidden="1" x14ac:dyDescent="0.3">
      <c r="A191" s="6">
        <v>1</v>
      </c>
      <c r="B191" s="6"/>
      <c r="C191" s="6"/>
      <c r="D191" s="6" t="s">
        <v>147</v>
      </c>
      <c r="E191" s="9" t="s">
        <v>148</v>
      </c>
      <c r="F191" s="9" t="str">
        <f t="shared" si="57"/>
        <v>1996-89/91Saluda1992OTC</v>
      </c>
      <c r="G191" s="6" t="s">
        <v>149</v>
      </c>
      <c r="H191" s="6" t="s">
        <v>130</v>
      </c>
      <c r="I191" s="6" t="s">
        <v>131</v>
      </c>
      <c r="J191" s="6" t="s">
        <v>96</v>
      </c>
      <c r="K191" s="6" t="s">
        <v>153</v>
      </c>
      <c r="L191" s="6">
        <v>1992</v>
      </c>
      <c r="M191" s="6" t="s">
        <v>97</v>
      </c>
      <c r="N191" s="6" t="s">
        <v>37</v>
      </c>
      <c r="O191" s="6" t="s">
        <v>75</v>
      </c>
      <c r="P191" s="6">
        <f>(7*R191+5*0.976*R189)/12*T191*12/1000+R189/1.01*(90-T191)*12/1000</f>
        <v>55.495058772277233</v>
      </c>
      <c r="Q191" s="6"/>
      <c r="R191" s="6">
        <v>64.8</v>
      </c>
      <c r="S191" s="6">
        <v>7</v>
      </c>
      <c r="T191" s="6">
        <f t="shared" si="67"/>
        <v>71</v>
      </c>
      <c r="U191" s="6">
        <v>4</v>
      </c>
      <c r="V191" s="13">
        <v>14.4705939061522</v>
      </c>
      <c r="W191" s="10">
        <v>33708</v>
      </c>
      <c r="X191" s="10">
        <v>33778</v>
      </c>
      <c r="Y191" s="12">
        <v>434</v>
      </c>
      <c r="Z191" s="6" t="s">
        <v>80</v>
      </c>
      <c r="AA191" s="6"/>
      <c r="AB191" s="6"/>
      <c r="AC191" s="12">
        <v>31.8</v>
      </c>
      <c r="AD191" s="7" t="s">
        <v>39</v>
      </c>
      <c r="AE191" s="6"/>
      <c r="AF191" s="6"/>
      <c r="AG191" s="12"/>
      <c r="AH191" s="6"/>
      <c r="AI191" s="6"/>
      <c r="AJ191" s="6"/>
      <c r="AK191" s="12"/>
      <c r="AL191" s="6"/>
      <c r="AM191" s="6"/>
      <c r="AN191" s="6"/>
      <c r="AO191" s="12">
        <v>15100</v>
      </c>
      <c r="AP191" s="6" t="s">
        <v>54</v>
      </c>
      <c r="AQ191" s="6"/>
      <c r="AR191" s="6"/>
      <c r="AS191" s="30">
        <f t="shared" si="72"/>
        <v>39.033333333333331</v>
      </c>
      <c r="AT191" s="30">
        <f t="shared" si="73"/>
        <v>-76.88333333333334</v>
      </c>
      <c r="AU191" s="27">
        <v>33526</v>
      </c>
      <c r="AV191" s="25">
        <v>33778</v>
      </c>
      <c r="AW191" s="25">
        <v>33708</v>
      </c>
      <c r="AX191" s="25">
        <v>33778</v>
      </c>
      <c r="AY191" s="28">
        <f t="shared" si="65"/>
        <v>-77</v>
      </c>
      <c r="AZ191" s="28">
        <f t="shared" si="69"/>
        <v>175</v>
      </c>
      <c r="BA191" s="37">
        <f t="shared" si="66"/>
        <v>253</v>
      </c>
      <c r="BB191" s="28">
        <f t="shared" si="74"/>
        <v>105</v>
      </c>
      <c r="BC191" s="28">
        <f t="shared" si="70"/>
        <v>175</v>
      </c>
      <c r="BD191" s="26">
        <f t="shared" si="71"/>
        <v>71</v>
      </c>
    </row>
    <row r="192" spans="1:59" s="26" customFormat="1" hidden="1" x14ac:dyDescent="0.3">
      <c r="A192" s="6">
        <v>1</v>
      </c>
      <c r="B192" s="6"/>
      <c r="C192" s="6"/>
      <c r="D192" s="6" t="s">
        <v>154</v>
      </c>
      <c r="E192" s="6" t="s">
        <v>155</v>
      </c>
      <c r="F192" s="9" t="str">
        <f t="shared" si="57"/>
        <v>1985-119Albis1986OTC</v>
      </c>
      <c r="G192" s="6" t="s">
        <v>156</v>
      </c>
      <c r="H192" s="6" t="s">
        <v>157</v>
      </c>
      <c r="I192" s="6" t="s">
        <v>158</v>
      </c>
      <c r="J192" s="6" t="s">
        <v>96</v>
      </c>
      <c r="K192" s="6" t="s">
        <v>159</v>
      </c>
      <c r="L192" s="6">
        <v>1986</v>
      </c>
      <c r="M192" s="6" t="s">
        <v>36</v>
      </c>
      <c r="N192" s="6" t="s">
        <v>51</v>
      </c>
      <c r="O192" s="6" t="s">
        <v>132</v>
      </c>
      <c r="P192" s="6">
        <f>(8 * R192+ 4 * 0.97*R192) / 12*T192*12/1000+R193/1.01*(90-T192)*12/1000</f>
        <v>24.592348514851487</v>
      </c>
      <c r="Q192" s="6"/>
      <c r="R192" s="6">
        <v>20</v>
      </c>
      <c r="S192" s="6">
        <v>8</v>
      </c>
      <c r="T192" s="6">
        <f t="shared" si="67"/>
        <v>72</v>
      </c>
      <c r="U192" s="9">
        <v>4</v>
      </c>
      <c r="V192" s="13">
        <v>0.13472763978990401</v>
      </c>
      <c r="W192" s="10">
        <v>31553</v>
      </c>
      <c r="X192" s="10">
        <v>31624</v>
      </c>
      <c r="Y192" s="12">
        <v>664</v>
      </c>
      <c r="Z192" s="6" t="s">
        <v>53</v>
      </c>
      <c r="AA192" s="6"/>
      <c r="AB192" s="6"/>
      <c r="AC192" s="12">
        <v>33.5</v>
      </c>
      <c r="AD192" s="7" t="s">
        <v>39</v>
      </c>
      <c r="AE192" s="6"/>
      <c r="AF192" s="6"/>
      <c r="AG192" s="12">
        <v>41.1</v>
      </c>
      <c r="AH192" s="6" t="s">
        <v>134</v>
      </c>
      <c r="AI192" s="6"/>
      <c r="AJ192" s="6"/>
      <c r="AK192" s="12">
        <v>501.3</v>
      </c>
      <c r="AL192" s="6" t="s">
        <v>54</v>
      </c>
      <c r="AM192" s="6"/>
      <c r="AN192" s="6"/>
      <c r="AO192" s="12">
        <f t="shared" ref="AO192:AO223" si="75">Y192/AC192*1000</f>
        <v>19820.895522388058</v>
      </c>
      <c r="AP192" s="6" t="s">
        <v>54</v>
      </c>
      <c r="AQ192" s="6"/>
      <c r="AR192" s="6"/>
      <c r="AS192" s="30">
        <f t="shared" ref="AS192:AS202" si="76">47+7/60</f>
        <v>47.116666666666667</v>
      </c>
      <c r="AT192" s="30">
        <f t="shared" ref="AT192:AT202" si="77">7+37/60</f>
        <v>7.6166666666666671</v>
      </c>
      <c r="AU192" s="27">
        <v>31511</v>
      </c>
      <c r="AV192" s="25">
        <v>31624</v>
      </c>
      <c r="AW192" s="25">
        <v>31553</v>
      </c>
      <c r="AX192" s="25">
        <v>31624</v>
      </c>
      <c r="AY192" s="28">
        <f t="shared" si="65"/>
        <v>99</v>
      </c>
      <c r="AZ192" s="28">
        <f t="shared" si="69"/>
        <v>212</v>
      </c>
      <c r="BA192" s="37">
        <f t="shared" si="66"/>
        <v>114</v>
      </c>
      <c r="BB192" s="28">
        <f t="shared" si="74"/>
        <v>141</v>
      </c>
      <c r="BC192" s="28">
        <f t="shared" si="70"/>
        <v>212</v>
      </c>
      <c r="BD192" s="26">
        <f t="shared" si="71"/>
        <v>72</v>
      </c>
      <c r="BF192" s="36">
        <v>31591</v>
      </c>
      <c r="BG192" s="26">
        <f t="shared" ref="BG192:BG217" si="78">AV192-BF192+1</f>
        <v>34</v>
      </c>
    </row>
    <row r="193" spans="1:59" s="26" customFormat="1" hidden="1" x14ac:dyDescent="0.3">
      <c r="A193" s="6">
        <v>1</v>
      </c>
      <c r="B193" s="6"/>
      <c r="C193" s="6"/>
      <c r="D193" s="6" t="s">
        <v>154</v>
      </c>
      <c r="E193" s="6" t="s">
        <v>155</v>
      </c>
      <c r="F193" s="9" t="str">
        <f t="shared" si="57"/>
        <v>1985-119Albis1986OTC</v>
      </c>
      <c r="G193" s="6" t="s">
        <v>156</v>
      </c>
      <c r="H193" s="6" t="s">
        <v>157</v>
      </c>
      <c r="I193" s="6" t="s">
        <v>158</v>
      </c>
      <c r="J193" s="6" t="s">
        <v>96</v>
      </c>
      <c r="K193" s="6" t="s">
        <v>159</v>
      </c>
      <c r="L193" s="6">
        <v>1986</v>
      </c>
      <c r="M193" s="6" t="s">
        <v>36</v>
      </c>
      <c r="N193" s="6" t="s">
        <v>51</v>
      </c>
      <c r="O193" s="6" t="s">
        <v>103</v>
      </c>
      <c r="P193" s="6">
        <f>R193/1.01*T193*12/1000+R193/1.01*(90-T193)*12/1000</f>
        <v>37.42574257425742</v>
      </c>
      <c r="Q193" s="6"/>
      <c r="R193" s="6">
        <v>35</v>
      </c>
      <c r="S193" s="6">
        <v>8</v>
      </c>
      <c r="T193" s="6">
        <f t="shared" si="67"/>
        <v>72</v>
      </c>
      <c r="U193" s="9">
        <v>4</v>
      </c>
      <c r="V193" s="13">
        <v>2.7820454495208602</v>
      </c>
      <c r="W193" s="10">
        <v>31553</v>
      </c>
      <c r="X193" s="10">
        <v>31624</v>
      </c>
      <c r="Y193" s="12">
        <v>611</v>
      </c>
      <c r="Z193" s="6" t="s">
        <v>53</v>
      </c>
      <c r="AA193" s="6"/>
      <c r="AB193" s="6"/>
      <c r="AC193" s="12">
        <v>30.7</v>
      </c>
      <c r="AD193" s="7" t="s">
        <v>39</v>
      </c>
      <c r="AE193" s="6"/>
      <c r="AF193" s="6"/>
      <c r="AG193" s="12">
        <v>39</v>
      </c>
      <c r="AH193" s="6" t="s">
        <v>134</v>
      </c>
      <c r="AI193" s="6"/>
      <c r="AJ193" s="6"/>
      <c r="AK193" s="12">
        <v>522</v>
      </c>
      <c r="AL193" s="6" t="s">
        <v>54</v>
      </c>
      <c r="AM193" s="6"/>
      <c r="AN193" s="6"/>
      <c r="AO193" s="12">
        <f t="shared" si="75"/>
        <v>19902.280130293162</v>
      </c>
      <c r="AP193" s="6" t="s">
        <v>54</v>
      </c>
      <c r="AQ193" s="6"/>
      <c r="AR193" s="6"/>
      <c r="AS193" s="30">
        <f t="shared" si="76"/>
        <v>47.116666666666667</v>
      </c>
      <c r="AT193" s="30">
        <f t="shared" si="77"/>
        <v>7.6166666666666671</v>
      </c>
      <c r="AU193" s="27">
        <v>31511</v>
      </c>
      <c r="AV193" s="25">
        <v>31624</v>
      </c>
      <c r="AW193" s="25">
        <v>31553</v>
      </c>
      <c r="AX193" s="25">
        <v>31624</v>
      </c>
      <c r="AY193" s="28">
        <f t="shared" ref="AY193:AY224" si="79">AU193-INT(YEAR(AV193)&amp;"/1/1")+1</f>
        <v>99</v>
      </c>
      <c r="AZ193" s="28">
        <f t="shared" si="69"/>
        <v>212</v>
      </c>
      <c r="BA193" s="37">
        <f t="shared" ref="BA193:BA224" si="80">AZ193-AY193+1</f>
        <v>114</v>
      </c>
      <c r="BB193" s="28">
        <f t="shared" si="74"/>
        <v>141</v>
      </c>
      <c r="BC193" s="28">
        <f t="shared" si="70"/>
        <v>212</v>
      </c>
      <c r="BD193" s="26">
        <f t="shared" si="71"/>
        <v>72</v>
      </c>
      <c r="BF193" s="36">
        <v>31591</v>
      </c>
      <c r="BG193" s="26">
        <f t="shared" si="78"/>
        <v>34</v>
      </c>
    </row>
    <row r="194" spans="1:59" s="26" customFormat="1" hidden="1" x14ac:dyDescent="0.3">
      <c r="A194" s="6">
        <v>1</v>
      </c>
      <c r="B194" s="6"/>
      <c r="C194" s="6"/>
      <c r="D194" s="6" t="s">
        <v>154</v>
      </c>
      <c r="E194" s="6" t="s">
        <v>155</v>
      </c>
      <c r="F194" s="9" t="str">
        <f t="shared" ref="F194:F259" si="81">D194&amp;K194&amp;L194&amp;M194</f>
        <v>1985-119Albis1986OTC</v>
      </c>
      <c r="G194" s="6" t="s">
        <v>156</v>
      </c>
      <c r="H194" s="6" t="s">
        <v>157</v>
      </c>
      <c r="I194" s="6" t="s">
        <v>158</v>
      </c>
      <c r="J194" s="6" t="s">
        <v>96</v>
      </c>
      <c r="K194" s="6" t="s">
        <v>159</v>
      </c>
      <c r="L194" s="6">
        <v>1986</v>
      </c>
      <c r="M194" s="6" t="s">
        <v>36</v>
      </c>
      <c r="N194" s="6" t="s">
        <v>51</v>
      </c>
      <c r="O194" s="6" t="s">
        <v>137</v>
      </c>
      <c r="P194" s="6">
        <f>(8 * R194+ 4 * 0.97*R193) / 12*T194*12/1000+R193/1.01*(90-T194)*12/1000</f>
        <v>76.590748514851498</v>
      </c>
      <c r="Q194" s="6"/>
      <c r="R194" s="6">
        <v>103</v>
      </c>
      <c r="S194" s="6">
        <v>8</v>
      </c>
      <c r="T194" s="6">
        <f t="shared" si="67"/>
        <v>72</v>
      </c>
      <c r="U194" s="9">
        <v>4</v>
      </c>
      <c r="V194" s="13">
        <v>34.528958228277801</v>
      </c>
      <c r="W194" s="10">
        <v>31553</v>
      </c>
      <c r="X194" s="10">
        <v>31624</v>
      </c>
      <c r="Y194" s="12">
        <v>256</v>
      </c>
      <c r="Z194" s="6" t="s">
        <v>53</v>
      </c>
      <c r="AA194" s="6"/>
      <c r="AB194" s="6"/>
      <c r="AC194" s="12">
        <v>20.3</v>
      </c>
      <c r="AD194" s="7" t="s">
        <v>39</v>
      </c>
      <c r="AE194" s="6"/>
      <c r="AF194" s="6"/>
      <c r="AG194" s="12">
        <v>29.1</v>
      </c>
      <c r="AH194" s="6" t="s">
        <v>134</v>
      </c>
      <c r="AI194" s="6"/>
      <c r="AJ194" s="6"/>
      <c r="AK194" s="12">
        <v>491.3</v>
      </c>
      <c r="AL194" s="6" t="s">
        <v>54</v>
      </c>
      <c r="AM194" s="6"/>
      <c r="AN194" s="6"/>
      <c r="AO194" s="12">
        <f t="shared" si="75"/>
        <v>12610.837438423645</v>
      </c>
      <c r="AP194" s="6" t="s">
        <v>54</v>
      </c>
      <c r="AQ194" s="6"/>
      <c r="AR194" s="6"/>
      <c r="AS194" s="30">
        <f t="shared" si="76"/>
        <v>47.116666666666667</v>
      </c>
      <c r="AT194" s="30">
        <f t="shared" si="77"/>
        <v>7.6166666666666671</v>
      </c>
      <c r="AU194" s="27">
        <v>31511</v>
      </c>
      <c r="AV194" s="25">
        <v>31624</v>
      </c>
      <c r="AW194" s="25">
        <v>31553</v>
      </c>
      <c r="AX194" s="25">
        <v>31624</v>
      </c>
      <c r="AY194" s="28">
        <f t="shared" si="79"/>
        <v>99</v>
      </c>
      <c r="AZ194" s="28">
        <f t="shared" si="69"/>
        <v>212</v>
      </c>
      <c r="BA194" s="37">
        <f t="shared" si="80"/>
        <v>114</v>
      </c>
      <c r="BB194" s="28">
        <f t="shared" si="74"/>
        <v>141</v>
      </c>
      <c r="BC194" s="28">
        <f t="shared" si="70"/>
        <v>212</v>
      </c>
      <c r="BD194" s="26">
        <f t="shared" si="71"/>
        <v>72</v>
      </c>
      <c r="BF194" s="36">
        <v>31591</v>
      </c>
      <c r="BG194" s="26">
        <f t="shared" si="78"/>
        <v>34</v>
      </c>
    </row>
    <row r="195" spans="1:59" s="26" customFormat="1" hidden="1" x14ac:dyDescent="0.3">
      <c r="A195" s="6">
        <v>1</v>
      </c>
      <c r="B195" s="6"/>
      <c r="C195" s="6"/>
      <c r="D195" s="6" t="s">
        <v>154</v>
      </c>
      <c r="E195" s="6" t="s">
        <v>155</v>
      </c>
      <c r="F195" s="9" t="str">
        <f t="shared" si="81"/>
        <v>1985-119Albis1987OTC</v>
      </c>
      <c r="G195" s="6" t="s">
        <v>156</v>
      </c>
      <c r="H195" s="6" t="s">
        <v>157</v>
      </c>
      <c r="I195" s="6" t="s">
        <v>158</v>
      </c>
      <c r="J195" s="6" t="s">
        <v>96</v>
      </c>
      <c r="K195" s="6" t="s">
        <v>159</v>
      </c>
      <c r="L195" s="6">
        <v>1987</v>
      </c>
      <c r="M195" s="6" t="s">
        <v>36</v>
      </c>
      <c r="N195" s="6" t="s">
        <v>51</v>
      </c>
      <c r="O195" s="6" t="s">
        <v>132</v>
      </c>
      <c r="P195" s="7">
        <f>(8 * R195+ 4 * 0.97*R195) / 12*1.08</f>
        <v>17.107199999999999</v>
      </c>
      <c r="Q195" s="6"/>
      <c r="R195" s="6">
        <v>16</v>
      </c>
      <c r="S195" s="6">
        <v>8</v>
      </c>
      <c r="T195" s="6">
        <f t="shared" ref="T195:T226" si="82">X195-W195+1</f>
        <v>90</v>
      </c>
      <c r="U195" s="9">
        <v>4</v>
      </c>
      <c r="V195" s="13">
        <v>0</v>
      </c>
      <c r="W195" s="10">
        <v>31910</v>
      </c>
      <c r="X195" s="10">
        <v>31999</v>
      </c>
      <c r="Y195" s="12">
        <v>617</v>
      </c>
      <c r="Z195" s="6" t="s">
        <v>53</v>
      </c>
      <c r="AA195" s="6"/>
      <c r="AB195" s="6"/>
      <c r="AC195" s="12">
        <v>33.700000000000003</v>
      </c>
      <c r="AD195" s="7" t="s">
        <v>39</v>
      </c>
      <c r="AE195" s="6"/>
      <c r="AF195" s="6"/>
      <c r="AG195" s="12">
        <v>34.6</v>
      </c>
      <c r="AH195" s="6" t="s">
        <v>134</v>
      </c>
      <c r="AI195" s="6"/>
      <c r="AJ195" s="6"/>
      <c r="AK195" s="12">
        <v>530</v>
      </c>
      <c r="AL195" s="6" t="s">
        <v>54</v>
      </c>
      <c r="AM195" s="6"/>
      <c r="AN195" s="6"/>
      <c r="AO195" s="12">
        <f t="shared" si="75"/>
        <v>18308.60534124629</v>
      </c>
      <c r="AP195" s="6" t="s">
        <v>54</v>
      </c>
      <c r="AQ195" s="6"/>
      <c r="AR195" s="6"/>
      <c r="AS195" s="30">
        <f t="shared" si="76"/>
        <v>47.116666666666667</v>
      </c>
      <c r="AT195" s="30">
        <f t="shared" si="77"/>
        <v>7.6166666666666671</v>
      </c>
      <c r="AU195" s="27">
        <v>31870</v>
      </c>
      <c r="AV195" s="25">
        <v>31999</v>
      </c>
      <c r="AW195" s="25">
        <v>31910</v>
      </c>
      <c r="AX195" s="25">
        <v>31999</v>
      </c>
      <c r="AY195" s="28">
        <f t="shared" si="79"/>
        <v>93</v>
      </c>
      <c r="AZ195" s="28">
        <f t="shared" si="69"/>
        <v>222</v>
      </c>
      <c r="BA195" s="37">
        <f t="shared" si="80"/>
        <v>130</v>
      </c>
      <c r="BB195" s="28">
        <f t="shared" si="74"/>
        <v>133</v>
      </c>
      <c r="BC195" s="28">
        <f t="shared" si="70"/>
        <v>222</v>
      </c>
      <c r="BD195" s="26">
        <f t="shared" si="71"/>
        <v>90</v>
      </c>
      <c r="BF195" s="36">
        <v>31962</v>
      </c>
      <c r="BG195" s="26">
        <f t="shared" si="78"/>
        <v>38</v>
      </c>
    </row>
    <row r="196" spans="1:59" s="26" customFormat="1" hidden="1" x14ac:dyDescent="0.3">
      <c r="A196" s="6">
        <v>1</v>
      </c>
      <c r="B196" s="6"/>
      <c r="C196" s="6"/>
      <c r="D196" s="6" t="s">
        <v>154</v>
      </c>
      <c r="E196" s="6" t="s">
        <v>155</v>
      </c>
      <c r="F196" s="9" t="str">
        <f t="shared" si="81"/>
        <v>1985-119Albis1987OTC</v>
      </c>
      <c r="G196" s="6" t="s">
        <v>156</v>
      </c>
      <c r="H196" s="6" t="s">
        <v>157</v>
      </c>
      <c r="I196" s="6" t="s">
        <v>158</v>
      </c>
      <c r="J196" s="6" t="s">
        <v>96</v>
      </c>
      <c r="K196" s="6" t="s">
        <v>159</v>
      </c>
      <c r="L196" s="6">
        <v>1987</v>
      </c>
      <c r="M196" s="6" t="s">
        <v>36</v>
      </c>
      <c r="N196" s="6" t="s">
        <v>51</v>
      </c>
      <c r="O196" s="6" t="s">
        <v>103</v>
      </c>
      <c r="P196" s="7">
        <f>R196/1.01*1.08</f>
        <v>35.287128712871286</v>
      </c>
      <c r="Q196" s="6"/>
      <c r="R196" s="6">
        <v>33</v>
      </c>
      <c r="S196" s="6">
        <v>8</v>
      </c>
      <c r="T196" s="6">
        <f t="shared" si="82"/>
        <v>90</v>
      </c>
      <c r="U196" s="9">
        <v>4</v>
      </c>
      <c r="V196" s="13">
        <v>2.0812598193567</v>
      </c>
      <c r="W196" s="10">
        <v>31910</v>
      </c>
      <c r="X196" s="10">
        <v>31999</v>
      </c>
      <c r="Y196" s="12">
        <v>554</v>
      </c>
      <c r="Z196" s="6" t="s">
        <v>53</v>
      </c>
      <c r="AA196" s="6"/>
      <c r="AB196" s="6"/>
      <c r="AC196" s="12">
        <v>32.1</v>
      </c>
      <c r="AD196" s="7" t="s">
        <v>39</v>
      </c>
      <c r="AE196" s="6"/>
      <c r="AF196" s="6"/>
      <c r="AG196" s="12">
        <v>33.299999999999997</v>
      </c>
      <c r="AH196" s="6" t="s">
        <v>134</v>
      </c>
      <c r="AI196" s="6"/>
      <c r="AJ196" s="6"/>
      <c r="AK196" s="12">
        <v>512.5</v>
      </c>
      <c r="AL196" s="6" t="s">
        <v>54</v>
      </c>
      <c r="AM196" s="6"/>
      <c r="AN196" s="6"/>
      <c r="AO196" s="12">
        <f t="shared" si="75"/>
        <v>17258.566978193143</v>
      </c>
      <c r="AP196" s="6" t="s">
        <v>54</v>
      </c>
      <c r="AQ196" s="6"/>
      <c r="AR196" s="6"/>
      <c r="AS196" s="30">
        <f t="shared" si="76"/>
        <v>47.116666666666667</v>
      </c>
      <c r="AT196" s="30">
        <f t="shared" si="77"/>
        <v>7.6166666666666671</v>
      </c>
      <c r="AU196" s="27">
        <v>31870</v>
      </c>
      <c r="AV196" s="25">
        <v>31999</v>
      </c>
      <c r="AW196" s="25">
        <v>31910</v>
      </c>
      <c r="AX196" s="25">
        <v>31999</v>
      </c>
      <c r="AY196" s="28">
        <f t="shared" si="79"/>
        <v>93</v>
      </c>
      <c r="AZ196" s="28">
        <f t="shared" si="69"/>
        <v>222</v>
      </c>
      <c r="BA196" s="37">
        <f t="shared" si="80"/>
        <v>130</v>
      </c>
      <c r="BB196" s="28">
        <f t="shared" si="74"/>
        <v>133</v>
      </c>
      <c r="BC196" s="28">
        <f t="shared" si="70"/>
        <v>222</v>
      </c>
      <c r="BD196" s="26">
        <f t="shared" si="71"/>
        <v>90</v>
      </c>
      <c r="BF196" s="36">
        <v>31962</v>
      </c>
      <c r="BG196" s="26">
        <f t="shared" si="78"/>
        <v>38</v>
      </c>
    </row>
    <row r="197" spans="1:59" s="26" customFormat="1" hidden="1" x14ac:dyDescent="0.3">
      <c r="A197" s="6">
        <v>1</v>
      </c>
      <c r="B197" s="6"/>
      <c r="C197" s="6"/>
      <c r="D197" s="6" t="s">
        <v>154</v>
      </c>
      <c r="E197" s="6" t="s">
        <v>155</v>
      </c>
      <c r="F197" s="9" t="str">
        <f t="shared" si="81"/>
        <v>1985-119Albis1987OTC</v>
      </c>
      <c r="G197" s="6" t="s">
        <v>156</v>
      </c>
      <c r="H197" s="6" t="s">
        <v>157</v>
      </c>
      <c r="I197" s="6" t="s">
        <v>158</v>
      </c>
      <c r="J197" s="6" t="s">
        <v>96</v>
      </c>
      <c r="K197" s="6" t="s">
        <v>159</v>
      </c>
      <c r="L197" s="6">
        <v>1987</v>
      </c>
      <c r="M197" s="6" t="s">
        <v>36</v>
      </c>
      <c r="N197" s="6" t="s">
        <v>51</v>
      </c>
      <c r="O197" s="6" t="s">
        <v>136</v>
      </c>
      <c r="P197" s="7">
        <f>(8 * R197+ 4 * 0.97*R196) / 12*1.08</f>
        <v>58.323599999999999</v>
      </c>
      <c r="Q197" s="6"/>
      <c r="R197" s="6">
        <v>65</v>
      </c>
      <c r="S197" s="6">
        <v>8</v>
      </c>
      <c r="T197" s="6">
        <f t="shared" si="82"/>
        <v>90</v>
      </c>
      <c r="U197" s="9">
        <v>4</v>
      </c>
      <c r="V197" s="13">
        <v>17.275867995722599</v>
      </c>
      <c r="W197" s="10">
        <v>31910</v>
      </c>
      <c r="X197" s="10">
        <v>31999</v>
      </c>
      <c r="Y197" s="12">
        <v>386</v>
      </c>
      <c r="Z197" s="6" t="s">
        <v>53</v>
      </c>
      <c r="AA197" s="6"/>
      <c r="AB197" s="6"/>
      <c r="AC197" s="12">
        <v>24.3</v>
      </c>
      <c r="AD197" s="7" t="s">
        <v>39</v>
      </c>
      <c r="AE197" s="6"/>
      <c r="AF197" s="6"/>
      <c r="AG197" s="12">
        <v>30.5</v>
      </c>
      <c r="AH197" s="6" t="s">
        <v>134</v>
      </c>
      <c r="AI197" s="6"/>
      <c r="AJ197" s="6"/>
      <c r="AK197" s="12">
        <v>522.5</v>
      </c>
      <c r="AL197" s="6" t="s">
        <v>54</v>
      </c>
      <c r="AM197" s="6"/>
      <c r="AN197" s="6"/>
      <c r="AO197" s="12">
        <f t="shared" si="75"/>
        <v>15884.773662551441</v>
      </c>
      <c r="AP197" s="6" t="s">
        <v>54</v>
      </c>
      <c r="AQ197" s="6"/>
      <c r="AR197" s="6"/>
      <c r="AS197" s="30">
        <f t="shared" si="76"/>
        <v>47.116666666666667</v>
      </c>
      <c r="AT197" s="30">
        <f t="shared" si="77"/>
        <v>7.6166666666666671</v>
      </c>
      <c r="AU197" s="27">
        <v>31870</v>
      </c>
      <c r="AV197" s="25">
        <v>31999</v>
      </c>
      <c r="AW197" s="25">
        <v>31910</v>
      </c>
      <c r="AX197" s="25">
        <v>31999</v>
      </c>
      <c r="AY197" s="28">
        <f t="shared" si="79"/>
        <v>93</v>
      </c>
      <c r="AZ197" s="28">
        <f t="shared" si="69"/>
        <v>222</v>
      </c>
      <c r="BA197" s="37">
        <f t="shared" si="80"/>
        <v>130</v>
      </c>
      <c r="BB197" s="28">
        <f t="shared" si="74"/>
        <v>133</v>
      </c>
      <c r="BC197" s="28">
        <f t="shared" si="70"/>
        <v>222</v>
      </c>
      <c r="BD197" s="26">
        <f t="shared" si="71"/>
        <v>90</v>
      </c>
      <c r="BF197" s="36">
        <v>31962</v>
      </c>
      <c r="BG197" s="26">
        <f t="shared" si="78"/>
        <v>38</v>
      </c>
    </row>
    <row r="198" spans="1:59" s="26" customFormat="1" hidden="1" x14ac:dyDescent="0.3">
      <c r="A198" s="6">
        <v>1</v>
      </c>
      <c r="B198" s="6"/>
      <c r="C198" s="6"/>
      <c r="D198" s="6" t="s">
        <v>154</v>
      </c>
      <c r="E198" s="6" t="s">
        <v>155</v>
      </c>
      <c r="F198" s="9" t="str">
        <f t="shared" si="81"/>
        <v>1985-119Albis1987OTC</v>
      </c>
      <c r="G198" s="6" t="s">
        <v>156</v>
      </c>
      <c r="H198" s="6" t="s">
        <v>157</v>
      </c>
      <c r="I198" s="6" t="s">
        <v>158</v>
      </c>
      <c r="J198" s="6" t="s">
        <v>96</v>
      </c>
      <c r="K198" s="6" t="s">
        <v>159</v>
      </c>
      <c r="L198" s="6">
        <v>1987</v>
      </c>
      <c r="M198" s="6" t="s">
        <v>36</v>
      </c>
      <c r="N198" s="6" t="s">
        <v>51</v>
      </c>
      <c r="O198" s="6" t="s">
        <v>137</v>
      </c>
      <c r="P198" s="7">
        <f>(8 * R198+ 4 * 0.97*R196) / 12*1.08</f>
        <v>79.923600000000008</v>
      </c>
      <c r="Q198" s="6"/>
      <c r="R198" s="6">
        <v>95</v>
      </c>
      <c r="S198" s="6">
        <v>8</v>
      </c>
      <c r="T198" s="6">
        <f t="shared" si="82"/>
        <v>90</v>
      </c>
      <c r="U198" s="9">
        <v>4</v>
      </c>
      <c r="V198" s="13">
        <v>37.769273886058301</v>
      </c>
      <c r="W198" s="10">
        <v>31910</v>
      </c>
      <c r="X198" s="10">
        <v>31999</v>
      </c>
      <c r="Y198" s="12">
        <v>213</v>
      </c>
      <c r="Z198" s="6" t="s">
        <v>53</v>
      </c>
      <c r="AA198" s="6"/>
      <c r="AB198" s="6"/>
      <c r="AC198" s="12">
        <v>17.100000000000001</v>
      </c>
      <c r="AD198" s="7" t="s">
        <v>39</v>
      </c>
      <c r="AE198" s="6"/>
      <c r="AF198" s="6"/>
      <c r="AG198" s="12">
        <v>24.1</v>
      </c>
      <c r="AH198" s="6" t="s">
        <v>134</v>
      </c>
      <c r="AI198" s="6"/>
      <c r="AJ198" s="6"/>
      <c r="AK198" s="12">
        <v>510</v>
      </c>
      <c r="AL198" s="6" t="s">
        <v>54</v>
      </c>
      <c r="AM198" s="6"/>
      <c r="AN198" s="6"/>
      <c r="AO198" s="12">
        <f t="shared" si="75"/>
        <v>12456.140350877191</v>
      </c>
      <c r="AP198" s="6" t="s">
        <v>54</v>
      </c>
      <c r="AQ198" s="6"/>
      <c r="AR198" s="6"/>
      <c r="AS198" s="30">
        <f t="shared" si="76"/>
        <v>47.116666666666667</v>
      </c>
      <c r="AT198" s="30">
        <f t="shared" si="77"/>
        <v>7.6166666666666671</v>
      </c>
      <c r="AU198" s="27">
        <v>31870</v>
      </c>
      <c r="AV198" s="25">
        <v>31999</v>
      </c>
      <c r="AW198" s="25">
        <v>31910</v>
      </c>
      <c r="AX198" s="25">
        <v>31999</v>
      </c>
      <c r="AY198" s="28">
        <f t="shared" si="79"/>
        <v>93</v>
      </c>
      <c r="AZ198" s="28">
        <f t="shared" si="69"/>
        <v>222</v>
      </c>
      <c r="BA198" s="37">
        <f t="shared" si="80"/>
        <v>130</v>
      </c>
      <c r="BB198" s="28">
        <f t="shared" si="74"/>
        <v>133</v>
      </c>
      <c r="BC198" s="28">
        <f t="shared" si="70"/>
        <v>222</v>
      </c>
      <c r="BD198" s="26">
        <f t="shared" si="71"/>
        <v>90</v>
      </c>
      <c r="BF198" s="36">
        <v>31962</v>
      </c>
      <c r="BG198" s="26">
        <f t="shared" si="78"/>
        <v>38</v>
      </c>
    </row>
    <row r="199" spans="1:59" s="26" customFormat="1" hidden="1" x14ac:dyDescent="0.3">
      <c r="A199" s="6">
        <v>1</v>
      </c>
      <c r="B199" s="6"/>
      <c r="C199" s="6"/>
      <c r="D199" s="6" t="s">
        <v>154</v>
      </c>
      <c r="E199" s="6" t="s">
        <v>155</v>
      </c>
      <c r="F199" s="9" t="str">
        <f t="shared" si="81"/>
        <v>1985-119Albis1988OTC</v>
      </c>
      <c r="G199" s="6" t="s">
        <v>156</v>
      </c>
      <c r="H199" s="6" t="s">
        <v>157</v>
      </c>
      <c r="I199" s="6" t="s">
        <v>158</v>
      </c>
      <c r="J199" s="6" t="s">
        <v>96</v>
      </c>
      <c r="K199" s="6" t="s">
        <v>159</v>
      </c>
      <c r="L199" s="6">
        <v>1988</v>
      </c>
      <c r="M199" s="6" t="s">
        <v>36</v>
      </c>
      <c r="N199" s="6" t="s">
        <v>51</v>
      </c>
      <c r="O199" s="6" t="s">
        <v>132</v>
      </c>
      <c r="P199" s="6">
        <f>(8 * R199+ 4 * 0.97*R199) / 12*T199*12/1000+R200/1.01*(90-T199)*12/1000</f>
        <v>24.91273425742574</v>
      </c>
      <c r="Q199" s="6"/>
      <c r="R199" s="6">
        <v>22</v>
      </c>
      <c r="S199" s="6">
        <v>8</v>
      </c>
      <c r="T199" s="6">
        <f t="shared" si="82"/>
        <v>81</v>
      </c>
      <c r="U199" s="9">
        <v>4</v>
      </c>
      <c r="V199" s="13">
        <v>0.16916951417220799</v>
      </c>
      <c r="W199" s="10">
        <v>32276</v>
      </c>
      <c r="X199" s="10">
        <v>32356</v>
      </c>
      <c r="Y199" s="12">
        <v>668</v>
      </c>
      <c r="Z199" s="6" t="s">
        <v>53</v>
      </c>
      <c r="AA199" s="6"/>
      <c r="AB199" s="6"/>
      <c r="AC199" s="12">
        <v>36.1</v>
      </c>
      <c r="AD199" s="7" t="s">
        <v>39</v>
      </c>
      <c r="AE199" s="6"/>
      <c r="AF199" s="6"/>
      <c r="AG199" s="12">
        <v>34.799999999999997</v>
      </c>
      <c r="AH199" s="6" t="s">
        <v>134</v>
      </c>
      <c r="AI199" s="6"/>
      <c r="AJ199" s="6"/>
      <c r="AK199" s="12">
        <v>528</v>
      </c>
      <c r="AL199" s="6" t="s">
        <v>54</v>
      </c>
      <c r="AM199" s="6"/>
      <c r="AN199" s="6"/>
      <c r="AO199" s="12">
        <f t="shared" si="75"/>
        <v>18504.155124653738</v>
      </c>
      <c r="AP199" s="6" t="s">
        <v>54</v>
      </c>
      <c r="AQ199" s="6"/>
      <c r="AR199" s="6"/>
      <c r="AS199" s="30">
        <f t="shared" si="76"/>
        <v>47.116666666666667</v>
      </c>
      <c r="AT199" s="30">
        <f t="shared" si="77"/>
        <v>7.6166666666666671</v>
      </c>
      <c r="AU199" s="27">
        <v>32267</v>
      </c>
      <c r="AV199" s="27">
        <v>32356</v>
      </c>
      <c r="AW199" s="25">
        <v>32276</v>
      </c>
      <c r="AX199" s="25">
        <v>32356</v>
      </c>
      <c r="AY199" s="28">
        <f t="shared" si="79"/>
        <v>125</v>
      </c>
      <c r="AZ199" s="28">
        <f t="shared" si="69"/>
        <v>214</v>
      </c>
      <c r="BA199" s="37">
        <f t="shared" si="80"/>
        <v>90</v>
      </c>
      <c r="BB199" s="28">
        <f t="shared" si="74"/>
        <v>134</v>
      </c>
      <c r="BC199" s="28">
        <f t="shared" si="70"/>
        <v>214</v>
      </c>
      <c r="BD199" s="26">
        <f t="shared" si="71"/>
        <v>81</v>
      </c>
      <c r="BF199" s="36">
        <v>32314</v>
      </c>
      <c r="BG199" s="26">
        <f t="shared" si="78"/>
        <v>43</v>
      </c>
    </row>
    <row r="200" spans="1:59" s="26" customFormat="1" hidden="1" x14ac:dyDescent="0.3">
      <c r="A200" s="6">
        <v>1</v>
      </c>
      <c r="B200" s="6"/>
      <c r="C200" s="6"/>
      <c r="D200" s="6" t="s">
        <v>154</v>
      </c>
      <c r="E200" s="6" t="s">
        <v>155</v>
      </c>
      <c r="F200" s="9" t="str">
        <f t="shared" si="81"/>
        <v>1985-119Albis1988OTC</v>
      </c>
      <c r="G200" s="6" t="s">
        <v>156</v>
      </c>
      <c r="H200" s="6" t="s">
        <v>157</v>
      </c>
      <c r="I200" s="6" t="s">
        <v>158</v>
      </c>
      <c r="J200" s="6" t="s">
        <v>96</v>
      </c>
      <c r="K200" s="6" t="s">
        <v>159</v>
      </c>
      <c r="L200" s="6">
        <v>1988</v>
      </c>
      <c r="M200" s="6" t="s">
        <v>36</v>
      </c>
      <c r="N200" s="6" t="s">
        <v>51</v>
      </c>
      <c r="O200" s="6" t="s">
        <v>103</v>
      </c>
      <c r="P200" s="6">
        <f>R200/1.01*T200*12/1000+R200/1.01*(90-T200)*12/1000</f>
        <v>37.425742574257427</v>
      </c>
      <c r="Q200" s="6"/>
      <c r="R200" s="6">
        <v>35</v>
      </c>
      <c r="S200" s="6">
        <v>8</v>
      </c>
      <c r="T200" s="6">
        <f t="shared" si="82"/>
        <v>81</v>
      </c>
      <c r="U200" s="9">
        <v>4</v>
      </c>
      <c r="V200" s="13">
        <v>2.7820454495208602</v>
      </c>
      <c r="W200" s="10">
        <v>32276</v>
      </c>
      <c r="X200" s="10">
        <v>32356</v>
      </c>
      <c r="Y200" s="12">
        <v>611</v>
      </c>
      <c r="Z200" s="6" t="s">
        <v>53</v>
      </c>
      <c r="AA200" s="6"/>
      <c r="AB200" s="6"/>
      <c r="AC200" s="12">
        <v>35.700000000000003</v>
      </c>
      <c r="AD200" s="7" t="s">
        <v>39</v>
      </c>
      <c r="AE200" s="6"/>
      <c r="AF200" s="6"/>
      <c r="AG200" s="12">
        <v>36</v>
      </c>
      <c r="AH200" s="6" t="s">
        <v>134</v>
      </c>
      <c r="AI200" s="6"/>
      <c r="AJ200" s="6"/>
      <c r="AK200" s="12">
        <v>475.5</v>
      </c>
      <c r="AL200" s="6" t="s">
        <v>54</v>
      </c>
      <c r="AM200" s="6"/>
      <c r="AN200" s="6"/>
      <c r="AO200" s="12">
        <f t="shared" si="75"/>
        <v>17114.845938375351</v>
      </c>
      <c r="AP200" s="6" t="s">
        <v>54</v>
      </c>
      <c r="AQ200" s="6"/>
      <c r="AR200" s="6"/>
      <c r="AS200" s="30">
        <f t="shared" si="76"/>
        <v>47.116666666666667</v>
      </c>
      <c r="AT200" s="30">
        <f t="shared" si="77"/>
        <v>7.6166666666666671</v>
      </c>
      <c r="AU200" s="27">
        <v>32267</v>
      </c>
      <c r="AV200" s="27">
        <v>32356</v>
      </c>
      <c r="AW200" s="25">
        <v>32276</v>
      </c>
      <c r="AX200" s="25">
        <v>32356</v>
      </c>
      <c r="AY200" s="28">
        <f t="shared" si="79"/>
        <v>125</v>
      </c>
      <c r="AZ200" s="28">
        <f t="shared" si="69"/>
        <v>214</v>
      </c>
      <c r="BA200" s="37">
        <f t="shared" si="80"/>
        <v>90</v>
      </c>
      <c r="BB200" s="28">
        <f t="shared" si="74"/>
        <v>134</v>
      </c>
      <c r="BC200" s="28">
        <f t="shared" si="70"/>
        <v>214</v>
      </c>
      <c r="BD200" s="26">
        <f t="shared" si="71"/>
        <v>81</v>
      </c>
      <c r="BF200" s="36">
        <v>32314</v>
      </c>
      <c r="BG200" s="26">
        <f t="shared" si="78"/>
        <v>43</v>
      </c>
    </row>
    <row r="201" spans="1:59" s="26" customFormat="1" hidden="1" x14ac:dyDescent="0.3">
      <c r="A201" s="6">
        <v>1</v>
      </c>
      <c r="B201" s="6"/>
      <c r="C201" s="6"/>
      <c r="D201" s="6" t="s">
        <v>154</v>
      </c>
      <c r="E201" s="6" t="s">
        <v>155</v>
      </c>
      <c r="F201" s="9" t="str">
        <f t="shared" si="81"/>
        <v>1985-119Albis1988OTC</v>
      </c>
      <c r="G201" s="6" t="s">
        <v>156</v>
      </c>
      <c r="H201" s="6" t="s">
        <v>157</v>
      </c>
      <c r="I201" s="6" t="s">
        <v>158</v>
      </c>
      <c r="J201" s="6" t="s">
        <v>96</v>
      </c>
      <c r="K201" s="6" t="s">
        <v>159</v>
      </c>
      <c r="L201" s="6">
        <v>1988</v>
      </c>
      <c r="M201" s="6" t="s">
        <v>36</v>
      </c>
      <c r="N201" s="6" t="s">
        <v>51</v>
      </c>
      <c r="O201" s="6" t="s">
        <v>136</v>
      </c>
      <c r="P201" s="6">
        <f>(8 * R201+ 4 * 0.97*R200) / 12*T201*12/1000+R200/1.01*(90-T201)*12/1000</f>
        <v>55.566374257425743</v>
      </c>
      <c r="Q201" s="6"/>
      <c r="R201" s="6">
        <v>63</v>
      </c>
      <c r="S201" s="6">
        <v>8</v>
      </c>
      <c r="T201" s="6">
        <f t="shared" si="82"/>
        <v>81</v>
      </c>
      <c r="U201" s="9">
        <v>4</v>
      </c>
      <c r="V201" s="13">
        <v>14.829808857695401</v>
      </c>
      <c r="W201" s="10">
        <v>32276</v>
      </c>
      <c r="X201" s="10">
        <v>32356</v>
      </c>
      <c r="Y201" s="12">
        <v>461.00000000000006</v>
      </c>
      <c r="Z201" s="6" t="s">
        <v>53</v>
      </c>
      <c r="AA201" s="6"/>
      <c r="AB201" s="6"/>
      <c r="AC201" s="12">
        <v>27.6</v>
      </c>
      <c r="AD201" s="7" t="s">
        <v>39</v>
      </c>
      <c r="AE201" s="6"/>
      <c r="AF201" s="6"/>
      <c r="AG201" s="12">
        <v>32.1</v>
      </c>
      <c r="AH201" s="6" t="s">
        <v>134</v>
      </c>
      <c r="AI201" s="6"/>
      <c r="AJ201" s="6"/>
      <c r="AK201" s="12">
        <v>509</v>
      </c>
      <c r="AL201" s="6" t="s">
        <v>54</v>
      </c>
      <c r="AM201" s="6"/>
      <c r="AN201" s="6"/>
      <c r="AO201" s="12">
        <f t="shared" si="75"/>
        <v>16702.89855072464</v>
      </c>
      <c r="AP201" s="6" t="s">
        <v>54</v>
      </c>
      <c r="AQ201" s="6"/>
      <c r="AR201" s="6"/>
      <c r="AS201" s="30">
        <f t="shared" si="76"/>
        <v>47.116666666666667</v>
      </c>
      <c r="AT201" s="30">
        <f t="shared" si="77"/>
        <v>7.6166666666666671</v>
      </c>
      <c r="AU201" s="27">
        <v>32267</v>
      </c>
      <c r="AV201" s="27">
        <v>32356</v>
      </c>
      <c r="AW201" s="25">
        <v>32276</v>
      </c>
      <c r="AX201" s="25">
        <v>32356</v>
      </c>
      <c r="AY201" s="28">
        <f t="shared" si="79"/>
        <v>125</v>
      </c>
      <c r="AZ201" s="28">
        <f t="shared" si="69"/>
        <v>214</v>
      </c>
      <c r="BA201" s="37">
        <f t="shared" si="80"/>
        <v>90</v>
      </c>
      <c r="BB201" s="28">
        <f t="shared" si="74"/>
        <v>134</v>
      </c>
      <c r="BC201" s="28">
        <f t="shared" si="70"/>
        <v>214</v>
      </c>
      <c r="BD201" s="26">
        <f t="shared" si="71"/>
        <v>81</v>
      </c>
      <c r="BF201" s="36">
        <v>32314</v>
      </c>
      <c r="BG201" s="26">
        <f t="shared" si="78"/>
        <v>43</v>
      </c>
    </row>
    <row r="202" spans="1:59" s="26" customFormat="1" hidden="1" x14ac:dyDescent="0.3">
      <c r="A202" s="6">
        <v>1</v>
      </c>
      <c r="B202" s="6"/>
      <c r="C202" s="6"/>
      <c r="D202" s="6" t="s">
        <v>154</v>
      </c>
      <c r="E202" s="6" t="s">
        <v>155</v>
      </c>
      <c r="F202" s="9" t="str">
        <f t="shared" si="81"/>
        <v>1985-119Albis1988OTC</v>
      </c>
      <c r="G202" s="6" t="s">
        <v>156</v>
      </c>
      <c r="H202" s="6" t="s">
        <v>157</v>
      </c>
      <c r="I202" s="6" t="s">
        <v>158</v>
      </c>
      <c r="J202" s="6" t="s">
        <v>96</v>
      </c>
      <c r="K202" s="6" t="s">
        <v>159</v>
      </c>
      <c r="L202" s="6">
        <v>1988</v>
      </c>
      <c r="M202" s="6" t="s">
        <v>36</v>
      </c>
      <c r="N202" s="6" t="s">
        <v>51</v>
      </c>
      <c r="O202" s="6" t="s">
        <v>137</v>
      </c>
      <c r="P202" s="6">
        <f>(8 * R202+ 4 * 0.97*R200) / 12*T202*12/1000+R200/1.01*(90-T202)*12/1000</f>
        <v>72.414374257425735</v>
      </c>
      <c r="Q202" s="6"/>
      <c r="R202" s="6">
        <v>89</v>
      </c>
      <c r="S202" s="6">
        <v>8</v>
      </c>
      <c r="T202" s="6">
        <f t="shared" si="82"/>
        <v>81</v>
      </c>
      <c r="U202" s="9">
        <v>4</v>
      </c>
      <c r="V202" s="13">
        <v>30.493562298089302</v>
      </c>
      <c r="W202" s="10">
        <v>32276</v>
      </c>
      <c r="X202" s="10">
        <v>32356</v>
      </c>
      <c r="Y202" s="12">
        <v>231</v>
      </c>
      <c r="Z202" s="6" t="s">
        <v>53</v>
      </c>
      <c r="AA202" s="6"/>
      <c r="AB202" s="6"/>
      <c r="AC202" s="12">
        <v>21.2</v>
      </c>
      <c r="AD202" s="7" t="s">
        <v>39</v>
      </c>
      <c r="AE202" s="6"/>
      <c r="AF202" s="6"/>
      <c r="AG202" s="12">
        <v>25.3</v>
      </c>
      <c r="AH202" s="6" t="s">
        <v>134</v>
      </c>
      <c r="AI202" s="6"/>
      <c r="AJ202" s="6"/>
      <c r="AK202" s="12">
        <v>431</v>
      </c>
      <c r="AL202" s="6" t="s">
        <v>54</v>
      </c>
      <c r="AM202" s="6"/>
      <c r="AN202" s="6"/>
      <c r="AO202" s="12">
        <f t="shared" si="75"/>
        <v>10896.226415094339</v>
      </c>
      <c r="AP202" s="6" t="s">
        <v>54</v>
      </c>
      <c r="AQ202" s="6"/>
      <c r="AR202" s="6"/>
      <c r="AS202" s="30">
        <f t="shared" si="76"/>
        <v>47.116666666666667</v>
      </c>
      <c r="AT202" s="30">
        <f t="shared" si="77"/>
        <v>7.6166666666666671</v>
      </c>
      <c r="AU202" s="27">
        <v>32267</v>
      </c>
      <c r="AV202" s="27">
        <v>32356</v>
      </c>
      <c r="AW202" s="25">
        <v>32276</v>
      </c>
      <c r="AX202" s="25">
        <v>32356</v>
      </c>
      <c r="AY202" s="28">
        <f t="shared" si="79"/>
        <v>125</v>
      </c>
      <c r="AZ202" s="28">
        <f t="shared" si="69"/>
        <v>214</v>
      </c>
      <c r="BA202" s="37">
        <f t="shared" si="80"/>
        <v>90</v>
      </c>
      <c r="BB202" s="28">
        <f t="shared" si="74"/>
        <v>134</v>
      </c>
      <c r="BC202" s="28">
        <f t="shared" si="70"/>
        <v>214</v>
      </c>
      <c r="BD202" s="26">
        <f t="shared" si="71"/>
        <v>81</v>
      </c>
      <c r="BF202" s="36">
        <v>32314</v>
      </c>
      <c r="BG202" s="26">
        <f t="shared" si="78"/>
        <v>43</v>
      </c>
    </row>
    <row r="203" spans="1:59" s="26" customFormat="1" hidden="1" x14ac:dyDescent="0.3">
      <c r="A203" s="6">
        <v>1</v>
      </c>
      <c r="B203" s="6"/>
      <c r="C203" s="6"/>
      <c r="D203" s="6" t="s">
        <v>160</v>
      </c>
      <c r="E203" s="9" t="s">
        <v>161</v>
      </c>
      <c r="F203" s="9" t="str">
        <f t="shared" si="81"/>
        <v>1991-89Drabant1987OTC</v>
      </c>
      <c r="G203" s="6" t="s">
        <v>162</v>
      </c>
      <c r="H203" s="6" t="s">
        <v>157</v>
      </c>
      <c r="I203" s="9" t="s">
        <v>163</v>
      </c>
      <c r="J203" s="6" t="s">
        <v>96</v>
      </c>
      <c r="K203" s="9" t="s">
        <v>164</v>
      </c>
      <c r="L203" s="9">
        <v>1987</v>
      </c>
      <c r="M203" s="9" t="s">
        <v>36</v>
      </c>
      <c r="N203" s="9" t="s">
        <v>51</v>
      </c>
      <c r="O203" s="9" t="s">
        <v>38</v>
      </c>
      <c r="P203" s="6">
        <f>(7*R203+5*0.976*R203)/12*T203*12/1000+R204/1.01*(90-T203)*12/1000</f>
        <v>7.1997790099009897</v>
      </c>
      <c r="Q203" s="6"/>
      <c r="R203" s="9">
        <v>3</v>
      </c>
      <c r="S203" s="6">
        <v>7</v>
      </c>
      <c r="T203" s="6">
        <f t="shared" si="82"/>
        <v>62</v>
      </c>
      <c r="U203" s="9">
        <v>7</v>
      </c>
      <c r="V203" s="13">
        <v>0</v>
      </c>
      <c r="W203" s="10">
        <v>31974</v>
      </c>
      <c r="X203" s="10">
        <v>32035</v>
      </c>
      <c r="Y203" s="12">
        <v>423</v>
      </c>
      <c r="Z203" s="6" t="s">
        <v>53</v>
      </c>
      <c r="AA203" s="6" t="s">
        <v>165</v>
      </c>
      <c r="AB203" s="6">
        <v>17</v>
      </c>
      <c r="AC203" s="12">
        <v>39</v>
      </c>
      <c r="AD203" s="7" t="s">
        <v>39</v>
      </c>
      <c r="AE203" s="6"/>
      <c r="AF203" s="6"/>
      <c r="AG203" s="12">
        <f t="shared" ref="AG203:AG209" si="83">Y203/AC203*1000/AK203</f>
        <v>22.363203806502778</v>
      </c>
      <c r="AH203" s="6" t="s">
        <v>134</v>
      </c>
      <c r="AI203" s="6"/>
      <c r="AJ203" s="6"/>
      <c r="AK203" s="12">
        <v>485</v>
      </c>
      <c r="AL203" s="6" t="s">
        <v>166</v>
      </c>
      <c r="AM203" s="6"/>
      <c r="AN203" s="6">
        <v>36</v>
      </c>
      <c r="AO203" s="12">
        <f t="shared" si="75"/>
        <v>10846.153846153848</v>
      </c>
      <c r="AP203" s="6" t="s">
        <v>54</v>
      </c>
      <c r="AQ203" s="6"/>
      <c r="AR203" s="6"/>
      <c r="AS203" s="30">
        <f t="shared" ref="AS203:AS209" si="84">57+54/60</f>
        <v>57.9</v>
      </c>
      <c r="AT203" s="30">
        <f t="shared" ref="AT203:AT209" si="85">12+24/60</f>
        <v>12.4</v>
      </c>
      <c r="AU203" s="27">
        <v>31898</v>
      </c>
      <c r="AV203" s="27">
        <v>32050</v>
      </c>
      <c r="AW203" s="25">
        <v>31974</v>
      </c>
      <c r="AX203" s="25">
        <v>32035</v>
      </c>
      <c r="AY203" s="28">
        <f t="shared" si="79"/>
        <v>121</v>
      </c>
      <c r="AZ203" s="28">
        <f t="shared" si="69"/>
        <v>273</v>
      </c>
      <c r="BA203" s="37">
        <f t="shared" si="80"/>
        <v>153</v>
      </c>
      <c r="BB203" s="28">
        <f t="shared" si="74"/>
        <v>197</v>
      </c>
      <c r="BC203" s="28">
        <f t="shared" si="70"/>
        <v>258</v>
      </c>
      <c r="BD203" s="26">
        <f t="shared" si="71"/>
        <v>62</v>
      </c>
      <c r="BF203" s="25">
        <v>31979</v>
      </c>
      <c r="BG203" s="26">
        <f t="shared" si="78"/>
        <v>72</v>
      </c>
    </row>
    <row r="204" spans="1:59" s="26" customFormat="1" hidden="1" x14ac:dyDescent="0.3">
      <c r="A204" s="6">
        <v>1</v>
      </c>
      <c r="B204" s="6"/>
      <c r="C204" s="6"/>
      <c r="D204" s="6" t="s">
        <v>160</v>
      </c>
      <c r="E204" s="9" t="s">
        <v>161</v>
      </c>
      <c r="F204" s="9" t="str">
        <f t="shared" si="81"/>
        <v>1991-89Drabant1987OTC</v>
      </c>
      <c r="G204" s="6" t="s">
        <v>162</v>
      </c>
      <c r="H204" s="6" t="s">
        <v>157</v>
      </c>
      <c r="I204" s="9" t="s">
        <v>163</v>
      </c>
      <c r="J204" s="6" t="s">
        <v>96</v>
      </c>
      <c r="K204" s="17" t="s">
        <v>164</v>
      </c>
      <c r="L204" s="17">
        <v>1987</v>
      </c>
      <c r="M204" s="9" t="s">
        <v>36</v>
      </c>
      <c r="N204" s="9" t="s">
        <v>51</v>
      </c>
      <c r="O204" s="17" t="s">
        <v>42</v>
      </c>
      <c r="P204" s="7">
        <f>R204/1.01*1.08</f>
        <v>16.039603960396043</v>
      </c>
      <c r="Q204" s="6"/>
      <c r="R204" s="17">
        <v>15</v>
      </c>
      <c r="S204" s="6">
        <v>7</v>
      </c>
      <c r="T204" s="6">
        <f t="shared" si="82"/>
        <v>62</v>
      </c>
      <c r="U204" s="17">
        <v>7</v>
      </c>
      <c r="V204" s="13">
        <v>0</v>
      </c>
      <c r="W204" s="10">
        <v>31974</v>
      </c>
      <c r="X204" s="10">
        <v>32035</v>
      </c>
      <c r="Y204" s="12">
        <v>396</v>
      </c>
      <c r="Z204" s="6" t="s">
        <v>53</v>
      </c>
      <c r="AA204" s="6" t="s">
        <v>165</v>
      </c>
      <c r="AB204" s="6">
        <v>34</v>
      </c>
      <c r="AC204" s="12">
        <v>36.799999999999997</v>
      </c>
      <c r="AD204" s="7" t="s">
        <v>39</v>
      </c>
      <c r="AE204" s="6"/>
      <c r="AF204" s="6"/>
      <c r="AG204" s="12">
        <f t="shared" si="83"/>
        <v>22.559474979491387</v>
      </c>
      <c r="AH204" s="6" t="s">
        <v>134</v>
      </c>
      <c r="AI204" s="6"/>
      <c r="AJ204" s="6"/>
      <c r="AK204" s="12">
        <v>477</v>
      </c>
      <c r="AL204" s="6" t="s">
        <v>166</v>
      </c>
      <c r="AM204" s="6"/>
      <c r="AN204" s="6">
        <v>33</v>
      </c>
      <c r="AO204" s="12">
        <f t="shared" si="75"/>
        <v>10760.869565217392</v>
      </c>
      <c r="AP204" s="6" t="s">
        <v>54</v>
      </c>
      <c r="AQ204" s="6"/>
      <c r="AR204" s="6"/>
      <c r="AS204" s="30">
        <f t="shared" si="84"/>
        <v>57.9</v>
      </c>
      <c r="AT204" s="30">
        <f t="shared" si="85"/>
        <v>12.4</v>
      </c>
      <c r="AU204" s="27">
        <v>31898</v>
      </c>
      <c r="AV204" s="27">
        <v>32050</v>
      </c>
      <c r="AW204" s="25">
        <v>31974</v>
      </c>
      <c r="AX204" s="25">
        <v>32035</v>
      </c>
      <c r="AY204" s="28">
        <f t="shared" si="79"/>
        <v>121</v>
      </c>
      <c r="AZ204" s="28">
        <f t="shared" si="69"/>
        <v>273</v>
      </c>
      <c r="BA204" s="37">
        <f t="shared" si="80"/>
        <v>153</v>
      </c>
      <c r="BB204" s="28">
        <f t="shared" si="74"/>
        <v>197</v>
      </c>
      <c r="BC204" s="28">
        <f t="shared" si="70"/>
        <v>258</v>
      </c>
      <c r="BD204" s="26">
        <f t="shared" si="71"/>
        <v>62</v>
      </c>
      <c r="BF204" s="25">
        <v>31979</v>
      </c>
      <c r="BG204" s="26">
        <f t="shared" si="78"/>
        <v>72</v>
      </c>
    </row>
    <row r="205" spans="1:59" s="26" customFormat="1" hidden="1" x14ac:dyDescent="0.3">
      <c r="A205" s="6">
        <v>1</v>
      </c>
      <c r="B205" s="6"/>
      <c r="C205" s="6"/>
      <c r="D205" s="6" t="s">
        <v>160</v>
      </c>
      <c r="E205" s="9" t="s">
        <v>161</v>
      </c>
      <c r="F205" s="9" t="str">
        <f t="shared" si="81"/>
        <v>1991-89Drabant1987OTC</v>
      </c>
      <c r="G205" s="6" t="s">
        <v>162</v>
      </c>
      <c r="H205" s="6" t="s">
        <v>157</v>
      </c>
      <c r="I205" s="9" t="s">
        <v>163</v>
      </c>
      <c r="J205" s="6" t="s">
        <v>96</v>
      </c>
      <c r="K205" s="17" t="s">
        <v>164</v>
      </c>
      <c r="L205" s="17">
        <v>1987</v>
      </c>
      <c r="M205" s="9" t="s">
        <v>36</v>
      </c>
      <c r="N205" s="9" t="s">
        <v>51</v>
      </c>
      <c r="O205" s="6" t="s">
        <v>75</v>
      </c>
      <c r="P205" s="6">
        <f>(7*R205+5*0.976*R204)/12*T205*12/1000+R204/1.01*(90-T205)*12/1000</f>
        <v>27.756499009900988</v>
      </c>
      <c r="Q205" s="6"/>
      <c r="R205" s="17">
        <v>42</v>
      </c>
      <c r="S205" s="6">
        <v>7</v>
      </c>
      <c r="T205" s="6">
        <f t="shared" si="82"/>
        <v>62</v>
      </c>
      <c r="U205" s="17">
        <v>7</v>
      </c>
      <c r="V205" s="13">
        <v>0.52157833216543703</v>
      </c>
      <c r="W205" s="10">
        <v>31974</v>
      </c>
      <c r="X205" s="10">
        <v>32035</v>
      </c>
      <c r="Y205" s="12">
        <v>368</v>
      </c>
      <c r="Z205" s="6" t="s">
        <v>53</v>
      </c>
      <c r="AA205" s="6" t="s">
        <v>165</v>
      </c>
      <c r="AB205" s="6">
        <v>7</v>
      </c>
      <c r="AC205" s="12">
        <v>32.6</v>
      </c>
      <c r="AD205" s="7" t="s">
        <v>39</v>
      </c>
      <c r="AE205" s="6"/>
      <c r="AF205" s="6"/>
      <c r="AG205" s="12">
        <f t="shared" si="83"/>
        <v>22.353155560954868</v>
      </c>
      <c r="AH205" s="6" t="s">
        <v>134</v>
      </c>
      <c r="AI205" s="6"/>
      <c r="AJ205" s="6"/>
      <c r="AK205" s="12">
        <v>505</v>
      </c>
      <c r="AL205" s="6" t="s">
        <v>166</v>
      </c>
      <c r="AM205" s="6"/>
      <c r="AN205" s="6">
        <v>25</v>
      </c>
      <c r="AO205" s="12">
        <f t="shared" si="75"/>
        <v>11288.343558282208</v>
      </c>
      <c r="AP205" s="6" t="s">
        <v>54</v>
      </c>
      <c r="AQ205" s="6"/>
      <c r="AR205" s="6"/>
      <c r="AS205" s="30">
        <f t="shared" si="84"/>
        <v>57.9</v>
      </c>
      <c r="AT205" s="30">
        <f t="shared" si="85"/>
        <v>12.4</v>
      </c>
      <c r="AU205" s="27">
        <v>31898</v>
      </c>
      <c r="AV205" s="27">
        <v>32050</v>
      </c>
      <c r="AW205" s="25">
        <v>31974</v>
      </c>
      <c r="AX205" s="25">
        <v>32035</v>
      </c>
      <c r="AY205" s="28">
        <f t="shared" si="79"/>
        <v>121</v>
      </c>
      <c r="AZ205" s="28">
        <f t="shared" si="69"/>
        <v>273</v>
      </c>
      <c r="BA205" s="37">
        <f t="shared" si="80"/>
        <v>153</v>
      </c>
      <c r="BB205" s="28">
        <f t="shared" si="74"/>
        <v>197</v>
      </c>
      <c r="BC205" s="28">
        <f t="shared" si="70"/>
        <v>258</v>
      </c>
      <c r="BD205" s="26">
        <f t="shared" si="71"/>
        <v>62</v>
      </c>
      <c r="BF205" s="25">
        <v>31979</v>
      </c>
      <c r="BG205" s="26">
        <f t="shared" si="78"/>
        <v>72</v>
      </c>
    </row>
    <row r="206" spans="1:59" s="26" customFormat="1" hidden="1" x14ac:dyDescent="0.3">
      <c r="A206" s="6">
        <v>1</v>
      </c>
      <c r="B206" s="6"/>
      <c r="C206" s="6"/>
      <c r="D206" s="6" t="s">
        <v>160</v>
      </c>
      <c r="E206" s="9" t="s">
        <v>161</v>
      </c>
      <c r="F206" s="9" t="str">
        <f t="shared" si="81"/>
        <v>1991-89Drabant1988OTC</v>
      </c>
      <c r="G206" s="6" t="s">
        <v>162</v>
      </c>
      <c r="H206" s="6" t="s">
        <v>157</v>
      </c>
      <c r="I206" s="9" t="s">
        <v>163</v>
      </c>
      <c r="J206" s="6" t="s">
        <v>96</v>
      </c>
      <c r="K206" s="9" t="s">
        <v>164</v>
      </c>
      <c r="L206" s="9">
        <v>1988</v>
      </c>
      <c r="M206" s="9" t="s">
        <v>36</v>
      </c>
      <c r="N206" s="9" t="s">
        <v>51</v>
      </c>
      <c r="O206" s="9" t="s">
        <v>38</v>
      </c>
      <c r="P206" s="6">
        <f>(7*R206+5*0.976*R206)/12*T206*12/1000+R207/1.01*(90-T206)*12/1000</f>
        <v>12.878808712871288</v>
      </c>
      <c r="Q206" s="6"/>
      <c r="R206" s="9">
        <v>6</v>
      </c>
      <c r="S206" s="6">
        <v>7</v>
      </c>
      <c r="T206" s="6">
        <f t="shared" si="82"/>
        <v>56</v>
      </c>
      <c r="U206" s="9">
        <v>5</v>
      </c>
      <c r="V206" s="13">
        <v>0</v>
      </c>
      <c r="W206" s="10">
        <v>32330</v>
      </c>
      <c r="X206" s="10">
        <v>32385</v>
      </c>
      <c r="Y206" s="12">
        <v>615</v>
      </c>
      <c r="Z206" s="6" t="s">
        <v>53</v>
      </c>
      <c r="AA206" s="6" t="s">
        <v>165</v>
      </c>
      <c r="AB206" s="6">
        <v>58</v>
      </c>
      <c r="AC206" s="12">
        <v>41.2</v>
      </c>
      <c r="AD206" s="7" t="s">
        <v>39</v>
      </c>
      <c r="AE206" s="6"/>
      <c r="AF206" s="6"/>
      <c r="AG206" s="12">
        <f t="shared" si="83"/>
        <v>23.107096696624485</v>
      </c>
      <c r="AH206" s="6" t="s">
        <v>134</v>
      </c>
      <c r="AI206" s="6"/>
      <c r="AJ206" s="6"/>
      <c r="AK206" s="12">
        <v>646</v>
      </c>
      <c r="AL206" s="6" t="s">
        <v>166</v>
      </c>
      <c r="AM206" s="6"/>
      <c r="AN206" s="6">
        <v>52</v>
      </c>
      <c r="AO206" s="12">
        <f t="shared" si="75"/>
        <v>14927.184466019417</v>
      </c>
      <c r="AP206" s="6" t="s">
        <v>54</v>
      </c>
      <c r="AQ206" s="6"/>
      <c r="AR206" s="6"/>
      <c r="AS206" s="30">
        <f t="shared" si="84"/>
        <v>57.9</v>
      </c>
      <c r="AT206" s="30">
        <f t="shared" si="85"/>
        <v>12.4</v>
      </c>
      <c r="AU206" s="27">
        <v>32262</v>
      </c>
      <c r="AV206" s="27">
        <v>32386</v>
      </c>
      <c r="AW206" s="25">
        <v>32330</v>
      </c>
      <c r="AX206" s="25">
        <v>32385</v>
      </c>
      <c r="AY206" s="28">
        <f t="shared" si="79"/>
        <v>120</v>
      </c>
      <c r="AZ206" s="28">
        <f t="shared" si="69"/>
        <v>244</v>
      </c>
      <c r="BA206" s="37">
        <f t="shared" si="80"/>
        <v>125</v>
      </c>
      <c r="BB206" s="28">
        <f t="shared" si="74"/>
        <v>188</v>
      </c>
      <c r="BC206" s="28">
        <f t="shared" si="70"/>
        <v>243</v>
      </c>
      <c r="BD206" s="26">
        <f t="shared" si="71"/>
        <v>56</v>
      </c>
      <c r="BF206" s="25">
        <v>32335</v>
      </c>
      <c r="BG206" s="26">
        <f t="shared" si="78"/>
        <v>52</v>
      </c>
    </row>
    <row r="207" spans="1:59" s="26" customFormat="1" hidden="1" x14ac:dyDescent="0.3">
      <c r="A207" s="6">
        <v>1</v>
      </c>
      <c r="B207" s="6"/>
      <c r="C207" s="6"/>
      <c r="D207" s="6" t="s">
        <v>160</v>
      </c>
      <c r="E207" s="9" t="s">
        <v>161</v>
      </c>
      <c r="F207" s="9" t="str">
        <f t="shared" si="81"/>
        <v>1991-89Drabant1988OTC</v>
      </c>
      <c r="G207" s="6" t="s">
        <v>162</v>
      </c>
      <c r="H207" s="6" t="s">
        <v>157</v>
      </c>
      <c r="I207" s="9" t="s">
        <v>163</v>
      </c>
      <c r="J207" s="6" t="s">
        <v>96</v>
      </c>
      <c r="K207" s="17" t="s">
        <v>164</v>
      </c>
      <c r="L207" s="17">
        <v>1988</v>
      </c>
      <c r="M207" s="9" t="s">
        <v>36</v>
      </c>
      <c r="N207" s="9" t="s">
        <v>51</v>
      </c>
      <c r="O207" s="17" t="s">
        <v>42</v>
      </c>
      <c r="P207" s="7">
        <f>R207/1.01*1.08</f>
        <v>23.524752475247528</v>
      </c>
      <c r="Q207" s="6"/>
      <c r="R207" s="17">
        <v>22</v>
      </c>
      <c r="S207" s="6">
        <v>7</v>
      </c>
      <c r="T207" s="6">
        <f t="shared" si="82"/>
        <v>56</v>
      </c>
      <c r="U207" s="17">
        <v>5</v>
      </c>
      <c r="V207" s="13">
        <v>2.6422220032823501E-2</v>
      </c>
      <c r="W207" s="10">
        <v>32330</v>
      </c>
      <c r="X207" s="10">
        <v>32385</v>
      </c>
      <c r="Y207" s="12">
        <v>577</v>
      </c>
      <c r="Z207" s="6" t="s">
        <v>53</v>
      </c>
      <c r="AA207" s="6" t="s">
        <v>165</v>
      </c>
      <c r="AB207" s="6">
        <v>73</v>
      </c>
      <c r="AC207" s="12">
        <v>39.6</v>
      </c>
      <c r="AD207" s="7" t="s">
        <v>39</v>
      </c>
      <c r="AE207" s="6"/>
      <c r="AF207" s="6"/>
      <c r="AG207" s="12">
        <f t="shared" si="83"/>
        <v>22.313487091435025</v>
      </c>
      <c r="AH207" s="6" t="s">
        <v>134</v>
      </c>
      <c r="AI207" s="6"/>
      <c r="AJ207" s="6"/>
      <c r="AK207" s="12">
        <v>653</v>
      </c>
      <c r="AL207" s="6" t="s">
        <v>166</v>
      </c>
      <c r="AM207" s="6"/>
      <c r="AN207" s="6">
        <v>45</v>
      </c>
      <c r="AO207" s="12">
        <f t="shared" si="75"/>
        <v>14570.707070707071</v>
      </c>
      <c r="AP207" s="6" t="s">
        <v>54</v>
      </c>
      <c r="AQ207" s="6"/>
      <c r="AR207" s="6"/>
      <c r="AS207" s="30">
        <f t="shared" si="84"/>
        <v>57.9</v>
      </c>
      <c r="AT207" s="30">
        <f t="shared" si="85"/>
        <v>12.4</v>
      </c>
      <c r="AU207" s="27">
        <v>32262</v>
      </c>
      <c r="AV207" s="27">
        <v>32386</v>
      </c>
      <c r="AW207" s="25">
        <v>32330</v>
      </c>
      <c r="AX207" s="25">
        <v>32385</v>
      </c>
      <c r="AY207" s="28">
        <f t="shared" si="79"/>
        <v>120</v>
      </c>
      <c r="AZ207" s="28">
        <f t="shared" si="69"/>
        <v>244</v>
      </c>
      <c r="BA207" s="37">
        <f t="shared" si="80"/>
        <v>125</v>
      </c>
      <c r="BB207" s="28">
        <f t="shared" si="74"/>
        <v>188</v>
      </c>
      <c r="BC207" s="28">
        <f t="shared" si="70"/>
        <v>243</v>
      </c>
      <c r="BD207" s="26">
        <f t="shared" si="71"/>
        <v>56</v>
      </c>
      <c r="BF207" s="25">
        <v>32335</v>
      </c>
      <c r="BG207" s="26">
        <f t="shared" si="78"/>
        <v>52</v>
      </c>
    </row>
    <row r="208" spans="1:59" s="26" customFormat="1" hidden="1" x14ac:dyDescent="0.3">
      <c r="A208" s="6">
        <v>1</v>
      </c>
      <c r="B208" s="6"/>
      <c r="C208" s="6"/>
      <c r="D208" s="6" t="s">
        <v>160</v>
      </c>
      <c r="E208" s="9" t="s">
        <v>161</v>
      </c>
      <c r="F208" s="9" t="str">
        <f t="shared" si="81"/>
        <v>1991-89Drabant1988OTC</v>
      </c>
      <c r="G208" s="6" t="s">
        <v>162</v>
      </c>
      <c r="H208" s="6" t="s">
        <v>157</v>
      </c>
      <c r="I208" s="9" t="s">
        <v>163</v>
      </c>
      <c r="J208" s="6" t="s">
        <v>96</v>
      </c>
      <c r="K208" s="17" t="s">
        <v>164</v>
      </c>
      <c r="L208" s="17">
        <v>1988</v>
      </c>
      <c r="M208" s="9" t="s">
        <v>36</v>
      </c>
      <c r="N208" s="9" t="s">
        <v>51</v>
      </c>
      <c r="O208" s="6" t="s">
        <v>136</v>
      </c>
      <c r="P208" s="6">
        <f>(7*R208+5*0.976*R207)/12*T208*12/1000+R207/1.01*(90-T208)*12/1000</f>
        <v>32.147288712871287</v>
      </c>
      <c r="Q208" s="6"/>
      <c r="R208" s="17">
        <v>44</v>
      </c>
      <c r="S208" s="6">
        <v>7</v>
      </c>
      <c r="T208" s="6">
        <f t="shared" si="82"/>
        <v>56</v>
      </c>
      <c r="U208" s="17">
        <v>5</v>
      </c>
      <c r="V208" s="13">
        <v>1.28822803845163</v>
      </c>
      <c r="W208" s="10">
        <v>32330</v>
      </c>
      <c r="X208" s="10">
        <v>32385</v>
      </c>
      <c r="Y208" s="12">
        <v>535</v>
      </c>
      <c r="Z208" s="6" t="s">
        <v>53</v>
      </c>
      <c r="AA208" s="6" t="s">
        <v>165</v>
      </c>
      <c r="AB208" s="6">
        <v>60</v>
      </c>
      <c r="AC208" s="12">
        <v>37.299999999999997</v>
      </c>
      <c r="AD208" s="7" t="s">
        <v>39</v>
      </c>
      <c r="AE208" s="6"/>
      <c r="AF208" s="6"/>
      <c r="AG208" s="12">
        <f t="shared" si="83"/>
        <v>20.578426885041598</v>
      </c>
      <c r="AH208" s="6" t="s">
        <v>134</v>
      </c>
      <c r="AI208" s="6"/>
      <c r="AJ208" s="6"/>
      <c r="AK208" s="12">
        <v>697</v>
      </c>
      <c r="AL208" s="6" t="s">
        <v>166</v>
      </c>
      <c r="AM208" s="6"/>
      <c r="AN208" s="6">
        <v>60</v>
      </c>
      <c r="AO208" s="12">
        <f t="shared" si="75"/>
        <v>14343.163538873994</v>
      </c>
      <c r="AP208" s="6" t="s">
        <v>54</v>
      </c>
      <c r="AQ208" s="6"/>
      <c r="AR208" s="6"/>
      <c r="AS208" s="30">
        <f t="shared" si="84"/>
        <v>57.9</v>
      </c>
      <c r="AT208" s="30">
        <f t="shared" si="85"/>
        <v>12.4</v>
      </c>
      <c r="AU208" s="27">
        <v>32262</v>
      </c>
      <c r="AV208" s="27">
        <v>32386</v>
      </c>
      <c r="AW208" s="25">
        <v>32330</v>
      </c>
      <c r="AX208" s="25">
        <v>32385</v>
      </c>
      <c r="AY208" s="28">
        <f t="shared" si="79"/>
        <v>120</v>
      </c>
      <c r="AZ208" s="28">
        <f t="shared" si="69"/>
        <v>244</v>
      </c>
      <c r="BA208" s="37">
        <f t="shared" si="80"/>
        <v>125</v>
      </c>
      <c r="BB208" s="28">
        <f t="shared" si="74"/>
        <v>188</v>
      </c>
      <c r="BC208" s="28">
        <f t="shared" si="70"/>
        <v>243</v>
      </c>
      <c r="BD208" s="26">
        <f t="shared" si="71"/>
        <v>56</v>
      </c>
      <c r="BF208" s="25">
        <v>32335</v>
      </c>
      <c r="BG208" s="26">
        <f t="shared" si="78"/>
        <v>52</v>
      </c>
    </row>
    <row r="209" spans="1:59" s="26" customFormat="1" hidden="1" x14ac:dyDescent="0.3">
      <c r="A209" s="6">
        <v>1</v>
      </c>
      <c r="B209" s="6"/>
      <c r="C209" s="6"/>
      <c r="D209" s="6" t="s">
        <v>160</v>
      </c>
      <c r="E209" s="9" t="s">
        <v>161</v>
      </c>
      <c r="F209" s="9" t="str">
        <f t="shared" si="81"/>
        <v>1991-89Drabant1988OTC</v>
      </c>
      <c r="G209" s="6" t="s">
        <v>162</v>
      </c>
      <c r="H209" s="6" t="s">
        <v>157</v>
      </c>
      <c r="I209" s="9" t="s">
        <v>163</v>
      </c>
      <c r="J209" s="6" t="s">
        <v>96</v>
      </c>
      <c r="K209" s="17" t="s">
        <v>164</v>
      </c>
      <c r="L209" s="17">
        <v>1988</v>
      </c>
      <c r="M209" s="9" t="s">
        <v>36</v>
      </c>
      <c r="N209" s="9" t="s">
        <v>51</v>
      </c>
      <c r="O209" s="6" t="s">
        <v>137</v>
      </c>
      <c r="P209" s="6">
        <f>(7*R209+5*0.976*R207)/12*T209*12/1000+R207/1.01*(90-T209)*12/1000</f>
        <v>36.851288712871295</v>
      </c>
      <c r="Q209" s="6"/>
      <c r="R209" s="17">
        <v>56</v>
      </c>
      <c r="S209" s="6">
        <v>7</v>
      </c>
      <c r="T209" s="6">
        <f t="shared" si="82"/>
        <v>56</v>
      </c>
      <c r="U209" s="17">
        <v>5</v>
      </c>
      <c r="V209" s="13">
        <v>2.5792630900391802</v>
      </c>
      <c r="W209" s="10">
        <v>32330</v>
      </c>
      <c r="X209" s="10">
        <v>32385</v>
      </c>
      <c r="Y209" s="12">
        <v>448</v>
      </c>
      <c r="Z209" s="6" t="s">
        <v>53</v>
      </c>
      <c r="AA209" s="6" t="s">
        <v>165</v>
      </c>
      <c r="AB209" s="6">
        <v>44</v>
      </c>
      <c r="AC209" s="12">
        <v>30</v>
      </c>
      <c r="AD209" s="7" t="s">
        <v>39</v>
      </c>
      <c r="AE209" s="6"/>
      <c r="AF209" s="6"/>
      <c r="AG209" s="12">
        <f t="shared" si="83"/>
        <v>21.425155428024869</v>
      </c>
      <c r="AH209" s="6" t="s">
        <v>134</v>
      </c>
      <c r="AI209" s="6"/>
      <c r="AJ209" s="6"/>
      <c r="AK209" s="12">
        <v>697</v>
      </c>
      <c r="AL209" s="6" t="s">
        <v>166</v>
      </c>
      <c r="AM209" s="6"/>
      <c r="AN209" s="6">
        <v>60</v>
      </c>
      <c r="AO209" s="12">
        <f t="shared" si="75"/>
        <v>14933.333333333334</v>
      </c>
      <c r="AP209" s="6" t="s">
        <v>54</v>
      </c>
      <c r="AQ209" s="6"/>
      <c r="AR209" s="6"/>
      <c r="AS209" s="30">
        <f t="shared" si="84"/>
        <v>57.9</v>
      </c>
      <c r="AT209" s="30">
        <f t="shared" si="85"/>
        <v>12.4</v>
      </c>
      <c r="AU209" s="27">
        <v>32262</v>
      </c>
      <c r="AV209" s="27">
        <v>32386</v>
      </c>
      <c r="AW209" s="25">
        <v>32330</v>
      </c>
      <c r="AX209" s="25">
        <v>32385</v>
      </c>
      <c r="AY209" s="28">
        <f t="shared" si="79"/>
        <v>120</v>
      </c>
      <c r="AZ209" s="28">
        <f t="shared" si="69"/>
        <v>244</v>
      </c>
      <c r="BA209" s="37">
        <f t="shared" si="80"/>
        <v>125</v>
      </c>
      <c r="BB209" s="28">
        <f t="shared" si="74"/>
        <v>188</v>
      </c>
      <c r="BC209" s="28">
        <f t="shared" si="70"/>
        <v>243</v>
      </c>
      <c r="BD209" s="26">
        <f t="shared" si="71"/>
        <v>56</v>
      </c>
      <c r="BF209" s="25">
        <v>32335</v>
      </c>
      <c r="BG209" s="26">
        <f t="shared" si="78"/>
        <v>52</v>
      </c>
    </row>
    <row r="210" spans="1:59" s="26" customFormat="1" hidden="1" x14ac:dyDescent="0.3">
      <c r="A210" s="6">
        <v>1</v>
      </c>
      <c r="B210" s="6"/>
      <c r="C210" s="6"/>
      <c r="D210" s="6" t="s">
        <v>167</v>
      </c>
      <c r="E210" s="9" t="s">
        <v>168</v>
      </c>
      <c r="F210" s="9" t="str">
        <f t="shared" si="81"/>
        <v>1992-37Albis1989OTC</v>
      </c>
      <c r="G210" s="6" t="s">
        <v>156</v>
      </c>
      <c r="H210" s="6" t="s">
        <v>157</v>
      </c>
      <c r="I210" s="9" t="s">
        <v>169</v>
      </c>
      <c r="J210" s="6" t="s">
        <v>96</v>
      </c>
      <c r="K210" s="9" t="s">
        <v>159</v>
      </c>
      <c r="L210" s="9">
        <v>1989</v>
      </c>
      <c r="M210" s="9" t="s">
        <v>36</v>
      </c>
      <c r="N210" s="9" t="s">
        <v>51</v>
      </c>
      <c r="O210" s="9" t="s">
        <v>38</v>
      </c>
      <c r="P210" s="7">
        <f>(7*R210+5*0.976*R210)/12*1.08</f>
        <v>21.384587804962081</v>
      </c>
      <c r="Q210" s="6"/>
      <c r="R210" s="9">
        <v>20.000549761468459</v>
      </c>
      <c r="S210" s="6">
        <v>7</v>
      </c>
      <c r="T210" s="6">
        <f t="shared" si="82"/>
        <v>91</v>
      </c>
      <c r="U210" s="9">
        <v>3</v>
      </c>
      <c r="V210" s="13">
        <v>0</v>
      </c>
      <c r="W210" s="10">
        <v>32644</v>
      </c>
      <c r="X210" s="10">
        <v>32734</v>
      </c>
      <c r="Y210" s="19">
        <v>661</v>
      </c>
      <c r="Z210" s="6" t="s">
        <v>53</v>
      </c>
      <c r="AA210" s="6" t="s">
        <v>170</v>
      </c>
      <c r="AB210" s="6"/>
      <c r="AC210" s="19">
        <v>37.700000000000003</v>
      </c>
      <c r="AD210" s="7" t="s">
        <v>39</v>
      </c>
      <c r="AE210" s="6"/>
      <c r="AF210" s="6"/>
      <c r="AG210" s="12">
        <v>38.4</v>
      </c>
      <c r="AH210" s="6" t="s">
        <v>134</v>
      </c>
      <c r="AI210" s="6"/>
      <c r="AJ210" s="6"/>
      <c r="AK210" s="12">
        <v>456</v>
      </c>
      <c r="AL210" s="6" t="s">
        <v>166</v>
      </c>
      <c r="AM210" s="6"/>
      <c r="AN210" s="6"/>
      <c r="AO210" s="12">
        <f t="shared" si="75"/>
        <v>17533.156498673739</v>
      </c>
      <c r="AP210" s="6" t="s">
        <v>54</v>
      </c>
      <c r="AQ210" s="6"/>
      <c r="AR210" s="6"/>
      <c r="AS210" s="30">
        <f t="shared" ref="AS210:AS217" si="86">46+53/60</f>
        <v>46.883333333333333</v>
      </c>
      <c r="AT210" s="30">
        <f t="shared" ref="AT210:AT217" si="87">7+26/7</f>
        <v>10.714285714285715</v>
      </c>
      <c r="AU210" s="27">
        <v>32595</v>
      </c>
      <c r="AV210" s="25">
        <v>32734</v>
      </c>
      <c r="AW210" s="25">
        <v>32644</v>
      </c>
      <c r="AX210" s="25">
        <v>32734</v>
      </c>
      <c r="AY210" s="28">
        <f t="shared" si="79"/>
        <v>87</v>
      </c>
      <c r="AZ210" s="28">
        <f t="shared" si="69"/>
        <v>226</v>
      </c>
      <c r="BA210" s="37">
        <f t="shared" si="80"/>
        <v>140</v>
      </c>
      <c r="BB210" s="28">
        <f t="shared" si="74"/>
        <v>136</v>
      </c>
      <c r="BC210" s="28">
        <f t="shared" si="70"/>
        <v>226</v>
      </c>
      <c r="BD210" s="26">
        <f t="shared" si="71"/>
        <v>91</v>
      </c>
      <c r="BF210" s="36">
        <v>32686</v>
      </c>
      <c r="BG210" s="26">
        <f t="shared" si="78"/>
        <v>49</v>
      </c>
    </row>
    <row r="211" spans="1:59" s="26" customFormat="1" hidden="1" x14ac:dyDescent="0.3">
      <c r="A211" s="6">
        <v>1</v>
      </c>
      <c r="B211" s="6"/>
      <c r="C211" s="6"/>
      <c r="D211" s="6" t="s">
        <v>167</v>
      </c>
      <c r="E211" s="9" t="s">
        <v>168</v>
      </c>
      <c r="F211" s="9" t="str">
        <f t="shared" si="81"/>
        <v>1992-37Albis1989OTC</v>
      </c>
      <c r="G211" s="6" t="s">
        <v>156</v>
      </c>
      <c r="H211" s="6" t="s">
        <v>157</v>
      </c>
      <c r="I211" s="9" t="s">
        <v>169</v>
      </c>
      <c r="J211" s="6" t="s">
        <v>96</v>
      </c>
      <c r="K211" s="9" t="s">
        <v>159</v>
      </c>
      <c r="L211" s="17">
        <v>1989</v>
      </c>
      <c r="M211" s="9" t="s">
        <v>36</v>
      </c>
      <c r="N211" s="9" t="s">
        <v>51</v>
      </c>
      <c r="O211" s="17" t="s">
        <v>42</v>
      </c>
      <c r="P211" s="7">
        <f>R211/1.01*1.08</f>
        <v>41.585301484241342</v>
      </c>
      <c r="Q211" s="6"/>
      <c r="R211" s="9">
        <v>38.889957869521993</v>
      </c>
      <c r="S211" s="6">
        <v>7</v>
      </c>
      <c r="T211" s="6">
        <f t="shared" si="82"/>
        <v>91</v>
      </c>
      <c r="U211" s="9">
        <v>3</v>
      </c>
      <c r="V211" s="13">
        <v>4.6083782087559699</v>
      </c>
      <c r="W211" s="10">
        <v>32644</v>
      </c>
      <c r="X211" s="10">
        <v>32734</v>
      </c>
      <c r="Y211" s="19">
        <v>630</v>
      </c>
      <c r="Z211" s="6" t="s">
        <v>53</v>
      </c>
      <c r="AA211" s="6" t="s">
        <v>170</v>
      </c>
      <c r="AB211" s="6"/>
      <c r="AC211" s="19">
        <v>38.4</v>
      </c>
      <c r="AD211" s="7" t="s">
        <v>39</v>
      </c>
      <c r="AE211" s="6"/>
      <c r="AF211" s="6"/>
      <c r="AG211" s="12">
        <v>36.200000000000003</v>
      </c>
      <c r="AH211" s="6" t="s">
        <v>134</v>
      </c>
      <c r="AI211" s="6"/>
      <c r="AJ211" s="6"/>
      <c r="AK211" s="12">
        <v>462</v>
      </c>
      <c r="AL211" s="6" t="s">
        <v>166</v>
      </c>
      <c r="AM211" s="6"/>
      <c r="AN211" s="6"/>
      <c r="AO211" s="12">
        <f t="shared" si="75"/>
        <v>16406.25</v>
      </c>
      <c r="AP211" s="6" t="s">
        <v>54</v>
      </c>
      <c r="AQ211" s="6"/>
      <c r="AR211" s="6"/>
      <c r="AS211" s="30">
        <f t="shared" si="86"/>
        <v>46.883333333333333</v>
      </c>
      <c r="AT211" s="30">
        <f t="shared" si="87"/>
        <v>10.714285714285715</v>
      </c>
      <c r="AU211" s="27">
        <v>32595</v>
      </c>
      <c r="AV211" s="25">
        <v>32734</v>
      </c>
      <c r="AW211" s="25">
        <v>32644</v>
      </c>
      <c r="AX211" s="25">
        <v>32734</v>
      </c>
      <c r="AY211" s="28">
        <f t="shared" si="79"/>
        <v>87</v>
      </c>
      <c r="AZ211" s="28">
        <f t="shared" si="69"/>
        <v>226</v>
      </c>
      <c r="BA211" s="37">
        <f t="shared" si="80"/>
        <v>140</v>
      </c>
      <c r="BB211" s="28">
        <f t="shared" si="74"/>
        <v>136</v>
      </c>
      <c r="BC211" s="28">
        <f t="shared" si="70"/>
        <v>226</v>
      </c>
      <c r="BD211" s="26">
        <f t="shared" si="71"/>
        <v>91</v>
      </c>
      <c r="BF211" s="36">
        <v>32686</v>
      </c>
      <c r="BG211" s="26">
        <f t="shared" si="78"/>
        <v>49</v>
      </c>
    </row>
    <row r="212" spans="1:59" s="26" customFormat="1" hidden="1" x14ac:dyDescent="0.3">
      <c r="A212" s="6">
        <v>1</v>
      </c>
      <c r="B212" s="6"/>
      <c r="C212" s="6"/>
      <c r="D212" s="6" t="s">
        <v>167</v>
      </c>
      <c r="E212" s="9" t="s">
        <v>168</v>
      </c>
      <c r="F212" s="9" t="str">
        <f t="shared" si="81"/>
        <v>1992-37Albis1989OTC</v>
      </c>
      <c r="G212" s="6" t="s">
        <v>156</v>
      </c>
      <c r="H212" s="6" t="s">
        <v>157</v>
      </c>
      <c r="I212" s="9" t="s">
        <v>169</v>
      </c>
      <c r="J212" s="6" t="s">
        <v>96</v>
      </c>
      <c r="K212" s="9" t="s">
        <v>159</v>
      </c>
      <c r="L212" s="17">
        <v>1989</v>
      </c>
      <c r="M212" s="9" t="s">
        <v>36</v>
      </c>
      <c r="N212" s="9" t="s">
        <v>51</v>
      </c>
      <c r="O212" s="6" t="s">
        <v>136</v>
      </c>
      <c r="P212" s="7">
        <f>(7*R212+5*0.976*R211)/12*1.08</f>
        <v>51.031402716386772</v>
      </c>
      <c r="Q212" s="6"/>
      <c r="R212" s="9">
        <v>53.890370190623344</v>
      </c>
      <c r="S212" s="6">
        <v>7</v>
      </c>
      <c r="T212" s="6">
        <f t="shared" si="82"/>
        <v>91</v>
      </c>
      <c r="U212" s="9">
        <v>3</v>
      </c>
      <c r="V212" s="13">
        <v>11.012574761161099</v>
      </c>
      <c r="W212" s="10">
        <v>32644</v>
      </c>
      <c r="X212" s="10">
        <v>32734</v>
      </c>
      <c r="Y212" s="19">
        <v>536</v>
      </c>
      <c r="Z212" s="6" t="s">
        <v>53</v>
      </c>
      <c r="AA212" s="6" t="s">
        <v>170</v>
      </c>
      <c r="AB212" s="6"/>
      <c r="AC212" s="19">
        <v>34</v>
      </c>
      <c r="AD212" s="7" t="s">
        <v>39</v>
      </c>
      <c r="AE212" s="6"/>
      <c r="AF212" s="6"/>
      <c r="AG212" s="12">
        <v>36.1</v>
      </c>
      <c r="AH212" s="6" t="s">
        <v>134</v>
      </c>
      <c r="AI212" s="6"/>
      <c r="AJ212" s="6"/>
      <c r="AK212" s="12">
        <v>451</v>
      </c>
      <c r="AL212" s="6" t="s">
        <v>166</v>
      </c>
      <c r="AM212" s="6"/>
      <c r="AN212" s="6"/>
      <c r="AO212" s="12">
        <f t="shared" si="75"/>
        <v>15764.705882352942</v>
      </c>
      <c r="AP212" s="6" t="s">
        <v>54</v>
      </c>
      <c r="AQ212" s="6"/>
      <c r="AR212" s="6"/>
      <c r="AS212" s="30">
        <f t="shared" si="86"/>
        <v>46.883333333333333</v>
      </c>
      <c r="AT212" s="30">
        <f t="shared" si="87"/>
        <v>10.714285714285715</v>
      </c>
      <c r="AU212" s="27">
        <v>32595</v>
      </c>
      <c r="AV212" s="25">
        <v>32734</v>
      </c>
      <c r="AW212" s="25">
        <v>32644</v>
      </c>
      <c r="AX212" s="25">
        <v>32734</v>
      </c>
      <c r="AY212" s="28">
        <f t="shared" si="79"/>
        <v>87</v>
      </c>
      <c r="AZ212" s="28">
        <f t="shared" si="69"/>
        <v>226</v>
      </c>
      <c r="BA212" s="37">
        <f t="shared" si="80"/>
        <v>140</v>
      </c>
      <c r="BB212" s="28">
        <f t="shared" si="74"/>
        <v>136</v>
      </c>
      <c r="BC212" s="28">
        <f t="shared" si="70"/>
        <v>226</v>
      </c>
      <c r="BD212" s="26">
        <f t="shared" si="71"/>
        <v>91</v>
      </c>
      <c r="BF212" s="36">
        <v>32686</v>
      </c>
      <c r="BG212" s="26">
        <f t="shared" si="78"/>
        <v>49</v>
      </c>
    </row>
    <row r="213" spans="1:59" s="26" customFormat="1" hidden="1" x14ac:dyDescent="0.3">
      <c r="A213" s="6">
        <v>1</v>
      </c>
      <c r="B213" s="6"/>
      <c r="C213" s="6"/>
      <c r="D213" s="6" t="s">
        <v>167</v>
      </c>
      <c r="E213" s="9" t="s">
        <v>168</v>
      </c>
      <c r="F213" s="9" t="str">
        <f t="shared" si="81"/>
        <v>1992-37Albis1989OTC</v>
      </c>
      <c r="G213" s="6" t="s">
        <v>156</v>
      </c>
      <c r="H213" s="6" t="s">
        <v>157</v>
      </c>
      <c r="I213" s="9" t="s">
        <v>169</v>
      </c>
      <c r="J213" s="6" t="s">
        <v>96</v>
      </c>
      <c r="K213" s="9" t="s">
        <v>159</v>
      </c>
      <c r="L213" s="17">
        <v>1989</v>
      </c>
      <c r="M213" s="9" t="s">
        <v>36</v>
      </c>
      <c r="N213" s="9" t="s">
        <v>51</v>
      </c>
      <c r="O213" s="6" t="s">
        <v>137</v>
      </c>
      <c r="P213" s="7">
        <f>(7*R213+5*0.976*R211)/12*1.08</f>
        <v>59.781643237029208</v>
      </c>
      <c r="Q213" s="6"/>
      <c r="R213" s="9">
        <v>67.779640858309762</v>
      </c>
      <c r="S213" s="6">
        <v>7</v>
      </c>
      <c r="T213" s="6">
        <f t="shared" si="82"/>
        <v>91</v>
      </c>
      <c r="U213" s="9">
        <v>3</v>
      </c>
      <c r="V213" s="13">
        <v>18.596503033997301</v>
      </c>
      <c r="W213" s="10">
        <v>32644</v>
      </c>
      <c r="X213" s="10">
        <v>32734</v>
      </c>
      <c r="Y213" s="19">
        <v>467</v>
      </c>
      <c r="Z213" s="6" t="s">
        <v>53</v>
      </c>
      <c r="AA213" s="6" t="s">
        <v>170</v>
      </c>
      <c r="AB213" s="6"/>
      <c r="AC213" s="19">
        <v>29.6</v>
      </c>
      <c r="AD213" s="7" t="s">
        <v>39</v>
      </c>
      <c r="AE213" s="6"/>
      <c r="AF213" s="6"/>
      <c r="AG213" s="12">
        <v>34.700000000000003</v>
      </c>
      <c r="AH213" s="6" t="s">
        <v>134</v>
      </c>
      <c r="AI213" s="6"/>
      <c r="AJ213" s="6"/>
      <c r="AK213" s="12">
        <v>438</v>
      </c>
      <c r="AL213" s="6" t="s">
        <v>166</v>
      </c>
      <c r="AM213" s="6"/>
      <c r="AN213" s="6"/>
      <c r="AO213" s="12">
        <f t="shared" si="75"/>
        <v>15777.027027027027</v>
      </c>
      <c r="AP213" s="6" t="s">
        <v>54</v>
      </c>
      <c r="AQ213" s="6"/>
      <c r="AR213" s="6"/>
      <c r="AS213" s="30">
        <f t="shared" si="86"/>
        <v>46.883333333333333</v>
      </c>
      <c r="AT213" s="30">
        <f t="shared" si="87"/>
        <v>10.714285714285715</v>
      </c>
      <c r="AU213" s="27">
        <v>32595</v>
      </c>
      <c r="AV213" s="25">
        <v>32734</v>
      </c>
      <c r="AW213" s="25">
        <v>32644</v>
      </c>
      <c r="AX213" s="25">
        <v>32734</v>
      </c>
      <c r="AY213" s="28">
        <f t="shared" si="79"/>
        <v>87</v>
      </c>
      <c r="AZ213" s="28">
        <f t="shared" si="69"/>
        <v>226</v>
      </c>
      <c r="BA213" s="37">
        <f t="shared" si="80"/>
        <v>140</v>
      </c>
      <c r="BB213" s="28">
        <f t="shared" si="74"/>
        <v>136</v>
      </c>
      <c r="BC213" s="28">
        <f t="shared" si="70"/>
        <v>226</v>
      </c>
      <c r="BD213" s="26">
        <f t="shared" si="71"/>
        <v>91</v>
      </c>
      <c r="BF213" s="36">
        <v>32686</v>
      </c>
      <c r="BG213" s="26">
        <f t="shared" si="78"/>
        <v>49</v>
      </c>
    </row>
    <row r="214" spans="1:59" s="26" customFormat="1" hidden="1" x14ac:dyDescent="0.3">
      <c r="A214" s="6">
        <v>1</v>
      </c>
      <c r="B214" s="6"/>
      <c r="C214" s="6"/>
      <c r="D214" s="6" t="s">
        <v>167</v>
      </c>
      <c r="E214" s="9" t="s">
        <v>168</v>
      </c>
      <c r="F214" s="9" t="str">
        <f t="shared" si="81"/>
        <v>1992-37Albis1990OTC</v>
      </c>
      <c r="G214" s="6" t="s">
        <v>156</v>
      </c>
      <c r="H214" s="6" t="s">
        <v>157</v>
      </c>
      <c r="I214" s="9" t="s">
        <v>169</v>
      </c>
      <c r="J214" s="6" t="s">
        <v>96</v>
      </c>
      <c r="K214" s="9" t="s">
        <v>159</v>
      </c>
      <c r="L214" s="9">
        <v>1990</v>
      </c>
      <c r="M214" s="9" t="s">
        <v>36</v>
      </c>
      <c r="N214" s="9" t="s">
        <v>51</v>
      </c>
      <c r="O214" s="9" t="s">
        <v>38</v>
      </c>
      <c r="P214" s="6">
        <f>(7*R214+5*0.976*R214)/12*T214*12/1000+R215/1.01*(90-T214)*12/1000</f>
        <v>20.672845300495926</v>
      </c>
      <c r="Q214" s="6"/>
      <c r="R214" s="9">
        <v>18.81820060661811</v>
      </c>
      <c r="S214" s="6">
        <v>7</v>
      </c>
      <c r="T214" s="6">
        <f t="shared" si="82"/>
        <v>88</v>
      </c>
      <c r="U214" s="9">
        <v>3</v>
      </c>
      <c r="V214" s="13">
        <v>0</v>
      </c>
      <c r="W214" s="10">
        <v>33007</v>
      </c>
      <c r="X214" s="10">
        <v>33094</v>
      </c>
      <c r="Y214" s="19">
        <v>739</v>
      </c>
      <c r="Z214" s="6" t="s">
        <v>53</v>
      </c>
      <c r="AA214" s="6" t="s">
        <v>170</v>
      </c>
      <c r="AB214" s="6"/>
      <c r="AC214" s="19">
        <v>39.1</v>
      </c>
      <c r="AD214" s="7" t="s">
        <v>39</v>
      </c>
      <c r="AE214" s="6"/>
      <c r="AF214" s="6"/>
      <c r="AG214" s="12">
        <v>37.200000000000003</v>
      </c>
      <c r="AH214" s="6" t="s">
        <v>134</v>
      </c>
      <c r="AI214" s="6"/>
      <c r="AJ214" s="6"/>
      <c r="AK214" s="12">
        <v>515</v>
      </c>
      <c r="AL214" s="6" t="s">
        <v>166</v>
      </c>
      <c r="AM214" s="6"/>
      <c r="AN214" s="6"/>
      <c r="AO214" s="12">
        <f t="shared" si="75"/>
        <v>18900.2557544757</v>
      </c>
      <c r="AP214" s="6" t="s">
        <v>54</v>
      </c>
      <c r="AQ214" s="6"/>
      <c r="AR214" s="6"/>
      <c r="AS214" s="30">
        <f t="shared" si="86"/>
        <v>46.883333333333333</v>
      </c>
      <c r="AT214" s="30">
        <f t="shared" si="87"/>
        <v>10.714285714285715</v>
      </c>
      <c r="AU214" s="27">
        <v>32951</v>
      </c>
      <c r="AV214" s="25">
        <v>33094</v>
      </c>
      <c r="AW214" s="25">
        <v>33007</v>
      </c>
      <c r="AX214" s="25">
        <v>33094</v>
      </c>
      <c r="AY214" s="28">
        <f t="shared" si="79"/>
        <v>78</v>
      </c>
      <c r="AZ214" s="28">
        <f t="shared" si="69"/>
        <v>221</v>
      </c>
      <c r="BA214" s="37">
        <f t="shared" si="80"/>
        <v>144</v>
      </c>
      <c r="BB214" s="28">
        <f t="shared" si="74"/>
        <v>134</v>
      </c>
      <c r="BC214" s="28">
        <f t="shared" si="70"/>
        <v>221</v>
      </c>
      <c r="BD214" s="26">
        <f t="shared" si="71"/>
        <v>88</v>
      </c>
      <c r="BF214" s="36">
        <v>33055</v>
      </c>
      <c r="BG214" s="26">
        <f t="shared" si="78"/>
        <v>40</v>
      </c>
    </row>
    <row r="215" spans="1:59" s="26" customFormat="1" hidden="1" x14ac:dyDescent="0.3">
      <c r="A215" s="6">
        <v>1</v>
      </c>
      <c r="B215" s="6"/>
      <c r="C215" s="6"/>
      <c r="D215" s="6" t="s">
        <v>167</v>
      </c>
      <c r="E215" s="9" t="s">
        <v>168</v>
      </c>
      <c r="F215" s="9" t="str">
        <f t="shared" si="81"/>
        <v>1992-37Albis1990OTC</v>
      </c>
      <c r="G215" s="6" t="s">
        <v>156</v>
      </c>
      <c r="H215" s="6" t="s">
        <v>157</v>
      </c>
      <c r="I215" s="9" t="s">
        <v>169</v>
      </c>
      <c r="J215" s="6" t="s">
        <v>96</v>
      </c>
      <c r="K215" s="9" t="s">
        <v>159</v>
      </c>
      <c r="L215" s="17">
        <v>1990</v>
      </c>
      <c r="M215" s="9" t="s">
        <v>36</v>
      </c>
      <c r="N215" s="9" t="s">
        <v>51</v>
      </c>
      <c r="O215" s="17" t="s">
        <v>42</v>
      </c>
      <c r="P215" s="7">
        <f>R215/1.01*1.08</f>
        <v>44.979554624088941</v>
      </c>
      <c r="Q215" s="6"/>
      <c r="R215" s="9">
        <v>42.064213120675767</v>
      </c>
      <c r="S215" s="6">
        <v>7</v>
      </c>
      <c r="T215" s="6">
        <f t="shared" si="82"/>
        <v>88</v>
      </c>
      <c r="U215" s="9">
        <v>3</v>
      </c>
      <c r="V215" s="13">
        <v>6.5846869894592803</v>
      </c>
      <c r="W215" s="10">
        <v>33007</v>
      </c>
      <c r="X215" s="10">
        <v>33094</v>
      </c>
      <c r="Y215" s="19">
        <v>688</v>
      </c>
      <c r="Z215" s="6" t="s">
        <v>53</v>
      </c>
      <c r="AA215" s="6" t="s">
        <v>170</v>
      </c>
      <c r="AB215" s="6"/>
      <c r="AC215" s="19">
        <v>38.6</v>
      </c>
      <c r="AD215" s="7" t="s">
        <v>39</v>
      </c>
      <c r="AE215" s="6"/>
      <c r="AF215" s="6"/>
      <c r="AG215" s="12">
        <v>35.200000000000003</v>
      </c>
      <c r="AH215" s="6" t="s">
        <v>134</v>
      </c>
      <c r="AI215" s="6"/>
      <c r="AJ215" s="6"/>
      <c r="AK215" s="12">
        <v>508</v>
      </c>
      <c r="AL215" s="6" t="s">
        <v>166</v>
      </c>
      <c r="AM215" s="6"/>
      <c r="AN215" s="6"/>
      <c r="AO215" s="12">
        <f t="shared" si="75"/>
        <v>17823.834196891192</v>
      </c>
      <c r="AP215" s="6" t="s">
        <v>54</v>
      </c>
      <c r="AQ215" s="6"/>
      <c r="AR215" s="6"/>
      <c r="AS215" s="30">
        <f t="shared" si="86"/>
        <v>46.883333333333333</v>
      </c>
      <c r="AT215" s="30">
        <f t="shared" si="87"/>
        <v>10.714285714285715</v>
      </c>
      <c r="AU215" s="27">
        <v>32951</v>
      </c>
      <c r="AV215" s="25">
        <v>33094</v>
      </c>
      <c r="AW215" s="25">
        <v>33007</v>
      </c>
      <c r="AX215" s="25">
        <v>33094</v>
      </c>
      <c r="AY215" s="28">
        <f t="shared" si="79"/>
        <v>78</v>
      </c>
      <c r="AZ215" s="28">
        <f t="shared" ref="AZ215:AZ233" si="88">AV215-INT(YEAR(AV215)&amp;"/1/1")+1</f>
        <v>221</v>
      </c>
      <c r="BA215" s="37">
        <f t="shared" si="80"/>
        <v>144</v>
      </c>
      <c r="BB215" s="28">
        <f t="shared" si="74"/>
        <v>134</v>
      </c>
      <c r="BC215" s="28">
        <f t="shared" si="70"/>
        <v>221</v>
      </c>
      <c r="BD215" s="26">
        <f t="shared" si="71"/>
        <v>88</v>
      </c>
      <c r="BF215" s="36">
        <v>33055</v>
      </c>
      <c r="BG215" s="26">
        <f t="shared" si="78"/>
        <v>40</v>
      </c>
    </row>
    <row r="216" spans="1:59" s="26" customFormat="1" hidden="1" x14ac:dyDescent="0.3">
      <c r="A216" s="6">
        <v>1</v>
      </c>
      <c r="B216" s="6"/>
      <c r="C216" s="6"/>
      <c r="D216" s="6" t="s">
        <v>167</v>
      </c>
      <c r="E216" s="9" t="s">
        <v>168</v>
      </c>
      <c r="F216" s="9" t="str">
        <f t="shared" si="81"/>
        <v>1992-37Albis1990OTC</v>
      </c>
      <c r="G216" s="6" t="s">
        <v>156</v>
      </c>
      <c r="H216" s="6" t="s">
        <v>157</v>
      </c>
      <c r="I216" s="9" t="s">
        <v>169</v>
      </c>
      <c r="J216" s="6" t="s">
        <v>96</v>
      </c>
      <c r="K216" s="9" t="s">
        <v>159</v>
      </c>
      <c r="L216" s="17">
        <v>1990</v>
      </c>
      <c r="M216" s="9" t="s">
        <v>36</v>
      </c>
      <c r="N216" s="9" t="s">
        <v>51</v>
      </c>
      <c r="O216" s="6" t="s">
        <v>136</v>
      </c>
      <c r="P216" s="6">
        <f>(7*R216+5*0.976*R215)/12*T216*12/1000+R215/1.01*(90-T216)*12/1000</f>
        <v>56.226226679996273</v>
      </c>
      <c r="Q216" s="6"/>
      <c r="R216" s="9">
        <v>60.328937238863936</v>
      </c>
      <c r="S216" s="6">
        <v>7</v>
      </c>
      <c r="T216" s="6">
        <f t="shared" si="82"/>
        <v>88</v>
      </c>
      <c r="U216" s="9">
        <v>3</v>
      </c>
      <c r="V216" s="13">
        <v>15.4082260212028</v>
      </c>
      <c r="W216" s="10">
        <v>33007</v>
      </c>
      <c r="X216" s="10">
        <v>33094</v>
      </c>
      <c r="Y216" s="19">
        <v>630</v>
      </c>
      <c r="Z216" s="6" t="s">
        <v>53</v>
      </c>
      <c r="AA216" s="6" t="s">
        <v>170</v>
      </c>
      <c r="AB216" s="6"/>
      <c r="AC216" s="19">
        <v>36.4</v>
      </c>
      <c r="AD216" s="7" t="s">
        <v>39</v>
      </c>
      <c r="AE216" s="6"/>
      <c r="AF216" s="6"/>
      <c r="AG216" s="12">
        <v>36.1</v>
      </c>
      <c r="AH216" s="6" t="s">
        <v>134</v>
      </c>
      <c r="AI216" s="6"/>
      <c r="AJ216" s="6"/>
      <c r="AK216" s="12">
        <v>481</v>
      </c>
      <c r="AL216" s="6" t="s">
        <v>166</v>
      </c>
      <c r="AM216" s="6"/>
      <c r="AN216" s="6"/>
      <c r="AO216" s="12">
        <f t="shared" si="75"/>
        <v>17307.692307692305</v>
      </c>
      <c r="AP216" s="6" t="s">
        <v>54</v>
      </c>
      <c r="AQ216" s="6"/>
      <c r="AR216" s="6"/>
      <c r="AS216" s="30">
        <f t="shared" si="86"/>
        <v>46.883333333333333</v>
      </c>
      <c r="AT216" s="30">
        <f t="shared" si="87"/>
        <v>10.714285714285715</v>
      </c>
      <c r="AU216" s="27">
        <v>32951</v>
      </c>
      <c r="AV216" s="25">
        <v>33094</v>
      </c>
      <c r="AW216" s="25">
        <v>33007</v>
      </c>
      <c r="AX216" s="25">
        <v>33094</v>
      </c>
      <c r="AY216" s="28">
        <f t="shared" si="79"/>
        <v>78</v>
      </c>
      <c r="AZ216" s="28">
        <f t="shared" si="88"/>
        <v>221</v>
      </c>
      <c r="BA216" s="37">
        <f t="shared" si="80"/>
        <v>144</v>
      </c>
      <c r="BB216" s="28">
        <f t="shared" si="74"/>
        <v>134</v>
      </c>
      <c r="BC216" s="28">
        <f t="shared" si="70"/>
        <v>221</v>
      </c>
      <c r="BD216" s="26">
        <f t="shared" si="71"/>
        <v>88</v>
      </c>
      <c r="BF216" s="36">
        <v>33055</v>
      </c>
      <c r="BG216" s="26">
        <f t="shared" si="78"/>
        <v>40</v>
      </c>
    </row>
    <row r="217" spans="1:59" s="26" customFormat="1" hidden="1" x14ac:dyDescent="0.3">
      <c r="A217" s="6">
        <v>1</v>
      </c>
      <c r="B217" s="6"/>
      <c r="C217" s="6"/>
      <c r="D217" s="6" t="s">
        <v>167</v>
      </c>
      <c r="E217" s="9" t="s">
        <v>168</v>
      </c>
      <c r="F217" s="9" t="str">
        <f t="shared" si="81"/>
        <v>1992-37Albis1990OTC</v>
      </c>
      <c r="G217" s="6" t="s">
        <v>156</v>
      </c>
      <c r="H217" s="6" t="s">
        <v>157</v>
      </c>
      <c r="I217" s="9" t="s">
        <v>169</v>
      </c>
      <c r="J217" s="6" t="s">
        <v>96</v>
      </c>
      <c r="K217" s="9" t="s">
        <v>159</v>
      </c>
      <c r="L217" s="17">
        <v>1990</v>
      </c>
      <c r="M217" s="9" t="s">
        <v>36</v>
      </c>
      <c r="N217" s="9" t="s">
        <v>51</v>
      </c>
      <c r="O217" s="6" t="s">
        <v>137</v>
      </c>
      <c r="P217" s="6">
        <f>(7*R217+5*0.976*R215)/12*T217*12/1000+R215/1.01*(90-T217)*12/1000</f>
        <v>66.795413703054479</v>
      </c>
      <c r="Q217" s="6"/>
      <c r="R217" s="9">
        <v>77.486708380192198</v>
      </c>
      <c r="S217" s="6">
        <v>7</v>
      </c>
      <c r="T217" s="6">
        <f t="shared" si="82"/>
        <v>88</v>
      </c>
      <c r="U217" s="9">
        <v>3</v>
      </c>
      <c r="V217" s="13">
        <v>25.126809126261598</v>
      </c>
      <c r="W217" s="10">
        <v>33007</v>
      </c>
      <c r="X217" s="10">
        <v>33094</v>
      </c>
      <c r="Y217" s="19">
        <v>501.99999999999994</v>
      </c>
      <c r="Z217" s="6" t="s">
        <v>53</v>
      </c>
      <c r="AA217" s="6" t="s">
        <v>170</v>
      </c>
      <c r="AB217" s="6"/>
      <c r="AC217" s="19">
        <v>31</v>
      </c>
      <c r="AD217" s="7" t="s">
        <v>39</v>
      </c>
      <c r="AE217" s="6"/>
      <c r="AF217" s="6"/>
      <c r="AG217" s="12">
        <v>33.6</v>
      </c>
      <c r="AH217" s="6" t="s">
        <v>134</v>
      </c>
      <c r="AI217" s="6"/>
      <c r="AJ217" s="6"/>
      <c r="AK217" s="12">
        <v>485</v>
      </c>
      <c r="AL217" s="6" t="s">
        <v>166</v>
      </c>
      <c r="AM217" s="6"/>
      <c r="AN217" s="6"/>
      <c r="AO217" s="12">
        <f t="shared" si="75"/>
        <v>16193.548387096773</v>
      </c>
      <c r="AP217" s="6" t="s">
        <v>54</v>
      </c>
      <c r="AQ217" s="6"/>
      <c r="AR217" s="6"/>
      <c r="AS217" s="30">
        <f t="shared" si="86"/>
        <v>46.883333333333333</v>
      </c>
      <c r="AT217" s="30">
        <f t="shared" si="87"/>
        <v>10.714285714285715</v>
      </c>
      <c r="AU217" s="27">
        <v>32951</v>
      </c>
      <c r="AV217" s="25">
        <v>33094</v>
      </c>
      <c r="AW217" s="25">
        <v>33007</v>
      </c>
      <c r="AX217" s="25">
        <v>33094</v>
      </c>
      <c r="AY217" s="28">
        <f t="shared" si="79"/>
        <v>78</v>
      </c>
      <c r="AZ217" s="28">
        <f t="shared" si="88"/>
        <v>221</v>
      </c>
      <c r="BA217" s="37">
        <f t="shared" si="80"/>
        <v>144</v>
      </c>
      <c r="BB217" s="28">
        <f t="shared" si="74"/>
        <v>134</v>
      </c>
      <c r="BC217" s="28">
        <f t="shared" si="70"/>
        <v>221</v>
      </c>
      <c r="BD217" s="26">
        <f t="shared" si="71"/>
        <v>88</v>
      </c>
      <c r="BF217" s="36">
        <v>33055</v>
      </c>
      <c r="BG217" s="26">
        <f t="shared" si="78"/>
        <v>40</v>
      </c>
    </row>
    <row r="218" spans="1:59" s="26" customFormat="1" hidden="1" x14ac:dyDescent="0.3">
      <c r="A218" s="6">
        <v>1</v>
      </c>
      <c r="B218" s="6"/>
      <c r="C218" s="6"/>
      <c r="D218" s="6" t="s">
        <v>171</v>
      </c>
      <c r="E218" s="9" t="s">
        <v>172</v>
      </c>
      <c r="F218" s="9" t="str">
        <f t="shared" si="81"/>
        <v>1996-30Promessa1991OTC</v>
      </c>
      <c r="G218" s="6" t="s">
        <v>173</v>
      </c>
      <c r="H218" s="6" t="s">
        <v>157</v>
      </c>
      <c r="I218" s="6" t="s">
        <v>174</v>
      </c>
      <c r="J218" s="6" t="s">
        <v>96</v>
      </c>
      <c r="K218" s="6" t="s">
        <v>175</v>
      </c>
      <c r="L218" s="6">
        <v>1991</v>
      </c>
      <c r="M218" s="6" t="s">
        <v>97</v>
      </c>
      <c r="N218" s="6" t="s">
        <v>37</v>
      </c>
      <c r="O218" s="6" t="s">
        <v>132</v>
      </c>
      <c r="P218" s="6">
        <f t="shared" ref="P218:P227" si="89">R218/1.01*1.08</f>
        <v>5.9881188118811881</v>
      </c>
      <c r="Q218" s="6"/>
      <c r="R218" s="6">
        <v>5.6</v>
      </c>
      <c r="S218" s="6">
        <v>12</v>
      </c>
      <c r="T218" s="6">
        <f t="shared" si="82"/>
        <v>102</v>
      </c>
      <c r="U218" s="6">
        <v>3</v>
      </c>
      <c r="V218" s="13">
        <v>0</v>
      </c>
      <c r="W218" s="10">
        <v>33359</v>
      </c>
      <c r="X218" s="10">
        <v>33460</v>
      </c>
      <c r="Y218" s="12">
        <f>4.04*400</f>
        <v>1616</v>
      </c>
      <c r="Z218" s="6" t="s">
        <v>53</v>
      </c>
      <c r="AA218" s="6" t="s">
        <v>216</v>
      </c>
      <c r="AB218" s="6">
        <v>0.34</v>
      </c>
      <c r="AC218" s="12">
        <v>51.66</v>
      </c>
      <c r="AD218" s="7" t="s">
        <v>39</v>
      </c>
      <c r="AE218" s="6"/>
      <c r="AF218" s="6">
        <v>0.88</v>
      </c>
      <c r="AG218" s="12">
        <v>38.33</v>
      </c>
      <c r="AH218" s="6" t="s">
        <v>134</v>
      </c>
      <c r="AI218" s="6"/>
      <c r="AJ218" s="6">
        <v>0.56999999999999995</v>
      </c>
      <c r="AK218" s="12">
        <v>2.39</v>
      </c>
      <c r="AL218" s="6" t="s">
        <v>67</v>
      </c>
      <c r="AM218" s="6"/>
      <c r="AN218" s="6">
        <v>0.13</v>
      </c>
      <c r="AO218" s="12">
        <f t="shared" si="75"/>
        <v>31281.455671699576</v>
      </c>
      <c r="AP218" s="6" t="s">
        <v>67</v>
      </c>
      <c r="AQ218" s="6"/>
      <c r="AR218" s="6"/>
      <c r="AS218" s="30">
        <f t="shared" ref="AS218:AS226" si="90">52+51/60+12/3600</f>
        <v>52.853333333333332</v>
      </c>
      <c r="AT218" s="30">
        <v>-6.9041666666666703</v>
      </c>
      <c r="AU218" s="27">
        <v>33355</v>
      </c>
      <c r="AV218" s="27">
        <v>33482</v>
      </c>
      <c r="AW218" s="25">
        <v>33359</v>
      </c>
      <c r="AX218" s="25">
        <v>33460</v>
      </c>
      <c r="AY218" s="28">
        <f t="shared" si="79"/>
        <v>117</v>
      </c>
      <c r="AZ218" s="28">
        <f t="shared" si="88"/>
        <v>244</v>
      </c>
      <c r="BA218" s="37">
        <f t="shared" si="80"/>
        <v>128</v>
      </c>
      <c r="BB218" s="28">
        <f t="shared" si="74"/>
        <v>121</v>
      </c>
      <c r="BC218" s="28">
        <f t="shared" si="70"/>
        <v>222</v>
      </c>
      <c r="BD218" s="26">
        <f t="shared" si="71"/>
        <v>102</v>
      </c>
    </row>
    <row r="219" spans="1:59" s="26" customFormat="1" hidden="1" x14ac:dyDescent="0.3">
      <c r="A219" s="6">
        <v>1</v>
      </c>
      <c r="B219" s="6"/>
      <c r="C219" s="6"/>
      <c r="D219" s="6" t="s">
        <v>171</v>
      </c>
      <c r="E219" s="9" t="s">
        <v>172</v>
      </c>
      <c r="F219" s="9" t="str">
        <f t="shared" si="81"/>
        <v>1996-30Promessa1991OTC</v>
      </c>
      <c r="G219" s="6" t="s">
        <v>173</v>
      </c>
      <c r="H219" s="6" t="s">
        <v>157</v>
      </c>
      <c r="I219" s="6" t="s">
        <v>174</v>
      </c>
      <c r="J219" s="6" t="s">
        <v>96</v>
      </c>
      <c r="K219" s="6" t="s">
        <v>175</v>
      </c>
      <c r="L219" s="6">
        <v>1991</v>
      </c>
      <c r="M219" s="6" t="s">
        <v>97</v>
      </c>
      <c r="N219" s="6" t="s">
        <v>37</v>
      </c>
      <c r="O219" s="6" t="s">
        <v>103</v>
      </c>
      <c r="P219" s="6">
        <f t="shared" si="89"/>
        <v>26.636328712871286</v>
      </c>
      <c r="Q219" s="6"/>
      <c r="R219" s="6">
        <v>24.9099</v>
      </c>
      <c r="S219" s="6">
        <v>12</v>
      </c>
      <c r="T219" s="6">
        <f t="shared" si="82"/>
        <v>102</v>
      </c>
      <c r="U219" s="6">
        <v>3</v>
      </c>
      <c r="V219" s="13">
        <v>0.37197880276734202</v>
      </c>
      <c r="W219" s="10">
        <v>33359</v>
      </c>
      <c r="X219" s="10">
        <v>33460</v>
      </c>
      <c r="Y219" s="12">
        <f>4.19*400</f>
        <v>1676.0000000000002</v>
      </c>
      <c r="Z219" s="6" t="s">
        <v>53</v>
      </c>
      <c r="AA219" s="6" t="s">
        <v>216</v>
      </c>
      <c r="AB219" s="6">
        <v>0.64</v>
      </c>
      <c r="AC219" s="12">
        <v>50.66</v>
      </c>
      <c r="AD219" s="7" t="s">
        <v>39</v>
      </c>
      <c r="AE219" s="6"/>
      <c r="AF219" s="6">
        <v>0.33</v>
      </c>
      <c r="AG219" s="12">
        <v>39.979999999999997</v>
      </c>
      <c r="AH219" s="6" t="s">
        <v>134</v>
      </c>
      <c r="AI219" s="6"/>
      <c r="AJ219" s="6">
        <v>1.39</v>
      </c>
      <c r="AK219" s="12">
        <v>2.41</v>
      </c>
      <c r="AL219" s="6" t="s">
        <v>67</v>
      </c>
      <c r="AM219" s="6"/>
      <c r="AN219" s="6">
        <v>0.27</v>
      </c>
      <c r="AO219" s="12">
        <f t="shared" si="75"/>
        <v>33083.300434267672</v>
      </c>
      <c r="AP219" s="6" t="s">
        <v>67</v>
      </c>
      <c r="AQ219" s="6"/>
      <c r="AR219" s="6"/>
      <c r="AS219" s="30">
        <f t="shared" si="90"/>
        <v>52.853333333333332</v>
      </c>
      <c r="AT219" s="30">
        <v>-6.9041666666666703</v>
      </c>
      <c r="AU219" s="27">
        <v>33355</v>
      </c>
      <c r="AV219" s="27">
        <v>33482</v>
      </c>
      <c r="AW219" s="25">
        <v>33359</v>
      </c>
      <c r="AX219" s="25">
        <v>33460</v>
      </c>
      <c r="AY219" s="28">
        <f t="shared" si="79"/>
        <v>117</v>
      </c>
      <c r="AZ219" s="28">
        <f t="shared" si="88"/>
        <v>244</v>
      </c>
      <c r="BA219" s="37">
        <f t="shared" si="80"/>
        <v>128</v>
      </c>
      <c r="BB219" s="28">
        <f t="shared" si="74"/>
        <v>121</v>
      </c>
      <c r="BC219" s="28">
        <f t="shared" si="70"/>
        <v>222</v>
      </c>
      <c r="BD219" s="26">
        <f t="shared" si="71"/>
        <v>102</v>
      </c>
    </row>
    <row r="220" spans="1:59" s="26" customFormat="1" hidden="1" x14ac:dyDescent="0.3">
      <c r="A220" s="6">
        <v>1</v>
      </c>
      <c r="B220" s="6"/>
      <c r="C220" s="6"/>
      <c r="D220" s="6" t="s">
        <v>171</v>
      </c>
      <c r="E220" s="9" t="s">
        <v>172</v>
      </c>
      <c r="F220" s="9" t="str">
        <f t="shared" si="81"/>
        <v>1996-30Promessa1991OTC</v>
      </c>
      <c r="G220" s="6" t="s">
        <v>173</v>
      </c>
      <c r="H220" s="6" t="s">
        <v>157</v>
      </c>
      <c r="I220" s="6" t="s">
        <v>174</v>
      </c>
      <c r="J220" s="6" t="s">
        <v>96</v>
      </c>
      <c r="K220" s="6" t="s">
        <v>175</v>
      </c>
      <c r="L220" s="6">
        <v>1991</v>
      </c>
      <c r="M220" s="6" t="s">
        <v>97</v>
      </c>
      <c r="N220" s="6" t="s">
        <v>37</v>
      </c>
      <c r="O220" s="6" t="s">
        <v>136</v>
      </c>
      <c r="P220" s="6">
        <f t="shared" si="89"/>
        <v>34.874483168316836</v>
      </c>
      <c r="Q220" s="6"/>
      <c r="R220" s="6">
        <v>32.614100000000001</v>
      </c>
      <c r="S220" s="6">
        <v>12</v>
      </c>
      <c r="T220" s="6">
        <f t="shared" si="82"/>
        <v>102</v>
      </c>
      <c r="U220" s="6">
        <v>3</v>
      </c>
      <c r="V220" s="13">
        <v>1.9622365305235701</v>
      </c>
      <c r="W220" s="10">
        <v>33359</v>
      </c>
      <c r="X220" s="10">
        <v>33460</v>
      </c>
      <c r="Y220" s="12">
        <f>1.88*400</f>
        <v>752</v>
      </c>
      <c r="Z220" s="6" t="s">
        <v>53</v>
      </c>
      <c r="AA220" s="6" t="s">
        <v>216</v>
      </c>
      <c r="AB220" s="6">
        <v>0.08</v>
      </c>
      <c r="AC220" s="12">
        <v>33.33</v>
      </c>
      <c r="AD220" s="7" t="s">
        <v>39</v>
      </c>
      <c r="AE220" s="6"/>
      <c r="AF220" s="6">
        <v>1.33</v>
      </c>
      <c r="AG220" s="12">
        <v>30.19</v>
      </c>
      <c r="AH220" s="6" t="s">
        <v>134</v>
      </c>
      <c r="AI220" s="6"/>
      <c r="AJ220" s="6">
        <v>0.94</v>
      </c>
      <c r="AK220" s="12">
        <v>2.17</v>
      </c>
      <c r="AL220" s="6" t="s">
        <v>67</v>
      </c>
      <c r="AM220" s="6"/>
      <c r="AN220" s="6">
        <v>0.16</v>
      </c>
      <c r="AO220" s="12">
        <f t="shared" si="75"/>
        <v>22562.256225622561</v>
      </c>
      <c r="AP220" s="6" t="s">
        <v>67</v>
      </c>
      <c r="AQ220" s="6"/>
      <c r="AR220" s="6"/>
      <c r="AS220" s="30">
        <f t="shared" si="90"/>
        <v>52.853333333333332</v>
      </c>
      <c r="AT220" s="30">
        <v>-6.9041666666666703</v>
      </c>
      <c r="AU220" s="27">
        <v>33355</v>
      </c>
      <c r="AV220" s="27">
        <v>33482</v>
      </c>
      <c r="AW220" s="25">
        <v>33359</v>
      </c>
      <c r="AX220" s="25">
        <v>33460</v>
      </c>
      <c r="AY220" s="28">
        <f t="shared" si="79"/>
        <v>117</v>
      </c>
      <c r="AZ220" s="28">
        <f t="shared" si="88"/>
        <v>244</v>
      </c>
      <c r="BA220" s="37">
        <f t="shared" si="80"/>
        <v>128</v>
      </c>
      <c r="BB220" s="28">
        <f t="shared" ref="BB220:BB251" si="91">AW220-INT(YEAR(AW220)&amp;"/1/1")+1</f>
        <v>121</v>
      </c>
      <c r="BC220" s="28">
        <f t="shared" si="70"/>
        <v>222</v>
      </c>
      <c r="BD220" s="26">
        <f t="shared" si="71"/>
        <v>102</v>
      </c>
    </row>
    <row r="221" spans="1:59" s="26" customFormat="1" hidden="1" x14ac:dyDescent="0.3">
      <c r="A221" s="6">
        <v>1</v>
      </c>
      <c r="B221" s="6"/>
      <c r="C221" s="6"/>
      <c r="D221" s="6" t="s">
        <v>171</v>
      </c>
      <c r="E221" s="9" t="s">
        <v>172</v>
      </c>
      <c r="F221" s="9" t="str">
        <f t="shared" si="81"/>
        <v>1996-30Promessa1992OTC</v>
      </c>
      <c r="G221" s="6" t="s">
        <v>173</v>
      </c>
      <c r="H221" s="6" t="s">
        <v>157</v>
      </c>
      <c r="I221" s="6" t="s">
        <v>174</v>
      </c>
      <c r="J221" s="6" t="s">
        <v>96</v>
      </c>
      <c r="K221" s="6" t="s">
        <v>175</v>
      </c>
      <c r="L221" s="6">
        <v>1992</v>
      </c>
      <c r="M221" s="6" t="s">
        <v>97</v>
      </c>
      <c r="N221" s="6" t="s">
        <v>37</v>
      </c>
      <c r="O221" s="6" t="s">
        <v>132</v>
      </c>
      <c r="P221" s="6">
        <f t="shared" si="89"/>
        <v>6.662744554455446</v>
      </c>
      <c r="Q221" s="6"/>
      <c r="R221" s="6">
        <v>6.2309000000000001</v>
      </c>
      <c r="S221" s="6">
        <v>12</v>
      </c>
      <c r="T221" s="6">
        <f t="shared" si="82"/>
        <v>102</v>
      </c>
      <c r="U221" s="6">
        <v>3</v>
      </c>
      <c r="V221" s="13">
        <v>0</v>
      </c>
      <c r="W221" s="10">
        <v>33725</v>
      </c>
      <c r="X221" s="10">
        <v>33826</v>
      </c>
      <c r="Y221" s="12">
        <f>3.22*400</f>
        <v>1288</v>
      </c>
      <c r="Z221" s="6" t="s">
        <v>53</v>
      </c>
      <c r="AA221" s="6" t="s">
        <v>216</v>
      </c>
      <c r="AB221" s="6">
        <v>0.25</v>
      </c>
      <c r="AC221" s="12">
        <v>47.33</v>
      </c>
      <c r="AD221" s="7" t="s">
        <v>39</v>
      </c>
      <c r="AE221" s="6"/>
      <c r="AF221" s="6">
        <v>2.33</v>
      </c>
      <c r="AG221" s="12">
        <v>38.33</v>
      </c>
      <c r="AH221" s="6" t="s">
        <v>134</v>
      </c>
      <c r="AI221" s="6"/>
      <c r="AJ221" s="6">
        <v>2.91</v>
      </c>
      <c r="AK221" s="12">
        <v>2.1</v>
      </c>
      <c r="AL221" s="6" t="s">
        <v>67</v>
      </c>
      <c r="AM221" s="6"/>
      <c r="AN221" s="6">
        <v>0.11</v>
      </c>
      <c r="AO221" s="12">
        <f t="shared" si="75"/>
        <v>27213.184027044161</v>
      </c>
      <c r="AP221" s="6" t="s">
        <v>67</v>
      </c>
      <c r="AQ221" s="6"/>
      <c r="AR221" s="6"/>
      <c r="AS221" s="30">
        <f t="shared" si="90"/>
        <v>52.853333333333332</v>
      </c>
      <c r="AT221" s="30">
        <v>-6.9041666666666703</v>
      </c>
      <c r="AU221" s="27">
        <v>33702</v>
      </c>
      <c r="AV221" s="27">
        <v>33835</v>
      </c>
      <c r="AW221" s="25">
        <v>33725</v>
      </c>
      <c r="AX221" s="25">
        <v>33826</v>
      </c>
      <c r="AY221" s="28">
        <f t="shared" si="79"/>
        <v>99</v>
      </c>
      <c r="AZ221" s="28">
        <f t="shared" si="88"/>
        <v>232</v>
      </c>
      <c r="BA221" s="37">
        <f t="shared" si="80"/>
        <v>134</v>
      </c>
      <c r="BB221" s="28">
        <f t="shared" si="91"/>
        <v>122</v>
      </c>
      <c r="BC221" s="28">
        <f t="shared" si="70"/>
        <v>223</v>
      </c>
      <c r="BD221" s="26">
        <f t="shared" si="71"/>
        <v>102</v>
      </c>
    </row>
    <row r="222" spans="1:59" s="26" customFormat="1" hidden="1" x14ac:dyDescent="0.3">
      <c r="A222" s="6">
        <v>1</v>
      </c>
      <c r="B222" s="6"/>
      <c r="C222" s="6"/>
      <c r="D222" s="6" t="s">
        <v>171</v>
      </c>
      <c r="E222" s="9" t="s">
        <v>172</v>
      </c>
      <c r="F222" s="9" t="str">
        <f t="shared" si="81"/>
        <v>1996-30Promessa1992OTC</v>
      </c>
      <c r="G222" s="6" t="s">
        <v>173</v>
      </c>
      <c r="H222" s="6" t="s">
        <v>157</v>
      </c>
      <c r="I222" s="6" t="s">
        <v>174</v>
      </c>
      <c r="J222" s="6" t="s">
        <v>96</v>
      </c>
      <c r="K222" s="6" t="s">
        <v>175</v>
      </c>
      <c r="L222" s="6">
        <v>1992</v>
      </c>
      <c r="M222" s="6" t="s">
        <v>97</v>
      </c>
      <c r="N222" s="6" t="s">
        <v>37</v>
      </c>
      <c r="O222" s="6" t="s">
        <v>103</v>
      </c>
      <c r="P222" s="6">
        <f t="shared" si="89"/>
        <v>26.838213861386141</v>
      </c>
      <c r="Q222" s="6"/>
      <c r="R222" s="6">
        <v>25.098700000000001</v>
      </c>
      <c r="S222" s="6">
        <v>12</v>
      </c>
      <c r="T222" s="6">
        <f t="shared" si="82"/>
        <v>102</v>
      </c>
      <c r="U222" s="6">
        <v>3</v>
      </c>
      <c r="V222" s="13">
        <v>0.39783406177585601</v>
      </c>
      <c r="W222" s="10">
        <v>33725</v>
      </c>
      <c r="X222" s="10">
        <v>33826</v>
      </c>
      <c r="Y222" s="12">
        <f>3.32*400</f>
        <v>1328</v>
      </c>
      <c r="Z222" s="6" t="s">
        <v>53</v>
      </c>
      <c r="AA222" s="6" t="s">
        <v>216</v>
      </c>
      <c r="AB222" s="6">
        <v>0.23</v>
      </c>
      <c r="AC222" s="12">
        <v>46.66</v>
      </c>
      <c r="AD222" s="7" t="s">
        <v>39</v>
      </c>
      <c r="AE222" s="6"/>
      <c r="AF222" s="6">
        <v>1.2</v>
      </c>
      <c r="AG222" s="12">
        <v>40.229999999999997</v>
      </c>
      <c r="AH222" s="6" t="s">
        <v>134</v>
      </c>
      <c r="AI222" s="6"/>
      <c r="AJ222" s="6">
        <v>1.46</v>
      </c>
      <c r="AK222" s="12">
        <v>2.1</v>
      </c>
      <c r="AL222" s="6" t="s">
        <v>67</v>
      </c>
      <c r="AM222" s="6"/>
      <c r="AN222" s="6">
        <v>0.17</v>
      </c>
      <c r="AO222" s="12">
        <f t="shared" si="75"/>
        <v>28461.208744106305</v>
      </c>
      <c r="AP222" s="6" t="s">
        <v>67</v>
      </c>
      <c r="AQ222" s="6"/>
      <c r="AR222" s="6"/>
      <c r="AS222" s="30">
        <f t="shared" si="90"/>
        <v>52.853333333333332</v>
      </c>
      <c r="AT222" s="30">
        <v>-6.9041666666666703</v>
      </c>
      <c r="AU222" s="27">
        <v>33702</v>
      </c>
      <c r="AV222" s="27">
        <v>33835</v>
      </c>
      <c r="AW222" s="25">
        <v>33725</v>
      </c>
      <c r="AX222" s="25">
        <v>33826</v>
      </c>
      <c r="AY222" s="28">
        <f t="shared" si="79"/>
        <v>99</v>
      </c>
      <c r="AZ222" s="28">
        <f t="shared" si="88"/>
        <v>232</v>
      </c>
      <c r="BA222" s="37">
        <f t="shared" si="80"/>
        <v>134</v>
      </c>
      <c r="BB222" s="28">
        <f t="shared" si="91"/>
        <v>122</v>
      </c>
      <c r="BC222" s="28">
        <f t="shared" si="70"/>
        <v>223</v>
      </c>
      <c r="BD222" s="26">
        <f t="shared" si="71"/>
        <v>102</v>
      </c>
    </row>
    <row r="223" spans="1:59" s="26" customFormat="1" hidden="1" x14ac:dyDescent="0.3">
      <c r="A223" s="6">
        <v>1</v>
      </c>
      <c r="B223" s="6"/>
      <c r="C223" s="6"/>
      <c r="D223" s="6" t="s">
        <v>171</v>
      </c>
      <c r="E223" s="9" t="s">
        <v>172</v>
      </c>
      <c r="F223" s="9" t="str">
        <f t="shared" si="81"/>
        <v>1996-30Promessa1992OTC</v>
      </c>
      <c r="G223" s="6" t="s">
        <v>173</v>
      </c>
      <c r="H223" s="6" t="s">
        <v>157</v>
      </c>
      <c r="I223" s="6" t="s">
        <v>174</v>
      </c>
      <c r="J223" s="6" t="s">
        <v>96</v>
      </c>
      <c r="K223" s="6" t="s">
        <v>175</v>
      </c>
      <c r="L223" s="6">
        <v>1992</v>
      </c>
      <c r="M223" s="6" t="s">
        <v>97</v>
      </c>
      <c r="N223" s="6" t="s">
        <v>37</v>
      </c>
      <c r="O223" s="6" t="s">
        <v>137</v>
      </c>
      <c r="P223" s="6">
        <f t="shared" si="89"/>
        <v>35.734740594059403</v>
      </c>
      <c r="Q223" s="6"/>
      <c r="R223" s="6">
        <v>33.418599999999998</v>
      </c>
      <c r="S223" s="6">
        <v>12</v>
      </c>
      <c r="T223" s="6">
        <f t="shared" si="82"/>
        <v>102</v>
      </c>
      <c r="U223" s="6">
        <v>3</v>
      </c>
      <c r="V223" s="13">
        <v>2.2160216957603098</v>
      </c>
      <c r="W223" s="10">
        <v>33725</v>
      </c>
      <c r="X223" s="10">
        <v>33826</v>
      </c>
      <c r="Y223" s="12">
        <f>3.78*400</f>
        <v>1512</v>
      </c>
      <c r="Z223" s="6" t="s">
        <v>53</v>
      </c>
      <c r="AA223" s="6" t="s">
        <v>216</v>
      </c>
      <c r="AB223" s="6">
        <v>0.3</v>
      </c>
      <c r="AC223" s="12">
        <v>52</v>
      </c>
      <c r="AD223" s="7" t="s">
        <v>39</v>
      </c>
      <c r="AE223" s="6"/>
      <c r="AF223" s="6">
        <v>0.57999999999999996</v>
      </c>
      <c r="AG223" s="12">
        <v>38.1</v>
      </c>
      <c r="AH223" s="6" t="s">
        <v>134</v>
      </c>
      <c r="AI223" s="6"/>
      <c r="AJ223" s="6">
        <v>0.56999999999999995</v>
      </c>
      <c r="AK223" s="12">
        <v>2.34</v>
      </c>
      <c r="AL223" s="6" t="s">
        <v>67</v>
      </c>
      <c r="AM223" s="6"/>
      <c r="AN223" s="6">
        <v>0.2</v>
      </c>
      <c r="AO223" s="12">
        <f t="shared" si="75"/>
        <v>29076.923076923078</v>
      </c>
      <c r="AP223" s="6" t="s">
        <v>67</v>
      </c>
      <c r="AQ223" s="6"/>
      <c r="AR223" s="6"/>
      <c r="AS223" s="30">
        <f t="shared" si="90"/>
        <v>52.853333333333332</v>
      </c>
      <c r="AT223" s="30">
        <v>-6.9041666666666703</v>
      </c>
      <c r="AU223" s="27">
        <v>33702</v>
      </c>
      <c r="AV223" s="27">
        <v>33835</v>
      </c>
      <c r="AW223" s="25">
        <v>33725</v>
      </c>
      <c r="AX223" s="25">
        <v>33826</v>
      </c>
      <c r="AY223" s="28">
        <f t="shared" si="79"/>
        <v>99</v>
      </c>
      <c r="AZ223" s="28">
        <f t="shared" si="88"/>
        <v>232</v>
      </c>
      <c r="BA223" s="37">
        <f t="shared" si="80"/>
        <v>134</v>
      </c>
      <c r="BB223" s="28">
        <f t="shared" si="91"/>
        <v>122</v>
      </c>
      <c r="BC223" s="28">
        <f t="shared" si="70"/>
        <v>223</v>
      </c>
      <c r="BD223" s="26">
        <f t="shared" si="71"/>
        <v>102</v>
      </c>
    </row>
    <row r="224" spans="1:59" s="26" customFormat="1" hidden="1" x14ac:dyDescent="0.3">
      <c r="A224" s="6">
        <v>1</v>
      </c>
      <c r="B224" s="6"/>
      <c r="C224" s="6"/>
      <c r="D224" s="6" t="s">
        <v>171</v>
      </c>
      <c r="E224" s="9" t="s">
        <v>172</v>
      </c>
      <c r="F224" s="9" t="str">
        <f t="shared" si="81"/>
        <v>1996-30Promessa1993OTC</v>
      </c>
      <c r="G224" s="6" t="s">
        <v>173</v>
      </c>
      <c r="H224" s="6" t="s">
        <v>157</v>
      </c>
      <c r="I224" s="6" t="s">
        <v>174</v>
      </c>
      <c r="J224" s="6" t="s">
        <v>96</v>
      </c>
      <c r="K224" s="6" t="s">
        <v>175</v>
      </c>
      <c r="L224" s="6">
        <v>1993</v>
      </c>
      <c r="M224" s="6" t="s">
        <v>97</v>
      </c>
      <c r="N224" s="6" t="s">
        <v>37</v>
      </c>
      <c r="O224" s="6" t="s">
        <v>132</v>
      </c>
      <c r="P224" s="6">
        <f t="shared" si="89"/>
        <v>7.1645702970297025</v>
      </c>
      <c r="Q224" s="6"/>
      <c r="R224" s="6">
        <v>6.7001999999999997</v>
      </c>
      <c r="S224" s="6">
        <v>12</v>
      </c>
      <c r="T224" s="6">
        <f t="shared" si="82"/>
        <v>102</v>
      </c>
      <c r="U224" s="6">
        <v>3</v>
      </c>
      <c r="V224" s="13">
        <v>0</v>
      </c>
      <c r="W224" s="10">
        <v>34090</v>
      </c>
      <c r="X224" s="10">
        <v>34191</v>
      </c>
      <c r="Y224" s="12">
        <f>4.05*400</f>
        <v>1620</v>
      </c>
      <c r="Z224" s="6" t="s">
        <v>53</v>
      </c>
      <c r="AA224" s="6" t="s">
        <v>216</v>
      </c>
      <c r="AB224" s="6">
        <v>0.09</v>
      </c>
      <c r="AC224" s="12">
        <v>54.66</v>
      </c>
      <c r="AD224" s="7" t="s">
        <v>39</v>
      </c>
      <c r="AE224" s="6"/>
      <c r="AF224" s="6">
        <v>0.88</v>
      </c>
      <c r="AG224" s="12">
        <v>36.82</v>
      </c>
      <c r="AH224" s="6" t="s">
        <v>134</v>
      </c>
      <c r="AI224" s="6"/>
      <c r="AJ224" s="6">
        <v>1.38</v>
      </c>
      <c r="AK224" s="12">
        <v>2.38</v>
      </c>
      <c r="AL224" s="6" t="s">
        <v>67</v>
      </c>
      <c r="AM224" s="6"/>
      <c r="AN224" s="6">
        <v>0.08</v>
      </c>
      <c r="AO224" s="12">
        <f t="shared" ref="AO224:AO245" si="92">Y224/AC224*1000</f>
        <v>29637.760702524702</v>
      </c>
      <c r="AP224" s="6" t="s">
        <v>67</v>
      </c>
      <c r="AQ224" s="6"/>
      <c r="AR224" s="6"/>
      <c r="AS224" s="30">
        <f t="shared" si="90"/>
        <v>52.853333333333332</v>
      </c>
      <c r="AT224" s="30">
        <v>-6.9041666666666703</v>
      </c>
      <c r="AU224" s="27">
        <v>34087</v>
      </c>
      <c r="AV224" s="27">
        <v>34227</v>
      </c>
      <c r="AW224" s="25">
        <v>34090</v>
      </c>
      <c r="AX224" s="25">
        <v>34191</v>
      </c>
      <c r="AY224" s="28">
        <f t="shared" si="79"/>
        <v>118</v>
      </c>
      <c r="AZ224" s="28">
        <f t="shared" si="88"/>
        <v>258</v>
      </c>
      <c r="BA224" s="37">
        <f t="shared" si="80"/>
        <v>141</v>
      </c>
      <c r="BB224" s="28">
        <f t="shared" si="91"/>
        <v>121</v>
      </c>
      <c r="BC224" s="28">
        <f t="shared" si="70"/>
        <v>222</v>
      </c>
      <c r="BD224" s="26">
        <f t="shared" si="71"/>
        <v>102</v>
      </c>
    </row>
    <row r="225" spans="1:59" s="26" customFormat="1" hidden="1" x14ac:dyDescent="0.3">
      <c r="A225" s="6">
        <v>1</v>
      </c>
      <c r="B225" s="6"/>
      <c r="C225" s="6"/>
      <c r="D225" s="6" t="s">
        <v>171</v>
      </c>
      <c r="E225" s="9" t="s">
        <v>172</v>
      </c>
      <c r="F225" s="9" t="str">
        <f t="shared" si="81"/>
        <v>1996-30Promessa1993OTC</v>
      </c>
      <c r="G225" s="6" t="s">
        <v>173</v>
      </c>
      <c r="H225" s="6" t="s">
        <v>157</v>
      </c>
      <c r="I225" s="6" t="s">
        <v>174</v>
      </c>
      <c r="J225" s="6" t="s">
        <v>96</v>
      </c>
      <c r="K225" s="6" t="s">
        <v>175</v>
      </c>
      <c r="L225" s="6">
        <v>1993</v>
      </c>
      <c r="M225" s="6" t="s">
        <v>97</v>
      </c>
      <c r="N225" s="6" t="s">
        <v>37</v>
      </c>
      <c r="O225" s="6" t="s">
        <v>137</v>
      </c>
      <c r="P225" s="6">
        <f t="shared" si="89"/>
        <v>36.343069306930687</v>
      </c>
      <c r="Q225" s="6"/>
      <c r="R225" s="6">
        <v>33.987499999999997</v>
      </c>
      <c r="S225" s="6">
        <v>12</v>
      </c>
      <c r="T225" s="6">
        <f t="shared" si="82"/>
        <v>102</v>
      </c>
      <c r="U225" s="6">
        <v>3</v>
      </c>
      <c r="V225" s="13">
        <v>2.4089980077313702</v>
      </c>
      <c r="W225" s="10">
        <v>34090</v>
      </c>
      <c r="X225" s="10">
        <v>34191</v>
      </c>
      <c r="Y225" s="12">
        <f>3.92*400</f>
        <v>1568</v>
      </c>
      <c r="Z225" s="6" t="s">
        <v>53</v>
      </c>
      <c r="AA225" s="6" t="s">
        <v>216</v>
      </c>
      <c r="AB225" s="6">
        <v>0.12</v>
      </c>
      <c r="AC225" s="12">
        <v>50.66</v>
      </c>
      <c r="AD225" s="7" t="s">
        <v>39</v>
      </c>
      <c r="AE225" s="6"/>
      <c r="AF225" s="6">
        <v>1.45</v>
      </c>
      <c r="AG225" s="12">
        <v>35.76</v>
      </c>
      <c r="AH225" s="6" t="s">
        <v>134</v>
      </c>
      <c r="AI225" s="6"/>
      <c r="AJ225" s="6">
        <v>0.88</v>
      </c>
      <c r="AK225" s="12">
        <v>2.48</v>
      </c>
      <c r="AL225" s="6" t="s">
        <v>67</v>
      </c>
      <c r="AM225" s="6"/>
      <c r="AN225" s="6">
        <v>0.14000000000000001</v>
      </c>
      <c r="AO225" s="12">
        <f t="shared" si="92"/>
        <v>30951.440979076197</v>
      </c>
      <c r="AP225" s="6" t="s">
        <v>67</v>
      </c>
      <c r="AQ225" s="6"/>
      <c r="AR225" s="6"/>
      <c r="AS225" s="30">
        <f t="shared" si="90"/>
        <v>52.853333333333332</v>
      </c>
      <c r="AT225" s="30">
        <v>-6.9041666666666703</v>
      </c>
      <c r="AU225" s="27">
        <v>34087</v>
      </c>
      <c r="AV225" s="27">
        <v>34227</v>
      </c>
      <c r="AW225" s="25">
        <v>34090</v>
      </c>
      <c r="AX225" s="25">
        <v>34191</v>
      </c>
      <c r="AY225" s="28">
        <f t="shared" ref="AY225:AY233" si="93">AU225-INT(YEAR(AV225)&amp;"/1/1")+1</f>
        <v>118</v>
      </c>
      <c r="AZ225" s="28">
        <f t="shared" si="88"/>
        <v>258</v>
      </c>
      <c r="BA225" s="37">
        <f t="shared" ref="BA225:BA233" si="94">AZ225-AY225+1</f>
        <v>141</v>
      </c>
      <c r="BB225" s="28">
        <f t="shared" si="91"/>
        <v>121</v>
      </c>
      <c r="BC225" s="28">
        <f t="shared" si="70"/>
        <v>222</v>
      </c>
      <c r="BD225" s="26">
        <f t="shared" si="71"/>
        <v>102</v>
      </c>
    </row>
    <row r="226" spans="1:59" s="26" customFormat="1" hidden="1" x14ac:dyDescent="0.3">
      <c r="A226" s="6">
        <v>1</v>
      </c>
      <c r="B226" s="6"/>
      <c r="C226" s="6"/>
      <c r="D226" s="6" t="s">
        <v>171</v>
      </c>
      <c r="E226" s="9" t="s">
        <v>172</v>
      </c>
      <c r="F226" s="9" t="str">
        <f t="shared" si="81"/>
        <v>1996-30Promessa1993OTC</v>
      </c>
      <c r="G226" s="6" t="s">
        <v>173</v>
      </c>
      <c r="H226" s="6" t="s">
        <v>157</v>
      </c>
      <c r="I226" s="6" t="s">
        <v>174</v>
      </c>
      <c r="J226" s="6" t="s">
        <v>96</v>
      </c>
      <c r="K226" s="6" t="s">
        <v>175</v>
      </c>
      <c r="L226" s="6">
        <v>1993</v>
      </c>
      <c r="M226" s="6" t="s">
        <v>97</v>
      </c>
      <c r="N226" s="6" t="s">
        <v>37</v>
      </c>
      <c r="O226" s="6" t="s">
        <v>136</v>
      </c>
      <c r="P226" s="6">
        <f t="shared" si="89"/>
        <v>36.360712871287127</v>
      </c>
      <c r="Q226" s="6"/>
      <c r="R226" s="6">
        <v>34.003999999999998</v>
      </c>
      <c r="S226" s="6">
        <v>12</v>
      </c>
      <c r="T226" s="6">
        <f t="shared" si="82"/>
        <v>102</v>
      </c>
      <c r="U226" s="6">
        <v>3</v>
      </c>
      <c r="V226" s="13">
        <v>2.4147688436996</v>
      </c>
      <c r="W226" s="10">
        <v>34090</v>
      </c>
      <c r="X226" s="10">
        <v>34191</v>
      </c>
      <c r="Y226" s="12">
        <f>3.37*400</f>
        <v>1348</v>
      </c>
      <c r="Z226" s="6" t="s">
        <v>53</v>
      </c>
      <c r="AA226" s="6" t="s">
        <v>216</v>
      </c>
      <c r="AB226" s="6">
        <v>0.28000000000000003</v>
      </c>
      <c r="AC226" s="12">
        <v>47.33</v>
      </c>
      <c r="AD226" s="7" t="s">
        <v>39</v>
      </c>
      <c r="AE226" s="6"/>
      <c r="AF226" s="6">
        <v>2.96</v>
      </c>
      <c r="AG226" s="12">
        <v>37.979999999999997</v>
      </c>
      <c r="AH226" s="6" t="s">
        <v>134</v>
      </c>
      <c r="AI226" s="6"/>
      <c r="AJ226" s="6">
        <v>0.42</v>
      </c>
      <c r="AK226" s="12">
        <v>2.2200000000000002</v>
      </c>
      <c r="AL226" s="6" t="s">
        <v>67</v>
      </c>
      <c r="AM226" s="6"/>
      <c r="AN226" s="6">
        <v>0.06</v>
      </c>
      <c r="AO226" s="12">
        <f t="shared" si="92"/>
        <v>28480.878935136279</v>
      </c>
      <c r="AP226" s="6" t="s">
        <v>67</v>
      </c>
      <c r="AQ226" s="6"/>
      <c r="AR226" s="6"/>
      <c r="AS226" s="30">
        <f t="shared" si="90"/>
        <v>52.853333333333332</v>
      </c>
      <c r="AT226" s="30">
        <v>-6.9041666666666703</v>
      </c>
      <c r="AU226" s="27">
        <v>34087</v>
      </c>
      <c r="AV226" s="27">
        <v>34227</v>
      </c>
      <c r="AW226" s="25">
        <v>34090</v>
      </c>
      <c r="AX226" s="25">
        <v>34191</v>
      </c>
      <c r="AY226" s="28">
        <f t="shared" si="93"/>
        <v>118</v>
      </c>
      <c r="AZ226" s="28">
        <f t="shared" si="88"/>
        <v>258</v>
      </c>
      <c r="BA226" s="37">
        <f t="shared" si="94"/>
        <v>141</v>
      </c>
      <c r="BB226" s="28">
        <f t="shared" si="91"/>
        <v>121</v>
      </c>
      <c r="BC226" s="28">
        <f t="shared" si="70"/>
        <v>222</v>
      </c>
      <c r="BD226" s="26">
        <f t="shared" si="71"/>
        <v>102</v>
      </c>
    </row>
    <row r="227" spans="1:59" s="26" customFormat="1" hidden="1" x14ac:dyDescent="0.3">
      <c r="A227" s="6">
        <v>1</v>
      </c>
      <c r="B227" s="6"/>
      <c r="C227" s="6"/>
      <c r="D227" s="6" t="s">
        <v>176</v>
      </c>
      <c r="E227" s="9" t="s">
        <v>177</v>
      </c>
      <c r="F227" s="9" t="str">
        <f t="shared" si="81"/>
        <v>1997-75Minaret1995OTC</v>
      </c>
      <c r="G227" s="6" t="s">
        <v>178</v>
      </c>
      <c r="H227" s="6" t="s">
        <v>157</v>
      </c>
      <c r="I227" s="6" t="s">
        <v>179</v>
      </c>
      <c r="J227" s="6" t="s">
        <v>96</v>
      </c>
      <c r="K227" s="6" t="s">
        <v>180</v>
      </c>
      <c r="L227" s="6">
        <v>1995</v>
      </c>
      <c r="M227" s="6" t="s">
        <v>97</v>
      </c>
      <c r="N227" s="6" t="s">
        <v>37</v>
      </c>
      <c r="O227" s="6" t="s">
        <v>74</v>
      </c>
      <c r="P227" s="7">
        <f t="shared" si="89"/>
        <v>27.801980198019805</v>
      </c>
      <c r="Q227" s="6">
        <v>1.357</v>
      </c>
      <c r="R227" s="6">
        <v>26</v>
      </c>
      <c r="S227" s="6">
        <v>7</v>
      </c>
      <c r="T227" s="6">
        <f t="shared" ref="T227:T239" si="95">X227-W227+1</f>
        <v>104</v>
      </c>
      <c r="U227" s="6">
        <v>3</v>
      </c>
      <c r="V227" s="6">
        <f>IF(T227&lt;=90,Q227,Q227/T227*90)</f>
        <v>1.1743269230769231</v>
      </c>
      <c r="W227" s="10">
        <v>34809</v>
      </c>
      <c r="X227" s="10">
        <v>34912</v>
      </c>
      <c r="Y227" s="12">
        <v>627.4</v>
      </c>
      <c r="Z227" s="6" t="s">
        <v>80</v>
      </c>
      <c r="AA227" s="6" t="s">
        <v>181</v>
      </c>
      <c r="AB227" s="6"/>
      <c r="AC227" s="12">
        <v>39.200000000000003</v>
      </c>
      <c r="AD227" s="7" t="s">
        <v>39</v>
      </c>
      <c r="AE227" s="6"/>
      <c r="AF227" s="6"/>
      <c r="AG227" s="12">
        <v>35.299999999999997</v>
      </c>
      <c r="AH227" s="6" t="s">
        <v>134</v>
      </c>
      <c r="AI227" s="6"/>
      <c r="AJ227" s="6"/>
      <c r="AK227" s="12">
        <v>466</v>
      </c>
      <c r="AL227" s="6" t="s">
        <v>54</v>
      </c>
      <c r="AM227" s="6"/>
      <c r="AN227" s="6"/>
      <c r="AO227" s="12">
        <f t="shared" si="92"/>
        <v>16005.102040816326</v>
      </c>
      <c r="AP227" s="6" t="s">
        <v>54</v>
      </c>
      <c r="AQ227" s="6"/>
      <c r="AR227" s="6"/>
      <c r="AS227" s="30">
        <v>52</v>
      </c>
      <c r="AT227" s="30">
        <f>1+15/60</f>
        <v>1.25</v>
      </c>
      <c r="AU227" s="27">
        <v>34778</v>
      </c>
      <c r="AV227" s="25">
        <v>34912</v>
      </c>
      <c r="AW227" s="25">
        <v>34809</v>
      </c>
      <c r="AX227" s="25">
        <v>34912</v>
      </c>
      <c r="AY227" s="28">
        <f t="shared" si="93"/>
        <v>79</v>
      </c>
      <c r="AZ227" s="28">
        <f t="shared" si="88"/>
        <v>213</v>
      </c>
      <c r="BA227" s="37">
        <f t="shared" si="94"/>
        <v>135</v>
      </c>
      <c r="BB227" s="28">
        <f t="shared" si="91"/>
        <v>110</v>
      </c>
      <c r="BC227" s="28">
        <f t="shared" si="70"/>
        <v>213</v>
      </c>
      <c r="BD227" s="26">
        <f t="shared" si="71"/>
        <v>104</v>
      </c>
      <c r="BF227" s="36">
        <f>AU227+90+5</f>
        <v>34873</v>
      </c>
      <c r="BG227" s="26">
        <f t="shared" ref="BG227:BG233" si="96">AV227-BF227+1</f>
        <v>40</v>
      </c>
    </row>
    <row r="228" spans="1:59" s="26" customFormat="1" hidden="1" x14ac:dyDescent="0.3">
      <c r="A228" s="6">
        <v>1</v>
      </c>
      <c r="B228" s="6"/>
      <c r="C228" s="6"/>
      <c r="D228" s="6" t="s">
        <v>176</v>
      </c>
      <c r="E228" s="9" t="s">
        <v>182</v>
      </c>
      <c r="F228" s="9" t="str">
        <f t="shared" si="81"/>
        <v>1997-75Minaret1995OTC</v>
      </c>
      <c r="G228" s="6" t="s">
        <v>178</v>
      </c>
      <c r="H228" s="6" t="s">
        <v>157</v>
      </c>
      <c r="I228" s="6" t="s">
        <v>179</v>
      </c>
      <c r="J228" s="6" t="s">
        <v>96</v>
      </c>
      <c r="K228" s="6" t="s">
        <v>180</v>
      </c>
      <c r="L228" s="6">
        <v>1995</v>
      </c>
      <c r="M228" s="6" t="s">
        <v>97</v>
      </c>
      <c r="N228" s="6" t="s">
        <v>37</v>
      </c>
      <c r="O228" s="10" t="s">
        <v>75</v>
      </c>
      <c r="P228" s="7">
        <f>(7*R228+5*0.976*R227)/12*1.08</f>
        <v>49.219200000000001</v>
      </c>
      <c r="Q228" s="6">
        <v>18.670999999999999</v>
      </c>
      <c r="R228" s="6">
        <v>60</v>
      </c>
      <c r="S228" s="6">
        <v>7</v>
      </c>
      <c r="T228" s="6">
        <f t="shared" si="95"/>
        <v>104</v>
      </c>
      <c r="U228" s="6">
        <v>3</v>
      </c>
      <c r="V228" s="6">
        <f>IF(T228&lt;=90,Q228,Q228/T228*90)</f>
        <v>16.157596153846153</v>
      </c>
      <c r="W228" s="10">
        <v>34809</v>
      </c>
      <c r="X228" s="10">
        <v>34912</v>
      </c>
      <c r="Y228" s="12">
        <v>613.1</v>
      </c>
      <c r="Z228" s="6" t="s">
        <v>80</v>
      </c>
      <c r="AA228" s="6"/>
      <c r="AB228" s="6"/>
      <c r="AC228" s="12">
        <v>40.299999999999997</v>
      </c>
      <c r="AD228" s="7" t="s">
        <v>39</v>
      </c>
      <c r="AE228" s="6"/>
      <c r="AF228" s="6"/>
      <c r="AG228" s="12">
        <v>39.700000000000003</v>
      </c>
      <c r="AH228" s="6" t="s">
        <v>134</v>
      </c>
      <c r="AI228" s="6"/>
      <c r="AJ228" s="6"/>
      <c r="AK228" s="12">
        <v>546</v>
      </c>
      <c r="AL228" s="6" t="s">
        <v>54</v>
      </c>
      <c r="AM228" s="6"/>
      <c r="AN228" s="6"/>
      <c r="AO228" s="12">
        <f t="shared" si="92"/>
        <v>15213.399503722085</v>
      </c>
      <c r="AP228" s="6" t="s">
        <v>54</v>
      </c>
      <c r="AQ228" s="6"/>
      <c r="AR228" s="6"/>
      <c r="AS228" s="30">
        <v>52</v>
      </c>
      <c r="AT228" s="30">
        <f>1+15/60</f>
        <v>1.25</v>
      </c>
      <c r="AU228" s="27">
        <v>34778</v>
      </c>
      <c r="AV228" s="25">
        <v>34912</v>
      </c>
      <c r="AW228" s="25">
        <v>34809</v>
      </c>
      <c r="AX228" s="25">
        <v>34912</v>
      </c>
      <c r="AY228" s="28">
        <f t="shared" si="93"/>
        <v>79</v>
      </c>
      <c r="AZ228" s="28">
        <f t="shared" si="88"/>
        <v>213</v>
      </c>
      <c r="BA228" s="37">
        <f t="shared" si="94"/>
        <v>135</v>
      </c>
      <c r="BB228" s="28">
        <f t="shared" si="91"/>
        <v>110</v>
      </c>
      <c r="BC228" s="28">
        <f t="shared" si="70"/>
        <v>213</v>
      </c>
      <c r="BD228" s="26">
        <f t="shared" si="71"/>
        <v>104</v>
      </c>
      <c r="BF228" s="36">
        <f>AU228+90+5</f>
        <v>34873</v>
      </c>
      <c r="BG228" s="26">
        <f t="shared" si="96"/>
        <v>40</v>
      </c>
    </row>
    <row r="229" spans="1:59" s="26" customFormat="1" hidden="1" x14ac:dyDescent="0.3">
      <c r="A229" s="6">
        <v>1</v>
      </c>
      <c r="B229" s="6"/>
      <c r="C229" s="6"/>
      <c r="D229" s="6" t="s">
        <v>183</v>
      </c>
      <c r="E229" s="9" t="s">
        <v>184</v>
      </c>
      <c r="F229" s="9" t="str">
        <f t="shared" si="81"/>
        <v>1998-73Minaret1996OTC</v>
      </c>
      <c r="G229" s="6" t="s">
        <v>178</v>
      </c>
      <c r="H229" s="6" t="s">
        <v>157</v>
      </c>
      <c r="I229" s="6" t="s">
        <v>179</v>
      </c>
      <c r="J229" s="6" t="s">
        <v>96</v>
      </c>
      <c r="K229" s="6" t="s">
        <v>180</v>
      </c>
      <c r="L229" s="6">
        <v>1996</v>
      </c>
      <c r="M229" s="6" t="s">
        <v>97</v>
      </c>
      <c r="N229" s="6" t="s">
        <v>37</v>
      </c>
      <c r="O229" s="6" t="s">
        <v>74</v>
      </c>
      <c r="P229" s="7">
        <f>R229/1.01*1.08</f>
        <v>27.801980198019805</v>
      </c>
      <c r="Q229" s="6">
        <v>1.887</v>
      </c>
      <c r="R229" s="6">
        <v>26</v>
      </c>
      <c r="S229" s="6">
        <v>7</v>
      </c>
      <c r="T229" s="6">
        <f t="shared" si="95"/>
        <v>115</v>
      </c>
      <c r="U229" s="6">
        <v>3</v>
      </c>
      <c r="V229" s="6">
        <f>IF(T229&lt;=90,Q229,Q229/T229*90)</f>
        <v>1.4767826086956521</v>
      </c>
      <c r="W229" s="10">
        <v>35171</v>
      </c>
      <c r="X229" s="10">
        <v>35285</v>
      </c>
      <c r="Y229" s="12">
        <v>918</v>
      </c>
      <c r="Z229" s="6" t="s">
        <v>80</v>
      </c>
      <c r="AA229" s="6" t="s">
        <v>185</v>
      </c>
      <c r="AB229" s="6"/>
      <c r="AC229" s="12">
        <v>38.200000000000003</v>
      </c>
      <c r="AD229" s="7" t="s">
        <v>39</v>
      </c>
      <c r="AE229" s="6"/>
      <c r="AF229" s="6"/>
      <c r="AG229" s="12">
        <v>46</v>
      </c>
      <c r="AH229" s="6" t="s">
        <v>134</v>
      </c>
      <c r="AI229" s="6"/>
      <c r="AJ229" s="6"/>
      <c r="AK229" s="12">
        <v>635</v>
      </c>
      <c r="AL229" s="6" t="s">
        <v>54</v>
      </c>
      <c r="AM229" s="6"/>
      <c r="AN229" s="6"/>
      <c r="AO229" s="12">
        <f t="shared" si="92"/>
        <v>24031.413612565444</v>
      </c>
      <c r="AP229" s="6" t="s">
        <v>54</v>
      </c>
      <c r="AQ229" s="6"/>
      <c r="AR229" s="6"/>
      <c r="AS229" s="30">
        <v>52</v>
      </c>
      <c r="AT229" s="30">
        <f>1+15/60</f>
        <v>1.25</v>
      </c>
      <c r="AU229" s="27">
        <v>35144</v>
      </c>
      <c r="AV229" s="25">
        <v>35285</v>
      </c>
      <c r="AW229" s="25">
        <v>35171</v>
      </c>
      <c r="AX229" s="25">
        <v>35285</v>
      </c>
      <c r="AY229" s="28">
        <f t="shared" si="93"/>
        <v>80</v>
      </c>
      <c r="AZ229" s="28">
        <f t="shared" si="88"/>
        <v>221</v>
      </c>
      <c r="BA229" s="37">
        <f t="shared" si="94"/>
        <v>142</v>
      </c>
      <c r="BB229" s="28">
        <f t="shared" si="91"/>
        <v>107</v>
      </c>
      <c r="BC229" s="28">
        <f t="shared" si="70"/>
        <v>221</v>
      </c>
      <c r="BD229" s="26">
        <f t="shared" si="71"/>
        <v>115</v>
      </c>
      <c r="BF229" s="36">
        <f>AU229+97</f>
        <v>35241</v>
      </c>
      <c r="BG229" s="26">
        <f t="shared" si="96"/>
        <v>45</v>
      </c>
    </row>
    <row r="230" spans="1:59" s="26" customFormat="1" hidden="1" x14ac:dyDescent="0.3">
      <c r="A230" s="6">
        <v>1</v>
      </c>
      <c r="B230" s="6"/>
      <c r="C230" s="6"/>
      <c r="D230" s="6" t="s">
        <v>183</v>
      </c>
      <c r="E230" s="9" t="s">
        <v>186</v>
      </c>
      <c r="F230" s="9" t="str">
        <f t="shared" si="81"/>
        <v>1998-73Minaret1996OTC</v>
      </c>
      <c r="G230" s="6" t="s">
        <v>178</v>
      </c>
      <c r="H230" s="6" t="s">
        <v>157</v>
      </c>
      <c r="I230" s="6" t="s">
        <v>179</v>
      </c>
      <c r="J230" s="6" t="s">
        <v>96</v>
      </c>
      <c r="K230" s="6" t="s">
        <v>180</v>
      </c>
      <c r="L230" s="6">
        <v>1996</v>
      </c>
      <c r="M230" s="6" t="s">
        <v>97</v>
      </c>
      <c r="N230" s="6" t="s">
        <v>37</v>
      </c>
      <c r="O230" s="10" t="s">
        <v>75</v>
      </c>
      <c r="P230" s="7">
        <f>(7*R230+5*0.976*R229)/12*1.08</f>
        <v>64.339200000000005</v>
      </c>
      <c r="Q230" s="6">
        <v>35.497999999999998</v>
      </c>
      <c r="R230" s="6">
        <v>84</v>
      </c>
      <c r="S230" s="6">
        <v>7</v>
      </c>
      <c r="T230" s="6">
        <f t="shared" si="95"/>
        <v>115</v>
      </c>
      <c r="U230" s="6">
        <v>3</v>
      </c>
      <c r="V230" s="6">
        <f>IF(T230&lt;=90,Q230,Q230/T230*90)</f>
        <v>27.781043478260866</v>
      </c>
      <c r="W230" s="10">
        <v>35171</v>
      </c>
      <c r="X230" s="10">
        <v>35285</v>
      </c>
      <c r="Y230" s="12">
        <v>644</v>
      </c>
      <c r="Z230" s="6" t="s">
        <v>80</v>
      </c>
      <c r="AA230" s="6"/>
      <c r="AB230" s="6"/>
      <c r="AC230" s="12">
        <v>33.799999999999997</v>
      </c>
      <c r="AD230" s="7" t="s">
        <v>39</v>
      </c>
      <c r="AE230" s="6"/>
      <c r="AF230" s="6"/>
      <c r="AG230" s="12">
        <v>43.2</v>
      </c>
      <c r="AH230" s="6" t="s">
        <v>134</v>
      </c>
      <c r="AI230" s="6"/>
      <c r="AJ230" s="6"/>
      <c r="AK230" s="12">
        <v>582</v>
      </c>
      <c r="AL230" s="6" t="s">
        <v>54</v>
      </c>
      <c r="AM230" s="6"/>
      <c r="AN230" s="6"/>
      <c r="AO230" s="12">
        <f t="shared" si="92"/>
        <v>19053.254437869826</v>
      </c>
      <c r="AP230" s="6" t="s">
        <v>54</v>
      </c>
      <c r="AQ230" s="6"/>
      <c r="AR230" s="6"/>
      <c r="AS230" s="30">
        <v>52</v>
      </c>
      <c r="AT230" s="30">
        <f>1+15/60</f>
        <v>1.25</v>
      </c>
      <c r="AU230" s="27">
        <v>35144</v>
      </c>
      <c r="AV230" s="25">
        <v>35285</v>
      </c>
      <c r="AW230" s="25">
        <v>35171</v>
      </c>
      <c r="AX230" s="25">
        <v>35285</v>
      </c>
      <c r="AY230" s="28">
        <f t="shared" si="93"/>
        <v>80</v>
      </c>
      <c r="AZ230" s="28">
        <f t="shared" si="88"/>
        <v>221</v>
      </c>
      <c r="BA230" s="37">
        <f t="shared" si="94"/>
        <v>142</v>
      </c>
      <c r="BB230" s="28">
        <f t="shared" si="91"/>
        <v>107</v>
      </c>
      <c r="BC230" s="28">
        <f t="shared" si="70"/>
        <v>221</v>
      </c>
      <c r="BD230" s="26">
        <f t="shared" si="71"/>
        <v>115</v>
      </c>
      <c r="BF230" s="36">
        <f>AU230+97</f>
        <v>35241</v>
      </c>
      <c r="BG230" s="26">
        <f t="shared" si="96"/>
        <v>45</v>
      </c>
    </row>
    <row r="231" spans="1:59" s="26" customFormat="1" hidden="1" x14ac:dyDescent="0.3">
      <c r="A231" s="6">
        <v>1</v>
      </c>
      <c r="B231" s="6"/>
      <c r="C231" s="6"/>
      <c r="D231" s="6" t="s">
        <v>187</v>
      </c>
      <c r="E231" s="9" t="s">
        <v>188</v>
      </c>
      <c r="F231" s="9" t="str">
        <f t="shared" si="81"/>
        <v>1995-120Ralle1991OTC</v>
      </c>
      <c r="G231" s="6" t="s">
        <v>189</v>
      </c>
      <c r="H231" s="6" t="s">
        <v>157</v>
      </c>
      <c r="I231" s="6" t="s">
        <v>190</v>
      </c>
      <c r="J231" s="6" t="s">
        <v>96</v>
      </c>
      <c r="K231" s="6" t="s">
        <v>191</v>
      </c>
      <c r="L231" s="6">
        <v>1991</v>
      </c>
      <c r="M231" s="6" t="s">
        <v>97</v>
      </c>
      <c r="N231" s="6" t="s">
        <v>37</v>
      </c>
      <c r="O231" s="10" t="s">
        <v>132</v>
      </c>
      <c r="P231" s="6">
        <f>(8 * R231+ 4 * 0.97*R231) / 12*T231*12/1000+R232/1.01*(90-T231)*12/1000</f>
        <v>21.456072475247524</v>
      </c>
      <c r="Q231" s="6"/>
      <c r="R231" s="6">
        <v>17</v>
      </c>
      <c r="S231" s="6">
        <v>8</v>
      </c>
      <c r="T231" s="6">
        <f t="shared" si="95"/>
        <v>67</v>
      </c>
      <c r="U231" s="6">
        <v>5</v>
      </c>
      <c r="V231" s="13">
        <v>0</v>
      </c>
      <c r="W231" s="10">
        <v>33412</v>
      </c>
      <c r="X231" s="10">
        <v>33478</v>
      </c>
      <c r="Y231" s="12">
        <f>3.7*400</f>
        <v>1480</v>
      </c>
      <c r="Z231" s="6" t="s">
        <v>80</v>
      </c>
      <c r="AA231" s="6" t="s">
        <v>192</v>
      </c>
      <c r="AB231" s="6"/>
      <c r="AC231" s="12">
        <v>47.9</v>
      </c>
      <c r="AD231" s="7" t="s">
        <v>39</v>
      </c>
      <c r="AE231" s="6"/>
      <c r="AF231" s="6"/>
      <c r="AG231" s="12"/>
      <c r="AH231" s="6"/>
      <c r="AI231" s="6"/>
      <c r="AJ231" s="6"/>
      <c r="AK231" s="12"/>
      <c r="AL231" s="6"/>
      <c r="AM231" s="6"/>
      <c r="AN231" s="6"/>
      <c r="AO231" s="12">
        <f t="shared" si="92"/>
        <v>30897.703549060545</v>
      </c>
      <c r="AP231" s="6" t="s">
        <v>67</v>
      </c>
      <c r="AQ231" s="6"/>
      <c r="AR231" s="6"/>
      <c r="AS231" s="30">
        <f>55+41/60</f>
        <v>55.68333333333333</v>
      </c>
      <c r="AT231" s="30">
        <f>12+6/60</f>
        <v>12.1</v>
      </c>
      <c r="AU231" s="27">
        <v>33368</v>
      </c>
      <c r="AV231" s="25">
        <v>33478</v>
      </c>
      <c r="AW231" s="25">
        <v>33412</v>
      </c>
      <c r="AX231" s="25">
        <v>33478</v>
      </c>
      <c r="AY231" s="28">
        <f t="shared" si="93"/>
        <v>130</v>
      </c>
      <c r="AZ231" s="28">
        <f t="shared" si="88"/>
        <v>240</v>
      </c>
      <c r="BA231" s="37">
        <f t="shared" si="94"/>
        <v>111</v>
      </c>
      <c r="BB231" s="28">
        <f t="shared" si="91"/>
        <v>174</v>
      </c>
      <c r="BC231" s="28">
        <f t="shared" si="70"/>
        <v>240</v>
      </c>
      <c r="BD231" s="26">
        <f t="shared" si="71"/>
        <v>67</v>
      </c>
      <c r="BF231" s="36">
        <v>33435</v>
      </c>
      <c r="BG231" s="26">
        <f t="shared" si="96"/>
        <v>44</v>
      </c>
    </row>
    <row r="232" spans="1:59" s="26" customFormat="1" hidden="1" x14ac:dyDescent="0.3">
      <c r="A232" s="6">
        <v>1</v>
      </c>
      <c r="B232" s="6"/>
      <c r="C232" s="6"/>
      <c r="D232" s="6" t="s">
        <v>187</v>
      </c>
      <c r="E232" s="9" t="s">
        <v>188</v>
      </c>
      <c r="F232" s="9" t="str">
        <f t="shared" si="81"/>
        <v>1995-120Ralle1991OTC</v>
      </c>
      <c r="G232" s="6" t="s">
        <v>189</v>
      </c>
      <c r="H232" s="6" t="s">
        <v>157</v>
      </c>
      <c r="I232" s="6" t="s">
        <v>190</v>
      </c>
      <c r="J232" s="6" t="s">
        <v>96</v>
      </c>
      <c r="K232" s="6" t="s">
        <v>191</v>
      </c>
      <c r="L232" s="6">
        <v>1991</v>
      </c>
      <c r="M232" s="6" t="s">
        <v>97</v>
      </c>
      <c r="N232" s="6" t="s">
        <v>37</v>
      </c>
      <c r="O232" s="6" t="s">
        <v>103</v>
      </c>
      <c r="P232" s="6">
        <f>R232/1.01*T232*12/1000+R232/1.01*(90-T232)*12/1000</f>
        <v>31.009900990099005</v>
      </c>
      <c r="Q232" s="6"/>
      <c r="R232" s="6">
        <v>29</v>
      </c>
      <c r="S232" s="6">
        <v>8</v>
      </c>
      <c r="T232" s="6">
        <f t="shared" si="95"/>
        <v>67</v>
      </c>
      <c r="U232" s="6">
        <v>5</v>
      </c>
      <c r="V232" s="13">
        <v>1.0571921133271101</v>
      </c>
      <c r="W232" s="10">
        <v>33412</v>
      </c>
      <c r="X232" s="10">
        <v>33478</v>
      </c>
      <c r="Y232" s="12">
        <f>3.3*400</f>
        <v>1320</v>
      </c>
      <c r="Z232" s="6" t="s">
        <v>80</v>
      </c>
      <c r="AA232" s="6" t="s">
        <v>192</v>
      </c>
      <c r="AB232" s="6"/>
      <c r="AC232" s="12">
        <v>44.9</v>
      </c>
      <c r="AD232" s="7" t="s">
        <v>39</v>
      </c>
      <c r="AE232" s="6"/>
      <c r="AF232" s="6"/>
      <c r="AG232" s="12"/>
      <c r="AH232" s="6"/>
      <c r="AI232" s="6"/>
      <c r="AJ232" s="6"/>
      <c r="AK232" s="12"/>
      <c r="AL232" s="6"/>
      <c r="AM232" s="6"/>
      <c r="AN232" s="6"/>
      <c r="AO232" s="12">
        <f t="shared" si="92"/>
        <v>29398.663697104676</v>
      </c>
      <c r="AP232" s="6" t="s">
        <v>67</v>
      </c>
      <c r="AQ232" s="6"/>
      <c r="AR232" s="6"/>
      <c r="AS232" s="30">
        <f>55+41/60</f>
        <v>55.68333333333333</v>
      </c>
      <c r="AT232" s="30">
        <f>12+6/60</f>
        <v>12.1</v>
      </c>
      <c r="AU232" s="27">
        <v>33368</v>
      </c>
      <c r="AV232" s="25">
        <v>33478</v>
      </c>
      <c r="AW232" s="25">
        <v>33412</v>
      </c>
      <c r="AX232" s="25">
        <v>33478</v>
      </c>
      <c r="AY232" s="28">
        <f t="shared" si="93"/>
        <v>130</v>
      </c>
      <c r="AZ232" s="28">
        <f t="shared" si="88"/>
        <v>240</v>
      </c>
      <c r="BA232" s="37">
        <f t="shared" si="94"/>
        <v>111</v>
      </c>
      <c r="BB232" s="28">
        <f t="shared" si="91"/>
        <v>174</v>
      </c>
      <c r="BC232" s="28">
        <f t="shared" si="70"/>
        <v>240</v>
      </c>
      <c r="BD232" s="26">
        <f t="shared" si="71"/>
        <v>67</v>
      </c>
      <c r="BF232" s="36">
        <v>33435</v>
      </c>
      <c r="BG232" s="26">
        <f t="shared" si="96"/>
        <v>44</v>
      </c>
    </row>
    <row r="233" spans="1:59" s="26" customFormat="1" hidden="1" x14ac:dyDescent="0.3">
      <c r="A233" s="6">
        <v>1</v>
      </c>
      <c r="B233" s="6"/>
      <c r="C233" s="6"/>
      <c r="D233" s="6" t="s">
        <v>187</v>
      </c>
      <c r="E233" s="9" t="s">
        <v>188</v>
      </c>
      <c r="F233" s="9" t="str">
        <f t="shared" si="81"/>
        <v>1995-120Ralle1991OTC</v>
      </c>
      <c r="G233" s="6" t="s">
        <v>189</v>
      </c>
      <c r="H233" s="6" t="s">
        <v>157</v>
      </c>
      <c r="I233" s="6" t="s">
        <v>190</v>
      </c>
      <c r="J233" s="6" t="s">
        <v>96</v>
      </c>
      <c r="K233" s="6" t="s">
        <v>191</v>
      </c>
      <c r="L233" s="6">
        <v>1991</v>
      </c>
      <c r="M233" s="6" t="s">
        <v>97</v>
      </c>
      <c r="N233" s="6" t="s">
        <v>37</v>
      </c>
      <c r="O233" s="6" t="s">
        <v>75</v>
      </c>
      <c r="P233" s="6">
        <f>(8 * R233+ 4 * 0.97*R232) / 12*T233*12/1000+R232/1.01*(90-T233)*12/1000</f>
        <v>48.159592475247521</v>
      </c>
      <c r="Q233" s="6"/>
      <c r="R233" s="6">
        <v>61</v>
      </c>
      <c r="S233" s="6">
        <v>8</v>
      </c>
      <c r="T233" s="6">
        <f t="shared" si="95"/>
        <v>67</v>
      </c>
      <c r="U233" s="6">
        <v>5</v>
      </c>
      <c r="V233" s="13">
        <v>8.7904993566869791</v>
      </c>
      <c r="W233" s="10">
        <v>33412</v>
      </c>
      <c r="X233" s="10">
        <v>33478</v>
      </c>
      <c r="Y233" s="12">
        <f>2.7*400</f>
        <v>1080</v>
      </c>
      <c r="Z233" s="6" t="s">
        <v>80</v>
      </c>
      <c r="AA233" s="6" t="s">
        <v>192</v>
      </c>
      <c r="AB233" s="6"/>
      <c r="AC233" s="12">
        <v>40.200000000000003</v>
      </c>
      <c r="AD233" s="7" t="s">
        <v>39</v>
      </c>
      <c r="AE233" s="6"/>
      <c r="AF233" s="6"/>
      <c r="AG233" s="12"/>
      <c r="AH233" s="6"/>
      <c r="AI233" s="6"/>
      <c r="AJ233" s="6"/>
      <c r="AK233" s="12"/>
      <c r="AL233" s="6"/>
      <c r="AM233" s="6"/>
      <c r="AN233" s="6"/>
      <c r="AO233" s="12">
        <f t="shared" si="92"/>
        <v>26865.671641791043</v>
      </c>
      <c r="AP233" s="6" t="s">
        <v>67</v>
      </c>
      <c r="AQ233" s="6"/>
      <c r="AR233" s="6"/>
      <c r="AS233" s="30">
        <f>55+41/60</f>
        <v>55.68333333333333</v>
      </c>
      <c r="AT233" s="30">
        <f>12+6/60</f>
        <v>12.1</v>
      </c>
      <c r="AU233" s="27">
        <v>33368</v>
      </c>
      <c r="AV233" s="25">
        <v>33478</v>
      </c>
      <c r="AW233" s="25">
        <v>33412</v>
      </c>
      <c r="AX233" s="25">
        <v>33478</v>
      </c>
      <c r="AY233" s="28">
        <f t="shared" si="93"/>
        <v>130</v>
      </c>
      <c r="AZ233" s="28">
        <f t="shared" si="88"/>
        <v>240</v>
      </c>
      <c r="BA233" s="37">
        <f t="shared" si="94"/>
        <v>111</v>
      </c>
      <c r="BB233" s="28">
        <f t="shared" si="91"/>
        <v>174</v>
      </c>
      <c r="BC233" s="28">
        <f t="shared" si="70"/>
        <v>240</v>
      </c>
      <c r="BD233" s="26">
        <f t="shared" si="71"/>
        <v>67</v>
      </c>
      <c r="BF233" s="36">
        <v>33435</v>
      </c>
      <c r="BG233" s="26">
        <f t="shared" si="96"/>
        <v>44</v>
      </c>
    </row>
    <row r="234" spans="1:59" s="26" customFormat="1" hidden="1" x14ac:dyDescent="0.3">
      <c r="A234" s="6">
        <v>1</v>
      </c>
      <c r="B234" s="6"/>
      <c r="C234" s="6"/>
      <c r="D234" s="6" t="s">
        <v>193</v>
      </c>
      <c r="E234" s="9" t="s">
        <v>194</v>
      </c>
      <c r="F234" s="9" t="str">
        <f t="shared" si="81"/>
        <v>1998-75Satu1992OTC</v>
      </c>
      <c r="G234" s="9" t="s">
        <v>195</v>
      </c>
      <c r="H234" s="6" t="s">
        <v>157</v>
      </c>
      <c r="I234" s="9" t="s">
        <v>259</v>
      </c>
      <c r="J234" s="6" t="s">
        <v>96</v>
      </c>
      <c r="K234" s="17" t="s">
        <v>197</v>
      </c>
      <c r="L234" s="17">
        <v>1992</v>
      </c>
      <c r="M234" s="9" t="s">
        <v>36</v>
      </c>
      <c r="N234" s="9" t="s">
        <v>51</v>
      </c>
      <c r="O234" s="17" t="s">
        <v>132</v>
      </c>
      <c r="P234" s="6">
        <f>(8 * R234+ 4 * 0.97*R234) / 12*T234*12/1000+R235/1.01*(90-T234)*12/1000</f>
        <v>17.250187722772274</v>
      </c>
      <c r="Q234" s="6">
        <v>0</v>
      </c>
      <c r="R234" s="6">
        <v>14</v>
      </c>
      <c r="S234" s="6">
        <v>8</v>
      </c>
      <c r="T234" s="6">
        <f t="shared" si="95"/>
        <v>78</v>
      </c>
      <c r="U234" s="6">
        <v>5</v>
      </c>
      <c r="V234" s="6">
        <f t="shared" ref="V234:V259" si="97">IF(T234&lt;=90,Q234,Q234/T234*90)</f>
        <v>0</v>
      </c>
      <c r="W234" s="10">
        <v>33773</v>
      </c>
      <c r="X234" s="10">
        <v>33850</v>
      </c>
      <c r="Y234" s="12">
        <v>350</v>
      </c>
      <c r="Z234" s="6" t="s">
        <v>53</v>
      </c>
      <c r="AA234" s="6"/>
      <c r="AB234" s="6"/>
      <c r="AC234" s="12">
        <v>33.799999999999997</v>
      </c>
      <c r="AD234" s="7" t="s">
        <v>39</v>
      </c>
      <c r="AE234" s="6"/>
      <c r="AF234" s="6"/>
      <c r="AG234" s="12"/>
      <c r="AH234" s="6"/>
      <c r="AI234" s="6"/>
      <c r="AJ234" s="6"/>
      <c r="AK234" s="12"/>
      <c r="AL234" s="6"/>
      <c r="AM234" s="6"/>
      <c r="AN234" s="6"/>
      <c r="AO234" s="12">
        <f t="shared" si="92"/>
        <v>10355.029585798817</v>
      </c>
      <c r="AP234" s="6" t="s">
        <v>54</v>
      </c>
      <c r="AQ234" s="6"/>
      <c r="AR234" s="6"/>
      <c r="AS234" s="30">
        <f>60+49/60</f>
        <v>60.81666666666667</v>
      </c>
      <c r="AT234" s="30">
        <f>23+29/60</f>
        <v>23.483333333333334</v>
      </c>
      <c r="AU234" s="29"/>
      <c r="AV234" s="29"/>
      <c r="AW234" s="25">
        <v>33773</v>
      </c>
      <c r="AX234" s="25">
        <v>33850</v>
      </c>
      <c r="AY234" s="28"/>
      <c r="AZ234" s="28"/>
      <c r="BA234" s="37"/>
      <c r="BB234" s="28">
        <f t="shared" si="91"/>
        <v>170</v>
      </c>
      <c r="BC234" s="28">
        <f t="shared" si="70"/>
        <v>247</v>
      </c>
      <c r="BD234" s="26">
        <f t="shared" si="71"/>
        <v>78</v>
      </c>
      <c r="BF234" s="36">
        <f t="shared" ref="BF234:BF239" si="98">AW234-14</f>
        <v>33759</v>
      </c>
    </row>
    <row r="235" spans="1:59" s="26" customFormat="1" hidden="1" x14ac:dyDescent="0.3">
      <c r="A235" s="6">
        <v>1</v>
      </c>
      <c r="B235" s="6"/>
      <c r="C235" s="6"/>
      <c r="D235" s="6" t="s">
        <v>193</v>
      </c>
      <c r="E235" s="9" t="s">
        <v>194</v>
      </c>
      <c r="F235" s="9" t="str">
        <f t="shared" si="81"/>
        <v>1998-75Satu1992OTC</v>
      </c>
      <c r="G235" s="9" t="s">
        <v>195</v>
      </c>
      <c r="H235" s="6" t="s">
        <v>157</v>
      </c>
      <c r="I235" s="9" t="s">
        <v>196</v>
      </c>
      <c r="J235" s="6" t="s">
        <v>96</v>
      </c>
      <c r="K235" s="17" t="s">
        <v>197</v>
      </c>
      <c r="L235" s="17">
        <v>1992</v>
      </c>
      <c r="M235" s="9" t="s">
        <v>36</v>
      </c>
      <c r="N235" s="9" t="s">
        <v>51</v>
      </c>
      <c r="O235" s="17" t="s">
        <v>42</v>
      </c>
      <c r="P235" s="6">
        <f>R235/1.01*T235*12/1000+R235/1.01*(90-T235)*12/1000</f>
        <v>32.079207920792079</v>
      </c>
      <c r="Q235" s="6">
        <v>0.67100000000000004</v>
      </c>
      <c r="R235" s="6">
        <v>30</v>
      </c>
      <c r="S235" s="6">
        <v>8</v>
      </c>
      <c r="T235" s="6">
        <f t="shared" si="95"/>
        <v>78</v>
      </c>
      <c r="U235" s="6">
        <v>5</v>
      </c>
      <c r="V235" s="6">
        <f t="shared" si="97"/>
        <v>0.67100000000000004</v>
      </c>
      <c r="W235" s="10">
        <v>33773</v>
      </c>
      <c r="X235" s="10">
        <v>33850</v>
      </c>
      <c r="Y235" s="12">
        <v>370</v>
      </c>
      <c r="Z235" s="6" t="s">
        <v>53</v>
      </c>
      <c r="AA235" s="6"/>
      <c r="AB235" s="6"/>
      <c r="AC235" s="12">
        <v>34.4</v>
      </c>
      <c r="AD235" s="7" t="s">
        <v>39</v>
      </c>
      <c r="AE235" s="6"/>
      <c r="AF235" s="6"/>
      <c r="AG235" s="12"/>
      <c r="AH235" s="6"/>
      <c r="AI235" s="6"/>
      <c r="AJ235" s="6"/>
      <c r="AK235" s="12"/>
      <c r="AL235" s="6"/>
      <c r="AM235" s="6"/>
      <c r="AN235" s="6"/>
      <c r="AO235" s="12">
        <f t="shared" si="92"/>
        <v>10755.813953488372</v>
      </c>
      <c r="AP235" s="6" t="s">
        <v>54</v>
      </c>
      <c r="AQ235" s="6"/>
      <c r="AR235" s="6"/>
      <c r="AS235" s="30">
        <f>60+49/60</f>
        <v>60.81666666666667</v>
      </c>
      <c r="AT235" s="30">
        <f>23+29/60</f>
        <v>23.483333333333334</v>
      </c>
      <c r="AU235" s="29"/>
      <c r="AV235" s="29"/>
      <c r="AW235" s="25">
        <v>33773</v>
      </c>
      <c r="AX235" s="25">
        <v>33850</v>
      </c>
      <c r="AY235" s="28"/>
      <c r="AZ235" s="28"/>
      <c r="BA235" s="37"/>
      <c r="BB235" s="28">
        <f t="shared" si="91"/>
        <v>170</v>
      </c>
      <c r="BC235" s="28">
        <f t="shared" si="70"/>
        <v>247</v>
      </c>
      <c r="BD235" s="26">
        <f t="shared" si="71"/>
        <v>78</v>
      </c>
      <c r="BF235" s="36">
        <f t="shared" si="98"/>
        <v>33759</v>
      </c>
    </row>
    <row r="236" spans="1:59" s="26" customFormat="1" hidden="1" x14ac:dyDescent="0.3">
      <c r="A236" s="6">
        <v>1</v>
      </c>
      <c r="B236" s="6"/>
      <c r="C236" s="6"/>
      <c r="D236" s="6" t="s">
        <v>193</v>
      </c>
      <c r="E236" s="9" t="s">
        <v>194</v>
      </c>
      <c r="F236" s="9" t="str">
        <f t="shared" si="81"/>
        <v>1998-75Satu1992OTC</v>
      </c>
      <c r="G236" s="9" t="s">
        <v>195</v>
      </c>
      <c r="H236" s="6" t="s">
        <v>157</v>
      </c>
      <c r="I236" s="9" t="s">
        <v>196</v>
      </c>
      <c r="J236" s="6" t="s">
        <v>96</v>
      </c>
      <c r="K236" s="17" t="s">
        <v>197</v>
      </c>
      <c r="L236" s="17">
        <v>1992</v>
      </c>
      <c r="M236" s="9" t="s">
        <v>36</v>
      </c>
      <c r="N236" s="9" t="s">
        <v>51</v>
      </c>
      <c r="O236" s="6" t="s">
        <v>75</v>
      </c>
      <c r="P236" s="6">
        <f>(8 * R236+ 4 * 0.97*R235) / 12*T236*12/1000+R235/1.01*(90-T236)*12/1000</f>
        <v>51.420427722772274</v>
      </c>
      <c r="Q236" s="6">
        <v>13.744</v>
      </c>
      <c r="R236" s="6">
        <v>61</v>
      </c>
      <c r="S236" s="6">
        <v>8</v>
      </c>
      <c r="T236" s="6">
        <f t="shared" si="95"/>
        <v>78</v>
      </c>
      <c r="U236" s="6">
        <v>5</v>
      </c>
      <c r="V236" s="6">
        <f t="shared" si="97"/>
        <v>13.744</v>
      </c>
      <c r="W236" s="10">
        <v>33773</v>
      </c>
      <c r="X236" s="10">
        <v>33850</v>
      </c>
      <c r="Y236" s="12">
        <v>305</v>
      </c>
      <c r="Z236" s="6" t="s">
        <v>53</v>
      </c>
      <c r="AA236" s="6"/>
      <c r="AB236" s="6"/>
      <c r="AC236" s="12">
        <v>30.8</v>
      </c>
      <c r="AD236" s="7" t="s">
        <v>39</v>
      </c>
      <c r="AE236" s="6"/>
      <c r="AF236" s="6"/>
      <c r="AG236" s="12"/>
      <c r="AH236" s="6"/>
      <c r="AI236" s="6"/>
      <c r="AJ236" s="6"/>
      <c r="AK236" s="12"/>
      <c r="AL236" s="6"/>
      <c r="AM236" s="6"/>
      <c r="AN236" s="6"/>
      <c r="AO236" s="12">
        <f t="shared" si="92"/>
        <v>9902.5974025974028</v>
      </c>
      <c r="AP236" s="6" t="s">
        <v>54</v>
      </c>
      <c r="AQ236" s="6"/>
      <c r="AR236" s="6"/>
      <c r="AS236" s="30">
        <f>60+49/60</f>
        <v>60.81666666666667</v>
      </c>
      <c r="AT236" s="30">
        <f>23+29/60</f>
        <v>23.483333333333334</v>
      </c>
      <c r="AU236" s="29"/>
      <c r="AV236" s="29"/>
      <c r="AW236" s="25">
        <v>33773</v>
      </c>
      <c r="AX236" s="25">
        <v>33850</v>
      </c>
      <c r="AY236" s="28"/>
      <c r="AZ236" s="28"/>
      <c r="BA236" s="37"/>
      <c r="BB236" s="28">
        <f t="shared" si="91"/>
        <v>170</v>
      </c>
      <c r="BC236" s="28">
        <f t="shared" si="70"/>
        <v>247</v>
      </c>
      <c r="BD236" s="26">
        <f t="shared" si="71"/>
        <v>78</v>
      </c>
      <c r="BF236" s="36">
        <f t="shared" si="98"/>
        <v>33759</v>
      </c>
    </row>
    <row r="237" spans="1:59" s="26" customFormat="1" hidden="1" x14ac:dyDescent="0.3">
      <c r="A237" s="6">
        <v>1</v>
      </c>
      <c r="B237" s="6"/>
      <c r="C237" s="6"/>
      <c r="D237" s="6" t="s">
        <v>193</v>
      </c>
      <c r="E237" s="9" t="s">
        <v>194</v>
      </c>
      <c r="F237" s="9" t="str">
        <f t="shared" si="81"/>
        <v>1998-75Satu1993OTC</v>
      </c>
      <c r="G237" s="9" t="s">
        <v>195</v>
      </c>
      <c r="H237" s="6" t="s">
        <v>157</v>
      </c>
      <c r="I237" s="9" t="s">
        <v>196</v>
      </c>
      <c r="J237" s="6" t="s">
        <v>96</v>
      </c>
      <c r="K237" s="9" t="s">
        <v>197</v>
      </c>
      <c r="L237" s="9">
        <v>1993</v>
      </c>
      <c r="M237" s="9" t="s">
        <v>36</v>
      </c>
      <c r="N237" s="9" t="s">
        <v>51</v>
      </c>
      <c r="O237" s="9" t="s">
        <v>38</v>
      </c>
      <c r="P237" s="6">
        <f>(8 * R237+ 4 * 0.97*R237) / 12*T237*12/1000+R238/1.01*(90-T237)*12/1000</f>
        <v>10.763479603960397</v>
      </c>
      <c r="Q237" s="6">
        <v>0</v>
      </c>
      <c r="R237" s="6">
        <v>9</v>
      </c>
      <c r="S237" s="6">
        <v>8</v>
      </c>
      <c r="T237" s="6">
        <f t="shared" si="95"/>
        <v>82</v>
      </c>
      <c r="U237" s="6">
        <v>5</v>
      </c>
      <c r="V237" s="6">
        <f t="shared" si="97"/>
        <v>0</v>
      </c>
      <c r="W237" s="10">
        <v>34139</v>
      </c>
      <c r="X237" s="10">
        <v>34220</v>
      </c>
      <c r="Y237" s="12">
        <v>480</v>
      </c>
      <c r="Z237" s="6" t="s">
        <v>53</v>
      </c>
      <c r="AA237" s="6"/>
      <c r="AB237" s="6"/>
      <c r="AC237" s="12">
        <v>36.4</v>
      </c>
      <c r="AD237" s="7" t="s">
        <v>39</v>
      </c>
      <c r="AE237" s="6"/>
      <c r="AF237" s="6"/>
      <c r="AG237" s="12"/>
      <c r="AH237" s="6"/>
      <c r="AI237" s="6"/>
      <c r="AJ237" s="6"/>
      <c r="AK237" s="12"/>
      <c r="AL237" s="6"/>
      <c r="AM237" s="6"/>
      <c r="AN237" s="6"/>
      <c r="AO237" s="12">
        <f t="shared" si="92"/>
        <v>13186.813186813188</v>
      </c>
      <c r="AP237" s="6" t="s">
        <v>54</v>
      </c>
      <c r="AQ237" s="6"/>
      <c r="AR237" s="6"/>
      <c r="AS237" s="30">
        <f>60+47/60</f>
        <v>60.783333333333331</v>
      </c>
      <c r="AT237" s="30">
        <f>23+28/60</f>
        <v>23.466666666666665</v>
      </c>
      <c r="AU237" s="29"/>
      <c r="AV237" s="29"/>
      <c r="AW237" s="25">
        <v>34139</v>
      </c>
      <c r="AX237" s="25">
        <v>34220</v>
      </c>
      <c r="AY237" s="28"/>
      <c r="AZ237" s="28"/>
      <c r="BA237" s="37"/>
      <c r="BB237" s="28">
        <f t="shared" si="91"/>
        <v>170</v>
      </c>
      <c r="BC237" s="28">
        <f t="shared" si="70"/>
        <v>251</v>
      </c>
      <c r="BD237" s="26">
        <f t="shared" si="71"/>
        <v>82</v>
      </c>
      <c r="BF237" s="36">
        <f t="shared" si="98"/>
        <v>34125</v>
      </c>
    </row>
    <row r="238" spans="1:59" s="26" customFormat="1" hidden="1" x14ac:dyDescent="0.3">
      <c r="A238" s="6">
        <v>1</v>
      </c>
      <c r="B238" s="6"/>
      <c r="C238" s="6"/>
      <c r="D238" s="6" t="s">
        <v>193</v>
      </c>
      <c r="E238" s="9" t="s">
        <v>194</v>
      </c>
      <c r="F238" s="9" t="str">
        <f t="shared" si="81"/>
        <v>1998-75Satu1993OTC</v>
      </c>
      <c r="G238" s="9" t="s">
        <v>195</v>
      </c>
      <c r="H238" s="6" t="s">
        <v>157</v>
      </c>
      <c r="I238" s="9" t="s">
        <v>196</v>
      </c>
      <c r="J238" s="6" t="s">
        <v>96</v>
      </c>
      <c r="K238" s="17" t="s">
        <v>197</v>
      </c>
      <c r="L238" s="17">
        <v>1993</v>
      </c>
      <c r="M238" s="9" t="s">
        <v>36</v>
      </c>
      <c r="N238" s="9" t="s">
        <v>51</v>
      </c>
      <c r="O238" s="17" t="s">
        <v>42</v>
      </c>
      <c r="P238" s="6">
        <f>R238/1.01*T238*12/1000+R238/1.01*(90-T238)*12/1000</f>
        <v>22.455445544554458</v>
      </c>
      <c r="Q238" s="6">
        <v>0</v>
      </c>
      <c r="R238" s="6">
        <v>21</v>
      </c>
      <c r="S238" s="6">
        <v>8</v>
      </c>
      <c r="T238" s="6">
        <f t="shared" si="95"/>
        <v>82</v>
      </c>
      <c r="U238" s="6">
        <v>5</v>
      </c>
      <c r="V238" s="6">
        <f t="shared" si="97"/>
        <v>0</v>
      </c>
      <c r="W238" s="10">
        <v>34139</v>
      </c>
      <c r="X238" s="10">
        <v>34220</v>
      </c>
      <c r="Y238" s="12">
        <v>450</v>
      </c>
      <c r="Z238" s="6" t="s">
        <v>53</v>
      </c>
      <c r="AA238" s="6"/>
      <c r="AB238" s="6"/>
      <c r="AC238" s="12">
        <v>36.700000000000003</v>
      </c>
      <c r="AD238" s="7" t="s">
        <v>39</v>
      </c>
      <c r="AE238" s="6"/>
      <c r="AF238" s="6"/>
      <c r="AG238" s="12"/>
      <c r="AH238" s="6"/>
      <c r="AI238" s="6"/>
      <c r="AJ238" s="6"/>
      <c r="AK238" s="12"/>
      <c r="AL238" s="6"/>
      <c r="AM238" s="6"/>
      <c r="AN238" s="6"/>
      <c r="AO238" s="12">
        <f t="shared" si="92"/>
        <v>12261.580381471389</v>
      </c>
      <c r="AP238" s="6" t="s">
        <v>54</v>
      </c>
      <c r="AQ238" s="6"/>
      <c r="AR238" s="6"/>
      <c r="AS238" s="30">
        <f>60+47/60</f>
        <v>60.783333333333331</v>
      </c>
      <c r="AT238" s="30">
        <f>23+28/60</f>
        <v>23.466666666666665</v>
      </c>
      <c r="AU238" s="29"/>
      <c r="AV238" s="29"/>
      <c r="AW238" s="25">
        <v>34139</v>
      </c>
      <c r="AX238" s="25">
        <v>34220</v>
      </c>
      <c r="AY238" s="28"/>
      <c r="AZ238" s="28"/>
      <c r="BA238" s="37"/>
      <c r="BB238" s="28">
        <f t="shared" si="91"/>
        <v>170</v>
      </c>
      <c r="BC238" s="28">
        <f t="shared" si="70"/>
        <v>251</v>
      </c>
      <c r="BD238" s="26">
        <f t="shared" si="71"/>
        <v>82</v>
      </c>
      <c r="BF238" s="36">
        <f t="shared" si="98"/>
        <v>34125</v>
      </c>
    </row>
    <row r="239" spans="1:59" s="26" customFormat="1" hidden="1" x14ac:dyDescent="0.3">
      <c r="A239" s="6">
        <v>1</v>
      </c>
      <c r="B239" s="6"/>
      <c r="C239" s="6"/>
      <c r="D239" s="6" t="s">
        <v>193</v>
      </c>
      <c r="E239" s="9" t="s">
        <v>194</v>
      </c>
      <c r="F239" s="9" t="str">
        <f t="shared" si="81"/>
        <v>1998-75Satu1993OTC</v>
      </c>
      <c r="G239" s="9" t="s">
        <v>195</v>
      </c>
      <c r="H239" s="6" t="s">
        <v>157</v>
      </c>
      <c r="I239" s="9" t="s">
        <v>196</v>
      </c>
      <c r="J239" s="6" t="s">
        <v>96</v>
      </c>
      <c r="K239" s="17" t="s">
        <v>197</v>
      </c>
      <c r="L239" s="17">
        <v>1993</v>
      </c>
      <c r="M239" s="9" t="s">
        <v>36</v>
      </c>
      <c r="N239" s="9" t="s">
        <v>51</v>
      </c>
      <c r="O239" s="6" t="s">
        <v>75</v>
      </c>
      <c r="P239" s="6">
        <f>(8 * R239+ 4 * 0.97*R238) / 12*T239*12/1000+R238/1.01*(90-T239)*12/1000</f>
        <v>38.197399603960399</v>
      </c>
      <c r="Q239" s="6">
        <v>4.609</v>
      </c>
      <c r="R239" s="6">
        <v>45</v>
      </c>
      <c r="S239" s="6">
        <v>8</v>
      </c>
      <c r="T239" s="6">
        <f t="shared" si="95"/>
        <v>82</v>
      </c>
      <c r="U239" s="6">
        <v>5</v>
      </c>
      <c r="V239" s="6">
        <f t="shared" si="97"/>
        <v>4.609</v>
      </c>
      <c r="W239" s="10">
        <v>34139</v>
      </c>
      <c r="X239" s="10">
        <v>34220</v>
      </c>
      <c r="Y239" s="12">
        <v>420</v>
      </c>
      <c r="Z239" s="6" t="s">
        <v>53</v>
      </c>
      <c r="AA239" s="6"/>
      <c r="AB239" s="6"/>
      <c r="AC239" s="12">
        <v>32.1</v>
      </c>
      <c r="AD239" s="7" t="s">
        <v>39</v>
      </c>
      <c r="AE239" s="6"/>
      <c r="AF239" s="6"/>
      <c r="AG239" s="12"/>
      <c r="AH239" s="6"/>
      <c r="AI239" s="6"/>
      <c r="AJ239" s="6"/>
      <c r="AK239" s="12"/>
      <c r="AL239" s="6"/>
      <c r="AM239" s="6"/>
      <c r="AN239" s="6"/>
      <c r="AO239" s="12">
        <f t="shared" si="92"/>
        <v>13084.11214953271</v>
      </c>
      <c r="AP239" s="6" t="s">
        <v>54</v>
      </c>
      <c r="AQ239" s="6"/>
      <c r="AR239" s="6"/>
      <c r="AS239" s="30">
        <f>60+47/60</f>
        <v>60.783333333333331</v>
      </c>
      <c r="AT239" s="30">
        <f>23+28/60</f>
        <v>23.466666666666665</v>
      </c>
      <c r="AU239" s="29"/>
      <c r="AV239" s="29"/>
      <c r="AW239" s="25">
        <v>34139</v>
      </c>
      <c r="AX239" s="25">
        <v>34220</v>
      </c>
      <c r="AY239" s="28"/>
      <c r="AZ239" s="28"/>
      <c r="BA239" s="37"/>
      <c r="BB239" s="28">
        <f t="shared" si="91"/>
        <v>170</v>
      </c>
      <c r="BC239" s="28">
        <f t="shared" si="70"/>
        <v>251</v>
      </c>
      <c r="BD239" s="26">
        <f t="shared" si="71"/>
        <v>82</v>
      </c>
      <c r="BF239" s="36">
        <f t="shared" si="98"/>
        <v>34125</v>
      </c>
    </row>
    <row r="240" spans="1:59" s="26" customFormat="1" hidden="1" x14ac:dyDescent="0.3">
      <c r="A240" s="6">
        <v>1</v>
      </c>
      <c r="B240" s="6"/>
      <c r="C240" s="6"/>
      <c r="D240" s="6" t="s">
        <v>198</v>
      </c>
      <c r="E240" s="9" t="s">
        <v>199</v>
      </c>
      <c r="F240" s="9" t="str">
        <f t="shared" si="81"/>
        <v>1998-84Dragon1995OTC</v>
      </c>
      <c r="G240" s="9" t="s">
        <v>162</v>
      </c>
      <c r="H240" s="6" t="s">
        <v>157</v>
      </c>
      <c r="I240" s="9" t="s">
        <v>163</v>
      </c>
      <c r="J240" s="6" t="s">
        <v>96</v>
      </c>
      <c r="K240" s="9" t="s">
        <v>200</v>
      </c>
      <c r="L240" s="6">
        <v>1995</v>
      </c>
      <c r="M240" s="9" t="s">
        <v>36</v>
      </c>
      <c r="N240" s="9" t="s">
        <v>51</v>
      </c>
      <c r="O240" s="6" t="s">
        <v>103</v>
      </c>
      <c r="P240" s="7">
        <f>R240*1.08</f>
        <v>23.151818571428581</v>
      </c>
      <c r="Q240" s="20">
        <v>1.3093750000000003E-2</v>
      </c>
      <c r="R240" s="21">
        <v>21.436869047619055</v>
      </c>
      <c r="S240" s="6">
        <v>12</v>
      </c>
      <c r="T240" s="6">
        <v>98</v>
      </c>
      <c r="U240" s="6">
        <v>5</v>
      </c>
      <c r="V240" s="6">
        <f t="shared" si="97"/>
        <v>1.2024872448979594E-2</v>
      </c>
      <c r="W240" s="10"/>
      <c r="X240" s="10"/>
      <c r="Y240" s="22">
        <v>590</v>
      </c>
      <c r="Z240" s="6" t="s">
        <v>53</v>
      </c>
      <c r="AA240" s="6"/>
      <c r="AB240" s="6"/>
      <c r="AC240" s="12">
        <v>41.7</v>
      </c>
      <c r="AD240" s="7" t="s">
        <v>39</v>
      </c>
      <c r="AE240" s="6"/>
      <c r="AF240" s="6">
        <v>0.7</v>
      </c>
      <c r="AG240" s="12">
        <f t="shared" ref="AG240:AG245" si="99">Y240/AC240*1000/AK240</f>
        <v>23.043454487224551</v>
      </c>
      <c r="AH240" s="6" t="s">
        <v>134</v>
      </c>
      <c r="AI240" s="6"/>
      <c r="AJ240" s="6"/>
      <c r="AK240" s="12">
        <v>614</v>
      </c>
      <c r="AL240" s="6" t="s">
        <v>54</v>
      </c>
      <c r="AM240" s="6"/>
      <c r="AN240" s="6"/>
      <c r="AO240" s="12">
        <f t="shared" si="92"/>
        <v>14148.681055155874</v>
      </c>
      <c r="AP240" s="6" t="s">
        <v>54</v>
      </c>
      <c r="AQ240" s="6"/>
      <c r="AR240" s="6"/>
      <c r="AS240" s="30">
        <f t="shared" ref="AS240:AS249" si="100">57+54/60</f>
        <v>57.9</v>
      </c>
      <c r="AT240" s="30">
        <f t="shared" ref="AT240:AT249" si="101">12+24/60</f>
        <v>12.4</v>
      </c>
      <c r="AU240" s="27">
        <v>34822</v>
      </c>
      <c r="AV240" s="25">
        <v>34914</v>
      </c>
      <c r="AW240" s="25">
        <v>34850</v>
      </c>
      <c r="AX240" s="25">
        <v>34914</v>
      </c>
      <c r="AY240" s="28">
        <f t="shared" ref="AY240:AY259" si="102">AU240-INT(YEAR(AV240)&amp;"/1/1")+1</f>
        <v>123</v>
      </c>
      <c r="AZ240" s="28">
        <f t="shared" ref="AZ240:AZ259" si="103">AV240-INT(YEAR(AV240)&amp;"/1/1")+1</f>
        <v>215</v>
      </c>
      <c r="BA240" s="37">
        <f t="shared" ref="BA240:BA259" si="104">AZ240-AY240+1</f>
        <v>93</v>
      </c>
      <c r="BB240" s="28">
        <f t="shared" si="91"/>
        <v>151</v>
      </c>
      <c r="BC240" s="28">
        <f t="shared" si="70"/>
        <v>215</v>
      </c>
      <c r="BD240" s="26">
        <f t="shared" si="71"/>
        <v>65</v>
      </c>
      <c r="BF240" s="36">
        <f>AW240+38</f>
        <v>34888</v>
      </c>
      <c r="BG240" s="26">
        <f t="shared" ref="BG240:BG259" si="105">AV240-BF240+1</f>
        <v>27</v>
      </c>
    </row>
    <row r="241" spans="1:60" s="26" customFormat="1" hidden="1" x14ac:dyDescent="0.3">
      <c r="A241" s="6">
        <v>1</v>
      </c>
      <c r="B241" s="6"/>
      <c r="C241" s="6"/>
      <c r="D241" s="6" t="s">
        <v>198</v>
      </c>
      <c r="E241" s="9" t="s">
        <v>199</v>
      </c>
      <c r="F241" s="9" t="str">
        <f t="shared" si="81"/>
        <v>1998-84Dragon1995OTC</v>
      </c>
      <c r="G241" s="9" t="s">
        <v>162</v>
      </c>
      <c r="H241" s="6" t="s">
        <v>157</v>
      </c>
      <c r="I241" s="9" t="s">
        <v>163</v>
      </c>
      <c r="J241" s="6" t="s">
        <v>96</v>
      </c>
      <c r="K241" s="9" t="s">
        <v>200</v>
      </c>
      <c r="L241" s="6">
        <v>1995</v>
      </c>
      <c r="M241" s="9" t="s">
        <v>36</v>
      </c>
      <c r="N241" s="9" t="s">
        <v>51</v>
      </c>
      <c r="O241" s="6" t="s">
        <v>136</v>
      </c>
      <c r="P241" s="7">
        <f>R241*1.08</f>
        <v>31.967162142857145</v>
      </c>
      <c r="Q241" s="20">
        <v>0.89017187499999995</v>
      </c>
      <c r="R241" s="21">
        <v>29.599224206349206</v>
      </c>
      <c r="S241" s="6">
        <v>12</v>
      </c>
      <c r="T241" s="6">
        <v>98</v>
      </c>
      <c r="U241" s="6">
        <v>5</v>
      </c>
      <c r="V241" s="6">
        <f t="shared" si="97"/>
        <v>0.81750478316326525</v>
      </c>
      <c r="W241" s="6"/>
      <c r="X241" s="6"/>
      <c r="Y241" s="22">
        <v>606</v>
      </c>
      <c r="Z241" s="6" t="s">
        <v>53</v>
      </c>
      <c r="AA241" s="6"/>
      <c r="AB241" s="6"/>
      <c r="AC241" s="12">
        <v>41.5</v>
      </c>
      <c r="AD241" s="7" t="s">
        <v>39</v>
      </c>
      <c r="AE241" s="6"/>
      <c r="AF241" s="6">
        <v>0.52</v>
      </c>
      <c r="AG241" s="12">
        <f t="shared" si="99"/>
        <v>23.93837645664626</v>
      </c>
      <c r="AH241" s="6" t="s">
        <v>134</v>
      </c>
      <c r="AI241" s="6"/>
      <c r="AJ241" s="6"/>
      <c r="AK241" s="12">
        <v>610</v>
      </c>
      <c r="AL241" s="6" t="s">
        <v>54</v>
      </c>
      <c r="AM241" s="6"/>
      <c r="AN241" s="6"/>
      <c r="AO241" s="12">
        <f t="shared" si="92"/>
        <v>14602.409638554218</v>
      </c>
      <c r="AP241" s="6" t="s">
        <v>54</v>
      </c>
      <c r="AQ241" s="6"/>
      <c r="AR241" s="6"/>
      <c r="AS241" s="30">
        <f t="shared" si="100"/>
        <v>57.9</v>
      </c>
      <c r="AT241" s="30">
        <f t="shared" si="101"/>
        <v>12.4</v>
      </c>
      <c r="AU241" s="27">
        <v>34822</v>
      </c>
      <c r="AV241" s="25">
        <v>34914</v>
      </c>
      <c r="AW241" s="25">
        <v>34850</v>
      </c>
      <c r="AX241" s="25">
        <v>34889</v>
      </c>
      <c r="AY241" s="28">
        <f t="shared" si="102"/>
        <v>123</v>
      </c>
      <c r="AZ241" s="28">
        <f t="shared" si="103"/>
        <v>215</v>
      </c>
      <c r="BA241" s="37">
        <f t="shared" si="104"/>
        <v>93</v>
      </c>
      <c r="BB241" s="28">
        <f t="shared" si="91"/>
        <v>151</v>
      </c>
      <c r="BC241" s="28">
        <f t="shared" si="70"/>
        <v>190</v>
      </c>
      <c r="BD241" s="26">
        <f t="shared" si="71"/>
        <v>40</v>
      </c>
      <c r="BF241" s="36">
        <f>AW241+38</f>
        <v>34888</v>
      </c>
      <c r="BG241" s="26">
        <f t="shared" si="105"/>
        <v>27</v>
      </c>
    </row>
    <row r="242" spans="1:60" s="26" customFormat="1" hidden="1" x14ac:dyDescent="0.3">
      <c r="A242" s="6">
        <v>1</v>
      </c>
      <c r="B242" s="6"/>
      <c r="C242" s="6"/>
      <c r="D242" s="6" t="s">
        <v>198</v>
      </c>
      <c r="E242" s="9" t="s">
        <v>199</v>
      </c>
      <c r="F242" s="9" t="str">
        <f t="shared" si="81"/>
        <v>1998-84Dragon1995OTC</v>
      </c>
      <c r="G242" s="9" t="s">
        <v>162</v>
      </c>
      <c r="H242" s="6" t="s">
        <v>157</v>
      </c>
      <c r="I242" s="9" t="s">
        <v>163</v>
      </c>
      <c r="J242" s="6" t="s">
        <v>96</v>
      </c>
      <c r="K242" s="9" t="s">
        <v>200</v>
      </c>
      <c r="L242" s="6">
        <v>1995</v>
      </c>
      <c r="M242" s="9" t="s">
        <v>36</v>
      </c>
      <c r="N242" s="9" t="s">
        <v>51</v>
      </c>
      <c r="O242" s="6" t="s">
        <v>137</v>
      </c>
      <c r="P242" s="7">
        <f>R242*1.08</f>
        <v>38.80432285714285</v>
      </c>
      <c r="Q242" s="20">
        <v>2.3906512499999999</v>
      </c>
      <c r="R242" s="21">
        <v>35.929928571428562</v>
      </c>
      <c r="S242" s="6">
        <v>12</v>
      </c>
      <c r="T242" s="6">
        <v>98</v>
      </c>
      <c r="U242" s="6">
        <v>5</v>
      </c>
      <c r="V242" s="6">
        <f t="shared" si="97"/>
        <v>2.1954960459183672</v>
      </c>
      <c r="W242" s="6"/>
      <c r="X242" s="6"/>
      <c r="Y242" s="22">
        <v>527</v>
      </c>
      <c r="Z242" s="6" t="s">
        <v>53</v>
      </c>
      <c r="AA242" s="6"/>
      <c r="AB242" s="6"/>
      <c r="AC242" s="12">
        <v>38.1</v>
      </c>
      <c r="AD242" s="7" t="s">
        <v>39</v>
      </c>
      <c r="AE242" s="6"/>
      <c r="AF242" s="6">
        <v>1.1399999999999999</v>
      </c>
      <c r="AG242" s="12">
        <f t="shared" si="99"/>
        <v>25.058009053216175</v>
      </c>
      <c r="AH242" s="6" t="s">
        <v>134</v>
      </c>
      <c r="AI242" s="6"/>
      <c r="AJ242" s="6"/>
      <c r="AK242" s="12">
        <v>552</v>
      </c>
      <c r="AL242" s="6" t="s">
        <v>54</v>
      </c>
      <c r="AM242" s="6"/>
      <c r="AN242" s="6"/>
      <c r="AO242" s="12">
        <f t="shared" si="92"/>
        <v>13832.020997375328</v>
      </c>
      <c r="AP242" s="6" t="s">
        <v>54</v>
      </c>
      <c r="AQ242" s="6"/>
      <c r="AR242" s="6"/>
      <c r="AS242" s="30">
        <f t="shared" si="100"/>
        <v>57.9</v>
      </c>
      <c r="AT242" s="30">
        <f t="shared" si="101"/>
        <v>12.4</v>
      </c>
      <c r="AU242" s="27">
        <v>34822</v>
      </c>
      <c r="AV242" s="25">
        <v>34914</v>
      </c>
      <c r="AW242" s="25">
        <v>34889</v>
      </c>
      <c r="AX242" s="25">
        <v>34914</v>
      </c>
      <c r="AY242" s="28">
        <f t="shared" si="102"/>
        <v>123</v>
      </c>
      <c r="AZ242" s="28">
        <f t="shared" si="103"/>
        <v>215</v>
      </c>
      <c r="BA242" s="37">
        <f t="shared" si="104"/>
        <v>93</v>
      </c>
      <c r="BB242" s="28">
        <f t="shared" si="91"/>
        <v>190</v>
      </c>
      <c r="BC242" s="28">
        <f t="shared" si="70"/>
        <v>215</v>
      </c>
      <c r="BD242" s="26">
        <f t="shared" si="71"/>
        <v>26</v>
      </c>
      <c r="BF242" s="36">
        <f>AW242-26</f>
        <v>34863</v>
      </c>
      <c r="BG242" s="26">
        <f t="shared" si="105"/>
        <v>52</v>
      </c>
    </row>
    <row r="243" spans="1:60" s="26" customFormat="1" hidden="1" x14ac:dyDescent="0.3">
      <c r="A243" s="6">
        <v>1</v>
      </c>
      <c r="B243" s="6"/>
      <c r="C243" s="6"/>
      <c r="D243" s="6" t="s">
        <v>201</v>
      </c>
      <c r="E243" s="9" t="s">
        <v>202</v>
      </c>
      <c r="F243" s="9" t="str">
        <f t="shared" si="81"/>
        <v>2000-X96Dragon1994OTC</v>
      </c>
      <c r="G243" s="6" t="s">
        <v>203</v>
      </c>
      <c r="H243" s="6" t="s">
        <v>157</v>
      </c>
      <c r="I243" s="9" t="s">
        <v>163</v>
      </c>
      <c r="J243" s="6" t="s">
        <v>96</v>
      </c>
      <c r="K243" s="17" t="s">
        <v>200</v>
      </c>
      <c r="L243" s="17">
        <v>1994</v>
      </c>
      <c r="M243" s="9" t="s">
        <v>36</v>
      </c>
      <c r="N243" s="9" t="s">
        <v>51</v>
      </c>
      <c r="O243" s="17" t="s">
        <v>42</v>
      </c>
      <c r="P243" s="6">
        <f>R243/1.01*T243*12/1000+R243/1.01*(90-T243)*12/1000</f>
        <v>35.287128712871286</v>
      </c>
      <c r="Q243" s="6">
        <v>2.2709999999999999</v>
      </c>
      <c r="R243" s="6">
        <v>33</v>
      </c>
      <c r="S243" s="6">
        <v>12</v>
      </c>
      <c r="T243" s="6">
        <f t="shared" ref="T243:T259" si="106">X243-W243+1</f>
        <v>71</v>
      </c>
      <c r="U243" s="17">
        <v>3</v>
      </c>
      <c r="V243" s="6">
        <f t="shared" si="97"/>
        <v>2.2709999999999999</v>
      </c>
      <c r="W243" s="6">
        <v>165</v>
      </c>
      <c r="X243" s="6">
        <v>235</v>
      </c>
      <c r="Y243" s="12">
        <v>568.32181018227504</v>
      </c>
      <c r="Z243" s="6" t="s">
        <v>53</v>
      </c>
      <c r="AA243" s="6"/>
      <c r="AB243" s="6">
        <v>37.837837837837981</v>
      </c>
      <c r="AC243" s="12">
        <v>35.761674718196502</v>
      </c>
      <c r="AD243" s="7" t="s">
        <v>39</v>
      </c>
      <c r="AE243" s="6"/>
      <c r="AF243" s="6">
        <v>0.79999999999999716</v>
      </c>
      <c r="AG243" s="12">
        <f t="shared" si="99"/>
        <v>35.214813556589355</v>
      </c>
      <c r="AH243" s="6" t="s">
        <v>134</v>
      </c>
      <c r="AI243" s="6"/>
      <c r="AJ243" s="6"/>
      <c r="AK243" s="12">
        <v>451.285189718482</v>
      </c>
      <c r="AL243" s="6" t="s">
        <v>54</v>
      </c>
      <c r="AM243" s="6"/>
      <c r="AN243" s="6"/>
      <c r="AO243" s="12">
        <f t="shared" si="92"/>
        <v>15891.923816786399</v>
      </c>
      <c r="AP243" s="6" t="s">
        <v>54</v>
      </c>
      <c r="AQ243" s="6"/>
      <c r="AR243" s="6"/>
      <c r="AS243" s="30">
        <f t="shared" si="100"/>
        <v>57.9</v>
      </c>
      <c r="AT243" s="30">
        <f t="shared" si="101"/>
        <v>12.4</v>
      </c>
      <c r="AU243" s="29">
        <v>118</v>
      </c>
      <c r="AV243" s="29">
        <v>235</v>
      </c>
      <c r="AW243" s="12">
        <v>165</v>
      </c>
      <c r="AX243" s="12">
        <v>235</v>
      </c>
      <c r="AY243" s="28">
        <f t="shared" si="102"/>
        <v>118</v>
      </c>
      <c r="AZ243" s="28">
        <f t="shared" si="103"/>
        <v>235</v>
      </c>
      <c r="BA243" s="37">
        <f t="shared" si="104"/>
        <v>118</v>
      </c>
      <c r="BB243" s="28">
        <f t="shared" si="91"/>
        <v>165</v>
      </c>
      <c r="BC243" s="28">
        <f t="shared" si="70"/>
        <v>235</v>
      </c>
      <c r="BD243" s="26">
        <f t="shared" si="71"/>
        <v>71</v>
      </c>
      <c r="BF243" s="28">
        <f>AU243+65</f>
        <v>183</v>
      </c>
      <c r="BG243" s="26">
        <f t="shared" si="105"/>
        <v>53</v>
      </c>
    </row>
    <row r="244" spans="1:60" s="26" customFormat="1" hidden="1" x14ac:dyDescent="0.3">
      <c r="A244" s="6">
        <v>1</v>
      </c>
      <c r="B244" s="6"/>
      <c r="C244" s="6"/>
      <c r="D244" s="6" t="s">
        <v>201</v>
      </c>
      <c r="E244" s="9" t="s">
        <v>202</v>
      </c>
      <c r="F244" s="9" t="str">
        <f t="shared" si="81"/>
        <v>2000-X96Dragon1994OTC</v>
      </c>
      <c r="G244" s="6" t="s">
        <v>203</v>
      </c>
      <c r="H244" s="6" t="s">
        <v>157</v>
      </c>
      <c r="I244" s="9" t="s">
        <v>163</v>
      </c>
      <c r="J244" s="6" t="s">
        <v>96</v>
      </c>
      <c r="K244" s="17" t="s">
        <v>200</v>
      </c>
      <c r="L244" s="17">
        <v>1994</v>
      </c>
      <c r="M244" s="9" t="s">
        <v>36</v>
      </c>
      <c r="N244" s="9" t="s">
        <v>51</v>
      </c>
      <c r="O244" s="6" t="s">
        <v>136</v>
      </c>
      <c r="P244" s="6">
        <f>R244/1.01*T244*12/1000+R243/1.01*(90-T244)*12/1000</f>
        <v>40.348514851485149</v>
      </c>
      <c r="Q244" s="6">
        <v>7.1619999999999999</v>
      </c>
      <c r="R244" s="6">
        <v>39</v>
      </c>
      <c r="S244" s="6">
        <v>12</v>
      </c>
      <c r="T244" s="6">
        <f t="shared" si="106"/>
        <v>71</v>
      </c>
      <c r="U244" s="17">
        <v>3</v>
      </c>
      <c r="V244" s="6">
        <f t="shared" si="97"/>
        <v>7.1619999999999999</v>
      </c>
      <c r="W244" s="6">
        <v>165</v>
      </c>
      <c r="X244" s="6">
        <v>235</v>
      </c>
      <c r="Y244" s="12">
        <v>558.11439346323107</v>
      </c>
      <c r="Z244" s="6" t="s">
        <v>53</v>
      </c>
      <c r="AA244" s="6"/>
      <c r="AB244" s="6">
        <v>16.216216216215962</v>
      </c>
      <c r="AC244" s="12">
        <v>33.659259259259301</v>
      </c>
      <c r="AD244" s="7" t="s">
        <v>39</v>
      </c>
      <c r="AE244" s="6"/>
      <c r="AF244" s="6">
        <v>1.0666666666665989</v>
      </c>
      <c r="AG244" s="12">
        <f t="shared" si="99"/>
        <v>33.83397598731748</v>
      </c>
      <c r="AH244" s="6" t="s">
        <v>134</v>
      </c>
      <c r="AI244" s="6"/>
      <c r="AJ244" s="6"/>
      <c r="AK244" s="12">
        <v>490.07847937216502</v>
      </c>
      <c r="AL244" s="6" t="s">
        <v>54</v>
      </c>
      <c r="AM244" s="6"/>
      <c r="AN244" s="6"/>
      <c r="AO244" s="12">
        <f t="shared" si="92"/>
        <v>16581.303502978895</v>
      </c>
      <c r="AP244" s="6" t="s">
        <v>54</v>
      </c>
      <c r="AQ244" s="6"/>
      <c r="AR244" s="6"/>
      <c r="AS244" s="30">
        <f t="shared" si="100"/>
        <v>57.9</v>
      </c>
      <c r="AT244" s="30">
        <f t="shared" si="101"/>
        <v>12.4</v>
      </c>
      <c r="AU244" s="29">
        <v>118</v>
      </c>
      <c r="AV244" s="29">
        <v>235</v>
      </c>
      <c r="AW244" s="12">
        <v>165</v>
      </c>
      <c r="AX244" s="12">
        <v>235</v>
      </c>
      <c r="AY244" s="28">
        <f t="shared" si="102"/>
        <v>118</v>
      </c>
      <c r="AZ244" s="28">
        <f t="shared" si="103"/>
        <v>235</v>
      </c>
      <c r="BA244" s="37">
        <f t="shared" si="104"/>
        <v>118</v>
      </c>
      <c r="BB244" s="28">
        <f t="shared" si="91"/>
        <v>165</v>
      </c>
      <c r="BC244" s="28">
        <f t="shared" si="70"/>
        <v>235</v>
      </c>
      <c r="BD244" s="26">
        <f t="shared" si="71"/>
        <v>71</v>
      </c>
      <c r="BF244" s="28">
        <f>AU244+65</f>
        <v>183</v>
      </c>
      <c r="BG244" s="26">
        <f t="shared" si="105"/>
        <v>53</v>
      </c>
    </row>
    <row r="245" spans="1:60" s="26" customFormat="1" hidden="1" x14ac:dyDescent="0.3">
      <c r="A245" s="6">
        <v>1</v>
      </c>
      <c r="B245" s="6"/>
      <c r="C245" s="6"/>
      <c r="D245" s="6" t="s">
        <v>201</v>
      </c>
      <c r="E245" s="9" t="s">
        <v>202</v>
      </c>
      <c r="F245" s="9" t="str">
        <f t="shared" si="81"/>
        <v>2000-X96Dragon1994OTC</v>
      </c>
      <c r="G245" s="6" t="s">
        <v>203</v>
      </c>
      <c r="H245" s="6" t="s">
        <v>157</v>
      </c>
      <c r="I245" s="9" t="s">
        <v>163</v>
      </c>
      <c r="J245" s="6" t="s">
        <v>96</v>
      </c>
      <c r="K245" s="17" t="s">
        <v>200</v>
      </c>
      <c r="L245" s="17">
        <v>1994</v>
      </c>
      <c r="M245" s="9" t="s">
        <v>36</v>
      </c>
      <c r="N245" s="9" t="s">
        <v>51</v>
      </c>
      <c r="O245" s="6" t="s">
        <v>137</v>
      </c>
      <c r="P245" s="6">
        <f>R245/1.01*T245*12/1000+R243/1.01*(90-T245)*12/1000</f>
        <v>46.253465346534647</v>
      </c>
      <c r="Q245" s="6">
        <v>12.052</v>
      </c>
      <c r="R245" s="6">
        <v>46</v>
      </c>
      <c r="S245" s="6">
        <v>12</v>
      </c>
      <c r="T245" s="6">
        <f t="shared" si="106"/>
        <v>71</v>
      </c>
      <c r="U245" s="17">
        <v>3</v>
      </c>
      <c r="V245" s="6">
        <f t="shared" si="97"/>
        <v>12.052</v>
      </c>
      <c r="W245" s="6">
        <v>165</v>
      </c>
      <c r="X245" s="6">
        <v>235</v>
      </c>
      <c r="Y245" s="12">
        <v>504.63859208045301</v>
      </c>
      <c r="Z245" s="6" t="s">
        <v>53</v>
      </c>
      <c r="AA245" s="6"/>
      <c r="AB245" s="6">
        <v>27.027027027026929</v>
      </c>
      <c r="AC245" s="12">
        <v>29.691465378421899</v>
      </c>
      <c r="AD245" s="7" t="s">
        <v>39</v>
      </c>
      <c r="AE245" s="6"/>
      <c r="AF245" s="6">
        <v>0.53333333333329946</v>
      </c>
      <c r="AG245" s="12">
        <f t="shared" si="99"/>
        <v>32.929983737436466</v>
      </c>
      <c r="AH245" s="6" t="s">
        <v>134</v>
      </c>
      <c r="AI245" s="6"/>
      <c r="AJ245" s="6"/>
      <c r="AK245" s="12">
        <v>516.12787097703199</v>
      </c>
      <c r="AL245" s="6" t="s">
        <v>54</v>
      </c>
      <c r="AM245" s="6"/>
      <c r="AN245" s="6"/>
      <c r="AO245" s="12">
        <f t="shared" si="92"/>
        <v>16996.082397711369</v>
      </c>
      <c r="AP245" s="6" t="s">
        <v>54</v>
      </c>
      <c r="AQ245" s="6"/>
      <c r="AR245" s="6"/>
      <c r="AS245" s="30">
        <f t="shared" si="100"/>
        <v>57.9</v>
      </c>
      <c r="AT245" s="30">
        <f t="shared" si="101"/>
        <v>12.4</v>
      </c>
      <c r="AU245" s="29">
        <v>118</v>
      </c>
      <c r="AV245" s="29">
        <v>235</v>
      </c>
      <c r="AW245" s="12">
        <v>165</v>
      </c>
      <c r="AX245" s="12">
        <v>235</v>
      </c>
      <c r="AY245" s="28">
        <f t="shared" si="102"/>
        <v>118</v>
      </c>
      <c r="AZ245" s="28">
        <f t="shared" si="103"/>
        <v>235</v>
      </c>
      <c r="BA245" s="37">
        <f t="shared" si="104"/>
        <v>118</v>
      </c>
      <c r="BB245" s="28">
        <f t="shared" si="91"/>
        <v>165</v>
      </c>
      <c r="BC245" s="28">
        <f t="shared" si="70"/>
        <v>235</v>
      </c>
      <c r="BD245" s="26">
        <f t="shared" si="71"/>
        <v>71</v>
      </c>
      <c r="BF245" s="28">
        <f>AU245+65</f>
        <v>183</v>
      </c>
      <c r="BG245" s="26">
        <f t="shared" si="105"/>
        <v>53</v>
      </c>
    </row>
    <row r="246" spans="1:60" s="26" customFormat="1" hidden="1" x14ac:dyDescent="0.3">
      <c r="A246" s="6">
        <v>1</v>
      </c>
      <c r="B246" s="6"/>
      <c r="C246" s="6"/>
      <c r="D246" s="6" t="s">
        <v>204</v>
      </c>
      <c r="E246" s="9" t="s">
        <v>205</v>
      </c>
      <c r="F246" s="9" t="str">
        <f t="shared" si="81"/>
        <v>2006-90Dragon1999OTC</v>
      </c>
      <c r="G246" s="6" t="s">
        <v>203</v>
      </c>
      <c r="H246" s="6" t="s">
        <v>157</v>
      </c>
      <c r="I246" s="9" t="s">
        <v>163</v>
      </c>
      <c r="J246" s="6" t="s">
        <v>96</v>
      </c>
      <c r="K246" s="9" t="s">
        <v>200</v>
      </c>
      <c r="L246" s="9">
        <v>1999</v>
      </c>
      <c r="M246" s="9" t="s">
        <v>36</v>
      </c>
      <c r="N246" s="9" t="s">
        <v>51</v>
      </c>
      <c r="O246" s="9" t="s">
        <v>38</v>
      </c>
      <c r="P246" s="6">
        <f>R246/1.01*T246*12/1000+R246/1.01*(90-T246)*12/1000</f>
        <v>9.6237623762376252</v>
      </c>
      <c r="Q246" s="6">
        <v>0</v>
      </c>
      <c r="R246" s="9">
        <v>9</v>
      </c>
      <c r="S246" s="6">
        <v>12</v>
      </c>
      <c r="T246" s="6">
        <f t="shared" si="106"/>
        <v>70</v>
      </c>
      <c r="U246" s="6">
        <v>6</v>
      </c>
      <c r="V246" s="6">
        <f t="shared" si="97"/>
        <v>0</v>
      </c>
      <c r="W246" s="10">
        <v>36327</v>
      </c>
      <c r="X246" s="10">
        <v>36396</v>
      </c>
      <c r="Y246" s="12"/>
      <c r="Z246" s="6"/>
      <c r="AA246" s="6"/>
      <c r="AB246" s="6"/>
      <c r="AC246" s="12">
        <v>38.6666666666667</v>
      </c>
      <c r="AD246" s="7" t="s">
        <v>39</v>
      </c>
      <c r="AE246" s="6"/>
      <c r="AF246" s="6">
        <v>3</v>
      </c>
      <c r="AG246" s="12"/>
      <c r="AH246" s="6"/>
      <c r="AI246" s="6"/>
      <c r="AJ246" s="6"/>
      <c r="AK246" s="12"/>
      <c r="AL246" s="6"/>
      <c r="AM246" s="6"/>
      <c r="AN246" s="6"/>
      <c r="AO246" s="12"/>
      <c r="AP246" s="6"/>
      <c r="AQ246" s="6"/>
      <c r="AR246" s="6"/>
      <c r="AS246" s="30">
        <f t="shared" si="100"/>
        <v>57.9</v>
      </c>
      <c r="AT246" s="30">
        <f t="shared" si="101"/>
        <v>12.4</v>
      </c>
      <c r="AU246" s="27">
        <v>36285</v>
      </c>
      <c r="AV246" s="27">
        <v>36402</v>
      </c>
      <c r="AW246" s="25">
        <v>36327</v>
      </c>
      <c r="AX246" s="25">
        <v>36396</v>
      </c>
      <c r="AY246" s="28">
        <f t="shared" si="102"/>
        <v>125</v>
      </c>
      <c r="AZ246" s="28">
        <f t="shared" si="103"/>
        <v>242</v>
      </c>
      <c r="BA246" s="37">
        <f t="shared" si="104"/>
        <v>118</v>
      </c>
      <c r="BB246" s="28">
        <f t="shared" si="91"/>
        <v>167</v>
      </c>
      <c r="BC246" s="28">
        <f t="shared" si="70"/>
        <v>236</v>
      </c>
      <c r="BD246" s="26">
        <f t="shared" si="71"/>
        <v>70</v>
      </c>
      <c r="BF246" s="36">
        <v>36355</v>
      </c>
      <c r="BG246" s="26">
        <f t="shared" si="105"/>
        <v>48</v>
      </c>
    </row>
    <row r="247" spans="1:60" s="26" customFormat="1" hidden="1" x14ac:dyDescent="0.3">
      <c r="A247" s="6">
        <v>1</v>
      </c>
      <c r="B247" s="6"/>
      <c r="C247" s="6"/>
      <c r="D247" s="6" t="s">
        <v>204</v>
      </c>
      <c r="E247" s="9" t="s">
        <v>205</v>
      </c>
      <c r="F247" s="9" t="str">
        <f t="shared" si="81"/>
        <v>2006-90Dragon1999OTC</v>
      </c>
      <c r="G247" s="6" t="s">
        <v>203</v>
      </c>
      <c r="H247" s="6" t="s">
        <v>157</v>
      </c>
      <c r="I247" s="9" t="s">
        <v>163</v>
      </c>
      <c r="J247" s="6" t="s">
        <v>96</v>
      </c>
      <c r="K247" s="9" t="s">
        <v>200</v>
      </c>
      <c r="L247" s="9">
        <v>1999</v>
      </c>
      <c r="M247" s="9" t="s">
        <v>36</v>
      </c>
      <c r="N247" s="9" t="s">
        <v>51</v>
      </c>
      <c r="O247" s="6" t="s">
        <v>75</v>
      </c>
      <c r="P247" s="6">
        <f>R247/1.01*T247*12/1000+R246/1.01*(90-T247)*12/1000</f>
        <v>49.544554455445542</v>
      </c>
      <c r="Q247" s="6">
        <v>9.6999999999999993</v>
      </c>
      <c r="R247" s="9">
        <v>57</v>
      </c>
      <c r="S247" s="6">
        <v>12</v>
      </c>
      <c r="T247" s="6">
        <f t="shared" si="106"/>
        <v>70</v>
      </c>
      <c r="U247" s="6">
        <v>6</v>
      </c>
      <c r="V247" s="6">
        <f t="shared" si="97"/>
        <v>9.6999999999999993</v>
      </c>
      <c r="W247" s="10">
        <v>36327</v>
      </c>
      <c r="X247" s="10">
        <v>36396</v>
      </c>
      <c r="Y247" s="12"/>
      <c r="Z247" s="6"/>
      <c r="AA247" s="6"/>
      <c r="AB247" s="6"/>
      <c r="AC247" s="12">
        <v>30</v>
      </c>
      <c r="AD247" s="7" t="s">
        <v>39</v>
      </c>
      <c r="AE247" s="6"/>
      <c r="AF247" s="6">
        <v>1.1666666666666998</v>
      </c>
      <c r="AG247" s="12"/>
      <c r="AH247" s="6"/>
      <c r="AI247" s="6"/>
      <c r="AJ247" s="6"/>
      <c r="AK247" s="12"/>
      <c r="AL247" s="6"/>
      <c r="AM247" s="6"/>
      <c r="AN247" s="6"/>
      <c r="AO247" s="12"/>
      <c r="AP247" s="6"/>
      <c r="AQ247" s="6"/>
      <c r="AR247" s="6"/>
      <c r="AS247" s="30">
        <f t="shared" si="100"/>
        <v>57.9</v>
      </c>
      <c r="AT247" s="30">
        <f t="shared" si="101"/>
        <v>12.4</v>
      </c>
      <c r="AU247" s="27">
        <v>36285</v>
      </c>
      <c r="AV247" s="27">
        <v>36402</v>
      </c>
      <c r="AW247" s="25">
        <v>36327</v>
      </c>
      <c r="AX247" s="25">
        <v>36396</v>
      </c>
      <c r="AY247" s="28">
        <f t="shared" si="102"/>
        <v>125</v>
      </c>
      <c r="AZ247" s="28">
        <f t="shared" si="103"/>
        <v>242</v>
      </c>
      <c r="BA247" s="37">
        <f t="shared" si="104"/>
        <v>118</v>
      </c>
      <c r="BB247" s="28">
        <f t="shared" si="91"/>
        <v>167</v>
      </c>
      <c r="BC247" s="28">
        <f t="shared" ref="BC247:BC259" si="107">AX247-INT(YEAR(AX247)&amp;"/1/1")+1</f>
        <v>236</v>
      </c>
      <c r="BD247" s="26">
        <f t="shared" ref="BD247:BD259" si="108">BC247-BB247+1</f>
        <v>70</v>
      </c>
      <c r="BF247" s="36">
        <v>36355</v>
      </c>
      <c r="BG247" s="26">
        <f t="shared" si="105"/>
        <v>48</v>
      </c>
    </row>
    <row r="248" spans="1:60" s="26" customFormat="1" hidden="1" x14ac:dyDescent="0.3">
      <c r="A248" s="6">
        <v>1</v>
      </c>
      <c r="B248" s="6"/>
      <c r="C248" s="6"/>
      <c r="D248" s="6" t="s">
        <v>204</v>
      </c>
      <c r="E248" s="9" t="s">
        <v>205</v>
      </c>
      <c r="F248" s="9" t="str">
        <f t="shared" si="81"/>
        <v>2006-90Lantvete1999OTC</v>
      </c>
      <c r="G248" s="6" t="s">
        <v>203</v>
      </c>
      <c r="H248" s="6" t="s">
        <v>157</v>
      </c>
      <c r="I248" s="9" t="s">
        <v>163</v>
      </c>
      <c r="J248" s="6" t="s">
        <v>96</v>
      </c>
      <c r="K248" s="9" t="s">
        <v>206</v>
      </c>
      <c r="L248" s="9">
        <v>1999</v>
      </c>
      <c r="M248" s="9" t="s">
        <v>36</v>
      </c>
      <c r="N248" s="9" t="s">
        <v>51</v>
      </c>
      <c r="O248" s="9" t="s">
        <v>38</v>
      </c>
      <c r="P248" s="6">
        <f>R248/1.01*T248*12/1000+R248/1.01*(90-T248)*12/1000</f>
        <v>9.6237623762376252</v>
      </c>
      <c r="Q248" s="6">
        <v>0</v>
      </c>
      <c r="R248" s="9">
        <v>9</v>
      </c>
      <c r="S248" s="6">
        <v>12</v>
      </c>
      <c r="T248" s="6">
        <f t="shared" si="106"/>
        <v>70</v>
      </c>
      <c r="U248" s="6">
        <v>6</v>
      </c>
      <c r="V248" s="6">
        <f t="shared" si="97"/>
        <v>0</v>
      </c>
      <c r="W248" s="10">
        <v>36327</v>
      </c>
      <c r="X248" s="10">
        <v>36396</v>
      </c>
      <c r="Y248" s="12"/>
      <c r="Z248" s="6"/>
      <c r="AA248" s="6"/>
      <c r="AB248" s="6"/>
      <c r="AC248" s="12">
        <v>34.3333333333333</v>
      </c>
      <c r="AD248" s="7" t="s">
        <v>39</v>
      </c>
      <c r="AE248" s="6"/>
      <c r="AF248" s="6">
        <v>2.1666666666666998</v>
      </c>
      <c r="AG248" s="12"/>
      <c r="AH248" s="6"/>
      <c r="AI248" s="6"/>
      <c r="AJ248" s="6"/>
      <c r="AK248" s="12"/>
      <c r="AL248" s="6"/>
      <c r="AM248" s="6"/>
      <c r="AN248" s="6"/>
      <c r="AO248" s="12"/>
      <c r="AP248" s="6"/>
      <c r="AQ248" s="6"/>
      <c r="AR248" s="6"/>
      <c r="AS248" s="30">
        <f t="shared" si="100"/>
        <v>57.9</v>
      </c>
      <c r="AT248" s="30">
        <f t="shared" si="101"/>
        <v>12.4</v>
      </c>
      <c r="AU248" s="27">
        <v>36285</v>
      </c>
      <c r="AV248" s="27">
        <v>36403</v>
      </c>
      <c r="AW248" s="25">
        <v>36327</v>
      </c>
      <c r="AX248" s="25">
        <v>36396</v>
      </c>
      <c r="AY248" s="28">
        <f t="shared" si="102"/>
        <v>125</v>
      </c>
      <c r="AZ248" s="28">
        <f t="shared" si="103"/>
        <v>243</v>
      </c>
      <c r="BA248" s="37">
        <f t="shared" si="104"/>
        <v>119</v>
      </c>
      <c r="BB248" s="28">
        <f t="shared" si="91"/>
        <v>167</v>
      </c>
      <c r="BC248" s="28">
        <f t="shared" si="107"/>
        <v>236</v>
      </c>
      <c r="BD248" s="26">
        <f t="shared" si="108"/>
        <v>70</v>
      </c>
      <c r="BF248" s="36">
        <v>36356</v>
      </c>
      <c r="BG248" s="26">
        <f t="shared" si="105"/>
        <v>48</v>
      </c>
    </row>
    <row r="249" spans="1:60" s="26" customFormat="1" hidden="1" x14ac:dyDescent="0.3">
      <c r="A249" s="6">
        <v>1</v>
      </c>
      <c r="B249" s="6"/>
      <c r="C249" s="6"/>
      <c r="D249" s="6" t="s">
        <v>204</v>
      </c>
      <c r="E249" s="9" t="s">
        <v>205</v>
      </c>
      <c r="F249" s="9" t="str">
        <f t="shared" si="81"/>
        <v>2006-90Lantvete1999OTC</v>
      </c>
      <c r="G249" s="6" t="s">
        <v>203</v>
      </c>
      <c r="H249" s="6" t="s">
        <v>157</v>
      </c>
      <c r="I249" s="9" t="s">
        <v>163</v>
      </c>
      <c r="J249" s="6" t="s">
        <v>96</v>
      </c>
      <c r="K249" s="9" t="s">
        <v>206</v>
      </c>
      <c r="L249" s="9">
        <v>1999</v>
      </c>
      <c r="M249" s="9" t="s">
        <v>36</v>
      </c>
      <c r="N249" s="9" t="s">
        <v>51</v>
      </c>
      <c r="O249" s="6" t="s">
        <v>75</v>
      </c>
      <c r="P249" s="6">
        <f>R249/1.01*T249*12/1000+R248/1.01*(90-T249)*12/1000</f>
        <v>45.386138613861391</v>
      </c>
      <c r="Q249" s="6">
        <v>9</v>
      </c>
      <c r="R249" s="9">
        <v>52</v>
      </c>
      <c r="S249" s="6">
        <v>12</v>
      </c>
      <c r="T249" s="6">
        <f t="shared" si="106"/>
        <v>70</v>
      </c>
      <c r="U249" s="6">
        <v>6</v>
      </c>
      <c r="V249" s="6">
        <f t="shared" si="97"/>
        <v>9</v>
      </c>
      <c r="W249" s="10">
        <v>36327</v>
      </c>
      <c r="X249" s="10">
        <v>36396</v>
      </c>
      <c r="Y249" s="12"/>
      <c r="Z249" s="6"/>
      <c r="AA249" s="6"/>
      <c r="AB249" s="6"/>
      <c r="AC249" s="12">
        <v>30.8333333333333</v>
      </c>
      <c r="AD249" s="7" t="s">
        <v>39</v>
      </c>
      <c r="AE249" s="6"/>
      <c r="AF249" s="6">
        <v>2.3333333333333997</v>
      </c>
      <c r="AG249" s="12"/>
      <c r="AH249" s="6"/>
      <c r="AI249" s="6"/>
      <c r="AJ249" s="6"/>
      <c r="AK249" s="12"/>
      <c r="AL249" s="6"/>
      <c r="AM249" s="6"/>
      <c r="AN249" s="6"/>
      <c r="AO249" s="12"/>
      <c r="AP249" s="6"/>
      <c r="AQ249" s="6"/>
      <c r="AR249" s="6"/>
      <c r="AS249" s="30">
        <f t="shared" si="100"/>
        <v>57.9</v>
      </c>
      <c r="AT249" s="30">
        <f t="shared" si="101"/>
        <v>12.4</v>
      </c>
      <c r="AU249" s="27">
        <v>36285</v>
      </c>
      <c r="AV249" s="27">
        <v>36403</v>
      </c>
      <c r="AW249" s="25">
        <v>36327</v>
      </c>
      <c r="AX249" s="25">
        <v>36396</v>
      </c>
      <c r="AY249" s="28">
        <f t="shared" si="102"/>
        <v>125</v>
      </c>
      <c r="AZ249" s="28">
        <f t="shared" si="103"/>
        <v>243</v>
      </c>
      <c r="BA249" s="37">
        <f t="shared" si="104"/>
        <v>119</v>
      </c>
      <c r="BB249" s="28">
        <f t="shared" si="91"/>
        <v>167</v>
      </c>
      <c r="BC249" s="28">
        <f t="shared" si="107"/>
        <v>236</v>
      </c>
      <c r="BD249" s="26">
        <f t="shared" si="108"/>
        <v>70</v>
      </c>
      <c r="BF249" s="36">
        <v>36356</v>
      </c>
      <c r="BG249" s="26">
        <f t="shared" si="105"/>
        <v>48</v>
      </c>
    </row>
    <row r="250" spans="1:60" s="26" customFormat="1" hidden="1" x14ac:dyDescent="0.3">
      <c r="A250" s="6">
        <v>1</v>
      </c>
      <c r="B250" s="6"/>
      <c r="C250" s="6"/>
      <c r="D250" s="6" t="s">
        <v>207</v>
      </c>
      <c r="E250" s="9" t="s">
        <v>208</v>
      </c>
      <c r="F250" s="9" t="str">
        <f t="shared" si="81"/>
        <v>2013-18Astron2006OTC</v>
      </c>
      <c r="G250" s="6" t="s">
        <v>209</v>
      </c>
      <c r="H250" s="6" t="s">
        <v>219</v>
      </c>
      <c r="I250" s="6" t="s">
        <v>210</v>
      </c>
      <c r="J250" s="6" t="s">
        <v>96</v>
      </c>
      <c r="K250" s="9" t="s">
        <v>211</v>
      </c>
      <c r="L250" s="6">
        <v>2006</v>
      </c>
      <c r="M250" s="9" t="s">
        <v>36</v>
      </c>
      <c r="N250" s="9" t="s">
        <v>51</v>
      </c>
      <c r="O250" s="6" t="s">
        <v>103</v>
      </c>
      <c r="P250" s="6">
        <f>R250/1.01*T250*12/1000+R250/1.01*(90-T250)*12/1000</f>
        <v>38.495049504950501</v>
      </c>
      <c r="Q250" s="6">
        <v>1.7</v>
      </c>
      <c r="R250" s="6">
        <v>36</v>
      </c>
      <c r="S250" s="6">
        <v>8</v>
      </c>
      <c r="T250" s="6">
        <f t="shared" si="106"/>
        <v>55</v>
      </c>
      <c r="U250" s="6">
        <v>4</v>
      </c>
      <c r="V250" s="6">
        <f t="shared" si="97"/>
        <v>1.7</v>
      </c>
      <c r="W250" s="10">
        <v>38846</v>
      </c>
      <c r="X250" s="10">
        <v>38900</v>
      </c>
      <c r="Y250" s="12">
        <v>688.1</v>
      </c>
      <c r="Z250" s="6" t="s">
        <v>53</v>
      </c>
      <c r="AA250" s="6"/>
      <c r="AB250" s="6">
        <v>30.1</v>
      </c>
      <c r="AC250" s="12"/>
      <c r="AD250" s="6"/>
      <c r="AE250" s="6"/>
      <c r="AF250" s="6"/>
      <c r="AG250" s="12"/>
      <c r="AH250" s="6"/>
      <c r="AI250" s="6"/>
      <c r="AJ250" s="6"/>
      <c r="AK250" s="12"/>
      <c r="AL250" s="6"/>
      <c r="AM250" s="6"/>
      <c r="AN250" s="6"/>
      <c r="AO250" s="12"/>
      <c r="AP250" s="6"/>
      <c r="AQ250" s="6"/>
      <c r="AR250" s="6"/>
      <c r="AS250" s="30">
        <f t="shared" ref="AS250:AS255" si="109">52+18/60</f>
        <v>52.3</v>
      </c>
      <c r="AT250" s="30">
        <f t="shared" ref="AT250:AT255" si="110">10+26/60</f>
        <v>10.433333333333334</v>
      </c>
      <c r="AU250" s="27">
        <v>38632</v>
      </c>
      <c r="AV250" s="25">
        <v>38920</v>
      </c>
      <c r="AW250" s="25">
        <v>38846</v>
      </c>
      <c r="AX250" s="25">
        <v>38900</v>
      </c>
      <c r="AY250" s="28">
        <f t="shared" si="102"/>
        <v>-85</v>
      </c>
      <c r="AZ250" s="28">
        <f t="shared" si="103"/>
        <v>203</v>
      </c>
      <c r="BA250" s="37">
        <f t="shared" si="104"/>
        <v>289</v>
      </c>
      <c r="BB250" s="28">
        <f t="shared" si="91"/>
        <v>129</v>
      </c>
      <c r="BC250" s="28">
        <f t="shared" si="107"/>
        <v>183</v>
      </c>
      <c r="BD250" s="26">
        <f t="shared" si="108"/>
        <v>55</v>
      </c>
      <c r="BF250" s="36">
        <v>38882</v>
      </c>
      <c r="BG250" s="26">
        <f t="shared" si="105"/>
        <v>39</v>
      </c>
    </row>
    <row r="251" spans="1:60" s="26" customFormat="1" hidden="1" x14ac:dyDescent="0.3">
      <c r="A251" s="6">
        <v>1</v>
      </c>
      <c r="B251" s="6"/>
      <c r="C251" s="6"/>
      <c r="D251" s="6" t="s">
        <v>207</v>
      </c>
      <c r="E251" s="9" t="s">
        <v>208</v>
      </c>
      <c r="F251" s="9" t="str">
        <f t="shared" si="81"/>
        <v>2013-18Astron2006OTC</v>
      </c>
      <c r="G251" s="6" t="s">
        <v>209</v>
      </c>
      <c r="H251" s="6" t="s">
        <v>219</v>
      </c>
      <c r="I251" s="6" t="s">
        <v>210</v>
      </c>
      <c r="J251" s="6" t="s">
        <v>96</v>
      </c>
      <c r="K251" s="9" t="s">
        <v>211</v>
      </c>
      <c r="L251" s="6">
        <v>2006</v>
      </c>
      <c r="M251" s="9" t="s">
        <v>36</v>
      </c>
      <c r="N251" s="9" t="s">
        <v>51</v>
      </c>
      <c r="O251" s="6" t="s">
        <v>136</v>
      </c>
      <c r="P251" s="6">
        <f>(8 * R251+ 4 * 0.97*R250) / 12*T251*12/1000+R250/1.01*(90-T251)*12/1000</f>
        <v>45.092697029702975</v>
      </c>
      <c r="Q251" s="6">
        <v>6.46</v>
      </c>
      <c r="R251" s="6">
        <v>51</v>
      </c>
      <c r="S251" s="6">
        <v>8</v>
      </c>
      <c r="T251" s="6">
        <f t="shared" si="106"/>
        <v>55</v>
      </c>
      <c r="U251" s="6">
        <v>4</v>
      </c>
      <c r="V251" s="6">
        <f t="shared" si="97"/>
        <v>6.46</v>
      </c>
      <c r="W251" s="10">
        <v>38846</v>
      </c>
      <c r="X251" s="10">
        <v>38900</v>
      </c>
      <c r="Y251" s="12">
        <v>598.1</v>
      </c>
      <c r="Z251" s="6" t="s">
        <v>53</v>
      </c>
      <c r="AA251" s="6"/>
      <c r="AB251" s="6">
        <v>50.6</v>
      </c>
      <c r="AC251" s="12"/>
      <c r="AD251" s="6"/>
      <c r="AE251" s="6"/>
      <c r="AF251" s="6"/>
      <c r="AG251" s="12"/>
      <c r="AH251" s="6"/>
      <c r="AI251" s="6"/>
      <c r="AJ251" s="6"/>
      <c r="AK251" s="12"/>
      <c r="AL251" s="6"/>
      <c r="AM251" s="6"/>
      <c r="AN251" s="6"/>
      <c r="AO251" s="12"/>
      <c r="AP251" s="6"/>
      <c r="AQ251" s="6"/>
      <c r="AR251" s="6"/>
      <c r="AS251" s="30">
        <f t="shared" si="109"/>
        <v>52.3</v>
      </c>
      <c r="AT251" s="30">
        <f t="shared" si="110"/>
        <v>10.433333333333334</v>
      </c>
      <c r="AU251" s="27">
        <v>38632</v>
      </c>
      <c r="AV251" s="25">
        <v>38920</v>
      </c>
      <c r="AW251" s="25">
        <v>38846</v>
      </c>
      <c r="AX251" s="25">
        <v>38900</v>
      </c>
      <c r="AY251" s="28">
        <f t="shared" si="102"/>
        <v>-85</v>
      </c>
      <c r="AZ251" s="28">
        <f t="shared" si="103"/>
        <v>203</v>
      </c>
      <c r="BA251" s="37">
        <f t="shared" si="104"/>
        <v>289</v>
      </c>
      <c r="BB251" s="28">
        <f t="shared" si="91"/>
        <v>129</v>
      </c>
      <c r="BC251" s="28">
        <f t="shared" si="107"/>
        <v>183</v>
      </c>
      <c r="BD251" s="26">
        <f t="shared" si="108"/>
        <v>55</v>
      </c>
      <c r="BF251" s="36">
        <v>38882</v>
      </c>
      <c r="BG251" s="26">
        <f t="shared" si="105"/>
        <v>39</v>
      </c>
    </row>
    <row r="252" spans="1:60" s="26" customFormat="1" hidden="1" x14ac:dyDescent="0.3">
      <c r="A252" s="6">
        <v>1</v>
      </c>
      <c r="B252" s="6"/>
      <c r="C252" s="6"/>
      <c r="D252" s="6" t="s">
        <v>207</v>
      </c>
      <c r="E252" s="9" t="s">
        <v>208</v>
      </c>
      <c r="F252" s="9" t="str">
        <f t="shared" si="81"/>
        <v>2013-18Astron2006OTC</v>
      </c>
      <c r="G252" s="6" t="s">
        <v>209</v>
      </c>
      <c r="H252" s="6" t="s">
        <v>219</v>
      </c>
      <c r="I252" s="6" t="s">
        <v>210</v>
      </c>
      <c r="J252" s="6" t="s">
        <v>96</v>
      </c>
      <c r="K252" s="9" t="s">
        <v>211</v>
      </c>
      <c r="L252" s="6">
        <v>2006</v>
      </c>
      <c r="M252" s="9" t="s">
        <v>36</v>
      </c>
      <c r="N252" s="9" t="s">
        <v>51</v>
      </c>
      <c r="O252" s="6" t="s">
        <v>137</v>
      </c>
      <c r="P252" s="6">
        <f>(8 * R252+ 4 * 0.97*R250) / 12*T252*12/1000+R250/1.01*(90-T252)*12/1000</f>
        <v>48.172697029702974</v>
      </c>
      <c r="Q252" s="6">
        <v>10.039999999999999</v>
      </c>
      <c r="R252" s="6">
        <v>58</v>
      </c>
      <c r="S252" s="6">
        <v>8</v>
      </c>
      <c r="T252" s="6">
        <f t="shared" si="106"/>
        <v>55</v>
      </c>
      <c r="U252" s="6">
        <v>4</v>
      </c>
      <c r="V252" s="6">
        <f t="shared" si="97"/>
        <v>10.039999999999999</v>
      </c>
      <c r="W252" s="10">
        <v>38846</v>
      </c>
      <c r="X252" s="10">
        <v>38900</v>
      </c>
      <c r="Y252" s="12">
        <v>554.29999999999995</v>
      </c>
      <c r="Z252" s="6" t="s">
        <v>53</v>
      </c>
      <c r="AA252" s="6"/>
      <c r="AB252" s="6">
        <v>54.1</v>
      </c>
      <c r="AC252" s="12"/>
      <c r="AD252" s="6"/>
      <c r="AE252" s="6"/>
      <c r="AF252" s="6"/>
      <c r="AG252" s="12"/>
      <c r="AH252" s="6"/>
      <c r="AI252" s="6"/>
      <c r="AJ252" s="6"/>
      <c r="AK252" s="12"/>
      <c r="AL252" s="6"/>
      <c r="AM252" s="6"/>
      <c r="AN252" s="6"/>
      <c r="AO252" s="12"/>
      <c r="AP252" s="6"/>
      <c r="AQ252" s="6"/>
      <c r="AR252" s="6"/>
      <c r="AS252" s="30">
        <f t="shared" si="109"/>
        <v>52.3</v>
      </c>
      <c r="AT252" s="30">
        <f t="shared" si="110"/>
        <v>10.433333333333334</v>
      </c>
      <c r="AU252" s="27">
        <v>38632</v>
      </c>
      <c r="AV252" s="25">
        <v>38920</v>
      </c>
      <c r="AW252" s="25">
        <v>38846</v>
      </c>
      <c r="AX252" s="25">
        <v>38900</v>
      </c>
      <c r="AY252" s="28">
        <f t="shared" si="102"/>
        <v>-85</v>
      </c>
      <c r="AZ252" s="28">
        <f t="shared" si="103"/>
        <v>203</v>
      </c>
      <c r="BA252" s="37">
        <f t="shared" si="104"/>
        <v>289</v>
      </c>
      <c r="BB252" s="28">
        <f t="shared" ref="BB252:BB259" si="111">AW252-INT(YEAR(AW252)&amp;"/1/1")+1</f>
        <v>129</v>
      </c>
      <c r="BC252" s="28">
        <f t="shared" si="107"/>
        <v>183</v>
      </c>
      <c r="BD252" s="26">
        <f t="shared" si="108"/>
        <v>55</v>
      </c>
      <c r="BF252" s="36">
        <v>38882</v>
      </c>
      <c r="BG252" s="26">
        <f t="shared" si="105"/>
        <v>39</v>
      </c>
    </row>
    <row r="253" spans="1:60" s="26" customFormat="1" hidden="1" x14ac:dyDescent="0.3">
      <c r="A253" s="6">
        <v>1</v>
      </c>
      <c r="B253" s="6"/>
      <c r="C253" s="6"/>
      <c r="D253" s="6" t="s">
        <v>207</v>
      </c>
      <c r="E253" s="9" t="s">
        <v>208</v>
      </c>
      <c r="F253" s="9" t="str">
        <f t="shared" si="81"/>
        <v>2013-18Pegasus2006OTC</v>
      </c>
      <c r="G253" s="6" t="s">
        <v>209</v>
      </c>
      <c r="H253" s="6" t="s">
        <v>219</v>
      </c>
      <c r="I253" s="6" t="s">
        <v>210</v>
      </c>
      <c r="J253" s="6" t="s">
        <v>96</v>
      </c>
      <c r="K253" s="9" t="s">
        <v>212</v>
      </c>
      <c r="L253" s="6">
        <v>2006</v>
      </c>
      <c r="M253" s="9" t="s">
        <v>36</v>
      </c>
      <c r="N253" s="9" t="s">
        <v>51</v>
      </c>
      <c r="O253" s="6" t="s">
        <v>103</v>
      </c>
      <c r="P253" s="6">
        <f>R253/1.01*T253*12/1000+R253/1.01*(90-T253)*12/1000</f>
        <v>38.495049504950501</v>
      </c>
      <c r="Q253" s="6">
        <v>1.7</v>
      </c>
      <c r="R253" s="6">
        <v>36</v>
      </c>
      <c r="S253" s="6">
        <v>8</v>
      </c>
      <c r="T253" s="6">
        <f t="shared" si="106"/>
        <v>55</v>
      </c>
      <c r="U253" s="6">
        <v>4</v>
      </c>
      <c r="V253" s="6">
        <f t="shared" si="97"/>
        <v>1.7</v>
      </c>
      <c r="W253" s="10">
        <v>38846</v>
      </c>
      <c r="X253" s="10">
        <v>38900</v>
      </c>
      <c r="Y253" s="12">
        <v>888.4</v>
      </c>
      <c r="Z253" s="6" t="s">
        <v>53</v>
      </c>
      <c r="AA253" s="6"/>
      <c r="AB253" s="6">
        <v>30.4</v>
      </c>
      <c r="AC253" s="12"/>
      <c r="AD253" s="6"/>
      <c r="AE253" s="6"/>
      <c r="AF253" s="6"/>
      <c r="AG253" s="12"/>
      <c r="AH253" s="6"/>
      <c r="AI253" s="6"/>
      <c r="AJ253" s="6"/>
      <c r="AK253" s="12"/>
      <c r="AL253" s="6"/>
      <c r="AM253" s="6"/>
      <c r="AN253" s="6"/>
      <c r="AO253" s="12"/>
      <c r="AP253" s="6"/>
      <c r="AQ253" s="6"/>
      <c r="AR253" s="6"/>
      <c r="AS253" s="30">
        <f t="shared" si="109"/>
        <v>52.3</v>
      </c>
      <c r="AT253" s="30">
        <f t="shared" si="110"/>
        <v>10.433333333333334</v>
      </c>
      <c r="AU253" s="27">
        <v>38632</v>
      </c>
      <c r="AV253" s="25">
        <v>38920</v>
      </c>
      <c r="AW253" s="25">
        <v>38846</v>
      </c>
      <c r="AX253" s="25">
        <v>38900</v>
      </c>
      <c r="AY253" s="28">
        <f t="shared" si="102"/>
        <v>-85</v>
      </c>
      <c r="AZ253" s="28">
        <f t="shared" si="103"/>
        <v>203</v>
      </c>
      <c r="BA253" s="37">
        <f t="shared" si="104"/>
        <v>289</v>
      </c>
      <c r="BB253" s="28">
        <f t="shared" si="111"/>
        <v>129</v>
      </c>
      <c r="BC253" s="28">
        <f t="shared" si="107"/>
        <v>183</v>
      </c>
      <c r="BD253" s="26">
        <f t="shared" si="108"/>
        <v>55</v>
      </c>
      <c r="BF253" s="36">
        <v>38882</v>
      </c>
      <c r="BG253" s="26">
        <f t="shared" si="105"/>
        <v>39</v>
      </c>
    </row>
    <row r="254" spans="1:60" s="26" customFormat="1" hidden="1" x14ac:dyDescent="0.3">
      <c r="A254" s="6">
        <v>1</v>
      </c>
      <c r="B254" s="6"/>
      <c r="C254" s="6"/>
      <c r="D254" s="6" t="s">
        <v>207</v>
      </c>
      <c r="E254" s="9" t="s">
        <v>208</v>
      </c>
      <c r="F254" s="9" t="str">
        <f t="shared" si="81"/>
        <v>2013-18Pegasus2006OTC</v>
      </c>
      <c r="G254" s="6" t="s">
        <v>209</v>
      </c>
      <c r="H254" s="6" t="s">
        <v>219</v>
      </c>
      <c r="I254" s="6" t="s">
        <v>210</v>
      </c>
      <c r="J254" s="6" t="s">
        <v>96</v>
      </c>
      <c r="K254" s="9" t="s">
        <v>212</v>
      </c>
      <c r="L254" s="6">
        <v>2006</v>
      </c>
      <c r="M254" s="9" t="s">
        <v>36</v>
      </c>
      <c r="N254" s="9" t="s">
        <v>51</v>
      </c>
      <c r="O254" s="6" t="s">
        <v>136</v>
      </c>
      <c r="P254" s="6">
        <f>(8 * R254+ 4 * 0.97*R253) / 12*T254*12/1000+R253/1.01*(90-T254)*12/1000</f>
        <v>45.092697029702975</v>
      </c>
      <c r="Q254" s="6">
        <v>6.46</v>
      </c>
      <c r="R254" s="6">
        <v>51</v>
      </c>
      <c r="S254" s="6">
        <v>8</v>
      </c>
      <c r="T254" s="6">
        <f t="shared" si="106"/>
        <v>55</v>
      </c>
      <c r="U254" s="6">
        <v>4</v>
      </c>
      <c r="V254" s="6">
        <f t="shared" si="97"/>
        <v>6.46</v>
      </c>
      <c r="W254" s="10">
        <v>38846</v>
      </c>
      <c r="X254" s="10">
        <v>38900</v>
      </c>
      <c r="Y254" s="12">
        <v>715.3</v>
      </c>
      <c r="Z254" s="6" t="s">
        <v>53</v>
      </c>
      <c r="AA254" s="6"/>
      <c r="AB254" s="6">
        <v>49.8</v>
      </c>
      <c r="AC254" s="12"/>
      <c r="AD254" s="6"/>
      <c r="AE254" s="6"/>
      <c r="AF254" s="6"/>
      <c r="AG254" s="12"/>
      <c r="AH254" s="6"/>
      <c r="AI254" s="6"/>
      <c r="AJ254" s="6"/>
      <c r="AK254" s="12"/>
      <c r="AL254" s="6"/>
      <c r="AM254" s="6"/>
      <c r="AN254" s="6"/>
      <c r="AO254" s="12"/>
      <c r="AP254" s="6"/>
      <c r="AQ254" s="6"/>
      <c r="AR254" s="6"/>
      <c r="AS254" s="30">
        <f t="shared" si="109"/>
        <v>52.3</v>
      </c>
      <c r="AT254" s="30">
        <f t="shared" si="110"/>
        <v>10.433333333333334</v>
      </c>
      <c r="AU254" s="27">
        <v>38632</v>
      </c>
      <c r="AV254" s="25">
        <v>38920</v>
      </c>
      <c r="AW254" s="25">
        <v>38846</v>
      </c>
      <c r="AX254" s="25">
        <v>38900</v>
      </c>
      <c r="AY254" s="28">
        <f t="shared" si="102"/>
        <v>-85</v>
      </c>
      <c r="AZ254" s="28">
        <f t="shared" si="103"/>
        <v>203</v>
      </c>
      <c r="BA254" s="37">
        <f t="shared" si="104"/>
        <v>289</v>
      </c>
      <c r="BB254" s="28">
        <f t="shared" si="111"/>
        <v>129</v>
      </c>
      <c r="BC254" s="28">
        <f t="shared" si="107"/>
        <v>183</v>
      </c>
      <c r="BD254" s="26">
        <f t="shared" si="108"/>
        <v>55</v>
      </c>
      <c r="BF254" s="36">
        <v>38882</v>
      </c>
      <c r="BG254" s="26">
        <f t="shared" si="105"/>
        <v>39</v>
      </c>
    </row>
    <row r="255" spans="1:60" s="26" customFormat="1" hidden="1" x14ac:dyDescent="0.3">
      <c r="A255" s="6">
        <v>1</v>
      </c>
      <c r="B255" s="6"/>
      <c r="C255" s="6"/>
      <c r="D255" s="6" t="s">
        <v>207</v>
      </c>
      <c r="E255" s="9" t="s">
        <v>208</v>
      </c>
      <c r="F255" s="9" t="str">
        <f t="shared" si="81"/>
        <v>2013-18Pegasus2006OTC</v>
      </c>
      <c r="G255" s="6" t="s">
        <v>209</v>
      </c>
      <c r="H255" s="6" t="s">
        <v>219</v>
      </c>
      <c r="I255" s="6" t="s">
        <v>210</v>
      </c>
      <c r="J255" s="6" t="s">
        <v>96</v>
      </c>
      <c r="K255" s="9" t="s">
        <v>212</v>
      </c>
      <c r="L255" s="6">
        <v>2006</v>
      </c>
      <c r="M255" s="9" t="s">
        <v>36</v>
      </c>
      <c r="N255" s="9" t="s">
        <v>51</v>
      </c>
      <c r="O255" s="6" t="s">
        <v>137</v>
      </c>
      <c r="P255" s="6">
        <f>(8 * R255+ 4 * 0.97*R253) / 12*T255*12/1000+R253/1.01*(90-T255)*12/1000</f>
        <v>48.172697029702974</v>
      </c>
      <c r="Q255" s="6">
        <v>10.039999999999999</v>
      </c>
      <c r="R255" s="6">
        <v>58</v>
      </c>
      <c r="S255" s="6">
        <v>8</v>
      </c>
      <c r="T255" s="6">
        <f t="shared" si="106"/>
        <v>55</v>
      </c>
      <c r="U255" s="6">
        <v>4</v>
      </c>
      <c r="V255" s="6">
        <f t="shared" si="97"/>
        <v>10.039999999999999</v>
      </c>
      <c r="W255" s="10">
        <v>38846</v>
      </c>
      <c r="X255" s="10">
        <v>38900</v>
      </c>
      <c r="Y255" s="12">
        <v>612.5</v>
      </c>
      <c r="Z255" s="6" t="s">
        <v>53</v>
      </c>
      <c r="AA255" s="6"/>
      <c r="AB255" s="6">
        <v>52.8</v>
      </c>
      <c r="AC255" s="12"/>
      <c r="AD255" s="6"/>
      <c r="AE255" s="6"/>
      <c r="AF255" s="6"/>
      <c r="AG255" s="12"/>
      <c r="AH255" s="6"/>
      <c r="AI255" s="6"/>
      <c r="AJ255" s="6"/>
      <c r="AK255" s="12"/>
      <c r="AL255" s="6"/>
      <c r="AM255" s="6"/>
      <c r="AN255" s="6"/>
      <c r="AO255" s="12"/>
      <c r="AP255" s="6"/>
      <c r="AQ255" s="6"/>
      <c r="AR255" s="6"/>
      <c r="AS255" s="30">
        <f t="shared" si="109"/>
        <v>52.3</v>
      </c>
      <c r="AT255" s="30">
        <f t="shared" si="110"/>
        <v>10.433333333333334</v>
      </c>
      <c r="AU255" s="27">
        <v>38632</v>
      </c>
      <c r="AV255" s="25">
        <v>38920</v>
      </c>
      <c r="AW255" s="25">
        <v>38846</v>
      </c>
      <c r="AX255" s="25">
        <v>38900</v>
      </c>
      <c r="AY255" s="28">
        <f t="shared" si="102"/>
        <v>-85</v>
      </c>
      <c r="AZ255" s="28">
        <f t="shared" si="103"/>
        <v>203</v>
      </c>
      <c r="BA255" s="37">
        <f t="shared" si="104"/>
        <v>289</v>
      </c>
      <c r="BB255" s="28">
        <f t="shared" si="111"/>
        <v>129</v>
      </c>
      <c r="BC255" s="28">
        <f t="shared" si="107"/>
        <v>183</v>
      </c>
      <c r="BD255" s="26">
        <f t="shared" si="108"/>
        <v>55</v>
      </c>
      <c r="BF255" s="36">
        <v>38882</v>
      </c>
      <c r="BG255" s="26">
        <f t="shared" si="105"/>
        <v>39</v>
      </c>
    </row>
    <row r="256" spans="1:60" s="26" customFormat="1" hidden="1" x14ac:dyDescent="0.3">
      <c r="A256" s="6">
        <v>1</v>
      </c>
      <c r="C256" s="26" t="s">
        <v>230</v>
      </c>
      <c r="D256" s="6" t="s">
        <v>220</v>
      </c>
      <c r="E256" s="13" t="s">
        <v>223</v>
      </c>
      <c r="F256" s="9" t="str">
        <f t="shared" si="81"/>
        <v>In ChineseBeinong 95492010OTC</v>
      </c>
      <c r="G256" s="6" t="s">
        <v>221</v>
      </c>
      <c r="H256" s="6" t="s">
        <v>222</v>
      </c>
      <c r="I256" s="6" t="s">
        <v>222</v>
      </c>
      <c r="J256" s="6" t="s">
        <v>96</v>
      </c>
      <c r="K256" s="7" t="s">
        <v>224</v>
      </c>
      <c r="L256" s="6">
        <v>2010</v>
      </c>
      <c r="M256" s="7" t="s">
        <v>225</v>
      </c>
      <c r="N256" s="7" t="s">
        <v>51</v>
      </c>
      <c r="O256" s="7" t="s">
        <v>103</v>
      </c>
      <c r="Q256" s="26">
        <v>5.6845238095238075</v>
      </c>
      <c r="S256" s="7">
        <v>10</v>
      </c>
      <c r="T256" s="26">
        <f t="shared" si="106"/>
        <v>69</v>
      </c>
      <c r="U256" s="6">
        <v>3</v>
      </c>
      <c r="V256" s="6">
        <f t="shared" si="97"/>
        <v>5.6845238095238075</v>
      </c>
      <c r="W256" s="36">
        <v>40273</v>
      </c>
      <c r="X256" s="36">
        <v>40341</v>
      </c>
      <c r="Y256" s="26">
        <v>0.97416666666666596</v>
      </c>
      <c r="Z256" s="38" t="s">
        <v>229</v>
      </c>
      <c r="AA256" s="26">
        <v>0.1611802533627304</v>
      </c>
      <c r="AC256" s="29"/>
      <c r="AG256" s="29"/>
      <c r="AS256" s="32">
        <f>40+12/60</f>
        <v>40.200000000000003</v>
      </c>
      <c r="AT256" s="32">
        <f>116+8/60</f>
        <v>116.13333333333334</v>
      </c>
      <c r="AU256" s="27">
        <v>40084</v>
      </c>
      <c r="AV256" s="27">
        <v>40352</v>
      </c>
      <c r="AW256" s="27">
        <v>40273</v>
      </c>
      <c r="AX256" s="27">
        <v>40341</v>
      </c>
      <c r="AY256" s="28">
        <f t="shared" si="102"/>
        <v>-94</v>
      </c>
      <c r="AZ256" s="28">
        <f t="shared" si="103"/>
        <v>174</v>
      </c>
      <c r="BA256" s="37">
        <f t="shared" si="104"/>
        <v>269</v>
      </c>
      <c r="BB256" s="28">
        <f t="shared" si="111"/>
        <v>95</v>
      </c>
      <c r="BC256" s="28">
        <f t="shared" si="107"/>
        <v>163</v>
      </c>
      <c r="BD256" s="26">
        <f t="shared" si="108"/>
        <v>69</v>
      </c>
      <c r="BF256" s="36">
        <v>40318</v>
      </c>
      <c r="BG256" s="26">
        <f t="shared" si="105"/>
        <v>35</v>
      </c>
      <c r="BH256" s="26" t="s">
        <v>275</v>
      </c>
    </row>
    <row r="257" spans="1:60" s="26" customFormat="1" hidden="1" x14ac:dyDescent="0.3">
      <c r="A257" s="6">
        <v>1</v>
      </c>
      <c r="C257" s="26" t="s">
        <v>230</v>
      </c>
      <c r="D257" s="6" t="s">
        <v>220</v>
      </c>
      <c r="E257" s="13" t="s">
        <v>223</v>
      </c>
      <c r="F257" s="9" t="str">
        <f t="shared" si="81"/>
        <v>In ChineseBeinong 95492010OTC</v>
      </c>
      <c r="G257" s="6" t="s">
        <v>221</v>
      </c>
      <c r="H257" s="6" t="s">
        <v>222</v>
      </c>
      <c r="I257" s="6" t="s">
        <v>222</v>
      </c>
      <c r="J257" s="6" t="s">
        <v>96</v>
      </c>
      <c r="K257" s="7" t="s">
        <v>224</v>
      </c>
      <c r="L257" s="6">
        <v>2010</v>
      </c>
      <c r="M257" s="7" t="s">
        <v>225</v>
      </c>
      <c r="N257" s="7" t="s">
        <v>51</v>
      </c>
      <c r="O257" s="7" t="s">
        <v>226</v>
      </c>
      <c r="Q257" s="26">
        <v>12.142857142857167</v>
      </c>
      <c r="S257" s="7">
        <v>10</v>
      </c>
      <c r="T257" s="26">
        <f t="shared" si="106"/>
        <v>69</v>
      </c>
      <c r="U257" s="6">
        <v>3</v>
      </c>
      <c r="V257" s="6">
        <f t="shared" si="97"/>
        <v>12.142857142857167</v>
      </c>
      <c r="W257" s="36">
        <v>40273</v>
      </c>
      <c r="X257" s="36">
        <v>40341</v>
      </c>
      <c r="Y257" s="26">
        <v>0.73266666666666669</v>
      </c>
      <c r="Z257" s="38" t="s">
        <v>229</v>
      </c>
      <c r="AA257" s="26">
        <v>0.13655483229172882</v>
      </c>
      <c r="AC257" s="29"/>
      <c r="AG257" s="29"/>
      <c r="AS257" s="32">
        <f>40+12/60</f>
        <v>40.200000000000003</v>
      </c>
      <c r="AT257" s="32">
        <f>116+8/60</f>
        <v>116.13333333333334</v>
      </c>
      <c r="AU257" s="27">
        <v>40084</v>
      </c>
      <c r="AV257" s="27">
        <v>40352</v>
      </c>
      <c r="AW257" s="27">
        <v>40273</v>
      </c>
      <c r="AX257" s="27">
        <v>40341</v>
      </c>
      <c r="AY257" s="28">
        <f t="shared" si="102"/>
        <v>-94</v>
      </c>
      <c r="AZ257" s="28">
        <f t="shared" si="103"/>
        <v>174</v>
      </c>
      <c r="BA257" s="37">
        <f t="shared" si="104"/>
        <v>269</v>
      </c>
      <c r="BB257" s="28">
        <f t="shared" si="111"/>
        <v>95</v>
      </c>
      <c r="BC257" s="28">
        <f t="shared" si="107"/>
        <v>163</v>
      </c>
      <c r="BD257" s="26">
        <f t="shared" si="108"/>
        <v>69</v>
      </c>
      <c r="BF257" s="36">
        <v>40318</v>
      </c>
      <c r="BG257" s="26">
        <f t="shared" si="105"/>
        <v>35</v>
      </c>
      <c r="BH257" s="26" t="s">
        <v>275</v>
      </c>
    </row>
    <row r="258" spans="1:60" s="26" customFormat="1" hidden="1" x14ac:dyDescent="0.3">
      <c r="A258" s="6">
        <v>1</v>
      </c>
      <c r="C258" s="26" t="s">
        <v>230</v>
      </c>
      <c r="D258" s="6" t="s">
        <v>220</v>
      </c>
      <c r="E258" s="13" t="s">
        <v>223</v>
      </c>
      <c r="F258" s="9" t="str">
        <f t="shared" si="81"/>
        <v>In ChineseBeinong 95492010OTC</v>
      </c>
      <c r="G258" s="6" t="s">
        <v>221</v>
      </c>
      <c r="H258" s="6" t="s">
        <v>222</v>
      </c>
      <c r="I258" s="6" t="s">
        <v>222</v>
      </c>
      <c r="J258" s="6" t="s">
        <v>96</v>
      </c>
      <c r="K258" s="7" t="s">
        <v>224</v>
      </c>
      <c r="L258" s="6">
        <v>2010</v>
      </c>
      <c r="M258" s="7" t="s">
        <v>225</v>
      </c>
      <c r="N258" s="7" t="s">
        <v>51</v>
      </c>
      <c r="O258" s="7" t="s">
        <v>227</v>
      </c>
      <c r="Q258" s="26">
        <v>22.103174603174597</v>
      </c>
      <c r="S258" s="7">
        <v>10</v>
      </c>
      <c r="T258" s="26">
        <f t="shared" si="106"/>
        <v>69</v>
      </c>
      <c r="U258" s="6">
        <v>3</v>
      </c>
      <c r="V258" s="6">
        <f t="shared" si="97"/>
        <v>22.103174603174597</v>
      </c>
      <c r="W258" s="36">
        <v>40273</v>
      </c>
      <c r="X258" s="36">
        <v>40341</v>
      </c>
      <c r="Y258" s="26">
        <v>0.27533333333333337</v>
      </c>
      <c r="Z258" s="38" t="s">
        <v>229</v>
      </c>
      <c r="AA258" s="26">
        <v>0.17114115897789253</v>
      </c>
      <c r="AC258" s="29"/>
      <c r="AG258" s="29"/>
      <c r="AS258" s="32">
        <f>40+12/60</f>
        <v>40.200000000000003</v>
      </c>
      <c r="AT258" s="32">
        <f>116+8/60</f>
        <v>116.13333333333334</v>
      </c>
      <c r="AU258" s="27">
        <v>40084</v>
      </c>
      <c r="AV258" s="27">
        <v>40352</v>
      </c>
      <c r="AW258" s="27">
        <v>40273</v>
      </c>
      <c r="AX258" s="27">
        <v>40341</v>
      </c>
      <c r="AY258" s="28">
        <f t="shared" si="102"/>
        <v>-94</v>
      </c>
      <c r="AZ258" s="28">
        <f t="shared" si="103"/>
        <v>174</v>
      </c>
      <c r="BA258" s="37">
        <f t="shared" si="104"/>
        <v>269</v>
      </c>
      <c r="BB258" s="28">
        <f t="shared" si="111"/>
        <v>95</v>
      </c>
      <c r="BC258" s="28">
        <f t="shared" si="107"/>
        <v>163</v>
      </c>
      <c r="BD258" s="26">
        <f t="shared" si="108"/>
        <v>69</v>
      </c>
      <c r="BF258" s="36">
        <v>40318</v>
      </c>
      <c r="BG258" s="26">
        <f t="shared" si="105"/>
        <v>35</v>
      </c>
      <c r="BH258" s="26" t="s">
        <v>275</v>
      </c>
    </row>
    <row r="259" spans="1:60" s="26" customFormat="1" hidden="1" x14ac:dyDescent="0.3">
      <c r="A259" s="6">
        <v>1</v>
      </c>
      <c r="C259" s="26" t="s">
        <v>230</v>
      </c>
      <c r="D259" s="6" t="s">
        <v>220</v>
      </c>
      <c r="E259" s="13" t="s">
        <v>223</v>
      </c>
      <c r="F259" s="9" t="str">
        <f t="shared" si="81"/>
        <v>In ChineseBeinong 95492010OTC</v>
      </c>
      <c r="G259" s="6" t="s">
        <v>221</v>
      </c>
      <c r="H259" s="6" t="s">
        <v>222</v>
      </c>
      <c r="I259" s="6" t="s">
        <v>222</v>
      </c>
      <c r="J259" s="6" t="s">
        <v>96</v>
      </c>
      <c r="K259" s="7" t="s">
        <v>224</v>
      </c>
      <c r="L259" s="6">
        <v>2010</v>
      </c>
      <c r="M259" s="7" t="s">
        <v>225</v>
      </c>
      <c r="N259" s="7" t="s">
        <v>51</v>
      </c>
      <c r="O259" s="7" t="s">
        <v>228</v>
      </c>
      <c r="Q259" s="26">
        <v>39.841269841269835</v>
      </c>
      <c r="S259" s="7">
        <v>10</v>
      </c>
      <c r="T259" s="26">
        <f t="shared" si="106"/>
        <v>69</v>
      </c>
      <c r="U259" s="6">
        <v>3</v>
      </c>
      <c r="V259" s="6">
        <f t="shared" si="97"/>
        <v>39.841269841269835</v>
      </c>
      <c r="W259" s="36">
        <v>40273</v>
      </c>
      <c r="X259" s="36">
        <v>40341</v>
      </c>
      <c r="Y259" s="26">
        <v>0.2535555555555557</v>
      </c>
      <c r="Z259" s="38" t="s">
        <v>229</v>
      </c>
      <c r="AA259" s="26">
        <v>6.8094433339677962E-2</v>
      </c>
      <c r="AC259" s="29"/>
      <c r="AG259" s="29"/>
      <c r="AS259" s="32">
        <f>40+12/60</f>
        <v>40.200000000000003</v>
      </c>
      <c r="AT259" s="32">
        <f>116+8/60</f>
        <v>116.13333333333334</v>
      </c>
      <c r="AU259" s="27">
        <v>40084</v>
      </c>
      <c r="AV259" s="27">
        <v>40352</v>
      </c>
      <c r="AW259" s="27">
        <v>40273</v>
      </c>
      <c r="AX259" s="27">
        <v>40341</v>
      </c>
      <c r="AY259" s="28">
        <f t="shared" si="102"/>
        <v>-94</v>
      </c>
      <c r="AZ259" s="28">
        <f t="shared" si="103"/>
        <v>174</v>
      </c>
      <c r="BA259" s="37">
        <f t="shared" si="104"/>
        <v>269</v>
      </c>
      <c r="BB259" s="28">
        <f t="shared" si="111"/>
        <v>95</v>
      </c>
      <c r="BC259" s="28">
        <f t="shared" si="107"/>
        <v>163</v>
      </c>
      <c r="BD259" s="26">
        <f t="shared" si="108"/>
        <v>69</v>
      </c>
      <c r="BF259" s="36">
        <v>40318</v>
      </c>
      <c r="BG259" s="26">
        <f t="shared" si="105"/>
        <v>35</v>
      </c>
      <c r="BH259" s="26" t="s">
        <v>275</v>
      </c>
    </row>
    <row r="261" spans="1:60" x14ac:dyDescent="0.3">
      <c r="V261" s="6"/>
    </row>
  </sheetData>
  <autoFilter ref="A1:BH259" xr:uid="{4A4A04A9-EF6B-4BB7-B50F-FF4AF54318C2}">
    <filterColumn colId="6">
      <filters>
        <filter val="Mishra"/>
      </filters>
    </filterColumn>
    <filterColumn colId="7">
      <filters>
        <filter val="India"/>
      </filters>
    </filterColumn>
  </autoFilter>
  <phoneticPr fontId="3"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5350-7184-4AE6-8FD3-D34820670E47}">
  <dimension ref="A1:CR230"/>
  <sheetViews>
    <sheetView topLeftCell="A175" workbookViewId="0">
      <selection activeCell="C226" sqref="C226"/>
    </sheetView>
  </sheetViews>
  <sheetFormatPr defaultRowHeight="13.8" x14ac:dyDescent="0.25"/>
  <sheetData>
    <row r="1" spans="1:96" ht="15.6" x14ac:dyDescent="0.25">
      <c r="A1" s="1" t="s">
        <v>0</v>
      </c>
      <c r="B1" s="1" t="s">
        <v>1</v>
      </c>
      <c r="C1" s="1" t="s">
        <v>2</v>
      </c>
      <c r="D1" s="1" t="s">
        <v>3</v>
      </c>
      <c r="E1" s="1" t="s">
        <v>4</v>
      </c>
      <c r="F1" s="1" t="s">
        <v>213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2" t="s">
        <v>23</v>
      </c>
      <c r="Z1" s="3" t="s">
        <v>24</v>
      </c>
      <c r="AA1" s="3" t="s">
        <v>25</v>
      </c>
      <c r="AB1" s="3" t="s">
        <v>26</v>
      </c>
      <c r="AC1" s="4" t="s">
        <v>27</v>
      </c>
      <c r="AD1" s="5" t="s">
        <v>24</v>
      </c>
      <c r="AE1" s="5" t="s">
        <v>25</v>
      </c>
      <c r="AF1" s="5" t="s">
        <v>26</v>
      </c>
      <c r="AG1" s="2" t="s">
        <v>28</v>
      </c>
      <c r="AH1" s="3" t="s">
        <v>24</v>
      </c>
      <c r="AI1" s="3" t="s">
        <v>25</v>
      </c>
      <c r="AJ1" s="3" t="s">
        <v>26</v>
      </c>
      <c r="AK1" s="4" t="s">
        <v>29</v>
      </c>
      <c r="AL1" s="5" t="s">
        <v>24</v>
      </c>
      <c r="AM1" s="5" t="s">
        <v>25</v>
      </c>
      <c r="AN1" s="5" t="s">
        <v>26</v>
      </c>
      <c r="AO1" s="4" t="s">
        <v>214</v>
      </c>
      <c r="AP1" s="5" t="s">
        <v>24</v>
      </c>
      <c r="AQ1" s="5" t="s">
        <v>25</v>
      </c>
      <c r="AR1" s="5" t="s">
        <v>26</v>
      </c>
      <c r="AS1" s="3" t="s">
        <v>231</v>
      </c>
      <c r="AT1" s="3" t="s">
        <v>24</v>
      </c>
      <c r="AU1" s="3" t="s">
        <v>25</v>
      </c>
      <c r="AV1" s="3" t="s">
        <v>26</v>
      </c>
      <c r="AW1" s="5" t="s">
        <v>232</v>
      </c>
      <c r="AX1" s="5" t="s">
        <v>24</v>
      </c>
      <c r="AY1" s="5" t="s">
        <v>25</v>
      </c>
      <c r="AZ1" s="5" t="s">
        <v>26</v>
      </c>
      <c r="BA1" s="3" t="s">
        <v>233</v>
      </c>
      <c r="BB1" s="3" t="s">
        <v>24</v>
      </c>
      <c r="BC1" s="3" t="s">
        <v>25</v>
      </c>
      <c r="BD1" s="3" t="s">
        <v>26</v>
      </c>
      <c r="BE1" s="3" t="s">
        <v>234</v>
      </c>
      <c r="BF1" s="3" t="s">
        <v>24</v>
      </c>
      <c r="BG1" s="3" t="s">
        <v>25</v>
      </c>
      <c r="BH1" s="3" t="s">
        <v>26</v>
      </c>
      <c r="BI1" s="5" t="s">
        <v>235</v>
      </c>
      <c r="BJ1" s="5" t="s">
        <v>24</v>
      </c>
      <c r="BK1" s="5" t="s">
        <v>25</v>
      </c>
      <c r="BL1" s="5" t="s">
        <v>26</v>
      </c>
      <c r="BM1" s="3" t="s">
        <v>236</v>
      </c>
      <c r="BN1" s="3" t="s">
        <v>24</v>
      </c>
      <c r="BO1" s="3" t="s">
        <v>25</v>
      </c>
      <c r="BP1" s="3" t="s">
        <v>26</v>
      </c>
      <c r="BQ1" s="3" t="s">
        <v>237</v>
      </c>
      <c r="BR1" s="3" t="s">
        <v>24</v>
      </c>
      <c r="BS1" s="3" t="s">
        <v>25</v>
      </c>
      <c r="BT1" s="3" t="s">
        <v>26</v>
      </c>
      <c r="BU1" s="5" t="s">
        <v>238</v>
      </c>
      <c r="BV1" s="5" t="s">
        <v>24</v>
      </c>
      <c r="BW1" s="5" t="s">
        <v>25</v>
      </c>
      <c r="BX1" s="5" t="s">
        <v>26</v>
      </c>
      <c r="BY1" s="3" t="s">
        <v>239</v>
      </c>
      <c r="BZ1" s="3" t="s">
        <v>24</v>
      </c>
      <c r="CA1" s="3" t="s">
        <v>25</v>
      </c>
      <c r="CB1" s="3" t="s">
        <v>26</v>
      </c>
      <c r="CC1" s="5" t="s">
        <v>240</v>
      </c>
      <c r="CD1" s="5" t="s">
        <v>24</v>
      </c>
      <c r="CE1" s="5" t="s">
        <v>25</v>
      </c>
      <c r="CF1" s="5" t="s">
        <v>26</v>
      </c>
      <c r="CG1" s="3" t="s">
        <v>241</v>
      </c>
      <c r="CH1" s="3" t="s">
        <v>24</v>
      </c>
      <c r="CI1" s="3" t="s">
        <v>25</v>
      </c>
      <c r="CJ1" s="3" t="s">
        <v>26</v>
      </c>
      <c r="CK1" s="5" t="s">
        <v>242</v>
      </c>
      <c r="CL1" s="5" t="s">
        <v>24</v>
      </c>
      <c r="CM1" s="5" t="s">
        <v>25</v>
      </c>
      <c r="CN1" s="5" t="s">
        <v>26</v>
      </c>
      <c r="CO1" s="3" t="s">
        <v>243</v>
      </c>
      <c r="CP1" s="3" t="s">
        <v>24</v>
      </c>
      <c r="CQ1" s="3" t="s">
        <v>25</v>
      </c>
      <c r="CR1" s="3" t="s">
        <v>26</v>
      </c>
    </row>
    <row r="2" spans="1:96" ht="15.6" x14ac:dyDescent="0.3">
      <c r="A2" s="6">
        <v>1</v>
      </c>
      <c r="B2" s="6"/>
      <c r="C2" s="7">
        <v>14</v>
      </c>
      <c r="D2" s="8" t="s">
        <v>30</v>
      </c>
      <c r="E2" s="9" t="s">
        <v>31</v>
      </c>
      <c r="F2" s="9" t="str">
        <f>D2&amp;K2&amp;L2&amp;M2</f>
        <v>2012-118yangmai1852004OTC</v>
      </c>
      <c r="G2" s="7" t="s">
        <v>32</v>
      </c>
      <c r="H2" s="8" t="s">
        <v>244</v>
      </c>
      <c r="I2" s="7" t="s">
        <v>33</v>
      </c>
      <c r="J2" s="7" t="s">
        <v>34</v>
      </c>
      <c r="K2" s="7" t="s">
        <v>35</v>
      </c>
      <c r="L2" s="7">
        <v>2004</v>
      </c>
      <c r="M2" s="7" t="s">
        <v>36</v>
      </c>
      <c r="N2" s="7" t="s">
        <v>37</v>
      </c>
      <c r="O2" s="7" t="s">
        <v>38</v>
      </c>
      <c r="P2" s="7"/>
      <c r="Q2" s="7">
        <v>0</v>
      </c>
      <c r="R2" s="7"/>
      <c r="S2" s="7">
        <v>8</v>
      </c>
      <c r="T2" s="7">
        <f t="shared" ref="T2:T16" si="0">X2-W2+1</f>
        <v>65</v>
      </c>
      <c r="U2" s="7">
        <v>3</v>
      </c>
      <c r="V2" s="6">
        <f t="shared" ref="V2:V65" si="1">IF(T2&lt;=90,Q2,Q2/T2*90)</f>
        <v>0</v>
      </c>
      <c r="W2" s="10">
        <v>38061</v>
      </c>
      <c r="X2" s="10">
        <v>38125</v>
      </c>
      <c r="Y2" s="11">
        <v>1.29</v>
      </c>
      <c r="Z2" s="7" t="s">
        <v>245</v>
      </c>
      <c r="AA2" s="6"/>
      <c r="AB2" s="6"/>
      <c r="AC2" s="11">
        <v>45.75</v>
      </c>
      <c r="AD2" s="7" t="s">
        <v>39</v>
      </c>
      <c r="AE2" s="6"/>
      <c r="AF2" s="6"/>
      <c r="AG2" s="12">
        <v>25.81</v>
      </c>
      <c r="AH2" s="7" t="s">
        <v>40</v>
      </c>
      <c r="AI2" s="6"/>
      <c r="AJ2" s="6"/>
      <c r="AK2" s="12">
        <f t="shared" ref="AK2:AK16" si="2">Y2/AC2*1000/AG2</f>
        <v>1.0924727358184971</v>
      </c>
      <c r="AL2" s="7" t="s">
        <v>41</v>
      </c>
      <c r="AM2" s="6"/>
      <c r="AN2" s="6"/>
      <c r="AO2" s="12">
        <f>Y2/AC2*1000</f>
        <v>28.196721311475407</v>
      </c>
      <c r="AP2" s="7" t="s">
        <v>41</v>
      </c>
      <c r="AQ2" s="6"/>
      <c r="AR2" s="6"/>
      <c r="AS2" s="6"/>
      <c r="AT2" s="6"/>
      <c r="AU2" s="6"/>
      <c r="AV2" s="6"/>
      <c r="AW2" s="6"/>
      <c r="AX2" s="6"/>
      <c r="AY2" s="6"/>
      <c r="AZ2" s="6"/>
      <c r="BA2" s="7">
        <v>0.50429999999999997</v>
      </c>
      <c r="BB2" s="7" t="s">
        <v>246</v>
      </c>
      <c r="BC2" s="6"/>
      <c r="BD2" s="6"/>
      <c r="BE2" s="6"/>
      <c r="BF2" s="6"/>
      <c r="BG2" s="6"/>
      <c r="BH2" s="6"/>
      <c r="BI2" s="6">
        <v>15.6</v>
      </c>
      <c r="BJ2" s="7" t="s">
        <v>40</v>
      </c>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row>
    <row r="3" spans="1:96" ht="15.6" x14ac:dyDescent="0.3">
      <c r="A3" s="6">
        <v>1</v>
      </c>
      <c r="B3" s="6"/>
      <c r="C3" s="7">
        <v>14</v>
      </c>
      <c r="D3" s="8" t="s">
        <v>30</v>
      </c>
      <c r="E3" s="9" t="s">
        <v>31</v>
      </c>
      <c r="F3" s="9" t="str">
        <f t="shared" ref="F3:F66" si="3">D3&amp;K3&amp;L3&amp;M3</f>
        <v>2012-118yangmai1852004OTC</v>
      </c>
      <c r="G3" s="7" t="s">
        <v>32</v>
      </c>
      <c r="H3" s="8" t="s">
        <v>244</v>
      </c>
      <c r="I3" s="7" t="s">
        <v>33</v>
      </c>
      <c r="J3" s="7" t="s">
        <v>34</v>
      </c>
      <c r="K3" s="7" t="s">
        <v>35</v>
      </c>
      <c r="L3" s="7">
        <v>2004</v>
      </c>
      <c r="M3" s="7" t="s">
        <v>36</v>
      </c>
      <c r="N3" s="7" t="s">
        <v>37</v>
      </c>
      <c r="O3" s="7" t="s">
        <v>42</v>
      </c>
      <c r="P3" s="7"/>
      <c r="Q3" s="7">
        <v>3.82</v>
      </c>
      <c r="R3" s="7"/>
      <c r="S3" s="7">
        <v>8</v>
      </c>
      <c r="T3" s="7">
        <f t="shared" si="0"/>
        <v>65</v>
      </c>
      <c r="U3" s="7">
        <v>3</v>
      </c>
      <c r="V3" s="6">
        <f t="shared" si="1"/>
        <v>3.82</v>
      </c>
      <c r="W3" s="10">
        <v>38061</v>
      </c>
      <c r="X3" s="10">
        <v>38125</v>
      </c>
      <c r="Y3" s="11">
        <v>1.41</v>
      </c>
      <c r="Z3" s="7" t="s">
        <v>245</v>
      </c>
      <c r="AA3" s="6"/>
      <c r="AB3" s="6"/>
      <c r="AC3" s="11">
        <v>46.5</v>
      </c>
      <c r="AD3" s="7" t="s">
        <v>39</v>
      </c>
      <c r="AE3" s="6"/>
      <c r="AF3" s="6"/>
      <c r="AG3" s="12">
        <v>27.82</v>
      </c>
      <c r="AH3" s="7" t="s">
        <v>40</v>
      </c>
      <c r="AI3" s="6"/>
      <c r="AJ3" s="6"/>
      <c r="AK3" s="12">
        <f t="shared" si="2"/>
        <v>1.0899561698476379</v>
      </c>
      <c r="AL3" s="7" t="s">
        <v>41</v>
      </c>
      <c r="AM3" s="6"/>
      <c r="AN3" s="6"/>
      <c r="AO3" s="12">
        <f t="shared" ref="AO3:AO66" si="4">Y3/AC3*1000</f>
        <v>30.322580645161288</v>
      </c>
      <c r="AP3" s="7" t="s">
        <v>41</v>
      </c>
      <c r="AQ3" s="6"/>
      <c r="AR3" s="6"/>
      <c r="AS3" s="6"/>
      <c r="AT3" s="6"/>
      <c r="AU3" s="6"/>
      <c r="AV3" s="6"/>
      <c r="AW3" s="6"/>
      <c r="AX3" s="6"/>
      <c r="AY3" s="6"/>
      <c r="AZ3" s="6"/>
      <c r="BA3" s="7">
        <v>0.55189999999999995</v>
      </c>
      <c r="BB3" s="7" t="s">
        <v>246</v>
      </c>
      <c r="BC3" s="6"/>
      <c r="BD3" s="6"/>
      <c r="BE3" s="6"/>
      <c r="BF3" s="6"/>
      <c r="BG3" s="6"/>
      <c r="BH3" s="6"/>
      <c r="BI3" s="6">
        <v>15.67</v>
      </c>
      <c r="BJ3" s="7" t="s">
        <v>40</v>
      </c>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row>
    <row r="4" spans="1:96" ht="15.6" x14ac:dyDescent="0.3">
      <c r="A4" s="6">
        <v>1</v>
      </c>
      <c r="B4" s="6"/>
      <c r="C4" s="7">
        <v>14</v>
      </c>
      <c r="D4" s="8" t="s">
        <v>30</v>
      </c>
      <c r="E4" s="9" t="s">
        <v>31</v>
      </c>
      <c r="F4" s="9" t="str">
        <f t="shared" si="3"/>
        <v>2012-118yangmai1852004OTC</v>
      </c>
      <c r="G4" s="7" t="s">
        <v>32</v>
      </c>
      <c r="H4" s="8" t="s">
        <v>244</v>
      </c>
      <c r="I4" s="7" t="s">
        <v>33</v>
      </c>
      <c r="J4" s="7" t="s">
        <v>34</v>
      </c>
      <c r="K4" s="7" t="s">
        <v>35</v>
      </c>
      <c r="L4" s="7">
        <v>2004</v>
      </c>
      <c r="M4" s="7" t="s">
        <v>36</v>
      </c>
      <c r="N4" s="7" t="s">
        <v>37</v>
      </c>
      <c r="O4" s="7" t="s">
        <v>43</v>
      </c>
      <c r="P4" s="7"/>
      <c r="Q4" s="7">
        <v>22.61</v>
      </c>
      <c r="R4" s="7"/>
      <c r="S4" s="7">
        <v>8</v>
      </c>
      <c r="T4" s="7">
        <f t="shared" si="0"/>
        <v>65</v>
      </c>
      <c r="U4" s="7">
        <v>3</v>
      </c>
      <c r="V4" s="6">
        <f t="shared" si="1"/>
        <v>22.61</v>
      </c>
      <c r="W4" s="10">
        <v>38061</v>
      </c>
      <c r="X4" s="10">
        <v>38125</v>
      </c>
      <c r="Y4" s="11">
        <v>0.54</v>
      </c>
      <c r="Z4" s="7" t="s">
        <v>245</v>
      </c>
      <c r="AA4" s="6"/>
      <c r="AB4" s="6"/>
      <c r="AC4" s="11">
        <v>27.18</v>
      </c>
      <c r="AD4" s="7" t="s">
        <v>39</v>
      </c>
      <c r="AE4" s="6"/>
      <c r="AF4" s="6"/>
      <c r="AG4" s="12">
        <v>23.37</v>
      </c>
      <c r="AH4" s="7" t="s">
        <v>40</v>
      </c>
      <c r="AI4" s="6"/>
      <c r="AJ4" s="6"/>
      <c r="AK4" s="12">
        <f t="shared" si="2"/>
        <v>0.85013049503098725</v>
      </c>
      <c r="AL4" s="7" t="s">
        <v>41</v>
      </c>
      <c r="AM4" s="6"/>
      <c r="AN4" s="6"/>
      <c r="AO4" s="12">
        <f t="shared" si="4"/>
        <v>19.867549668874172</v>
      </c>
      <c r="AP4" s="7" t="s">
        <v>41</v>
      </c>
      <c r="AQ4" s="6"/>
      <c r="AR4" s="6"/>
      <c r="AS4" s="6"/>
      <c r="AT4" s="6"/>
      <c r="AU4" s="6"/>
      <c r="AV4" s="6"/>
      <c r="AW4" s="6"/>
      <c r="AX4" s="6"/>
      <c r="AY4" s="6"/>
      <c r="AZ4" s="6"/>
      <c r="BA4" s="7">
        <v>0.2928</v>
      </c>
      <c r="BB4" s="7" t="s">
        <v>246</v>
      </c>
      <c r="BC4" s="6"/>
      <c r="BD4" s="6"/>
      <c r="BE4" s="6"/>
      <c r="BF4" s="6"/>
      <c r="BG4" s="6"/>
      <c r="BH4" s="6"/>
      <c r="BI4" s="6">
        <v>14.13</v>
      </c>
      <c r="BJ4" s="7" t="s">
        <v>40</v>
      </c>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row>
    <row r="5" spans="1:96" ht="15.6" x14ac:dyDescent="0.3">
      <c r="A5" s="6">
        <v>1</v>
      </c>
      <c r="B5" s="6"/>
      <c r="C5" s="7">
        <v>14</v>
      </c>
      <c r="D5" s="8" t="s">
        <v>30</v>
      </c>
      <c r="E5" s="9" t="s">
        <v>31</v>
      </c>
      <c r="F5" s="9" t="str">
        <f t="shared" si="3"/>
        <v>2012-118jia0022006OTC</v>
      </c>
      <c r="G5" s="7" t="s">
        <v>32</v>
      </c>
      <c r="H5" s="8" t="s">
        <v>244</v>
      </c>
      <c r="I5" s="7" t="s">
        <v>33</v>
      </c>
      <c r="J5" s="7" t="s">
        <v>34</v>
      </c>
      <c r="K5" s="7" t="s">
        <v>45</v>
      </c>
      <c r="L5" s="7">
        <v>2006</v>
      </c>
      <c r="M5" s="7" t="s">
        <v>36</v>
      </c>
      <c r="N5" s="7" t="s">
        <v>37</v>
      </c>
      <c r="O5" s="7" t="s">
        <v>38</v>
      </c>
      <c r="P5" s="7"/>
      <c r="Q5" s="7">
        <v>0</v>
      </c>
      <c r="R5" s="6"/>
      <c r="S5" s="7">
        <v>8</v>
      </c>
      <c r="T5" s="7">
        <f t="shared" si="0"/>
        <v>47</v>
      </c>
      <c r="U5" s="7">
        <v>3</v>
      </c>
      <c r="V5" s="6">
        <f t="shared" si="1"/>
        <v>0</v>
      </c>
      <c r="W5" s="10">
        <v>38789</v>
      </c>
      <c r="X5" s="10">
        <v>38835</v>
      </c>
      <c r="Y5" s="11">
        <v>1.52</v>
      </c>
      <c r="Z5" s="7" t="s">
        <v>245</v>
      </c>
      <c r="AA5" s="6"/>
      <c r="AB5" s="7">
        <v>7.0000000000000007E-2</v>
      </c>
      <c r="AC5" s="11">
        <v>37.43</v>
      </c>
      <c r="AD5" s="7" t="s">
        <v>39</v>
      </c>
      <c r="AE5" s="6"/>
      <c r="AF5" s="6">
        <v>1.37</v>
      </c>
      <c r="AG5" s="11">
        <v>46.9</v>
      </c>
      <c r="AH5" s="7" t="s">
        <v>40</v>
      </c>
      <c r="AI5" s="6"/>
      <c r="AJ5" s="6">
        <v>3.93</v>
      </c>
      <c r="AK5" s="12">
        <f t="shared" si="2"/>
        <v>0.86586646174493742</v>
      </c>
      <c r="AL5" s="7" t="s">
        <v>41</v>
      </c>
      <c r="AM5" s="6"/>
      <c r="AN5" s="6"/>
      <c r="AO5" s="12">
        <f t="shared" si="4"/>
        <v>40.609137055837564</v>
      </c>
      <c r="AP5" s="7" t="s">
        <v>41</v>
      </c>
      <c r="AQ5" s="6"/>
      <c r="AR5" s="6"/>
      <c r="AS5" s="6"/>
      <c r="AT5" s="6"/>
      <c r="AU5" s="6"/>
      <c r="AV5" s="6"/>
      <c r="AW5" s="6"/>
      <c r="AX5" s="6"/>
      <c r="AY5" s="6"/>
      <c r="AZ5" s="6"/>
      <c r="BA5" s="7">
        <v>0.47010000000000002</v>
      </c>
      <c r="BB5" s="7" t="s">
        <v>246</v>
      </c>
      <c r="BC5" s="6"/>
      <c r="BD5" s="6">
        <v>5.3E-3</v>
      </c>
      <c r="BE5" s="6"/>
      <c r="BF5" s="6"/>
      <c r="BG5" s="6"/>
      <c r="BH5" s="6"/>
      <c r="BI5" s="6">
        <v>17.93</v>
      </c>
      <c r="BJ5" s="7" t="s">
        <v>40</v>
      </c>
      <c r="BK5" s="6"/>
      <c r="BL5" s="6">
        <v>0.74</v>
      </c>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row>
    <row r="6" spans="1:96" ht="15.6" x14ac:dyDescent="0.3">
      <c r="A6" s="6">
        <v>1</v>
      </c>
      <c r="B6" s="6"/>
      <c r="C6" s="7">
        <v>14</v>
      </c>
      <c r="D6" s="8" t="s">
        <v>30</v>
      </c>
      <c r="E6" s="9" t="s">
        <v>31</v>
      </c>
      <c r="F6" s="9" t="str">
        <f t="shared" si="3"/>
        <v>2012-118jia0022006OTC</v>
      </c>
      <c r="G6" s="7" t="s">
        <v>32</v>
      </c>
      <c r="H6" s="8" t="s">
        <v>244</v>
      </c>
      <c r="I6" s="7" t="s">
        <v>33</v>
      </c>
      <c r="J6" s="7" t="s">
        <v>34</v>
      </c>
      <c r="K6" s="7" t="s">
        <v>45</v>
      </c>
      <c r="L6" s="7">
        <v>2006</v>
      </c>
      <c r="M6" s="7" t="s">
        <v>36</v>
      </c>
      <c r="N6" s="7" t="s">
        <v>37</v>
      </c>
      <c r="O6" s="7" t="s">
        <v>42</v>
      </c>
      <c r="P6" s="7"/>
      <c r="Q6" s="7">
        <v>2.5</v>
      </c>
      <c r="R6" s="6"/>
      <c r="S6" s="7">
        <v>8</v>
      </c>
      <c r="T6" s="7">
        <f t="shared" si="0"/>
        <v>47</v>
      </c>
      <c r="U6" s="7">
        <v>3</v>
      </c>
      <c r="V6" s="6">
        <f t="shared" si="1"/>
        <v>2.5</v>
      </c>
      <c r="W6" s="10">
        <v>38789</v>
      </c>
      <c r="X6" s="10">
        <v>38835</v>
      </c>
      <c r="Y6" s="11">
        <v>1.35</v>
      </c>
      <c r="Z6" s="7" t="s">
        <v>245</v>
      </c>
      <c r="AA6" s="6"/>
      <c r="AB6" s="7">
        <v>0.17</v>
      </c>
      <c r="AC6" s="11">
        <v>32.01</v>
      </c>
      <c r="AD6" s="7" t="s">
        <v>39</v>
      </c>
      <c r="AE6" s="6"/>
      <c r="AF6" s="6">
        <v>0.78</v>
      </c>
      <c r="AG6" s="11">
        <v>46.24</v>
      </c>
      <c r="AH6" s="7" t="s">
        <v>40</v>
      </c>
      <c r="AI6" s="6"/>
      <c r="AJ6" s="6">
        <v>4.25</v>
      </c>
      <c r="AK6" s="12">
        <f t="shared" si="2"/>
        <v>0.91207440581392729</v>
      </c>
      <c r="AL6" s="7" t="s">
        <v>41</v>
      </c>
      <c r="AM6" s="6"/>
      <c r="AN6" s="6"/>
      <c r="AO6" s="12">
        <f t="shared" si="4"/>
        <v>42.174320524835998</v>
      </c>
      <c r="AP6" s="7" t="s">
        <v>41</v>
      </c>
      <c r="AQ6" s="6"/>
      <c r="AR6" s="6"/>
      <c r="AS6" s="6"/>
      <c r="AT6" s="6"/>
      <c r="AU6" s="6"/>
      <c r="AV6" s="6"/>
      <c r="AW6" s="6"/>
      <c r="AX6" s="6"/>
      <c r="AY6" s="6"/>
      <c r="AZ6" s="6"/>
      <c r="BA6" s="7">
        <v>0.47070000000000001</v>
      </c>
      <c r="BB6" s="7" t="s">
        <v>246</v>
      </c>
      <c r="BC6" s="6"/>
      <c r="BD6" s="6">
        <v>2.2100000000000002E-2</v>
      </c>
      <c r="BE6" s="6"/>
      <c r="BF6" s="6"/>
      <c r="BG6" s="6"/>
      <c r="BH6" s="6"/>
      <c r="BI6" s="6">
        <v>17.71</v>
      </c>
      <c r="BJ6" s="7" t="s">
        <v>40</v>
      </c>
      <c r="BK6" s="6"/>
      <c r="BL6" s="6">
        <v>0.95</v>
      </c>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row>
    <row r="7" spans="1:96" ht="15.6" x14ac:dyDescent="0.3">
      <c r="A7" s="6">
        <v>1</v>
      </c>
      <c r="B7" s="6"/>
      <c r="C7" s="7">
        <v>14</v>
      </c>
      <c r="D7" s="8" t="s">
        <v>30</v>
      </c>
      <c r="E7" s="9" t="s">
        <v>31</v>
      </c>
      <c r="F7" s="9" t="str">
        <f t="shared" si="3"/>
        <v>2012-118jia0022006OTC</v>
      </c>
      <c r="G7" s="7" t="s">
        <v>32</v>
      </c>
      <c r="H7" s="8" t="s">
        <v>244</v>
      </c>
      <c r="I7" s="7" t="s">
        <v>33</v>
      </c>
      <c r="J7" s="7" t="s">
        <v>34</v>
      </c>
      <c r="K7" s="7" t="s">
        <v>45</v>
      </c>
      <c r="L7" s="7">
        <v>2006</v>
      </c>
      <c r="M7" s="7" t="s">
        <v>36</v>
      </c>
      <c r="N7" s="7" t="s">
        <v>37</v>
      </c>
      <c r="O7" s="7" t="s">
        <v>43</v>
      </c>
      <c r="P7" s="7"/>
      <c r="Q7" s="7">
        <v>14.27</v>
      </c>
      <c r="R7" s="6"/>
      <c r="S7" s="7">
        <v>8</v>
      </c>
      <c r="T7" s="7">
        <f t="shared" si="0"/>
        <v>47</v>
      </c>
      <c r="U7" s="7">
        <v>3</v>
      </c>
      <c r="V7" s="6">
        <f t="shared" si="1"/>
        <v>14.27</v>
      </c>
      <c r="W7" s="10">
        <v>38789</v>
      </c>
      <c r="X7" s="10">
        <v>38835</v>
      </c>
      <c r="Y7" s="11">
        <v>1.1000000000000001</v>
      </c>
      <c r="Z7" s="7" t="s">
        <v>245</v>
      </c>
      <c r="AA7" s="6"/>
      <c r="AB7" s="7">
        <v>0.15</v>
      </c>
      <c r="AC7" s="11">
        <v>29.71</v>
      </c>
      <c r="AD7" s="7" t="s">
        <v>39</v>
      </c>
      <c r="AE7" s="6"/>
      <c r="AF7" s="6">
        <v>1.2</v>
      </c>
      <c r="AG7" s="11">
        <v>33.5</v>
      </c>
      <c r="AH7" s="7" t="s">
        <v>40</v>
      </c>
      <c r="AI7" s="6"/>
      <c r="AJ7" s="6">
        <v>3.29</v>
      </c>
      <c r="AK7" s="12">
        <f t="shared" si="2"/>
        <v>1.1052110701959741</v>
      </c>
      <c r="AL7" s="7" t="s">
        <v>41</v>
      </c>
      <c r="AM7" s="6"/>
      <c r="AN7" s="6"/>
      <c r="AO7" s="12">
        <f t="shared" si="4"/>
        <v>37.02457085156513</v>
      </c>
      <c r="AP7" s="7" t="s">
        <v>41</v>
      </c>
      <c r="AQ7" s="6"/>
      <c r="AR7" s="6"/>
      <c r="AS7" s="6"/>
      <c r="AT7" s="6"/>
      <c r="AU7" s="6"/>
      <c r="AV7" s="6"/>
      <c r="AW7" s="6"/>
      <c r="AX7" s="6"/>
      <c r="AY7" s="6"/>
      <c r="AZ7" s="6"/>
      <c r="BA7" s="7">
        <v>0.43609999999999999</v>
      </c>
      <c r="BB7" s="7" t="s">
        <v>246</v>
      </c>
      <c r="BC7" s="6"/>
      <c r="BD7" s="6">
        <v>3.4200000000000001E-2</v>
      </c>
      <c r="BE7" s="6"/>
      <c r="BF7" s="6"/>
      <c r="BG7" s="6"/>
      <c r="BH7" s="6"/>
      <c r="BI7" s="6">
        <v>16.87</v>
      </c>
      <c r="BJ7" s="7" t="s">
        <v>40</v>
      </c>
      <c r="BK7" s="6"/>
      <c r="BL7" s="6">
        <v>0.81</v>
      </c>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row>
    <row r="8" spans="1:96" ht="15.6" x14ac:dyDescent="0.3">
      <c r="A8" s="6">
        <v>1</v>
      </c>
      <c r="B8" s="6"/>
      <c r="C8" s="7">
        <v>14</v>
      </c>
      <c r="D8" s="8" t="s">
        <v>30</v>
      </c>
      <c r="E8" s="9" t="s">
        <v>31</v>
      </c>
      <c r="F8" s="9" t="str">
        <f t="shared" si="3"/>
        <v>2012-118jia0022006OTC</v>
      </c>
      <c r="G8" s="7" t="s">
        <v>32</v>
      </c>
      <c r="H8" s="8" t="s">
        <v>244</v>
      </c>
      <c r="I8" s="7" t="s">
        <v>33</v>
      </c>
      <c r="J8" s="7" t="s">
        <v>34</v>
      </c>
      <c r="K8" s="7" t="s">
        <v>45</v>
      </c>
      <c r="L8" s="7">
        <v>2006</v>
      </c>
      <c r="M8" s="7" t="s">
        <v>36</v>
      </c>
      <c r="N8" s="7" t="s">
        <v>37</v>
      </c>
      <c r="O8" s="7" t="s">
        <v>44</v>
      </c>
      <c r="P8" s="7"/>
      <c r="Q8" s="7">
        <v>24.22</v>
      </c>
      <c r="R8" s="6"/>
      <c r="S8" s="7">
        <v>8</v>
      </c>
      <c r="T8" s="7">
        <f t="shared" si="0"/>
        <v>47</v>
      </c>
      <c r="U8" s="7">
        <v>3</v>
      </c>
      <c r="V8" s="6">
        <f t="shared" si="1"/>
        <v>24.22</v>
      </c>
      <c r="W8" s="10">
        <v>38789</v>
      </c>
      <c r="X8" s="10">
        <v>38835</v>
      </c>
      <c r="Y8" s="11">
        <v>0.91</v>
      </c>
      <c r="Z8" s="7" t="s">
        <v>245</v>
      </c>
      <c r="AA8" s="6"/>
      <c r="AB8" s="7">
        <v>0.05</v>
      </c>
      <c r="AC8" s="11">
        <v>24.05</v>
      </c>
      <c r="AD8" s="7" t="s">
        <v>39</v>
      </c>
      <c r="AE8" s="6"/>
      <c r="AF8" s="6">
        <v>0.75</v>
      </c>
      <c r="AG8" s="11">
        <v>24.13</v>
      </c>
      <c r="AH8" s="7" t="s">
        <v>40</v>
      </c>
      <c r="AI8" s="6"/>
      <c r="AJ8" s="6">
        <v>3.75</v>
      </c>
      <c r="AK8" s="12">
        <f t="shared" si="2"/>
        <v>1.5680827947715641</v>
      </c>
      <c r="AL8" s="7" t="s">
        <v>41</v>
      </c>
      <c r="AM8" s="6"/>
      <c r="AN8" s="6"/>
      <c r="AO8" s="12">
        <f t="shared" si="4"/>
        <v>37.837837837837839</v>
      </c>
      <c r="AP8" s="7" t="s">
        <v>41</v>
      </c>
      <c r="AQ8" s="6"/>
      <c r="AR8" s="6"/>
      <c r="AS8" s="6"/>
      <c r="AT8" s="6"/>
      <c r="AU8" s="6"/>
      <c r="AV8" s="6"/>
      <c r="AW8" s="6"/>
      <c r="AX8" s="6"/>
      <c r="AY8" s="6"/>
      <c r="AZ8" s="6"/>
      <c r="BA8" s="7">
        <v>0.35580000000000001</v>
      </c>
      <c r="BB8" s="7" t="s">
        <v>246</v>
      </c>
      <c r="BC8" s="6"/>
      <c r="BD8" s="6">
        <v>3.2000000000000001E-2</v>
      </c>
      <c r="BE8" s="6"/>
      <c r="BF8" s="6"/>
      <c r="BG8" s="6"/>
      <c r="BH8" s="6"/>
      <c r="BI8" s="6">
        <v>16.71</v>
      </c>
      <c r="BJ8" s="7" t="s">
        <v>40</v>
      </c>
      <c r="BK8" s="6"/>
      <c r="BL8" s="6">
        <v>0.34</v>
      </c>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row>
    <row r="9" spans="1:96" ht="15.6" x14ac:dyDescent="0.3">
      <c r="A9" s="6">
        <v>1</v>
      </c>
      <c r="B9" s="6"/>
      <c r="C9" s="7">
        <v>14</v>
      </c>
      <c r="D9" s="8" t="s">
        <v>30</v>
      </c>
      <c r="E9" s="9" t="s">
        <v>31</v>
      </c>
      <c r="F9" s="9" t="str">
        <f t="shared" si="3"/>
        <v>2012-118jia0022007OTC</v>
      </c>
      <c r="G9" s="7" t="s">
        <v>32</v>
      </c>
      <c r="H9" s="8" t="s">
        <v>244</v>
      </c>
      <c r="I9" s="7" t="s">
        <v>33</v>
      </c>
      <c r="J9" s="7" t="s">
        <v>34</v>
      </c>
      <c r="K9" s="7" t="s">
        <v>45</v>
      </c>
      <c r="L9" s="6">
        <v>2007</v>
      </c>
      <c r="M9" s="7" t="s">
        <v>36</v>
      </c>
      <c r="N9" s="7" t="s">
        <v>37</v>
      </c>
      <c r="O9" s="7" t="s">
        <v>38</v>
      </c>
      <c r="P9" s="7"/>
      <c r="Q9" s="7">
        <v>0</v>
      </c>
      <c r="R9" s="6"/>
      <c r="S9" s="7">
        <v>8</v>
      </c>
      <c r="T9" s="7">
        <f t="shared" si="0"/>
        <v>55</v>
      </c>
      <c r="U9" s="7">
        <v>3</v>
      </c>
      <c r="V9" s="6">
        <f t="shared" si="1"/>
        <v>0</v>
      </c>
      <c r="W9" s="10">
        <v>39167</v>
      </c>
      <c r="X9" s="10">
        <v>39221</v>
      </c>
      <c r="Y9" s="11">
        <v>1.65</v>
      </c>
      <c r="Z9" s="7" t="s">
        <v>245</v>
      </c>
      <c r="AA9" s="6"/>
      <c r="AB9" s="7">
        <v>0.37</v>
      </c>
      <c r="AC9" s="11">
        <v>43.62</v>
      </c>
      <c r="AD9" s="7" t="s">
        <v>39</v>
      </c>
      <c r="AE9" s="6"/>
      <c r="AF9" s="6">
        <v>1.9</v>
      </c>
      <c r="AG9" s="11">
        <v>39.409999999999997</v>
      </c>
      <c r="AH9" s="7" t="s">
        <v>40</v>
      </c>
      <c r="AI9" s="6"/>
      <c r="AJ9" s="6">
        <v>4.03</v>
      </c>
      <c r="AK9" s="12">
        <f t="shared" si="2"/>
        <v>0.95982453709407733</v>
      </c>
      <c r="AL9" s="7" t="s">
        <v>41</v>
      </c>
      <c r="AM9" s="6"/>
      <c r="AN9" s="6"/>
      <c r="AO9" s="12">
        <f t="shared" si="4"/>
        <v>37.826685006877582</v>
      </c>
      <c r="AP9" s="7" t="s">
        <v>41</v>
      </c>
      <c r="AQ9" s="6"/>
      <c r="AR9" s="6"/>
      <c r="AS9" s="6"/>
      <c r="AT9" s="6"/>
      <c r="AU9" s="6"/>
      <c r="AV9" s="6"/>
      <c r="AW9" s="6"/>
      <c r="AX9" s="6"/>
      <c r="AY9" s="6"/>
      <c r="AZ9" s="6"/>
      <c r="BA9" s="7">
        <v>0.58720000000000006</v>
      </c>
      <c r="BB9" s="7" t="s">
        <v>246</v>
      </c>
      <c r="BC9" s="6"/>
      <c r="BD9" s="6">
        <v>5.1299999999999998E-2</v>
      </c>
      <c r="BE9" s="6"/>
      <c r="BF9" s="6"/>
      <c r="BG9" s="6"/>
      <c r="BH9" s="6"/>
      <c r="BI9" s="6">
        <v>15.45</v>
      </c>
      <c r="BJ9" s="7" t="s">
        <v>40</v>
      </c>
      <c r="BK9" s="6"/>
      <c r="BL9" s="6">
        <v>1.26</v>
      </c>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row>
    <row r="10" spans="1:96" ht="15.6" x14ac:dyDescent="0.3">
      <c r="A10" s="6">
        <v>1</v>
      </c>
      <c r="B10" s="6"/>
      <c r="C10" s="7">
        <v>14</v>
      </c>
      <c r="D10" s="8" t="s">
        <v>30</v>
      </c>
      <c r="E10" s="9" t="s">
        <v>31</v>
      </c>
      <c r="F10" s="9" t="str">
        <f t="shared" si="3"/>
        <v>2012-118jia0022007OTC</v>
      </c>
      <c r="G10" s="7" t="s">
        <v>32</v>
      </c>
      <c r="H10" s="8" t="s">
        <v>244</v>
      </c>
      <c r="I10" s="7" t="s">
        <v>33</v>
      </c>
      <c r="J10" s="7" t="s">
        <v>34</v>
      </c>
      <c r="K10" s="7" t="s">
        <v>45</v>
      </c>
      <c r="L10" s="6">
        <v>2007</v>
      </c>
      <c r="M10" s="7" t="s">
        <v>36</v>
      </c>
      <c r="N10" s="7" t="s">
        <v>37</v>
      </c>
      <c r="O10" s="7" t="s">
        <v>42</v>
      </c>
      <c r="P10" s="7"/>
      <c r="Q10" s="7">
        <v>0.21</v>
      </c>
      <c r="R10" s="6"/>
      <c r="S10" s="7">
        <v>8</v>
      </c>
      <c r="T10" s="7">
        <f t="shared" si="0"/>
        <v>55</v>
      </c>
      <c r="U10" s="7">
        <v>3</v>
      </c>
      <c r="V10" s="6">
        <f t="shared" si="1"/>
        <v>0.21</v>
      </c>
      <c r="W10" s="10">
        <v>39167</v>
      </c>
      <c r="X10" s="10">
        <v>39221</v>
      </c>
      <c r="Y10" s="11">
        <v>1.61</v>
      </c>
      <c r="Z10" s="7" t="s">
        <v>245</v>
      </c>
      <c r="AA10" s="6"/>
      <c r="AB10" s="7">
        <v>0.4</v>
      </c>
      <c r="AC10" s="11">
        <v>42.16</v>
      </c>
      <c r="AD10" s="7" t="s">
        <v>39</v>
      </c>
      <c r="AE10" s="6"/>
      <c r="AF10" s="6">
        <v>0.73</v>
      </c>
      <c r="AG10" s="11">
        <v>40.58</v>
      </c>
      <c r="AH10" s="7" t="s">
        <v>40</v>
      </c>
      <c r="AI10" s="6"/>
      <c r="AJ10" s="6">
        <v>7.5</v>
      </c>
      <c r="AK10" s="12">
        <f t="shared" si="2"/>
        <v>0.94105115296885877</v>
      </c>
      <c r="AL10" s="7" t="s">
        <v>41</v>
      </c>
      <c r="AM10" s="6"/>
      <c r="AN10" s="6"/>
      <c r="AO10" s="12">
        <f t="shared" si="4"/>
        <v>38.187855787476288</v>
      </c>
      <c r="AP10" s="7" t="s">
        <v>41</v>
      </c>
      <c r="AQ10" s="6"/>
      <c r="AR10" s="6"/>
      <c r="AS10" s="6"/>
      <c r="AT10" s="6"/>
      <c r="AU10" s="6"/>
      <c r="AV10" s="6"/>
      <c r="AW10" s="6"/>
      <c r="AX10" s="6"/>
      <c r="AY10" s="6"/>
      <c r="AZ10" s="6"/>
      <c r="BA10" s="7">
        <v>0.60329999999999995</v>
      </c>
      <c r="BB10" s="7" t="s">
        <v>246</v>
      </c>
      <c r="BC10" s="6"/>
      <c r="BD10" s="6">
        <v>3.6700000000000003E-2</v>
      </c>
      <c r="BE10" s="6"/>
      <c r="BF10" s="6"/>
      <c r="BG10" s="6"/>
      <c r="BH10" s="6"/>
      <c r="BI10" s="6">
        <v>15.85</v>
      </c>
      <c r="BJ10" s="7" t="s">
        <v>40</v>
      </c>
      <c r="BK10" s="6"/>
      <c r="BL10" s="6">
        <v>1.3</v>
      </c>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row>
    <row r="11" spans="1:96" ht="15.6" x14ac:dyDescent="0.3">
      <c r="A11" s="6">
        <v>1</v>
      </c>
      <c r="B11" s="6"/>
      <c r="C11" s="7">
        <v>14</v>
      </c>
      <c r="D11" s="8" t="s">
        <v>30</v>
      </c>
      <c r="E11" s="9" t="s">
        <v>31</v>
      </c>
      <c r="F11" s="9" t="str">
        <f t="shared" si="3"/>
        <v>2012-118jia0022007OTC</v>
      </c>
      <c r="G11" s="7" t="s">
        <v>32</v>
      </c>
      <c r="H11" s="8" t="s">
        <v>244</v>
      </c>
      <c r="I11" s="7" t="s">
        <v>33</v>
      </c>
      <c r="J11" s="7" t="s">
        <v>34</v>
      </c>
      <c r="K11" s="7" t="s">
        <v>45</v>
      </c>
      <c r="L11" s="6">
        <v>2007</v>
      </c>
      <c r="M11" s="7" t="s">
        <v>36</v>
      </c>
      <c r="N11" s="7" t="s">
        <v>37</v>
      </c>
      <c r="O11" s="7" t="s">
        <v>43</v>
      </c>
      <c r="P11" s="7"/>
      <c r="Q11" s="7">
        <v>1.58</v>
      </c>
      <c r="R11" s="6"/>
      <c r="S11" s="7">
        <v>8</v>
      </c>
      <c r="T11" s="7">
        <f t="shared" si="0"/>
        <v>55</v>
      </c>
      <c r="U11" s="7">
        <v>3</v>
      </c>
      <c r="V11" s="6">
        <f t="shared" si="1"/>
        <v>1.58</v>
      </c>
      <c r="W11" s="10">
        <v>39167</v>
      </c>
      <c r="X11" s="10">
        <v>39221</v>
      </c>
      <c r="Y11" s="11">
        <v>1.51</v>
      </c>
      <c r="Z11" s="7" t="s">
        <v>245</v>
      </c>
      <c r="AA11" s="6"/>
      <c r="AB11" s="7">
        <v>0.33</v>
      </c>
      <c r="AC11" s="11">
        <v>41.74</v>
      </c>
      <c r="AD11" s="7" t="s">
        <v>39</v>
      </c>
      <c r="AE11" s="6"/>
      <c r="AF11" s="6">
        <v>0.49</v>
      </c>
      <c r="AG11" s="11">
        <v>36.590000000000003</v>
      </c>
      <c r="AH11" s="7" t="s">
        <v>40</v>
      </c>
      <c r="AI11" s="6"/>
      <c r="AJ11" s="6">
        <v>4.03</v>
      </c>
      <c r="AK11" s="12">
        <f t="shared" si="2"/>
        <v>0.988694442738419</v>
      </c>
      <c r="AL11" s="7" t="s">
        <v>41</v>
      </c>
      <c r="AM11" s="6"/>
      <c r="AN11" s="6"/>
      <c r="AO11" s="12">
        <f t="shared" si="4"/>
        <v>36.176329659798753</v>
      </c>
      <c r="AP11" s="7" t="s">
        <v>41</v>
      </c>
      <c r="AQ11" s="6"/>
      <c r="AR11" s="6"/>
      <c r="AS11" s="6"/>
      <c r="AT11" s="6"/>
      <c r="AU11" s="6"/>
      <c r="AV11" s="6"/>
      <c r="AW11" s="6"/>
      <c r="AX11" s="6"/>
      <c r="AY11" s="6"/>
      <c r="AZ11" s="6"/>
      <c r="BA11" s="7">
        <v>0.56410000000000005</v>
      </c>
      <c r="BB11" s="7" t="s">
        <v>246</v>
      </c>
      <c r="BC11" s="6"/>
      <c r="BD11" s="6">
        <v>5.6899999999999999E-2</v>
      </c>
      <c r="BE11" s="6"/>
      <c r="BF11" s="6"/>
      <c r="BG11" s="6"/>
      <c r="BH11" s="6"/>
      <c r="BI11" s="6">
        <v>14.95</v>
      </c>
      <c r="BJ11" s="7" t="s">
        <v>40</v>
      </c>
      <c r="BK11" s="6"/>
      <c r="BL11" s="6">
        <v>0.81</v>
      </c>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row>
    <row r="12" spans="1:96" ht="15.6" x14ac:dyDescent="0.3">
      <c r="A12" s="6">
        <v>1</v>
      </c>
      <c r="B12" s="6"/>
      <c r="C12" s="7">
        <v>14</v>
      </c>
      <c r="D12" s="8" t="s">
        <v>30</v>
      </c>
      <c r="E12" s="9" t="s">
        <v>31</v>
      </c>
      <c r="F12" s="9" t="str">
        <f t="shared" si="3"/>
        <v>2012-118jia0022007OTC</v>
      </c>
      <c r="G12" s="7" t="s">
        <v>32</v>
      </c>
      <c r="H12" s="8" t="s">
        <v>244</v>
      </c>
      <c r="I12" s="7" t="s">
        <v>33</v>
      </c>
      <c r="J12" s="7" t="s">
        <v>34</v>
      </c>
      <c r="K12" s="7" t="s">
        <v>45</v>
      </c>
      <c r="L12" s="6">
        <v>2007</v>
      </c>
      <c r="M12" s="7" t="s">
        <v>36</v>
      </c>
      <c r="N12" s="7" t="s">
        <v>37</v>
      </c>
      <c r="O12" s="7" t="s">
        <v>44</v>
      </c>
      <c r="P12" s="7"/>
      <c r="Q12" s="7">
        <v>9.17</v>
      </c>
      <c r="R12" s="6"/>
      <c r="S12" s="7">
        <v>8</v>
      </c>
      <c r="T12" s="7">
        <f t="shared" si="0"/>
        <v>55</v>
      </c>
      <c r="U12" s="7">
        <v>3</v>
      </c>
      <c r="V12" s="6">
        <f t="shared" si="1"/>
        <v>9.17</v>
      </c>
      <c r="W12" s="10">
        <v>39167</v>
      </c>
      <c r="X12" s="10">
        <v>39221</v>
      </c>
      <c r="Y12" s="11">
        <v>0.99</v>
      </c>
      <c r="Z12" s="7" t="s">
        <v>245</v>
      </c>
      <c r="AA12" s="6"/>
      <c r="AB12" s="7">
        <v>0.26</v>
      </c>
      <c r="AC12" s="11">
        <v>25.63</v>
      </c>
      <c r="AD12" s="7" t="s">
        <v>39</v>
      </c>
      <c r="AE12" s="6"/>
      <c r="AF12" s="6">
        <v>1.03</v>
      </c>
      <c r="AG12" s="11">
        <v>32.39</v>
      </c>
      <c r="AH12" s="7" t="s">
        <v>40</v>
      </c>
      <c r="AI12" s="6"/>
      <c r="AJ12" s="6">
        <v>5.22</v>
      </c>
      <c r="AK12" s="12">
        <f t="shared" si="2"/>
        <v>1.1925473739444299</v>
      </c>
      <c r="AL12" s="7" t="s">
        <v>41</v>
      </c>
      <c r="AM12" s="6"/>
      <c r="AN12" s="6"/>
      <c r="AO12" s="12">
        <f t="shared" si="4"/>
        <v>38.626609442060087</v>
      </c>
      <c r="AP12" s="7" t="s">
        <v>41</v>
      </c>
      <c r="AQ12" s="6"/>
      <c r="AR12" s="6"/>
      <c r="AS12" s="6"/>
      <c r="AT12" s="6"/>
      <c r="AU12" s="6"/>
      <c r="AV12" s="6"/>
      <c r="AW12" s="6"/>
      <c r="AX12" s="6"/>
      <c r="AY12" s="6"/>
      <c r="AZ12" s="6"/>
      <c r="BA12" s="7">
        <v>0.4335</v>
      </c>
      <c r="BB12" s="7" t="s">
        <v>246</v>
      </c>
      <c r="BC12" s="6"/>
      <c r="BD12" s="6">
        <v>7.9600000000000004E-2</v>
      </c>
      <c r="BE12" s="6"/>
      <c r="BF12" s="6"/>
      <c r="BG12" s="6"/>
      <c r="BH12" s="6"/>
      <c r="BI12" s="6">
        <v>14.08</v>
      </c>
      <c r="BJ12" s="7" t="s">
        <v>40</v>
      </c>
      <c r="BK12" s="6"/>
      <c r="BL12" s="6">
        <v>1.1299999999999999</v>
      </c>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row>
    <row r="13" spans="1:96" ht="15.6" x14ac:dyDescent="0.3">
      <c r="A13" s="6">
        <v>1</v>
      </c>
      <c r="B13" s="6"/>
      <c r="C13" s="7">
        <v>14</v>
      </c>
      <c r="D13" s="8" t="s">
        <v>30</v>
      </c>
      <c r="E13" s="9" t="s">
        <v>31</v>
      </c>
      <c r="F13" s="9" t="str">
        <f t="shared" si="3"/>
        <v>2012-118jia0022008OTC</v>
      </c>
      <c r="G13" s="7" t="s">
        <v>32</v>
      </c>
      <c r="H13" s="8" t="s">
        <v>244</v>
      </c>
      <c r="I13" s="7" t="s">
        <v>33</v>
      </c>
      <c r="J13" s="7" t="s">
        <v>34</v>
      </c>
      <c r="K13" s="7" t="s">
        <v>45</v>
      </c>
      <c r="L13" s="6">
        <v>2008</v>
      </c>
      <c r="M13" s="7" t="s">
        <v>36</v>
      </c>
      <c r="N13" s="7" t="s">
        <v>37</v>
      </c>
      <c r="O13" s="7" t="s">
        <v>38</v>
      </c>
      <c r="P13" s="7"/>
      <c r="Q13" s="7">
        <v>0.1</v>
      </c>
      <c r="R13" s="6"/>
      <c r="S13" s="7">
        <v>8</v>
      </c>
      <c r="T13" s="7">
        <f t="shared" si="0"/>
        <v>55</v>
      </c>
      <c r="U13" s="7">
        <v>3</v>
      </c>
      <c r="V13" s="6">
        <f t="shared" si="1"/>
        <v>0.1</v>
      </c>
      <c r="W13" s="10">
        <v>39527</v>
      </c>
      <c r="X13" s="10">
        <v>39581</v>
      </c>
      <c r="Y13" s="11">
        <v>1.57</v>
      </c>
      <c r="Z13" s="7" t="s">
        <v>245</v>
      </c>
      <c r="AA13" s="6"/>
      <c r="AB13" s="7">
        <v>0.11</v>
      </c>
      <c r="AC13" s="11">
        <v>43.05</v>
      </c>
      <c r="AD13" s="7" t="s">
        <v>39</v>
      </c>
      <c r="AE13" s="6"/>
      <c r="AF13" s="6">
        <v>2.98</v>
      </c>
      <c r="AG13" s="11">
        <v>36.549999999999997</v>
      </c>
      <c r="AH13" s="7" t="s">
        <v>40</v>
      </c>
      <c r="AI13" s="6"/>
      <c r="AJ13" s="6">
        <v>1.33</v>
      </c>
      <c r="AK13" s="12">
        <f t="shared" si="2"/>
        <v>0.9977899270882491</v>
      </c>
      <c r="AL13" s="7" t="s">
        <v>41</v>
      </c>
      <c r="AM13" s="6"/>
      <c r="AN13" s="6"/>
      <c r="AO13" s="12">
        <f t="shared" si="4"/>
        <v>36.469221835075501</v>
      </c>
      <c r="AP13" s="7" t="s">
        <v>41</v>
      </c>
      <c r="AQ13" s="6"/>
      <c r="AR13" s="6"/>
      <c r="AS13" s="6"/>
      <c r="AT13" s="6"/>
      <c r="AU13" s="6"/>
      <c r="AV13" s="6"/>
      <c r="AW13" s="6"/>
      <c r="AX13" s="6"/>
      <c r="AY13" s="6"/>
      <c r="AZ13" s="6"/>
      <c r="BA13" s="7">
        <v>0.50449999999999995</v>
      </c>
      <c r="BB13" s="7" t="s">
        <v>246</v>
      </c>
      <c r="BC13" s="6"/>
      <c r="BD13" s="6">
        <v>2.4899999999999999E-2</v>
      </c>
      <c r="BE13" s="6"/>
      <c r="BF13" s="6"/>
      <c r="BG13" s="6"/>
      <c r="BH13" s="6"/>
      <c r="BI13" s="6">
        <v>16.37</v>
      </c>
      <c r="BJ13" s="7" t="s">
        <v>40</v>
      </c>
      <c r="BK13" s="6"/>
      <c r="BL13" s="6">
        <v>0.73</v>
      </c>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row>
    <row r="14" spans="1:96" ht="15.6" x14ac:dyDescent="0.3">
      <c r="A14" s="6">
        <v>1</v>
      </c>
      <c r="B14" s="6"/>
      <c r="C14" s="7">
        <v>14</v>
      </c>
      <c r="D14" s="8" t="s">
        <v>30</v>
      </c>
      <c r="E14" s="9" t="s">
        <v>31</v>
      </c>
      <c r="F14" s="9" t="str">
        <f t="shared" si="3"/>
        <v>2012-118jia0022008OTC</v>
      </c>
      <c r="G14" s="7" t="s">
        <v>32</v>
      </c>
      <c r="H14" s="8" t="s">
        <v>244</v>
      </c>
      <c r="I14" s="7" t="s">
        <v>33</v>
      </c>
      <c r="J14" s="7" t="s">
        <v>34</v>
      </c>
      <c r="K14" s="7" t="s">
        <v>45</v>
      </c>
      <c r="L14" s="6">
        <v>2008</v>
      </c>
      <c r="M14" s="7" t="s">
        <v>36</v>
      </c>
      <c r="N14" s="7" t="s">
        <v>37</v>
      </c>
      <c r="O14" s="7" t="s">
        <v>42</v>
      </c>
      <c r="P14" s="7"/>
      <c r="Q14" s="7">
        <v>0.15</v>
      </c>
      <c r="R14" s="6"/>
      <c r="S14" s="7">
        <v>8</v>
      </c>
      <c r="T14" s="7">
        <f t="shared" si="0"/>
        <v>55</v>
      </c>
      <c r="U14" s="7">
        <v>3</v>
      </c>
      <c r="V14" s="6">
        <f t="shared" si="1"/>
        <v>0.15</v>
      </c>
      <c r="W14" s="10">
        <v>39527</v>
      </c>
      <c r="X14" s="10">
        <v>39581</v>
      </c>
      <c r="Y14" s="11">
        <v>1.55</v>
      </c>
      <c r="Z14" s="7" t="s">
        <v>245</v>
      </c>
      <c r="AA14" s="6"/>
      <c r="AB14" s="7">
        <v>0.04</v>
      </c>
      <c r="AC14" s="11">
        <v>44.69</v>
      </c>
      <c r="AD14" s="7" t="s">
        <v>39</v>
      </c>
      <c r="AE14" s="6"/>
      <c r="AF14" s="6">
        <v>1.67</v>
      </c>
      <c r="AG14" s="11">
        <v>35.5</v>
      </c>
      <c r="AH14" s="7" t="s">
        <v>40</v>
      </c>
      <c r="AI14" s="6"/>
      <c r="AJ14" s="6">
        <v>1.59</v>
      </c>
      <c r="AK14" s="12">
        <f t="shared" si="2"/>
        <v>0.97699646075153102</v>
      </c>
      <c r="AL14" s="7" t="s">
        <v>41</v>
      </c>
      <c r="AM14" s="6"/>
      <c r="AN14" s="6"/>
      <c r="AO14" s="12">
        <f t="shared" si="4"/>
        <v>34.683374356679352</v>
      </c>
      <c r="AP14" s="7" t="s">
        <v>41</v>
      </c>
      <c r="AQ14" s="6"/>
      <c r="AR14" s="6"/>
      <c r="AS14" s="6"/>
      <c r="AT14" s="6"/>
      <c r="AU14" s="6"/>
      <c r="AV14" s="6"/>
      <c r="AW14" s="6"/>
      <c r="AX14" s="6"/>
      <c r="AY14" s="6"/>
      <c r="AZ14" s="6"/>
      <c r="BA14" s="7">
        <v>0.48849999999999999</v>
      </c>
      <c r="BB14" s="7" t="s">
        <v>246</v>
      </c>
      <c r="BC14" s="6"/>
      <c r="BD14" s="6">
        <v>1.17E-2</v>
      </c>
      <c r="BE14" s="6"/>
      <c r="BF14" s="6"/>
      <c r="BG14" s="6"/>
      <c r="BH14" s="6"/>
      <c r="BI14" s="6">
        <v>16.649999999999999</v>
      </c>
      <c r="BJ14" s="7" t="s">
        <v>40</v>
      </c>
      <c r="BK14" s="6"/>
      <c r="BL14" s="6">
        <v>0.16</v>
      </c>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row>
    <row r="15" spans="1:96" ht="15.6" x14ac:dyDescent="0.3">
      <c r="A15" s="6">
        <v>1</v>
      </c>
      <c r="B15" s="6"/>
      <c r="C15" s="7">
        <v>14</v>
      </c>
      <c r="D15" s="8" t="s">
        <v>30</v>
      </c>
      <c r="E15" s="9" t="s">
        <v>31</v>
      </c>
      <c r="F15" s="9" t="str">
        <f t="shared" si="3"/>
        <v>2012-118jia0022008OTC</v>
      </c>
      <c r="G15" s="7" t="s">
        <v>32</v>
      </c>
      <c r="H15" s="8" t="s">
        <v>244</v>
      </c>
      <c r="I15" s="7" t="s">
        <v>33</v>
      </c>
      <c r="J15" s="7" t="s">
        <v>34</v>
      </c>
      <c r="K15" s="7" t="s">
        <v>45</v>
      </c>
      <c r="L15" s="6">
        <v>2008</v>
      </c>
      <c r="M15" s="7" t="s">
        <v>36</v>
      </c>
      <c r="N15" s="7" t="s">
        <v>37</v>
      </c>
      <c r="O15" s="7" t="s">
        <v>43</v>
      </c>
      <c r="P15" s="7"/>
      <c r="Q15" s="7">
        <v>15.32</v>
      </c>
      <c r="R15" s="6"/>
      <c r="S15" s="7">
        <v>8</v>
      </c>
      <c r="T15" s="7">
        <f t="shared" si="0"/>
        <v>55</v>
      </c>
      <c r="U15" s="7">
        <v>3</v>
      </c>
      <c r="V15" s="6">
        <f t="shared" si="1"/>
        <v>15.32</v>
      </c>
      <c r="W15" s="10">
        <v>39527</v>
      </c>
      <c r="X15" s="10">
        <v>39581</v>
      </c>
      <c r="Y15" s="11">
        <v>0.86</v>
      </c>
      <c r="Z15" s="7" t="s">
        <v>245</v>
      </c>
      <c r="AA15" s="6"/>
      <c r="AB15" s="7">
        <v>0.15</v>
      </c>
      <c r="AC15" s="11">
        <v>31.25</v>
      </c>
      <c r="AD15" s="7" t="s">
        <v>39</v>
      </c>
      <c r="AE15" s="6"/>
      <c r="AF15" s="6">
        <v>2.74</v>
      </c>
      <c r="AG15" s="11">
        <v>27.49</v>
      </c>
      <c r="AH15" s="7" t="s">
        <v>40</v>
      </c>
      <c r="AI15" s="6"/>
      <c r="AJ15" s="6">
        <v>4.55</v>
      </c>
      <c r="AK15" s="12">
        <f t="shared" si="2"/>
        <v>1.0010913059294289</v>
      </c>
      <c r="AL15" s="7" t="s">
        <v>41</v>
      </c>
      <c r="AM15" s="6"/>
      <c r="AN15" s="6"/>
      <c r="AO15" s="12">
        <f t="shared" si="4"/>
        <v>27.52</v>
      </c>
      <c r="AP15" s="7" t="s">
        <v>41</v>
      </c>
      <c r="AQ15" s="6"/>
      <c r="AR15" s="6"/>
      <c r="AS15" s="6"/>
      <c r="AT15" s="6"/>
      <c r="AU15" s="6"/>
      <c r="AV15" s="6"/>
      <c r="AW15" s="6"/>
      <c r="AX15" s="6"/>
      <c r="AY15" s="6"/>
      <c r="AZ15" s="6"/>
      <c r="BA15" s="7">
        <v>0.39119999999999999</v>
      </c>
      <c r="BB15" s="7" t="s">
        <v>246</v>
      </c>
      <c r="BC15" s="6"/>
      <c r="BD15" s="6">
        <v>5.5300000000000002E-2</v>
      </c>
      <c r="BE15" s="6"/>
      <c r="BF15" s="6"/>
      <c r="BG15" s="6"/>
      <c r="BH15" s="6"/>
      <c r="BI15" s="6">
        <v>13.87</v>
      </c>
      <c r="BJ15" s="7" t="s">
        <v>40</v>
      </c>
      <c r="BK15" s="6"/>
      <c r="BL15" s="6">
        <v>1.1399999999999999</v>
      </c>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row>
    <row r="16" spans="1:96" ht="15.6" x14ac:dyDescent="0.3">
      <c r="A16" s="6">
        <v>1</v>
      </c>
      <c r="B16" s="6"/>
      <c r="C16" s="7">
        <v>14</v>
      </c>
      <c r="D16" s="8" t="s">
        <v>30</v>
      </c>
      <c r="E16" s="9" t="s">
        <v>31</v>
      </c>
      <c r="F16" s="9" t="str">
        <f t="shared" si="3"/>
        <v>2012-118jia0022008OTC</v>
      </c>
      <c r="G16" s="7" t="s">
        <v>32</v>
      </c>
      <c r="H16" s="8" t="s">
        <v>244</v>
      </c>
      <c r="I16" s="7" t="s">
        <v>33</v>
      </c>
      <c r="J16" s="7" t="s">
        <v>34</v>
      </c>
      <c r="K16" s="7" t="s">
        <v>45</v>
      </c>
      <c r="L16" s="6">
        <v>2008</v>
      </c>
      <c r="M16" s="7" t="s">
        <v>36</v>
      </c>
      <c r="N16" s="7" t="s">
        <v>37</v>
      </c>
      <c r="O16" s="7" t="s">
        <v>44</v>
      </c>
      <c r="P16" s="7"/>
      <c r="Q16" s="7">
        <v>27.67</v>
      </c>
      <c r="R16" s="6"/>
      <c r="S16" s="7">
        <v>8</v>
      </c>
      <c r="T16" s="7">
        <f t="shared" si="0"/>
        <v>55</v>
      </c>
      <c r="U16" s="7">
        <v>3</v>
      </c>
      <c r="V16" s="6">
        <f t="shared" si="1"/>
        <v>27.67</v>
      </c>
      <c r="W16" s="10">
        <v>39527</v>
      </c>
      <c r="X16" s="10">
        <v>39581</v>
      </c>
      <c r="Y16" s="11">
        <v>0.57999999999999996</v>
      </c>
      <c r="Z16" s="7" t="s">
        <v>245</v>
      </c>
      <c r="AA16" s="6"/>
      <c r="AB16" s="7">
        <v>0.02</v>
      </c>
      <c r="AC16" s="11">
        <v>27.25</v>
      </c>
      <c r="AD16" s="7" t="s">
        <v>39</v>
      </c>
      <c r="AE16" s="6"/>
      <c r="AF16" s="6">
        <v>2.34</v>
      </c>
      <c r="AG16" s="11">
        <v>21.44</v>
      </c>
      <c r="AH16" s="7" t="s">
        <v>40</v>
      </c>
      <c r="AI16" s="6"/>
      <c r="AJ16" s="6">
        <v>2.21</v>
      </c>
      <c r="AK16" s="12">
        <f t="shared" si="2"/>
        <v>0.99274270847596857</v>
      </c>
      <c r="AL16" s="7" t="s">
        <v>41</v>
      </c>
      <c r="AM16" s="6"/>
      <c r="AN16" s="6"/>
      <c r="AO16" s="12">
        <f t="shared" si="4"/>
        <v>21.284403669724767</v>
      </c>
      <c r="AP16" s="7" t="s">
        <v>41</v>
      </c>
      <c r="AQ16" s="6"/>
      <c r="AR16" s="6"/>
      <c r="AS16" s="6"/>
      <c r="AT16" s="6"/>
      <c r="AU16" s="6"/>
      <c r="AV16" s="6"/>
      <c r="AW16" s="6"/>
      <c r="AX16" s="6"/>
      <c r="AY16" s="6"/>
      <c r="AZ16" s="6"/>
      <c r="BA16" s="7">
        <v>0.253</v>
      </c>
      <c r="BB16" s="7" t="s">
        <v>246</v>
      </c>
      <c r="BC16" s="6"/>
      <c r="BD16" s="6">
        <v>4.2500000000000003E-2</v>
      </c>
      <c r="BE16" s="6"/>
      <c r="BF16" s="6"/>
      <c r="BG16" s="6"/>
      <c r="BH16" s="6"/>
      <c r="BI16" s="6">
        <v>13.73</v>
      </c>
      <c r="BJ16" s="7" t="s">
        <v>40</v>
      </c>
      <c r="BK16" s="6"/>
      <c r="BL16" s="6">
        <v>0.31</v>
      </c>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row>
    <row r="17" spans="1:96" ht="15.6" x14ac:dyDescent="0.3">
      <c r="A17" s="6">
        <v>1</v>
      </c>
      <c r="B17" s="6"/>
      <c r="C17" s="7">
        <v>52</v>
      </c>
      <c r="D17" s="7" t="s">
        <v>46</v>
      </c>
      <c r="E17" s="13" t="s">
        <v>47</v>
      </c>
      <c r="F17" s="9" t="str">
        <f t="shared" si="3"/>
        <v>2011-133Y152007FACE</v>
      </c>
      <c r="G17" s="7" t="s">
        <v>48</v>
      </c>
      <c r="H17" s="8" t="s">
        <v>244</v>
      </c>
      <c r="I17" s="7" t="s">
        <v>247</v>
      </c>
      <c r="J17" s="7" t="s">
        <v>34</v>
      </c>
      <c r="K17" s="7" t="s">
        <v>49</v>
      </c>
      <c r="L17" s="7">
        <v>2007</v>
      </c>
      <c r="M17" s="7" t="s">
        <v>50</v>
      </c>
      <c r="N17" s="7" t="s">
        <v>51</v>
      </c>
      <c r="O17" s="7" t="s">
        <v>42</v>
      </c>
      <c r="P17" s="7">
        <f>R17/1.01*1.08</f>
        <v>49.615841584158417</v>
      </c>
      <c r="Q17" s="18">
        <v>7.27</v>
      </c>
      <c r="R17" s="6">
        <v>46.4</v>
      </c>
      <c r="S17" s="6">
        <v>7</v>
      </c>
      <c r="T17" s="6">
        <v>75</v>
      </c>
      <c r="U17" s="6">
        <v>3</v>
      </c>
      <c r="V17" s="6">
        <f t="shared" si="1"/>
        <v>7.27</v>
      </c>
      <c r="W17" s="6" t="s">
        <v>52</v>
      </c>
      <c r="X17" s="6"/>
      <c r="Y17" s="12">
        <v>863.55140186915901</v>
      </c>
      <c r="Z17" s="6" t="s">
        <v>53</v>
      </c>
      <c r="AA17" s="6">
        <v>32.710280373831949</v>
      </c>
      <c r="AB17" s="6"/>
      <c r="AC17" s="12">
        <v>47.772511848341203</v>
      </c>
      <c r="AD17" s="7" t="s">
        <v>39</v>
      </c>
      <c r="AE17" s="6">
        <v>0.99526066350709641</v>
      </c>
      <c r="AF17" s="6"/>
      <c r="AG17" s="12">
        <v>32.535211267605597</v>
      </c>
      <c r="AH17" s="7" t="s">
        <v>40</v>
      </c>
      <c r="AI17" s="6">
        <v>0.98591549295780112</v>
      </c>
      <c r="AJ17" s="6"/>
      <c r="AK17" s="12">
        <v>593.30143540669906</v>
      </c>
      <c r="AL17" s="6" t="s">
        <v>54</v>
      </c>
      <c r="AM17" s="6">
        <v>34.449760765549968</v>
      </c>
      <c r="AN17" s="6"/>
      <c r="AO17" s="12">
        <f t="shared" si="4"/>
        <v>18076.323987538955</v>
      </c>
      <c r="AP17" s="7" t="s">
        <v>215</v>
      </c>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f t="shared" ref="BQ17:BQ40" si="5">AC17*AG17/1000</f>
        <v>1.5542887657699724</v>
      </c>
      <c r="BR17" s="6" t="s">
        <v>248</v>
      </c>
      <c r="BS17" s="6" t="s">
        <v>55</v>
      </c>
      <c r="BT17" s="6"/>
      <c r="BU17" s="6"/>
      <c r="BV17" s="6"/>
      <c r="BW17" s="6"/>
      <c r="BX17" s="6"/>
      <c r="BY17" s="6"/>
      <c r="BZ17" s="6"/>
      <c r="CA17" s="6"/>
      <c r="CB17" s="6"/>
      <c r="CC17" s="6"/>
      <c r="CD17" s="6"/>
      <c r="CE17" s="6"/>
      <c r="CF17" s="6"/>
      <c r="CG17" s="6"/>
      <c r="CH17" s="6"/>
      <c r="CI17" s="6"/>
      <c r="CJ17" s="6"/>
      <c r="CK17" s="6"/>
      <c r="CL17" s="6"/>
      <c r="CM17" s="6"/>
      <c r="CN17" s="6"/>
      <c r="CO17" s="6"/>
      <c r="CP17" s="6"/>
      <c r="CQ17" s="6"/>
      <c r="CR17" s="6"/>
    </row>
    <row r="18" spans="1:96" ht="15.6" x14ac:dyDescent="0.3">
      <c r="A18" s="6">
        <v>1</v>
      </c>
      <c r="B18" s="6"/>
      <c r="C18" s="7">
        <v>52</v>
      </c>
      <c r="D18" s="7" t="s">
        <v>46</v>
      </c>
      <c r="E18" s="13" t="s">
        <v>47</v>
      </c>
      <c r="F18" s="9" t="str">
        <f t="shared" si="3"/>
        <v>2011-133Y152007FACE</v>
      </c>
      <c r="G18" s="7" t="s">
        <v>48</v>
      </c>
      <c r="H18" s="8" t="s">
        <v>244</v>
      </c>
      <c r="I18" s="7" t="s">
        <v>247</v>
      </c>
      <c r="J18" s="7" t="s">
        <v>34</v>
      </c>
      <c r="K18" s="7" t="s">
        <v>49</v>
      </c>
      <c r="L18" s="7">
        <v>2007</v>
      </c>
      <c r="M18" s="7" t="s">
        <v>50</v>
      </c>
      <c r="N18" s="7" t="s">
        <v>51</v>
      </c>
      <c r="O18" s="7" t="s">
        <v>56</v>
      </c>
      <c r="P18" s="6">
        <f>(7*R18+5*0.976*R17)/12*T18*12/1000+R17/1.01*(90-T18)*12/1000</f>
        <v>55.124206930693063</v>
      </c>
      <c r="Q18" s="18">
        <v>13.8865</v>
      </c>
      <c r="R18" s="6">
        <v>56.9</v>
      </c>
      <c r="S18" s="6">
        <v>7</v>
      </c>
      <c r="T18" s="6">
        <v>75</v>
      </c>
      <c r="U18" s="6">
        <v>3</v>
      </c>
      <c r="V18" s="6">
        <f t="shared" si="1"/>
        <v>13.8865</v>
      </c>
      <c r="W18" s="6" t="s">
        <v>52</v>
      </c>
      <c r="X18" s="6"/>
      <c r="Y18" s="12">
        <v>732.71028037383201</v>
      </c>
      <c r="Z18" s="6" t="s">
        <v>53</v>
      </c>
      <c r="AA18" s="6">
        <v>19.626168224298969</v>
      </c>
      <c r="AB18" s="6"/>
      <c r="AC18" s="12">
        <v>40.142180094786703</v>
      </c>
      <c r="AD18" s="7" t="s">
        <v>39</v>
      </c>
      <c r="AE18" s="6">
        <v>2.3222748815165986</v>
      </c>
      <c r="AF18" s="6"/>
      <c r="AG18" s="12">
        <v>31.8779342723005</v>
      </c>
      <c r="AH18" s="7" t="s">
        <v>40</v>
      </c>
      <c r="AI18" s="6">
        <v>1.3145539906102996</v>
      </c>
      <c r="AJ18" s="6"/>
      <c r="AK18" s="12">
        <v>623.92344497607701</v>
      </c>
      <c r="AL18" s="6" t="s">
        <v>54</v>
      </c>
      <c r="AM18" s="6">
        <v>68.899521531099936</v>
      </c>
      <c r="AN18" s="6"/>
      <c r="AO18" s="12">
        <f t="shared" si="4"/>
        <v>18252.877114389452</v>
      </c>
      <c r="AP18" s="7" t="s">
        <v>215</v>
      </c>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f t="shared" si="5"/>
        <v>1.27964977860846</v>
      </c>
      <c r="BR18" s="6" t="s">
        <v>248</v>
      </c>
      <c r="BS18" s="6" t="s">
        <v>55</v>
      </c>
      <c r="BT18" s="6"/>
      <c r="BU18" s="6"/>
      <c r="BV18" s="6"/>
      <c r="BW18" s="6"/>
      <c r="BX18" s="6"/>
      <c r="BY18" s="6"/>
      <c r="BZ18" s="6"/>
      <c r="CA18" s="6"/>
      <c r="CB18" s="6"/>
      <c r="CC18" s="6"/>
      <c r="CD18" s="6"/>
      <c r="CE18" s="6"/>
      <c r="CF18" s="6"/>
      <c r="CG18" s="6"/>
      <c r="CH18" s="6"/>
      <c r="CI18" s="6"/>
      <c r="CJ18" s="6"/>
      <c r="CK18" s="6"/>
      <c r="CL18" s="6"/>
      <c r="CM18" s="6"/>
      <c r="CN18" s="6"/>
      <c r="CO18" s="6"/>
      <c r="CP18" s="6"/>
      <c r="CQ18" s="6"/>
      <c r="CR18" s="6"/>
    </row>
    <row r="19" spans="1:96" ht="15.6" x14ac:dyDescent="0.3">
      <c r="A19" s="6">
        <v>1</v>
      </c>
      <c r="B19" s="6"/>
      <c r="C19" s="7">
        <v>52</v>
      </c>
      <c r="D19" s="7" t="s">
        <v>46</v>
      </c>
      <c r="E19" s="13" t="s">
        <v>47</v>
      </c>
      <c r="F19" s="9" t="str">
        <f t="shared" si="3"/>
        <v>2011-133Y162007FACE</v>
      </c>
      <c r="G19" s="7" t="s">
        <v>48</v>
      </c>
      <c r="H19" s="8" t="s">
        <v>244</v>
      </c>
      <c r="I19" s="7" t="s">
        <v>247</v>
      </c>
      <c r="J19" s="7" t="s">
        <v>34</v>
      </c>
      <c r="K19" s="7" t="s">
        <v>57</v>
      </c>
      <c r="L19" s="7">
        <v>2007</v>
      </c>
      <c r="M19" s="7" t="s">
        <v>50</v>
      </c>
      <c r="N19" s="7" t="s">
        <v>51</v>
      </c>
      <c r="O19" s="7" t="s">
        <v>42</v>
      </c>
      <c r="P19" s="7">
        <f>R19/1.01*1.08</f>
        <v>49.615841584158417</v>
      </c>
      <c r="Q19" s="18">
        <v>7.75</v>
      </c>
      <c r="R19" s="6">
        <v>46.4</v>
      </c>
      <c r="S19" s="6">
        <v>7</v>
      </c>
      <c r="T19" s="6">
        <v>75</v>
      </c>
      <c r="U19" s="6">
        <v>3</v>
      </c>
      <c r="V19" s="6">
        <f t="shared" si="1"/>
        <v>7.75</v>
      </c>
      <c r="W19" s="6" t="s">
        <v>52</v>
      </c>
      <c r="X19" s="6"/>
      <c r="Y19" s="12">
        <v>843.9252336448601</v>
      </c>
      <c r="Z19" s="6" t="s">
        <v>53</v>
      </c>
      <c r="AA19" s="6">
        <v>65.420560747663004</v>
      </c>
      <c r="AB19" s="6"/>
      <c r="AC19" s="12">
        <v>43.791469194312803</v>
      </c>
      <c r="AD19" s="7" t="s">
        <v>39</v>
      </c>
      <c r="AE19" s="6">
        <v>1.6587677725117942</v>
      </c>
      <c r="AF19" s="6"/>
      <c r="AG19" s="12">
        <v>44.037558685446001</v>
      </c>
      <c r="AH19" s="7" t="s">
        <v>40</v>
      </c>
      <c r="AI19" s="6">
        <v>0.98591549295780112</v>
      </c>
      <c r="AJ19" s="6"/>
      <c r="AK19" s="12">
        <v>459.33014354067001</v>
      </c>
      <c r="AL19" s="6" t="s">
        <v>54</v>
      </c>
      <c r="AM19" s="6">
        <v>15.311004784688976</v>
      </c>
      <c r="AN19" s="6"/>
      <c r="AO19" s="12">
        <f t="shared" si="4"/>
        <v>19271.452846219207</v>
      </c>
      <c r="AP19" s="7" t="s">
        <v>215</v>
      </c>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f t="shared" si="5"/>
        <v>1.9284693945664508</v>
      </c>
      <c r="BR19" s="6" t="s">
        <v>248</v>
      </c>
      <c r="BS19" s="6" t="s">
        <v>55</v>
      </c>
      <c r="BT19" s="6"/>
      <c r="BU19" s="6"/>
      <c r="BV19" s="6"/>
      <c r="BW19" s="6"/>
      <c r="BX19" s="6"/>
      <c r="BY19" s="6"/>
      <c r="BZ19" s="6"/>
      <c r="CA19" s="6"/>
      <c r="CB19" s="6"/>
      <c r="CC19" s="6"/>
      <c r="CD19" s="6"/>
      <c r="CE19" s="6"/>
      <c r="CF19" s="6"/>
      <c r="CG19" s="6"/>
      <c r="CH19" s="6"/>
      <c r="CI19" s="6"/>
      <c r="CJ19" s="6"/>
      <c r="CK19" s="6"/>
      <c r="CL19" s="6"/>
      <c r="CM19" s="6"/>
      <c r="CN19" s="6"/>
      <c r="CO19" s="6"/>
      <c r="CP19" s="6"/>
      <c r="CQ19" s="6"/>
      <c r="CR19" s="6"/>
    </row>
    <row r="20" spans="1:96" ht="15.6" x14ac:dyDescent="0.3">
      <c r="A20" s="6">
        <v>1</v>
      </c>
      <c r="B20" s="6"/>
      <c r="C20" s="7">
        <v>52</v>
      </c>
      <c r="D20" s="7" t="s">
        <v>46</v>
      </c>
      <c r="E20" s="13" t="s">
        <v>47</v>
      </c>
      <c r="F20" s="9" t="str">
        <f t="shared" si="3"/>
        <v>2011-133Y162007FACE</v>
      </c>
      <c r="G20" s="7" t="s">
        <v>48</v>
      </c>
      <c r="H20" s="8" t="s">
        <v>244</v>
      </c>
      <c r="I20" s="7" t="s">
        <v>247</v>
      </c>
      <c r="J20" s="7" t="s">
        <v>34</v>
      </c>
      <c r="K20" s="7" t="s">
        <v>57</v>
      </c>
      <c r="L20" s="7">
        <v>2007</v>
      </c>
      <c r="M20" s="7" t="s">
        <v>50</v>
      </c>
      <c r="N20" s="7" t="s">
        <v>51</v>
      </c>
      <c r="O20" s="7" t="s">
        <v>56</v>
      </c>
      <c r="P20" s="6">
        <f>(7*R20+5*0.976*R19)/12*T20*12/1000+R19/1.01*(90-T20)*12/1000</f>
        <v>55.124206930693063</v>
      </c>
      <c r="Q20" s="18">
        <v>14.6637</v>
      </c>
      <c r="R20" s="6">
        <v>56.9</v>
      </c>
      <c r="S20" s="6">
        <v>7</v>
      </c>
      <c r="T20" s="6">
        <v>75</v>
      </c>
      <c r="U20" s="6">
        <v>3</v>
      </c>
      <c r="V20" s="6">
        <f t="shared" si="1"/>
        <v>14.6637</v>
      </c>
      <c r="W20" s="6" t="s">
        <v>52</v>
      </c>
      <c r="X20" s="6"/>
      <c r="Y20" s="12">
        <v>680.37383177570098</v>
      </c>
      <c r="Z20" s="6" t="s">
        <v>53</v>
      </c>
      <c r="AA20" s="6">
        <v>78.504672897195988</v>
      </c>
      <c r="AB20" s="6"/>
      <c r="AC20" s="12">
        <v>38.151658767772503</v>
      </c>
      <c r="AD20" s="7" t="s">
        <v>39</v>
      </c>
      <c r="AE20" s="6">
        <v>0.66350710900479726</v>
      </c>
      <c r="AF20" s="6"/>
      <c r="AG20" s="12">
        <v>44.037558685446001</v>
      </c>
      <c r="AH20" s="7" t="s">
        <v>40</v>
      </c>
      <c r="AI20" s="6">
        <v>2.3004694835681008</v>
      </c>
      <c r="AJ20" s="6"/>
      <c r="AK20" s="12">
        <v>463.15789473684202</v>
      </c>
      <c r="AL20" s="6" t="s">
        <v>54</v>
      </c>
      <c r="AM20" s="6">
        <v>45.933014354066984</v>
      </c>
      <c r="AN20" s="6"/>
      <c r="AO20" s="12">
        <f t="shared" si="4"/>
        <v>17833.401056481111</v>
      </c>
      <c r="AP20" s="7" t="s">
        <v>215</v>
      </c>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f t="shared" si="5"/>
        <v>1.680105911932892</v>
      </c>
      <c r="BR20" s="6" t="s">
        <v>248</v>
      </c>
      <c r="BS20" s="6" t="s">
        <v>55</v>
      </c>
      <c r="BT20" s="6"/>
      <c r="BU20" s="6"/>
      <c r="BV20" s="6"/>
      <c r="BW20" s="6"/>
      <c r="BX20" s="6"/>
      <c r="BY20" s="6"/>
      <c r="BZ20" s="6"/>
      <c r="CA20" s="6"/>
      <c r="CB20" s="6"/>
      <c r="CC20" s="6"/>
      <c r="CD20" s="6"/>
      <c r="CE20" s="6"/>
      <c r="CF20" s="6"/>
      <c r="CG20" s="6"/>
      <c r="CH20" s="6"/>
      <c r="CI20" s="6"/>
      <c r="CJ20" s="6"/>
      <c r="CK20" s="6"/>
      <c r="CL20" s="6"/>
      <c r="CM20" s="6"/>
      <c r="CN20" s="6"/>
      <c r="CO20" s="6"/>
      <c r="CP20" s="6"/>
      <c r="CQ20" s="6"/>
      <c r="CR20" s="6"/>
    </row>
    <row r="21" spans="1:96" ht="15.6" x14ac:dyDescent="0.3">
      <c r="A21" s="6">
        <v>1</v>
      </c>
      <c r="B21" s="6"/>
      <c r="C21" s="7">
        <v>52</v>
      </c>
      <c r="D21" s="7" t="s">
        <v>46</v>
      </c>
      <c r="E21" s="13" t="s">
        <v>47</v>
      </c>
      <c r="F21" s="9" t="str">
        <f t="shared" si="3"/>
        <v>2011-133Y192007FACE</v>
      </c>
      <c r="G21" s="7" t="s">
        <v>48</v>
      </c>
      <c r="H21" s="8" t="s">
        <v>244</v>
      </c>
      <c r="I21" s="7" t="s">
        <v>247</v>
      </c>
      <c r="J21" s="7" t="s">
        <v>34</v>
      </c>
      <c r="K21" s="7" t="s">
        <v>58</v>
      </c>
      <c r="L21" s="7">
        <v>2007</v>
      </c>
      <c r="M21" s="7" t="s">
        <v>50</v>
      </c>
      <c r="N21" s="7" t="s">
        <v>51</v>
      </c>
      <c r="O21" s="7" t="s">
        <v>42</v>
      </c>
      <c r="P21" s="7">
        <f>R21/1.01*1.08</f>
        <v>49.615841584158417</v>
      </c>
      <c r="Q21" s="18">
        <v>8.4130000000000003</v>
      </c>
      <c r="R21" s="6">
        <v>46.4</v>
      </c>
      <c r="S21" s="6">
        <v>7</v>
      </c>
      <c r="T21" s="6">
        <v>75</v>
      </c>
      <c r="U21" s="6">
        <v>3</v>
      </c>
      <c r="V21" s="6">
        <f t="shared" si="1"/>
        <v>8.4130000000000003</v>
      </c>
      <c r="W21" s="6" t="s">
        <v>52</v>
      </c>
      <c r="X21" s="6"/>
      <c r="Y21" s="12">
        <v>713.0841121495331</v>
      </c>
      <c r="Z21" s="6" t="s">
        <v>53</v>
      </c>
      <c r="AA21" s="6">
        <v>26.168224299064956</v>
      </c>
      <c r="AB21" s="6"/>
      <c r="AC21" s="12">
        <v>38.8151658767773</v>
      </c>
      <c r="AD21" s="7" t="s">
        <v>39</v>
      </c>
      <c r="AE21" s="6">
        <v>2.3222748815164991</v>
      </c>
      <c r="AF21" s="6"/>
      <c r="AG21" s="12">
        <v>36.478873239436602</v>
      </c>
      <c r="AH21" s="7" t="s">
        <v>40</v>
      </c>
      <c r="AI21" s="6">
        <v>0.65727699530519601</v>
      </c>
      <c r="AJ21" s="6"/>
      <c r="AK21" s="12">
        <v>524.40191387559798</v>
      </c>
      <c r="AL21" s="6" t="s">
        <v>54</v>
      </c>
      <c r="AM21" s="6">
        <v>42.105263157895024</v>
      </c>
      <c r="AN21" s="6"/>
      <c r="AO21" s="12">
        <f t="shared" si="4"/>
        <v>18371.275660995274</v>
      </c>
      <c r="AP21" s="7" t="s">
        <v>215</v>
      </c>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f t="shared" si="5"/>
        <v>1.4159335157866642</v>
      </c>
      <c r="BR21" s="6" t="s">
        <v>248</v>
      </c>
      <c r="BS21" s="6" t="s">
        <v>55</v>
      </c>
      <c r="BT21" s="6"/>
      <c r="BU21" s="6"/>
      <c r="BV21" s="6"/>
      <c r="BW21" s="6"/>
      <c r="BX21" s="6"/>
      <c r="BY21" s="6"/>
      <c r="BZ21" s="6"/>
      <c r="CA21" s="6"/>
      <c r="CB21" s="6"/>
      <c r="CC21" s="6"/>
      <c r="CD21" s="6"/>
      <c r="CE21" s="6"/>
      <c r="CF21" s="6"/>
      <c r="CG21" s="6"/>
      <c r="CH21" s="6"/>
      <c r="CI21" s="6"/>
      <c r="CJ21" s="6"/>
      <c r="CK21" s="6"/>
      <c r="CL21" s="6"/>
      <c r="CM21" s="6"/>
      <c r="CN21" s="6"/>
      <c r="CO21" s="6"/>
      <c r="CP21" s="6"/>
      <c r="CQ21" s="6"/>
      <c r="CR21" s="6"/>
    </row>
    <row r="22" spans="1:96" ht="15.6" x14ac:dyDescent="0.3">
      <c r="A22" s="6">
        <v>1</v>
      </c>
      <c r="B22" s="6"/>
      <c r="C22" s="7">
        <v>52</v>
      </c>
      <c r="D22" s="7" t="s">
        <v>46</v>
      </c>
      <c r="E22" s="13" t="s">
        <v>47</v>
      </c>
      <c r="F22" s="9" t="str">
        <f t="shared" si="3"/>
        <v>2011-133Y192007FACE</v>
      </c>
      <c r="G22" s="7" t="s">
        <v>48</v>
      </c>
      <c r="H22" s="8" t="s">
        <v>244</v>
      </c>
      <c r="I22" s="7" t="s">
        <v>247</v>
      </c>
      <c r="J22" s="7" t="s">
        <v>34</v>
      </c>
      <c r="K22" s="7" t="s">
        <v>58</v>
      </c>
      <c r="L22" s="7">
        <v>2007</v>
      </c>
      <c r="M22" s="7" t="s">
        <v>50</v>
      </c>
      <c r="N22" s="7" t="s">
        <v>51</v>
      </c>
      <c r="O22" s="7" t="s">
        <v>56</v>
      </c>
      <c r="P22" s="6">
        <f>(7*R22+5*0.976*R21)/12*T22*12/1000+R21/1.01*(90-T22)*12/1000</f>
        <v>55.124206930693063</v>
      </c>
      <c r="Q22" s="18">
        <v>15.313599999999999</v>
      </c>
      <c r="R22" s="6">
        <v>56.9</v>
      </c>
      <c r="S22" s="6">
        <v>7</v>
      </c>
      <c r="T22" s="6">
        <v>75</v>
      </c>
      <c r="U22" s="6">
        <v>3</v>
      </c>
      <c r="V22" s="6">
        <f t="shared" si="1"/>
        <v>15.313599999999999</v>
      </c>
      <c r="W22" s="6" t="s">
        <v>52</v>
      </c>
      <c r="X22" s="6"/>
      <c r="Y22" s="12">
        <v>575.70093457943904</v>
      </c>
      <c r="Z22" s="6" t="s">
        <v>53</v>
      </c>
      <c r="AA22" s="6">
        <v>26.168224299065955</v>
      </c>
      <c r="AB22" s="6"/>
      <c r="AC22" s="12">
        <v>29.1943127962085</v>
      </c>
      <c r="AD22" s="7" t="s">
        <v>39</v>
      </c>
      <c r="AE22" s="6">
        <v>0.66350710900480081</v>
      </c>
      <c r="AF22" s="6"/>
      <c r="AG22" s="12">
        <v>37.464788732394403</v>
      </c>
      <c r="AH22" s="7" t="s">
        <v>40</v>
      </c>
      <c r="AI22" s="6">
        <v>0.32863849765259801</v>
      </c>
      <c r="AJ22" s="6"/>
      <c r="AK22" s="12">
        <v>608.61244019138803</v>
      </c>
      <c r="AL22" s="6" t="s">
        <v>54</v>
      </c>
      <c r="AM22" s="6">
        <v>7.6555023923439194</v>
      </c>
      <c r="AN22" s="6"/>
      <c r="AO22" s="12">
        <f t="shared" si="4"/>
        <v>19719.626168224313</v>
      </c>
      <c r="AP22" s="7" t="s">
        <v>215</v>
      </c>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f t="shared" si="5"/>
        <v>1.0937587610973898</v>
      </c>
      <c r="BR22" s="6" t="s">
        <v>248</v>
      </c>
      <c r="BS22" s="6" t="s">
        <v>55</v>
      </c>
      <c r="BT22" s="6"/>
      <c r="BU22" s="6"/>
      <c r="BV22" s="6"/>
      <c r="BW22" s="6"/>
      <c r="BX22" s="6"/>
      <c r="BY22" s="6"/>
      <c r="BZ22" s="6"/>
      <c r="CA22" s="6"/>
      <c r="CB22" s="6"/>
      <c r="CC22" s="6"/>
      <c r="CD22" s="6"/>
      <c r="CE22" s="6"/>
      <c r="CF22" s="6"/>
      <c r="CG22" s="6"/>
      <c r="CH22" s="6"/>
      <c r="CI22" s="6"/>
      <c r="CJ22" s="6"/>
      <c r="CK22" s="6"/>
      <c r="CL22" s="6"/>
      <c r="CM22" s="6"/>
      <c r="CN22" s="6"/>
      <c r="CO22" s="6"/>
      <c r="CP22" s="6"/>
      <c r="CQ22" s="6"/>
      <c r="CR22" s="6"/>
    </row>
    <row r="23" spans="1:96" ht="15.6" x14ac:dyDescent="0.3">
      <c r="A23" s="6">
        <v>1</v>
      </c>
      <c r="B23" s="6"/>
      <c r="C23" s="7">
        <v>52</v>
      </c>
      <c r="D23" s="7" t="s">
        <v>46</v>
      </c>
      <c r="E23" s="13" t="s">
        <v>47</v>
      </c>
      <c r="F23" s="9" t="str">
        <f t="shared" si="3"/>
        <v>2011-133Y22007FACE</v>
      </c>
      <c r="G23" s="7" t="s">
        <v>48</v>
      </c>
      <c r="H23" s="8" t="s">
        <v>244</v>
      </c>
      <c r="I23" s="7" t="s">
        <v>247</v>
      </c>
      <c r="J23" s="7" t="s">
        <v>34</v>
      </c>
      <c r="K23" s="7" t="s">
        <v>59</v>
      </c>
      <c r="L23" s="7">
        <v>2007</v>
      </c>
      <c r="M23" s="7" t="s">
        <v>50</v>
      </c>
      <c r="N23" s="7" t="s">
        <v>51</v>
      </c>
      <c r="O23" s="7" t="s">
        <v>42</v>
      </c>
      <c r="P23" s="7">
        <f>R23/1.01*1.08</f>
        <v>49.615841584158417</v>
      </c>
      <c r="Q23" s="18">
        <v>7.7503000000000002</v>
      </c>
      <c r="R23" s="6">
        <v>46.4</v>
      </c>
      <c r="S23" s="6">
        <v>7</v>
      </c>
      <c r="T23" s="6">
        <v>75</v>
      </c>
      <c r="U23" s="6">
        <v>3</v>
      </c>
      <c r="V23" s="6">
        <f t="shared" si="1"/>
        <v>7.7503000000000002</v>
      </c>
      <c r="W23" s="6" t="s">
        <v>52</v>
      </c>
      <c r="X23" s="6"/>
      <c r="Y23" s="12">
        <v>765.42056074766401</v>
      </c>
      <c r="Z23" s="6" t="s">
        <v>53</v>
      </c>
      <c r="AA23" s="6">
        <v>65.420560747663004</v>
      </c>
      <c r="AB23" s="6"/>
      <c r="AC23" s="12">
        <v>43.459715639810398</v>
      </c>
      <c r="AD23" s="7" t="s">
        <v>39</v>
      </c>
      <c r="AE23" s="6">
        <v>1.9905213270141999</v>
      </c>
      <c r="AF23" s="6"/>
      <c r="AG23" s="12">
        <v>40.751173708920199</v>
      </c>
      <c r="AH23" s="7" t="s">
        <v>40</v>
      </c>
      <c r="AI23" s="6">
        <v>1.9718309859155028</v>
      </c>
      <c r="AJ23" s="6"/>
      <c r="AK23" s="12">
        <v>501.43540669856498</v>
      </c>
      <c r="AL23" s="6" t="s">
        <v>54</v>
      </c>
      <c r="AM23" s="6">
        <v>22.966507177033009</v>
      </c>
      <c r="AN23" s="6"/>
      <c r="AO23" s="12">
        <f t="shared" si="4"/>
        <v>17612.185203681267</v>
      </c>
      <c r="AP23" s="7" t="s">
        <v>215</v>
      </c>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f t="shared" si="5"/>
        <v>1.7710344213781892</v>
      </c>
      <c r="BR23" s="6" t="s">
        <v>248</v>
      </c>
      <c r="BS23" s="6" t="s">
        <v>55</v>
      </c>
      <c r="BT23" s="6"/>
      <c r="BU23" s="6"/>
      <c r="BV23" s="6"/>
      <c r="BW23" s="6"/>
      <c r="BX23" s="6"/>
      <c r="BY23" s="6"/>
      <c r="BZ23" s="6"/>
      <c r="CA23" s="6"/>
      <c r="CB23" s="6"/>
      <c r="CC23" s="6"/>
      <c r="CD23" s="6"/>
      <c r="CE23" s="6"/>
      <c r="CF23" s="6"/>
      <c r="CG23" s="6"/>
      <c r="CH23" s="6"/>
      <c r="CI23" s="6"/>
      <c r="CJ23" s="6"/>
      <c r="CK23" s="6"/>
      <c r="CL23" s="6"/>
      <c r="CM23" s="6"/>
      <c r="CN23" s="6"/>
      <c r="CO23" s="6"/>
      <c r="CP23" s="6"/>
      <c r="CQ23" s="6"/>
      <c r="CR23" s="6"/>
    </row>
    <row r="24" spans="1:96" ht="15.6" x14ac:dyDescent="0.3">
      <c r="A24" s="6">
        <v>1</v>
      </c>
      <c r="B24" s="6"/>
      <c r="C24" s="7">
        <v>52</v>
      </c>
      <c r="D24" s="7" t="s">
        <v>46</v>
      </c>
      <c r="E24" s="13" t="s">
        <v>47</v>
      </c>
      <c r="F24" s="9" t="str">
        <f t="shared" si="3"/>
        <v>2011-133Y22007FACE</v>
      </c>
      <c r="G24" s="7" t="s">
        <v>48</v>
      </c>
      <c r="H24" s="8" t="s">
        <v>244</v>
      </c>
      <c r="I24" s="7" t="s">
        <v>247</v>
      </c>
      <c r="J24" s="7" t="s">
        <v>34</v>
      </c>
      <c r="K24" s="7" t="s">
        <v>59</v>
      </c>
      <c r="L24" s="7">
        <v>2007</v>
      </c>
      <c r="M24" s="7" t="s">
        <v>50</v>
      </c>
      <c r="N24" s="7" t="s">
        <v>51</v>
      </c>
      <c r="O24" s="7" t="s">
        <v>56</v>
      </c>
      <c r="P24" s="6">
        <f>(7*R24+5*0.976*R23)/12*T24*12/1000+R23/1.01*(90-T24)*12/1000</f>
        <v>55.124206930693063</v>
      </c>
      <c r="Q24" s="18">
        <v>14.6637</v>
      </c>
      <c r="R24" s="6">
        <v>56.9</v>
      </c>
      <c r="S24" s="6">
        <v>7</v>
      </c>
      <c r="T24" s="6">
        <v>75</v>
      </c>
      <c r="U24" s="6">
        <v>3</v>
      </c>
      <c r="V24" s="6">
        <f t="shared" si="1"/>
        <v>14.6637</v>
      </c>
      <c r="W24" s="6" t="s">
        <v>52</v>
      </c>
      <c r="X24" s="6"/>
      <c r="Y24" s="12">
        <v>569.158878504673</v>
      </c>
      <c r="Z24" s="6" t="s">
        <v>53</v>
      </c>
      <c r="AA24" s="6">
        <v>52.336448598131028</v>
      </c>
      <c r="AB24" s="6"/>
      <c r="AC24" s="12">
        <v>33.838862559241697</v>
      </c>
      <c r="AD24" s="7" t="s">
        <v>39</v>
      </c>
      <c r="AE24" s="6">
        <v>3.9810426540283999</v>
      </c>
      <c r="AF24" s="6"/>
      <c r="AG24" s="12">
        <v>35.164319248826303</v>
      </c>
      <c r="AH24" s="7" t="s">
        <v>40</v>
      </c>
      <c r="AI24" s="6">
        <v>1.9718309859154957</v>
      </c>
      <c r="AJ24" s="6"/>
      <c r="AK24" s="12">
        <v>509.09090909090901</v>
      </c>
      <c r="AL24" s="6" t="s">
        <v>54</v>
      </c>
      <c r="AM24" s="6">
        <v>49.760765550238943</v>
      </c>
      <c r="AN24" s="6"/>
      <c r="AO24" s="12">
        <f t="shared" si="4"/>
        <v>16819.681143485439</v>
      </c>
      <c r="AP24" s="7" t="s">
        <v>215</v>
      </c>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f t="shared" si="5"/>
        <v>1.1899205660503305</v>
      </c>
      <c r="BR24" s="6" t="s">
        <v>248</v>
      </c>
      <c r="BS24" s="6" t="s">
        <v>55</v>
      </c>
      <c r="BT24" s="6"/>
      <c r="BU24" s="6"/>
      <c r="BV24" s="6"/>
      <c r="BW24" s="6"/>
      <c r="BX24" s="6"/>
      <c r="BY24" s="6"/>
      <c r="BZ24" s="6"/>
      <c r="CA24" s="6"/>
      <c r="CB24" s="6"/>
      <c r="CC24" s="6"/>
      <c r="CD24" s="6"/>
      <c r="CE24" s="6"/>
      <c r="CF24" s="6"/>
      <c r="CG24" s="6"/>
      <c r="CH24" s="6"/>
      <c r="CI24" s="6"/>
      <c r="CJ24" s="6"/>
      <c r="CK24" s="6"/>
      <c r="CL24" s="6"/>
      <c r="CM24" s="6"/>
      <c r="CN24" s="6"/>
      <c r="CO24" s="6"/>
      <c r="CP24" s="6"/>
      <c r="CQ24" s="6"/>
      <c r="CR24" s="6"/>
    </row>
    <row r="25" spans="1:96" ht="15.6" x14ac:dyDescent="0.3">
      <c r="A25" s="6">
        <v>1</v>
      </c>
      <c r="B25" s="6"/>
      <c r="C25" s="7">
        <v>52</v>
      </c>
      <c r="D25" s="7" t="s">
        <v>46</v>
      </c>
      <c r="E25" s="13" t="s">
        <v>47</v>
      </c>
      <c r="F25" s="9" t="str">
        <f t="shared" si="3"/>
        <v>2011-133Y152008FACE</v>
      </c>
      <c r="G25" s="7" t="s">
        <v>48</v>
      </c>
      <c r="H25" s="8" t="s">
        <v>244</v>
      </c>
      <c r="I25" s="7" t="s">
        <v>247</v>
      </c>
      <c r="J25" s="7" t="s">
        <v>34</v>
      </c>
      <c r="K25" s="7" t="s">
        <v>49</v>
      </c>
      <c r="L25" s="7">
        <v>2008</v>
      </c>
      <c r="M25" s="7" t="s">
        <v>50</v>
      </c>
      <c r="N25" s="7" t="s">
        <v>51</v>
      </c>
      <c r="O25" s="7" t="s">
        <v>42</v>
      </c>
      <c r="P25" s="7">
        <f>R25/1.01*1.08</f>
        <v>49.188118811881189</v>
      </c>
      <c r="Q25" s="7">
        <v>8.2789999999999999</v>
      </c>
      <c r="R25" s="7">
        <v>46</v>
      </c>
      <c r="S25" s="7">
        <v>7</v>
      </c>
      <c r="T25" s="7">
        <v>75</v>
      </c>
      <c r="U25" s="6">
        <v>3</v>
      </c>
      <c r="V25" s="6">
        <f t="shared" si="1"/>
        <v>8.2789999999999999</v>
      </c>
      <c r="W25" s="6" t="s">
        <v>52</v>
      </c>
      <c r="X25" s="6"/>
      <c r="Y25" s="12">
        <v>985.9154929577461</v>
      </c>
      <c r="Z25" s="6" t="s">
        <v>53</v>
      </c>
      <c r="AA25" s="6">
        <v>26.291079812204021</v>
      </c>
      <c r="AB25" s="6"/>
      <c r="AC25" s="12">
        <v>44</v>
      </c>
      <c r="AD25" s="7" t="s">
        <v>39</v>
      </c>
      <c r="AE25" s="6">
        <v>0.66666666666669983</v>
      </c>
      <c r="AF25" s="6"/>
      <c r="AG25" s="12">
        <v>40.751173708920199</v>
      </c>
      <c r="AH25" s="7" t="s">
        <v>40</v>
      </c>
      <c r="AI25" s="6">
        <v>0.32863849765259801</v>
      </c>
      <c r="AJ25" s="6"/>
      <c r="AK25" s="12">
        <v>547.36842105263202</v>
      </c>
      <c r="AL25" s="6" t="s">
        <v>54</v>
      </c>
      <c r="AM25" s="6">
        <v>11.483253588515936</v>
      </c>
      <c r="AN25" s="6"/>
      <c r="AO25" s="12">
        <f t="shared" si="4"/>
        <v>22407.17029449423</v>
      </c>
      <c r="AP25" s="7" t="s">
        <v>215</v>
      </c>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f t="shared" si="5"/>
        <v>1.7930516431924886</v>
      </c>
      <c r="BR25" s="6" t="s">
        <v>248</v>
      </c>
      <c r="BS25" s="6" t="s">
        <v>55</v>
      </c>
      <c r="BT25" s="6"/>
      <c r="BU25" s="6"/>
      <c r="BV25" s="6"/>
      <c r="BW25" s="6"/>
      <c r="BX25" s="6"/>
      <c r="BY25" s="6"/>
      <c r="BZ25" s="6"/>
      <c r="CA25" s="6"/>
      <c r="CB25" s="6"/>
      <c r="CC25" s="6"/>
      <c r="CD25" s="6"/>
      <c r="CE25" s="6"/>
      <c r="CF25" s="6"/>
      <c r="CG25" s="6"/>
      <c r="CH25" s="6"/>
      <c r="CI25" s="6"/>
      <c r="CJ25" s="6"/>
      <c r="CK25" s="6"/>
      <c r="CL25" s="6"/>
      <c r="CM25" s="6"/>
      <c r="CN25" s="6"/>
      <c r="CO25" s="6"/>
      <c r="CP25" s="6"/>
      <c r="CQ25" s="6"/>
      <c r="CR25" s="6"/>
    </row>
    <row r="26" spans="1:96" ht="15.6" x14ac:dyDescent="0.3">
      <c r="A26" s="6">
        <v>1</v>
      </c>
      <c r="B26" s="6"/>
      <c r="C26" s="7">
        <v>52</v>
      </c>
      <c r="D26" s="7" t="s">
        <v>46</v>
      </c>
      <c r="E26" s="13" t="s">
        <v>47</v>
      </c>
      <c r="F26" s="9" t="str">
        <f t="shared" si="3"/>
        <v>2011-133Y152008FACE</v>
      </c>
      <c r="G26" s="7" t="s">
        <v>48</v>
      </c>
      <c r="H26" s="8" t="s">
        <v>244</v>
      </c>
      <c r="I26" s="7" t="s">
        <v>247</v>
      </c>
      <c r="J26" s="7" t="s">
        <v>34</v>
      </c>
      <c r="K26" s="7" t="s">
        <v>49</v>
      </c>
      <c r="L26" s="7">
        <v>2008</v>
      </c>
      <c r="M26" s="7" t="s">
        <v>50</v>
      </c>
      <c r="N26" s="7" t="s">
        <v>51</v>
      </c>
      <c r="O26" s="7" t="s">
        <v>56</v>
      </c>
      <c r="P26" s="6">
        <f>(7*R26+5*0.976*R25)/12*T26*12/1000+R25/1.01*(90-T26)*12/1000</f>
        <v>55.274019801980202</v>
      </c>
      <c r="Q26" s="7">
        <v>16.7821</v>
      </c>
      <c r="R26" s="7">
        <v>57.6</v>
      </c>
      <c r="S26" s="7">
        <v>7</v>
      </c>
      <c r="T26" s="7">
        <v>75</v>
      </c>
      <c r="U26" s="6">
        <v>3</v>
      </c>
      <c r="V26" s="6">
        <f t="shared" si="1"/>
        <v>16.7821</v>
      </c>
      <c r="W26" s="6" t="s">
        <v>52</v>
      </c>
      <c r="X26" s="6"/>
      <c r="Y26" s="12">
        <v>795.305164319249</v>
      </c>
      <c r="Z26" s="6" t="s">
        <v>53</v>
      </c>
      <c r="AA26" s="6">
        <v>72.300469483567937</v>
      </c>
      <c r="AB26" s="6"/>
      <c r="AC26" s="12">
        <v>36</v>
      </c>
      <c r="AD26" s="7" t="s">
        <v>39</v>
      </c>
      <c r="AE26" s="6">
        <v>4.3333333333333002</v>
      </c>
      <c r="AF26" s="6"/>
      <c r="AG26" s="12">
        <v>38.779342723004703</v>
      </c>
      <c r="AH26" s="7" t="s">
        <v>40</v>
      </c>
      <c r="AI26" s="6">
        <v>0.65727699530519601</v>
      </c>
      <c r="AJ26" s="6"/>
      <c r="AK26" s="12">
        <v>570.33492822966502</v>
      </c>
      <c r="AL26" s="6" t="s">
        <v>54</v>
      </c>
      <c r="AM26" s="6">
        <v>22.966507177034032</v>
      </c>
      <c r="AN26" s="6"/>
      <c r="AO26" s="12">
        <f t="shared" si="4"/>
        <v>22091.810119979142</v>
      </c>
      <c r="AP26" s="7" t="s">
        <v>215</v>
      </c>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f t="shared" si="5"/>
        <v>1.3960563380281692</v>
      </c>
      <c r="BR26" s="6" t="s">
        <v>248</v>
      </c>
      <c r="BS26" s="6" t="s">
        <v>55</v>
      </c>
      <c r="BT26" s="6"/>
      <c r="BU26" s="6"/>
      <c r="BV26" s="6"/>
      <c r="BW26" s="6"/>
      <c r="BX26" s="6"/>
      <c r="BY26" s="6"/>
      <c r="BZ26" s="6"/>
      <c r="CA26" s="6"/>
      <c r="CB26" s="6"/>
      <c r="CC26" s="6"/>
      <c r="CD26" s="6"/>
      <c r="CE26" s="6"/>
      <c r="CF26" s="6"/>
      <c r="CG26" s="6"/>
      <c r="CH26" s="6"/>
      <c r="CI26" s="6"/>
      <c r="CJ26" s="6"/>
      <c r="CK26" s="6"/>
      <c r="CL26" s="6"/>
      <c r="CM26" s="6"/>
      <c r="CN26" s="6"/>
      <c r="CO26" s="6"/>
      <c r="CP26" s="6"/>
      <c r="CQ26" s="6"/>
      <c r="CR26" s="6"/>
    </row>
    <row r="27" spans="1:96" ht="15.6" x14ac:dyDescent="0.3">
      <c r="A27" s="6">
        <v>1</v>
      </c>
      <c r="B27" s="6"/>
      <c r="C27" s="7">
        <v>52</v>
      </c>
      <c r="D27" s="7" t="s">
        <v>46</v>
      </c>
      <c r="E27" s="13" t="s">
        <v>47</v>
      </c>
      <c r="F27" s="9" t="str">
        <f t="shared" si="3"/>
        <v>2011-133Y162008FACE</v>
      </c>
      <c r="G27" s="7" t="s">
        <v>48</v>
      </c>
      <c r="H27" s="8" t="s">
        <v>244</v>
      </c>
      <c r="I27" s="7" t="s">
        <v>247</v>
      </c>
      <c r="J27" s="7" t="s">
        <v>34</v>
      </c>
      <c r="K27" s="7" t="s">
        <v>57</v>
      </c>
      <c r="L27" s="7">
        <v>2008</v>
      </c>
      <c r="M27" s="7" t="s">
        <v>50</v>
      </c>
      <c r="N27" s="7" t="s">
        <v>51</v>
      </c>
      <c r="O27" s="7" t="s">
        <v>42</v>
      </c>
      <c r="P27" s="7">
        <f>R27/1.01*1.08</f>
        <v>49.188118811881189</v>
      </c>
      <c r="Q27" s="7">
        <v>8.4710000000000001</v>
      </c>
      <c r="R27" s="7">
        <v>46</v>
      </c>
      <c r="S27" s="7">
        <v>7</v>
      </c>
      <c r="T27" s="7">
        <v>75</v>
      </c>
      <c r="U27" s="6">
        <v>3</v>
      </c>
      <c r="V27" s="6">
        <f t="shared" si="1"/>
        <v>8.4710000000000001</v>
      </c>
      <c r="W27" s="6" t="s">
        <v>52</v>
      </c>
      <c r="X27" s="6"/>
      <c r="Y27" s="12">
        <v>887.32394366197195</v>
      </c>
      <c r="Z27" s="6" t="s">
        <v>53</v>
      </c>
      <c r="AA27" s="6">
        <v>52.582159624413038</v>
      </c>
      <c r="AB27" s="6"/>
      <c r="AC27" s="12">
        <v>44</v>
      </c>
      <c r="AD27" s="7" t="s">
        <v>39</v>
      </c>
      <c r="AE27" s="6">
        <v>0.66666666666669983</v>
      </c>
      <c r="AF27" s="6"/>
      <c r="AG27" s="12">
        <v>45.680751173708899</v>
      </c>
      <c r="AH27" s="7" t="s">
        <v>40</v>
      </c>
      <c r="AI27" s="6">
        <v>1.9718309859155028</v>
      </c>
      <c r="AJ27" s="6"/>
      <c r="AK27" s="12">
        <v>440.19138755980902</v>
      </c>
      <c r="AL27" s="6" t="s">
        <v>54</v>
      </c>
      <c r="AM27" s="6">
        <v>7.6555023923439762</v>
      </c>
      <c r="AN27" s="6"/>
      <c r="AO27" s="12">
        <f t="shared" si="4"/>
        <v>20166.45326504482</v>
      </c>
      <c r="AP27" s="7" t="s">
        <v>215</v>
      </c>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f t="shared" si="5"/>
        <v>2.0099530516431914</v>
      </c>
      <c r="BR27" s="6" t="s">
        <v>248</v>
      </c>
      <c r="BS27" s="6" t="s">
        <v>55</v>
      </c>
      <c r="BT27" s="6"/>
      <c r="BU27" s="6"/>
      <c r="BV27" s="6"/>
      <c r="BW27" s="6"/>
      <c r="BX27" s="6"/>
      <c r="BY27" s="6"/>
      <c r="BZ27" s="6"/>
      <c r="CA27" s="6"/>
      <c r="CB27" s="6"/>
      <c r="CC27" s="6"/>
      <c r="CD27" s="6"/>
      <c r="CE27" s="6"/>
      <c r="CF27" s="6"/>
      <c r="CG27" s="6"/>
      <c r="CH27" s="6"/>
      <c r="CI27" s="6"/>
      <c r="CJ27" s="6"/>
      <c r="CK27" s="6"/>
      <c r="CL27" s="6"/>
      <c r="CM27" s="6"/>
      <c r="CN27" s="6"/>
      <c r="CO27" s="6"/>
      <c r="CP27" s="6"/>
      <c r="CQ27" s="6"/>
      <c r="CR27" s="6"/>
    </row>
    <row r="28" spans="1:96" ht="15.6" x14ac:dyDescent="0.3">
      <c r="A28" s="6">
        <v>1</v>
      </c>
      <c r="B28" s="6"/>
      <c r="C28" s="7">
        <v>52</v>
      </c>
      <c r="D28" s="7" t="s">
        <v>46</v>
      </c>
      <c r="E28" s="13" t="s">
        <v>47</v>
      </c>
      <c r="F28" s="9" t="str">
        <f t="shared" si="3"/>
        <v>2011-133Y162008FACE</v>
      </c>
      <c r="G28" s="7" t="s">
        <v>48</v>
      </c>
      <c r="H28" s="8" t="s">
        <v>244</v>
      </c>
      <c r="I28" s="7" t="s">
        <v>247</v>
      </c>
      <c r="J28" s="7" t="s">
        <v>34</v>
      </c>
      <c r="K28" s="7" t="s">
        <v>57</v>
      </c>
      <c r="L28" s="7">
        <v>2008</v>
      </c>
      <c r="M28" s="7" t="s">
        <v>50</v>
      </c>
      <c r="N28" s="7" t="s">
        <v>51</v>
      </c>
      <c r="O28" s="7" t="s">
        <v>56</v>
      </c>
      <c r="P28" s="6">
        <f>(7*R28+5*0.976*R27)/12*T28*12/1000+R27/1.01*(90-T28)*12/1000</f>
        <v>55.274019801980202</v>
      </c>
      <c r="Q28" s="7">
        <v>16.742999999999999</v>
      </c>
      <c r="R28" s="7">
        <v>57.6</v>
      </c>
      <c r="S28" s="7">
        <v>7</v>
      </c>
      <c r="T28" s="7">
        <v>75</v>
      </c>
      <c r="U28" s="6">
        <v>3</v>
      </c>
      <c r="V28" s="6">
        <f t="shared" si="1"/>
        <v>16.742999999999999</v>
      </c>
      <c r="W28" s="6" t="s">
        <v>52</v>
      </c>
      <c r="X28" s="6"/>
      <c r="Y28" s="12">
        <v>736.15023474178395</v>
      </c>
      <c r="Z28" s="6" t="s">
        <v>53</v>
      </c>
      <c r="AA28" s="6">
        <v>26.29107981220702</v>
      </c>
      <c r="AB28" s="6"/>
      <c r="AC28" s="12">
        <v>38</v>
      </c>
      <c r="AD28" s="7" t="s">
        <v>39</v>
      </c>
      <c r="AE28" s="6">
        <v>1.6666666666666998</v>
      </c>
      <c r="AF28" s="6"/>
      <c r="AG28" s="12">
        <v>44.366197183098599</v>
      </c>
      <c r="AH28" s="7" t="s">
        <v>40</v>
      </c>
      <c r="AI28" s="6">
        <v>1.6431924882628977</v>
      </c>
      <c r="AJ28" s="6"/>
      <c r="AK28" s="12">
        <v>436.36363636363598</v>
      </c>
      <c r="AL28" s="6" t="s">
        <v>54</v>
      </c>
      <c r="AM28" s="6">
        <v>3.8277511961730397</v>
      </c>
      <c r="AN28" s="6"/>
      <c r="AO28" s="12">
        <f t="shared" si="4"/>
        <v>19372.374598467999</v>
      </c>
      <c r="AP28" s="7" t="s">
        <v>215</v>
      </c>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f t="shared" si="5"/>
        <v>1.6859154929577467</v>
      </c>
      <c r="BR28" s="6" t="s">
        <v>248</v>
      </c>
      <c r="BS28" s="6" t="s">
        <v>55</v>
      </c>
      <c r="BT28" s="6"/>
      <c r="BU28" s="6"/>
      <c r="BV28" s="6"/>
      <c r="BW28" s="6"/>
      <c r="BX28" s="6"/>
      <c r="BY28" s="6"/>
      <c r="BZ28" s="6"/>
      <c r="CA28" s="6"/>
      <c r="CB28" s="6"/>
      <c r="CC28" s="6"/>
      <c r="CD28" s="6"/>
      <c r="CE28" s="6"/>
      <c r="CF28" s="6"/>
      <c r="CG28" s="6"/>
      <c r="CH28" s="6"/>
      <c r="CI28" s="6"/>
      <c r="CJ28" s="6"/>
      <c r="CK28" s="6"/>
      <c r="CL28" s="6"/>
      <c r="CM28" s="6"/>
      <c r="CN28" s="6"/>
      <c r="CO28" s="6"/>
      <c r="CP28" s="6"/>
      <c r="CQ28" s="6"/>
      <c r="CR28" s="6"/>
    </row>
    <row r="29" spans="1:96" ht="15.6" x14ac:dyDescent="0.3">
      <c r="A29" s="6">
        <v>1</v>
      </c>
      <c r="B29" s="6"/>
      <c r="C29" s="7">
        <v>52</v>
      </c>
      <c r="D29" s="7" t="s">
        <v>46</v>
      </c>
      <c r="E29" s="13" t="s">
        <v>47</v>
      </c>
      <c r="F29" s="9" t="str">
        <f t="shared" si="3"/>
        <v>2011-133Y192008FACE</v>
      </c>
      <c r="G29" s="7" t="s">
        <v>48</v>
      </c>
      <c r="H29" s="8" t="s">
        <v>244</v>
      </c>
      <c r="I29" s="7" t="s">
        <v>247</v>
      </c>
      <c r="J29" s="7" t="s">
        <v>34</v>
      </c>
      <c r="K29" s="7" t="s">
        <v>58</v>
      </c>
      <c r="L29" s="7">
        <v>2008</v>
      </c>
      <c r="M29" s="7" t="s">
        <v>50</v>
      </c>
      <c r="N29" s="7" t="s">
        <v>51</v>
      </c>
      <c r="O29" s="7" t="s">
        <v>42</v>
      </c>
      <c r="P29" s="7">
        <f>R29/1.01*1.08</f>
        <v>49.188118811881189</v>
      </c>
      <c r="Q29" s="7">
        <v>9.1110000000000007</v>
      </c>
      <c r="R29" s="7">
        <v>46</v>
      </c>
      <c r="S29" s="7">
        <v>7</v>
      </c>
      <c r="T29" s="7">
        <v>75</v>
      </c>
      <c r="U29" s="6">
        <v>3</v>
      </c>
      <c r="V29" s="6">
        <f t="shared" si="1"/>
        <v>9.1110000000000007</v>
      </c>
      <c r="W29" s="6" t="s">
        <v>52</v>
      </c>
      <c r="X29" s="6"/>
      <c r="Y29" s="12">
        <v>841.31455399060997</v>
      </c>
      <c r="Z29" s="6" t="s">
        <v>53</v>
      </c>
      <c r="AA29" s="6">
        <v>19.718309859155013</v>
      </c>
      <c r="AB29" s="6"/>
      <c r="AC29" s="12">
        <v>41.3333333333333</v>
      </c>
      <c r="AD29" s="7" t="s">
        <v>39</v>
      </c>
      <c r="AE29" s="6">
        <v>2</v>
      </c>
      <c r="AF29" s="6"/>
      <c r="AG29" s="12">
        <v>41.7370892018779</v>
      </c>
      <c r="AH29" s="7" t="s">
        <v>40</v>
      </c>
      <c r="AI29" s="6">
        <v>2.3004694835681008</v>
      </c>
      <c r="AJ29" s="6"/>
      <c r="AK29" s="12">
        <v>489.95215311004802</v>
      </c>
      <c r="AL29" s="6" t="s">
        <v>54</v>
      </c>
      <c r="AM29" s="6">
        <v>38.277511961721984</v>
      </c>
      <c r="AN29" s="6"/>
      <c r="AO29" s="12">
        <f t="shared" si="4"/>
        <v>20354.384370740579</v>
      </c>
      <c r="AP29" s="7" t="s">
        <v>215</v>
      </c>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f t="shared" si="5"/>
        <v>1.7251330203442852</v>
      </c>
      <c r="BR29" s="6" t="s">
        <v>248</v>
      </c>
      <c r="BS29" s="6" t="s">
        <v>55</v>
      </c>
      <c r="BT29" s="6"/>
      <c r="BU29" s="6"/>
      <c r="BV29" s="6"/>
      <c r="BW29" s="6"/>
      <c r="BX29" s="6"/>
      <c r="BY29" s="6"/>
      <c r="BZ29" s="6"/>
      <c r="CA29" s="6"/>
      <c r="CB29" s="6"/>
      <c r="CC29" s="6"/>
      <c r="CD29" s="6"/>
      <c r="CE29" s="6"/>
      <c r="CF29" s="6"/>
      <c r="CG29" s="6"/>
      <c r="CH29" s="6"/>
      <c r="CI29" s="6"/>
      <c r="CJ29" s="6"/>
      <c r="CK29" s="6"/>
      <c r="CL29" s="6"/>
      <c r="CM29" s="6"/>
      <c r="CN29" s="6"/>
      <c r="CO29" s="6"/>
      <c r="CP29" s="6"/>
      <c r="CQ29" s="6"/>
      <c r="CR29" s="6"/>
    </row>
    <row r="30" spans="1:96" ht="15.6" x14ac:dyDescent="0.3">
      <c r="A30" s="6">
        <v>1</v>
      </c>
      <c r="B30" s="6"/>
      <c r="C30" s="7">
        <v>52</v>
      </c>
      <c r="D30" s="7" t="s">
        <v>46</v>
      </c>
      <c r="E30" s="13" t="s">
        <v>47</v>
      </c>
      <c r="F30" s="9" t="str">
        <f t="shared" si="3"/>
        <v>2011-133Y192008FACE</v>
      </c>
      <c r="G30" s="7" t="s">
        <v>48</v>
      </c>
      <c r="H30" s="8" t="s">
        <v>244</v>
      </c>
      <c r="I30" s="7" t="s">
        <v>247</v>
      </c>
      <c r="J30" s="7" t="s">
        <v>34</v>
      </c>
      <c r="K30" s="7" t="s">
        <v>58</v>
      </c>
      <c r="L30" s="7">
        <v>2008</v>
      </c>
      <c r="M30" s="7" t="s">
        <v>50</v>
      </c>
      <c r="N30" s="7" t="s">
        <v>51</v>
      </c>
      <c r="O30" s="7" t="s">
        <v>56</v>
      </c>
      <c r="P30" s="6">
        <f>(7*R30+5*0.976*R29)/12*T30*12/1000+R29/1.01*(90-T30)*12/1000</f>
        <v>55.274019801980202</v>
      </c>
      <c r="Q30" s="7">
        <v>17.272200000000002</v>
      </c>
      <c r="R30" s="7">
        <v>57.6</v>
      </c>
      <c r="S30" s="7">
        <v>7</v>
      </c>
      <c r="T30" s="7">
        <v>75</v>
      </c>
      <c r="U30" s="6">
        <v>3</v>
      </c>
      <c r="V30" s="6">
        <f t="shared" si="1"/>
        <v>17.272200000000002</v>
      </c>
      <c r="W30" s="6" t="s">
        <v>52</v>
      </c>
      <c r="X30" s="6"/>
      <c r="Y30" s="12">
        <v>545.53990610328594</v>
      </c>
      <c r="Z30" s="6" t="s">
        <v>53</v>
      </c>
      <c r="AA30" s="6">
        <v>46.00938967136203</v>
      </c>
      <c r="AB30" s="6"/>
      <c r="AC30" s="12">
        <v>29.3333333333333</v>
      </c>
      <c r="AD30" s="7" t="s">
        <v>39</v>
      </c>
      <c r="AE30" s="6">
        <v>2.3333333333333997</v>
      </c>
      <c r="AF30" s="6"/>
      <c r="AG30" s="12">
        <v>37.136150234741798</v>
      </c>
      <c r="AH30" s="7" t="s">
        <v>40</v>
      </c>
      <c r="AI30" s="6">
        <v>0.65727699530520312</v>
      </c>
      <c r="AJ30" s="6"/>
      <c r="AK30" s="12">
        <v>512.91866028708102</v>
      </c>
      <c r="AL30" s="6" t="s">
        <v>54</v>
      </c>
      <c r="AM30" s="6">
        <v>42.105263157895024</v>
      </c>
      <c r="AN30" s="6"/>
      <c r="AO30" s="12">
        <f t="shared" si="4"/>
        <v>18597.951344430225</v>
      </c>
      <c r="AP30" s="7" t="s">
        <v>215</v>
      </c>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f t="shared" si="5"/>
        <v>1.089327073552425</v>
      </c>
      <c r="BR30" s="6" t="s">
        <v>248</v>
      </c>
      <c r="BS30" s="6" t="s">
        <v>55</v>
      </c>
      <c r="BT30" s="6"/>
      <c r="BU30" s="6"/>
      <c r="BV30" s="6"/>
      <c r="BW30" s="6"/>
      <c r="BX30" s="6"/>
      <c r="BY30" s="6"/>
      <c r="BZ30" s="6"/>
      <c r="CA30" s="6"/>
      <c r="CB30" s="6"/>
      <c r="CC30" s="6"/>
      <c r="CD30" s="6"/>
      <c r="CE30" s="6"/>
      <c r="CF30" s="6"/>
      <c r="CG30" s="6"/>
      <c r="CH30" s="6"/>
      <c r="CI30" s="6"/>
      <c r="CJ30" s="6"/>
      <c r="CK30" s="6"/>
      <c r="CL30" s="6"/>
      <c r="CM30" s="6"/>
      <c r="CN30" s="6"/>
      <c r="CO30" s="6"/>
      <c r="CP30" s="6"/>
      <c r="CQ30" s="6"/>
      <c r="CR30" s="6"/>
    </row>
    <row r="31" spans="1:96" ht="15.6" x14ac:dyDescent="0.3">
      <c r="A31" s="6">
        <v>1</v>
      </c>
      <c r="B31" s="6"/>
      <c r="C31" s="7">
        <v>52</v>
      </c>
      <c r="D31" s="7" t="s">
        <v>46</v>
      </c>
      <c r="E31" s="13" t="s">
        <v>47</v>
      </c>
      <c r="F31" s="9" t="str">
        <f t="shared" si="3"/>
        <v>2011-133Y22008FACE</v>
      </c>
      <c r="G31" s="7" t="s">
        <v>48</v>
      </c>
      <c r="H31" s="8" t="s">
        <v>244</v>
      </c>
      <c r="I31" s="7" t="s">
        <v>247</v>
      </c>
      <c r="J31" s="7" t="s">
        <v>34</v>
      </c>
      <c r="K31" s="7" t="s">
        <v>59</v>
      </c>
      <c r="L31" s="7">
        <v>2008</v>
      </c>
      <c r="M31" s="7" t="s">
        <v>50</v>
      </c>
      <c r="N31" s="7" t="s">
        <v>51</v>
      </c>
      <c r="O31" s="7" t="s">
        <v>42</v>
      </c>
      <c r="P31" s="7">
        <f>R31/1.01*1.08</f>
        <v>49.188118811881189</v>
      </c>
      <c r="Q31" s="7">
        <v>8.4710000000000001</v>
      </c>
      <c r="R31" s="7">
        <v>46</v>
      </c>
      <c r="S31" s="7">
        <v>7</v>
      </c>
      <c r="T31" s="7">
        <v>75</v>
      </c>
      <c r="U31" s="6">
        <v>3</v>
      </c>
      <c r="V31" s="6">
        <f t="shared" si="1"/>
        <v>8.4710000000000001</v>
      </c>
      <c r="W31" s="6" t="s">
        <v>52</v>
      </c>
      <c r="X31" s="6"/>
      <c r="Y31" s="12">
        <v>874.178403755869</v>
      </c>
      <c r="Z31" s="6" t="s">
        <v>53</v>
      </c>
      <c r="AA31" s="6">
        <v>46.009389671361035</v>
      </c>
      <c r="AB31" s="6"/>
      <c r="AC31" s="12">
        <v>43.6666666666667</v>
      </c>
      <c r="AD31" s="7" t="s">
        <v>39</v>
      </c>
      <c r="AE31" s="6">
        <v>0.66666666666660035</v>
      </c>
      <c r="AF31" s="6"/>
      <c r="AG31" s="12">
        <v>41.408450704225402</v>
      </c>
      <c r="AH31" s="7" t="s">
        <v>40</v>
      </c>
      <c r="AI31" s="6">
        <v>1.9718309859153962</v>
      </c>
      <c r="AJ31" s="6"/>
      <c r="AK31" s="12">
        <v>486.124401913876</v>
      </c>
      <c r="AL31" s="6" t="s">
        <v>54</v>
      </c>
      <c r="AM31" s="6">
        <v>11.483253588515993</v>
      </c>
      <c r="AN31" s="6"/>
      <c r="AO31" s="12">
        <f t="shared" si="4"/>
        <v>20019.352757767974</v>
      </c>
      <c r="AP31" s="7" t="s">
        <v>215</v>
      </c>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f t="shared" si="5"/>
        <v>1.8081690140845106</v>
      </c>
      <c r="BR31" s="6" t="s">
        <v>248</v>
      </c>
      <c r="BS31" s="6" t="s">
        <v>55</v>
      </c>
      <c r="BT31" s="6"/>
      <c r="BU31" s="6"/>
      <c r="BV31" s="6"/>
      <c r="BW31" s="6"/>
      <c r="BX31" s="6"/>
      <c r="BY31" s="6"/>
      <c r="BZ31" s="6"/>
      <c r="CA31" s="6"/>
      <c r="CB31" s="6"/>
      <c r="CC31" s="6"/>
      <c r="CD31" s="6"/>
      <c r="CE31" s="6"/>
      <c r="CF31" s="6"/>
      <c r="CG31" s="6"/>
      <c r="CH31" s="6"/>
      <c r="CI31" s="6"/>
      <c r="CJ31" s="6"/>
      <c r="CK31" s="6"/>
      <c r="CL31" s="6"/>
      <c r="CM31" s="6"/>
      <c r="CN31" s="6"/>
      <c r="CO31" s="6"/>
      <c r="CP31" s="6"/>
      <c r="CQ31" s="6"/>
      <c r="CR31" s="6"/>
    </row>
    <row r="32" spans="1:96" ht="15.6" x14ac:dyDescent="0.3">
      <c r="A32" s="6">
        <v>1</v>
      </c>
      <c r="B32" s="6"/>
      <c r="C32" s="7">
        <v>52</v>
      </c>
      <c r="D32" s="7" t="s">
        <v>46</v>
      </c>
      <c r="E32" s="13" t="s">
        <v>47</v>
      </c>
      <c r="F32" s="9" t="str">
        <f t="shared" si="3"/>
        <v>2011-133Y22008FACE</v>
      </c>
      <c r="G32" s="7" t="s">
        <v>48</v>
      </c>
      <c r="H32" s="8" t="s">
        <v>244</v>
      </c>
      <c r="I32" s="7" t="s">
        <v>247</v>
      </c>
      <c r="J32" s="7" t="s">
        <v>34</v>
      </c>
      <c r="K32" s="7" t="s">
        <v>59</v>
      </c>
      <c r="L32" s="7">
        <v>2008</v>
      </c>
      <c r="M32" s="7" t="s">
        <v>50</v>
      </c>
      <c r="N32" s="7" t="s">
        <v>51</v>
      </c>
      <c r="O32" s="7" t="s">
        <v>56</v>
      </c>
      <c r="P32" s="6">
        <f>(7*R32+5*0.976*R31)/12*T32*12/1000+R31/1.01*(90-T32)*12/1000</f>
        <v>55.274019801980202</v>
      </c>
      <c r="Q32" s="7">
        <v>16.742999999999999</v>
      </c>
      <c r="R32" s="7">
        <v>57.6</v>
      </c>
      <c r="S32" s="7">
        <v>7</v>
      </c>
      <c r="T32" s="7">
        <v>75</v>
      </c>
      <c r="U32" s="6">
        <v>3</v>
      </c>
      <c r="V32" s="6">
        <f t="shared" si="1"/>
        <v>16.742999999999999</v>
      </c>
      <c r="W32" s="6" t="s">
        <v>52</v>
      </c>
      <c r="X32" s="6"/>
      <c r="Y32" s="12">
        <v>663.84976525821605</v>
      </c>
      <c r="Z32" s="6" t="s">
        <v>53</v>
      </c>
      <c r="AA32" s="6">
        <v>72.300469483567937</v>
      </c>
      <c r="AB32" s="6"/>
      <c r="AC32" s="12">
        <v>33.6666666666667</v>
      </c>
      <c r="AD32" s="7" t="s">
        <v>39</v>
      </c>
      <c r="AE32" s="6">
        <v>5</v>
      </c>
      <c r="AF32" s="6"/>
      <c r="AG32" s="12">
        <v>40.751173708920199</v>
      </c>
      <c r="AH32" s="7" t="s">
        <v>40</v>
      </c>
      <c r="AI32" s="6">
        <v>0.98591549295770164</v>
      </c>
      <c r="AJ32" s="6"/>
      <c r="AK32" s="12">
        <v>486.124401913876</v>
      </c>
      <c r="AL32" s="6" t="s">
        <v>54</v>
      </c>
      <c r="AM32" s="6">
        <v>19.138755980860992</v>
      </c>
      <c r="AN32" s="6"/>
      <c r="AO32" s="12">
        <f t="shared" si="4"/>
        <v>19718.309859154913</v>
      </c>
      <c r="AP32" s="7" t="s">
        <v>215</v>
      </c>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f t="shared" si="5"/>
        <v>1.3719561815336481</v>
      </c>
      <c r="BR32" s="6" t="s">
        <v>248</v>
      </c>
      <c r="BS32" s="6" t="s">
        <v>55</v>
      </c>
      <c r="BT32" s="6"/>
      <c r="BU32" s="6"/>
      <c r="BV32" s="6"/>
      <c r="BW32" s="6"/>
      <c r="BX32" s="6"/>
      <c r="BY32" s="6"/>
      <c r="BZ32" s="6"/>
      <c r="CA32" s="6"/>
      <c r="CB32" s="6"/>
      <c r="CC32" s="6"/>
      <c r="CD32" s="6"/>
      <c r="CE32" s="6"/>
      <c r="CF32" s="6"/>
      <c r="CG32" s="6"/>
      <c r="CH32" s="6"/>
      <c r="CI32" s="6"/>
      <c r="CJ32" s="6"/>
      <c r="CK32" s="6"/>
      <c r="CL32" s="6"/>
      <c r="CM32" s="6"/>
      <c r="CN32" s="6"/>
      <c r="CO32" s="6"/>
      <c r="CP32" s="6"/>
      <c r="CQ32" s="6"/>
      <c r="CR32" s="6"/>
    </row>
    <row r="33" spans="1:96" ht="15.6" x14ac:dyDescent="0.3">
      <c r="A33" s="6">
        <v>1</v>
      </c>
      <c r="B33" s="6"/>
      <c r="C33" s="7">
        <v>52</v>
      </c>
      <c r="D33" s="7" t="s">
        <v>46</v>
      </c>
      <c r="E33" s="13" t="s">
        <v>47</v>
      </c>
      <c r="F33" s="9" t="str">
        <f t="shared" si="3"/>
        <v>2011-133Y152009FACE</v>
      </c>
      <c r="G33" s="7" t="s">
        <v>48</v>
      </c>
      <c r="H33" s="8" t="s">
        <v>244</v>
      </c>
      <c r="I33" s="7" t="s">
        <v>247</v>
      </c>
      <c r="J33" s="7" t="s">
        <v>34</v>
      </c>
      <c r="K33" s="7" t="s">
        <v>49</v>
      </c>
      <c r="L33" s="7">
        <v>2009</v>
      </c>
      <c r="M33" s="7" t="s">
        <v>50</v>
      </c>
      <c r="N33" s="7" t="s">
        <v>51</v>
      </c>
      <c r="O33" s="7" t="s">
        <v>42</v>
      </c>
      <c r="P33" s="7">
        <f>R33/1.01*1.08</f>
        <v>47.691089108910894</v>
      </c>
      <c r="Q33" s="7">
        <v>6.6849999999999996</v>
      </c>
      <c r="R33" s="7">
        <v>44.6</v>
      </c>
      <c r="S33" s="7">
        <v>7</v>
      </c>
      <c r="T33" s="7">
        <v>75</v>
      </c>
      <c r="U33" s="6">
        <v>3</v>
      </c>
      <c r="V33" s="6">
        <f t="shared" si="1"/>
        <v>6.6849999999999996</v>
      </c>
      <c r="W33" s="6" t="s">
        <v>52</v>
      </c>
      <c r="X33" s="6"/>
      <c r="Y33" s="12">
        <v>644.131455399061</v>
      </c>
      <c r="Z33" s="6" t="s">
        <v>53</v>
      </c>
      <c r="AA33" s="6">
        <v>26.291079812206021</v>
      </c>
      <c r="AB33" s="6"/>
      <c r="AC33" s="12">
        <v>43.6666666666667</v>
      </c>
      <c r="AD33" s="7" t="s">
        <v>39</v>
      </c>
      <c r="AE33" s="6">
        <v>0.66666666666660035</v>
      </c>
      <c r="AF33" s="6"/>
      <c r="AG33" s="12">
        <v>37.641509433962298</v>
      </c>
      <c r="AH33" s="7" t="s">
        <v>40</v>
      </c>
      <c r="AI33" s="6">
        <v>0.99056603773580321</v>
      </c>
      <c r="AJ33" s="6"/>
      <c r="AK33" s="12">
        <v>432.53588516746402</v>
      </c>
      <c r="AL33" s="6" t="s">
        <v>54</v>
      </c>
      <c r="AM33" s="6">
        <v>15.311004784688976</v>
      </c>
      <c r="AN33" s="6"/>
      <c r="AO33" s="12">
        <f t="shared" si="4"/>
        <v>14751.102032039553</v>
      </c>
      <c r="AP33" s="7" t="s">
        <v>215</v>
      </c>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f t="shared" si="5"/>
        <v>1.6436792452830216</v>
      </c>
      <c r="BR33" s="6" t="s">
        <v>248</v>
      </c>
      <c r="BS33" s="6" t="s">
        <v>55</v>
      </c>
      <c r="BT33" s="6"/>
      <c r="BU33" s="6"/>
      <c r="BV33" s="6"/>
      <c r="BW33" s="6"/>
      <c r="BX33" s="6"/>
      <c r="BY33" s="6"/>
      <c r="BZ33" s="6"/>
      <c r="CA33" s="6"/>
      <c r="CB33" s="6"/>
      <c r="CC33" s="6"/>
      <c r="CD33" s="6"/>
      <c r="CE33" s="6"/>
      <c r="CF33" s="6"/>
      <c r="CG33" s="6"/>
      <c r="CH33" s="6"/>
      <c r="CI33" s="6"/>
      <c r="CJ33" s="6"/>
      <c r="CK33" s="6"/>
      <c r="CL33" s="6"/>
      <c r="CM33" s="6"/>
      <c r="CN33" s="6"/>
      <c r="CO33" s="6"/>
      <c r="CP33" s="6"/>
      <c r="CQ33" s="6"/>
      <c r="CR33" s="6"/>
    </row>
    <row r="34" spans="1:96" ht="15.6" x14ac:dyDescent="0.3">
      <c r="A34" s="6">
        <v>1</v>
      </c>
      <c r="B34" s="6"/>
      <c r="C34" s="7">
        <v>52</v>
      </c>
      <c r="D34" s="7" t="s">
        <v>46</v>
      </c>
      <c r="E34" s="13" t="s">
        <v>47</v>
      </c>
      <c r="F34" s="9" t="str">
        <f t="shared" si="3"/>
        <v>2011-133Y152009FACE</v>
      </c>
      <c r="G34" s="7" t="s">
        <v>48</v>
      </c>
      <c r="H34" s="8" t="s">
        <v>244</v>
      </c>
      <c r="I34" s="7" t="s">
        <v>247</v>
      </c>
      <c r="J34" s="7" t="s">
        <v>34</v>
      </c>
      <c r="K34" s="7" t="s">
        <v>49</v>
      </c>
      <c r="L34" s="7">
        <v>2009</v>
      </c>
      <c r="M34" s="7" t="s">
        <v>50</v>
      </c>
      <c r="N34" s="7" t="s">
        <v>51</v>
      </c>
      <c r="O34" s="7" t="s">
        <v>56</v>
      </c>
      <c r="P34" s="6">
        <f>(7*R34+5*0.976*R33)/12*T34*12/1000+R33/1.01*(90-T34)*12/1000</f>
        <v>54.354614851485145</v>
      </c>
      <c r="Q34" s="7">
        <v>14.805400000000001</v>
      </c>
      <c r="R34" s="7">
        <v>57.3</v>
      </c>
      <c r="S34" s="7">
        <v>7</v>
      </c>
      <c r="T34" s="7">
        <v>75</v>
      </c>
      <c r="U34" s="6">
        <v>3</v>
      </c>
      <c r="V34" s="6">
        <f t="shared" si="1"/>
        <v>14.805400000000001</v>
      </c>
      <c r="W34" s="6" t="s">
        <v>52</v>
      </c>
      <c r="X34" s="6"/>
      <c r="Y34" s="12">
        <v>558.68544600938992</v>
      </c>
      <c r="Z34" s="6" t="s">
        <v>53</v>
      </c>
      <c r="AA34" s="6">
        <v>19.718309859155013</v>
      </c>
      <c r="AB34" s="6"/>
      <c r="AC34" s="12">
        <v>37.3333333333333</v>
      </c>
      <c r="AD34" s="7" t="s">
        <v>39</v>
      </c>
      <c r="AE34" s="6">
        <v>2.6666666666666998</v>
      </c>
      <c r="AF34" s="6"/>
      <c r="AG34" s="12">
        <v>37.641509433962298</v>
      </c>
      <c r="AH34" s="7" t="s">
        <v>40</v>
      </c>
      <c r="AI34" s="6">
        <v>0.99056603773580321</v>
      </c>
      <c r="AJ34" s="6"/>
      <c r="AK34" s="12">
        <v>428.708133971292</v>
      </c>
      <c r="AL34" s="6" t="s">
        <v>54</v>
      </c>
      <c r="AM34" s="6">
        <v>3.8277511961720165</v>
      </c>
      <c r="AN34" s="6"/>
      <c r="AO34" s="12">
        <f t="shared" si="4"/>
        <v>14964.788732394385</v>
      </c>
      <c r="AP34" s="7" t="s">
        <v>215</v>
      </c>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f t="shared" si="5"/>
        <v>1.4052830188679246</v>
      </c>
      <c r="BR34" s="6" t="s">
        <v>248</v>
      </c>
      <c r="BS34" s="6" t="s">
        <v>55</v>
      </c>
      <c r="BT34" s="6"/>
      <c r="BU34" s="6"/>
      <c r="BV34" s="6"/>
      <c r="BW34" s="6"/>
      <c r="BX34" s="6"/>
      <c r="BY34" s="6"/>
      <c r="BZ34" s="6"/>
      <c r="CA34" s="6"/>
      <c r="CB34" s="6"/>
      <c r="CC34" s="6"/>
      <c r="CD34" s="6"/>
      <c r="CE34" s="6"/>
      <c r="CF34" s="6"/>
      <c r="CG34" s="6"/>
      <c r="CH34" s="6"/>
      <c r="CI34" s="6"/>
      <c r="CJ34" s="6"/>
      <c r="CK34" s="6"/>
      <c r="CL34" s="6"/>
      <c r="CM34" s="6"/>
      <c r="CN34" s="6"/>
      <c r="CO34" s="6"/>
      <c r="CP34" s="6"/>
      <c r="CQ34" s="6"/>
      <c r="CR34" s="6"/>
    </row>
    <row r="35" spans="1:96" ht="15.6" x14ac:dyDescent="0.3">
      <c r="A35" s="6">
        <v>1</v>
      </c>
      <c r="B35" s="6"/>
      <c r="C35" s="7">
        <v>52</v>
      </c>
      <c r="D35" s="7" t="s">
        <v>46</v>
      </c>
      <c r="E35" s="13" t="s">
        <v>47</v>
      </c>
      <c r="F35" s="9" t="str">
        <f t="shared" si="3"/>
        <v>2011-133Y162009FACE</v>
      </c>
      <c r="G35" s="7" t="s">
        <v>48</v>
      </c>
      <c r="H35" s="8" t="s">
        <v>244</v>
      </c>
      <c r="I35" s="7" t="s">
        <v>247</v>
      </c>
      <c r="J35" s="7" t="s">
        <v>34</v>
      </c>
      <c r="K35" s="7" t="s">
        <v>57</v>
      </c>
      <c r="L35" s="7">
        <v>2009</v>
      </c>
      <c r="M35" s="7" t="s">
        <v>50</v>
      </c>
      <c r="N35" s="7" t="s">
        <v>51</v>
      </c>
      <c r="O35" s="7" t="s">
        <v>42</v>
      </c>
      <c r="P35" s="7">
        <f>R35/1.01*1.08</f>
        <v>47.691089108910894</v>
      </c>
      <c r="Q35" s="7">
        <v>6.9059999999999997</v>
      </c>
      <c r="R35" s="7">
        <v>44.6</v>
      </c>
      <c r="S35" s="7">
        <v>7</v>
      </c>
      <c r="T35" s="7">
        <v>75</v>
      </c>
      <c r="U35" s="6">
        <v>3</v>
      </c>
      <c r="V35" s="6">
        <f t="shared" si="1"/>
        <v>6.9059999999999997</v>
      </c>
      <c r="W35" s="6" t="s">
        <v>52</v>
      </c>
      <c r="X35" s="6"/>
      <c r="Y35" s="12">
        <v>637.55868544600901</v>
      </c>
      <c r="Z35" s="6" t="s">
        <v>53</v>
      </c>
      <c r="AA35" s="6">
        <v>26.29107981220702</v>
      </c>
      <c r="AB35" s="6"/>
      <c r="AC35" s="12">
        <v>42.6666666666667</v>
      </c>
      <c r="AD35" s="7" t="s">
        <v>39</v>
      </c>
      <c r="AE35" s="6">
        <v>0.33333333333330017</v>
      </c>
      <c r="AF35" s="6"/>
      <c r="AG35" s="12">
        <v>39.292452830188701</v>
      </c>
      <c r="AH35" s="7" t="s">
        <v>40</v>
      </c>
      <c r="AI35" s="6">
        <v>1.6509433962264026</v>
      </c>
      <c r="AJ35" s="6"/>
      <c r="AK35" s="12">
        <v>394.25837320574198</v>
      </c>
      <c r="AL35" s="6" t="s">
        <v>54</v>
      </c>
      <c r="AM35" s="6">
        <v>19.138755980861049</v>
      </c>
      <c r="AN35" s="6"/>
      <c r="AO35" s="12">
        <f t="shared" si="4"/>
        <v>14942.781690140824</v>
      </c>
      <c r="AP35" s="7" t="s">
        <v>215</v>
      </c>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f t="shared" si="5"/>
        <v>1.676477987421386</v>
      </c>
      <c r="BR35" s="6" t="s">
        <v>248</v>
      </c>
      <c r="BS35" s="6" t="s">
        <v>55</v>
      </c>
      <c r="BT35" s="6"/>
      <c r="BU35" s="6"/>
      <c r="BV35" s="6"/>
      <c r="BW35" s="6"/>
      <c r="BX35" s="6"/>
      <c r="BY35" s="6"/>
      <c r="BZ35" s="6"/>
      <c r="CA35" s="6"/>
      <c r="CB35" s="6"/>
      <c r="CC35" s="6"/>
      <c r="CD35" s="6"/>
      <c r="CE35" s="6"/>
      <c r="CF35" s="6"/>
      <c r="CG35" s="6"/>
      <c r="CH35" s="6"/>
      <c r="CI35" s="6"/>
      <c r="CJ35" s="6"/>
      <c r="CK35" s="6"/>
      <c r="CL35" s="6"/>
      <c r="CM35" s="6"/>
      <c r="CN35" s="6"/>
      <c r="CO35" s="6"/>
      <c r="CP35" s="6"/>
      <c r="CQ35" s="6"/>
      <c r="CR35" s="6"/>
    </row>
    <row r="36" spans="1:96" ht="15.6" x14ac:dyDescent="0.3">
      <c r="A36" s="6">
        <v>1</v>
      </c>
      <c r="B36" s="6"/>
      <c r="C36" s="7">
        <v>52</v>
      </c>
      <c r="D36" s="7" t="s">
        <v>46</v>
      </c>
      <c r="E36" s="13" t="s">
        <v>47</v>
      </c>
      <c r="F36" s="9" t="str">
        <f t="shared" si="3"/>
        <v>2011-133Y162009FACE</v>
      </c>
      <c r="G36" s="7" t="s">
        <v>48</v>
      </c>
      <c r="H36" s="8" t="s">
        <v>244</v>
      </c>
      <c r="I36" s="7" t="s">
        <v>247</v>
      </c>
      <c r="J36" s="7" t="s">
        <v>34</v>
      </c>
      <c r="K36" s="7" t="s">
        <v>57</v>
      </c>
      <c r="L36" s="7">
        <v>2009</v>
      </c>
      <c r="M36" s="7" t="s">
        <v>50</v>
      </c>
      <c r="N36" s="7" t="s">
        <v>51</v>
      </c>
      <c r="O36" s="7" t="s">
        <v>56</v>
      </c>
      <c r="P36" s="6">
        <f>(7*R36+5*0.976*R35)/12*T36*12/1000+R35/1.01*(90-T36)*12/1000</f>
        <v>54.354614851485145</v>
      </c>
      <c r="Q36" s="7">
        <v>15.1297</v>
      </c>
      <c r="R36" s="7">
        <v>57.3</v>
      </c>
      <c r="S36" s="7">
        <v>7</v>
      </c>
      <c r="T36" s="7">
        <v>75</v>
      </c>
      <c r="U36" s="6">
        <v>3</v>
      </c>
      <c r="V36" s="6">
        <f t="shared" si="1"/>
        <v>15.1297</v>
      </c>
      <c r="W36" s="6" t="s">
        <v>52</v>
      </c>
      <c r="X36" s="6"/>
      <c r="Y36" s="12">
        <v>512.67605633802805</v>
      </c>
      <c r="Z36" s="6" t="s">
        <v>53</v>
      </c>
      <c r="AA36" s="6">
        <v>13.145539906103011</v>
      </c>
      <c r="AB36" s="6"/>
      <c r="AC36" s="12">
        <v>36</v>
      </c>
      <c r="AD36" s="7" t="s">
        <v>39</v>
      </c>
      <c r="AE36" s="6">
        <v>2.3333333333333002</v>
      </c>
      <c r="AF36" s="6"/>
      <c r="AG36" s="12">
        <v>39.9528301886793</v>
      </c>
      <c r="AH36" s="7" t="s">
        <v>40</v>
      </c>
      <c r="AI36" s="6">
        <v>1.9811320754715993</v>
      </c>
      <c r="AJ36" s="6"/>
      <c r="AK36" s="12">
        <v>375.11961722488002</v>
      </c>
      <c r="AL36" s="6" t="s">
        <v>54</v>
      </c>
      <c r="AM36" s="6">
        <v>22.966507177033975</v>
      </c>
      <c r="AN36" s="6"/>
      <c r="AO36" s="12">
        <f t="shared" si="4"/>
        <v>14241.001564945223</v>
      </c>
      <c r="AP36" s="7" t="s">
        <v>215</v>
      </c>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f t="shared" si="5"/>
        <v>1.4383018867924549</v>
      </c>
      <c r="BR36" s="6" t="s">
        <v>248</v>
      </c>
      <c r="BS36" s="6" t="s">
        <v>55</v>
      </c>
      <c r="BT36" s="6"/>
      <c r="BU36" s="6"/>
      <c r="BV36" s="6"/>
      <c r="BW36" s="6"/>
      <c r="BX36" s="6"/>
      <c r="BY36" s="6"/>
      <c r="BZ36" s="6"/>
      <c r="CA36" s="6"/>
      <c r="CB36" s="6"/>
      <c r="CC36" s="6"/>
      <c r="CD36" s="6"/>
      <c r="CE36" s="6"/>
      <c r="CF36" s="6"/>
      <c r="CG36" s="6"/>
      <c r="CH36" s="6"/>
      <c r="CI36" s="6"/>
      <c r="CJ36" s="6"/>
      <c r="CK36" s="6"/>
      <c r="CL36" s="6"/>
      <c r="CM36" s="6"/>
      <c r="CN36" s="6"/>
      <c r="CO36" s="6"/>
      <c r="CP36" s="6"/>
      <c r="CQ36" s="6"/>
      <c r="CR36" s="6"/>
    </row>
    <row r="37" spans="1:96" ht="15.6" x14ac:dyDescent="0.3">
      <c r="A37" s="6">
        <v>1</v>
      </c>
      <c r="B37" s="6"/>
      <c r="C37" s="7">
        <v>52</v>
      </c>
      <c r="D37" s="7" t="s">
        <v>46</v>
      </c>
      <c r="E37" s="13" t="s">
        <v>47</v>
      </c>
      <c r="F37" s="9" t="str">
        <f t="shared" si="3"/>
        <v>2011-133Y192009FACE</v>
      </c>
      <c r="G37" s="7" t="s">
        <v>48</v>
      </c>
      <c r="H37" s="8" t="s">
        <v>244</v>
      </c>
      <c r="I37" s="7" t="s">
        <v>247</v>
      </c>
      <c r="J37" s="7" t="s">
        <v>34</v>
      </c>
      <c r="K37" s="7" t="s">
        <v>58</v>
      </c>
      <c r="L37" s="7">
        <v>2009</v>
      </c>
      <c r="M37" s="7" t="s">
        <v>50</v>
      </c>
      <c r="N37" s="7" t="s">
        <v>51</v>
      </c>
      <c r="O37" s="7" t="s">
        <v>42</v>
      </c>
      <c r="P37" s="7">
        <f>R37/1.01*1.08</f>
        <v>47.691089108910894</v>
      </c>
      <c r="Q37" s="7">
        <v>7.8869999999999996</v>
      </c>
      <c r="R37" s="7">
        <v>44.6</v>
      </c>
      <c r="S37" s="7">
        <v>7</v>
      </c>
      <c r="T37" s="7">
        <v>75</v>
      </c>
      <c r="U37" s="6">
        <v>3</v>
      </c>
      <c r="V37" s="6">
        <f t="shared" si="1"/>
        <v>7.8869999999999996</v>
      </c>
      <c r="W37" s="6" t="s">
        <v>52</v>
      </c>
      <c r="X37" s="6"/>
      <c r="Y37" s="12">
        <v>532.3943661971831</v>
      </c>
      <c r="Z37" s="6" t="s">
        <v>53</v>
      </c>
      <c r="AA37" s="6">
        <v>26.29107981220691</v>
      </c>
      <c r="AB37" s="6"/>
      <c r="AC37" s="12">
        <v>44.6666666666667</v>
      </c>
      <c r="AD37" s="7" t="s">
        <v>39</v>
      </c>
      <c r="AE37" s="6">
        <v>0.33333333333330017</v>
      </c>
      <c r="AF37" s="6"/>
      <c r="AG37" s="12">
        <v>38.632075471698101</v>
      </c>
      <c r="AH37" s="7" t="s">
        <v>40</v>
      </c>
      <c r="AI37" s="6">
        <v>0.99056603773589558</v>
      </c>
      <c r="AJ37" s="6"/>
      <c r="AK37" s="12">
        <v>325.35885167464102</v>
      </c>
      <c r="AL37" s="6" t="s">
        <v>54</v>
      </c>
      <c r="AM37" s="6">
        <v>11.483253588516959</v>
      </c>
      <c r="AN37" s="6"/>
      <c r="AO37" s="12">
        <f t="shared" si="4"/>
        <v>11919.276855160806</v>
      </c>
      <c r="AP37" s="7" t="s">
        <v>215</v>
      </c>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f t="shared" si="5"/>
        <v>1.7255660377358497</v>
      </c>
      <c r="BR37" s="6" t="s">
        <v>248</v>
      </c>
      <c r="BS37" s="6" t="s">
        <v>55</v>
      </c>
      <c r="BT37" s="6"/>
      <c r="BU37" s="6"/>
      <c r="BV37" s="6"/>
      <c r="BW37" s="6"/>
      <c r="BX37" s="6"/>
      <c r="BY37" s="6"/>
      <c r="BZ37" s="6"/>
      <c r="CA37" s="6"/>
      <c r="CB37" s="6"/>
      <c r="CC37" s="6"/>
      <c r="CD37" s="6"/>
      <c r="CE37" s="6"/>
      <c r="CF37" s="6"/>
      <c r="CG37" s="6"/>
      <c r="CH37" s="6"/>
      <c r="CI37" s="6"/>
      <c r="CJ37" s="6"/>
      <c r="CK37" s="6"/>
      <c r="CL37" s="6"/>
      <c r="CM37" s="6"/>
      <c r="CN37" s="6"/>
      <c r="CO37" s="6"/>
      <c r="CP37" s="6"/>
      <c r="CQ37" s="6"/>
      <c r="CR37" s="6"/>
    </row>
    <row r="38" spans="1:96" ht="15.6" x14ac:dyDescent="0.3">
      <c r="A38" s="6">
        <v>1</v>
      </c>
      <c r="B38" s="6"/>
      <c r="C38" s="7">
        <v>52</v>
      </c>
      <c r="D38" s="7" t="s">
        <v>46</v>
      </c>
      <c r="E38" s="13" t="s">
        <v>47</v>
      </c>
      <c r="F38" s="9" t="str">
        <f t="shared" si="3"/>
        <v>2011-133Y192009FACE</v>
      </c>
      <c r="G38" s="7" t="s">
        <v>48</v>
      </c>
      <c r="H38" s="8" t="s">
        <v>244</v>
      </c>
      <c r="I38" s="7" t="s">
        <v>247</v>
      </c>
      <c r="J38" s="7" t="s">
        <v>34</v>
      </c>
      <c r="K38" s="7" t="s">
        <v>58</v>
      </c>
      <c r="L38" s="7">
        <v>2009</v>
      </c>
      <c r="M38" s="7" t="s">
        <v>50</v>
      </c>
      <c r="N38" s="7" t="s">
        <v>51</v>
      </c>
      <c r="O38" s="7" t="s">
        <v>56</v>
      </c>
      <c r="P38" s="6">
        <f>(7*R38+5*0.976*R37)/12*T38*12/1000+R37/1.01*(90-T38)*12/1000</f>
        <v>54.354614851485145</v>
      </c>
      <c r="Q38" s="7">
        <v>15.508699999999999</v>
      </c>
      <c r="R38" s="7">
        <v>57.3</v>
      </c>
      <c r="S38" s="7">
        <v>7</v>
      </c>
      <c r="T38" s="7">
        <v>75</v>
      </c>
      <c r="U38" s="6">
        <v>3</v>
      </c>
      <c r="V38" s="6">
        <f t="shared" si="1"/>
        <v>15.508699999999999</v>
      </c>
      <c r="W38" s="6" t="s">
        <v>52</v>
      </c>
      <c r="X38" s="6"/>
      <c r="Y38" s="12">
        <v>479.81220657277004</v>
      </c>
      <c r="Z38" s="6" t="s">
        <v>53</v>
      </c>
      <c r="AA38" s="6">
        <v>19.71830985915496</v>
      </c>
      <c r="AB38" s="6"/>
      <c r="AC38" s="12">
        <v>35</v>
      </c>
      <c r="AD38" s="7" t="s">
        <v>39</v>
      </c>
      <c r="AE38" s="6">
        <v>1.3333333333333002</v>
      </c>
      <c r="AF38" s="6"/>
      <c r="AG38" s="12">
        <v>36.981132075471699</v>
      </c>
      <c r="AH38" s="7" t="s">
        <v>40</v>
      </c>
      <c r="AI38" s="6">
        <v>0.66037735849059942</v>
      </c>
      <c r="AJ38" s="6"/>
      <c r="AK38" s="12">
        <v>405.74162679425802</v>
      </c>
      <c r="AL38" s="6" t="s">
        <v>54</v>
      </c>
      <c r="AM38" s="6">
        <v>15.311004784688976</v>
      </c>
      <c r="AN38" s="6"/>
      <c r="AO38" s="12">
        <f t="shared" si="4"/>
        <v>13708.92018779343</v>
      </c>
      <c r="AP38" s="7" t="s">
        <v>215</v>
      </c>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f t="shared" si="5"/>
        <v>1.2943396226415096</v>
      </c>
      <c r="BR38" s="6" t="s">
        <v>248</v>
      </c>
      <c r="BS38" s="6" t="s">
        <v>55</v>
      </c>
      <c r="BT38" s="6"/>
      <c r="BU38" s="6"/>
      <c r="BV38" s="6"/>
      <c r="BW38" s="6"/>
      <c r="BX38" s="6"/>
      <c r="BY38" s="6"/>
      <c r="BZ38" s="6"/>
      <c r="CA38" s="6"/>
      <c r="CB38" s="6"/>
      <c r="CC38" s="6"/>
      <c r="CD38" s="6"/>
      <c r="CE38" s="6"/>
      <c r="CF38" s="6"/>
      <c r="CG38" s="6"/>
      <c r="CH38" s="6"/>
      <c r="CI38" s="6"/>
      <c r="CJ38" s="6"/>
      <c r="CK38" s="6"/>
      <c r="CL38" s="6"/>
      <c r="CM38" s="6"/>
      <c r="CN38" s="6"/>
      <c r="CO38" s="6"/>
      <c r="CP38" s="6"/>
      <c r="CQ38" s="6"/>
      <c r="CR38" s="6"/>
    </row>
    <row r="39" spans="1:96" ht="15.6" x14ac:dyDescent="0.3">
      <c r="A39" s="6">
        <v>1</v>
      </c>
      <c r="B39" s="6"/>
      <c r="C39" s="7">
        <v>52</v>
      </c>
      <c r="D39" s="7" t="s">
        <v>46</v>
      </c>
      <c r="E39" s="13" t="s">
        <v>47</v>
      </c>
      <c r="F39" s="9" t="str">
        <f t="shared" si="3"/>
        <v>2011-133Y22009FACE</v>
      </c>
      <c r="G39" s="7" t="s">
        <v>48</v>
      </c>
      <c r="H39" s="8" t="s">
        <v>244</v>
      </c>
      <c r="I39" s="7" t="s">
        <v>247</v>
      </c>
      <c r="J39" s="7" t="s">
        <v>34</v>
      </c>
      <c r="K39" s="7" t="s">
        <v>59</v>
      </c>
      <c r="L39" s="7">
        <v>2009</v>
      </c>
      <c r="M39" s="7" t="s">
        <v>50</v>
      </c>
      <c r="N39" s="7" t="s">
        <v>51</v>
      </c>
      <c r="O39" s="7" t="s">
        <v>42</v>
      </c>
      <c r="P39" s="7">
        <f>R39/1.01*1.08</f>
        <v>47.691089108910894</v>
      </c>
      <c r="Q39" s="7">
        <v>6.9059999999999997</v>
      </c>
      <c r="R39" s="7">
        <v>44.6</v>
      </c>
      <c r="S39" s="7">
        <v>7</v>
      </c>
      <c r="T39" s="7">
        <v>75</v>
      </c>
      <c r="U39" s="6">
        <v>3</v>
      </c>
      <c r="V39" s="6">
        <f t="shared" si="1"/>
        <v>6.9059999999999997</v>
      </c>
      <c r="W39" s="6" t="s">
        <v>52</v>
      </c>
      <c r="X39" s="6"/>
      <c r="Y39" s="12">
        <v>729.57746478873196</v>
      </c>
      <c r="Z39" s="6" t="s">
        <v>53</v>
      </c>
      <c r="AA39" s="6">
        <v>13.145539906104009</v>
      </c>
      <c r="AB39" s="6"/>
      <c r="AC39" s="12">
        <v>45.6666666666667</v>
      </c>
      <c r="AD39" s="7" t="s">
        <v>39</v>
      </c>
      <c r="AE39" s="6">
        <v>1</v>
      </c>
      <c r="AF39" s="6"/>
      <c r="AG39" s="12">
        <v>37.971698113207601</v>
      </c>
      <c r="AH39" s="7" t="s">
        <v>40</v>
      </c>
      <c r="AI39" s="6">
        <v>1.6509433962263955</v>
      </c>
      <c r="AJ39" s="6"/>
      <c r="AK39" s="12">
        <v>436.36363636363598</v>
      </c>
      <c r="AL39" s="6" t="s">
        <v>54</v>
      </c>
      <c r="AM39" s="6">
        <v>22.966507177034032</v>
      </c>
      <c r="AN39" s="6"/>
      <c r="AO39" s="12">
        <f t="shared" si="4"/>
        <v>15976.14886398682</v>
      </c>
      <c r="AP39" s="7" t="s">
        <v>215</v>
      </c>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f t="shared" si="5"/>
        <v>1.7340408805031484</v>
      </c>
      <c r="BR39" s="6" t="s">
        <v>248</v>
      </c>
      <c r="BS39" s="6" t="s">
        <v>55</v>
      </c>
      <c r="BT39" s="6"/>
      <c r="BU39" s="6"/>
      <c r="BV39" s="6"/>
      <c r="BW39" s="6"/>
      <c r="BX39" s="6"/>
      <c r="BY39" s="6"/>
      <c r="BZ39" s="6"/>
      <c r="CA39" s="6"/>
      <c r="CB39" s="6"/>
      <c r="CC39" s="6"/>
      <c r="CD39" s="6"/>
      <c r="CE39" s="6"/>
      <c r="CF39" s="6"/>
      <c r="CG39" s="6"/>
      <c r="CH39" s="6"/>
      <c r="CI39" s="6"/>
      <c r="CJ39" s="6"/>
      <c r="CK39" s="6"/>
      <c r="CL39" s="6"/>
      <c r="CM39" s="6"/>
      <c r="CN39" s="6"/>
      <c r="CO39" s="6"/>
      <c r="CP39" s="6"/>
      <c r="CQ39" s="6"/>
      <c r="CR39" s="6"/>
    </row>
    <row r="40" spans="1:96" ht="15.6" x14ac:dyDescent="0.3">
      <c r="A40" s="6">
        <v>1</v>
      </c>
      <c r="B40" s="6"/>
      <c r="C40" s="7">
        <v>52</v>
      </c>
      <c r="D40" s="7" t="s">
        <v>46</v>
      </c>
      <c r="E40" s="13" t="s">
        <v>47</v>
      </c>
      <c r="F40" s="9" t="str">
        <f t="shared" si="3"/>
        <v>2011-133Y22009FACE</v>
      </c>
      <c r="G40" s="7" t="s">
        <v>48</v>
      </c>
      <c r="H40" s="8" t="s">
        <v>244</v>
      </c>
      <c r="I40" s="7" t="s">
        <v>247</v>
      </c>
      <c r="J40" s="7" t="s">
        <v>34</v>
      </c>
      <c r="K40" s="7" t="s">
        <v>59</v>
      </c>
      <c r="L40" s="7">
        <v>2009</v>
      </c>
      <c r="M40" s="7" t="s">
        <v>50</v>
      </c>
      <c r="N40" s="7" t="s">
        <v>51</v>
      </c>
      <c r="O40" s="7" t="s">
        <v>56</v>
      </c>
      <c r="P40" s="6">
        <f>(7*R40+5*0.976*R39)/12*T40*12/1000+R39/1.01*(90-T40)*12/1000</f>
        <v>54.354614851485145</v>
      </c>
      <c r="Q40" s="7">
        <v>15.1297</v>
      </c>
      <c r="R40" s="7">
        <v>57.3</v>
      </c>
      <c r="S40" s="7">
        <v>7</v>
      </c>
      <c r="T40" s="7">
        <v>75</v>
      </c>
      <c r="U40" s="6">
        <v>3</v>
      </c>
      <c r="V40" s="6">
        <f t="shared" si="1"/>
        <v>15.1297</v>
      </c>
      <c r="W40" s="6" t="s">
        <v>52</v>
      </c>
      <c r="X40" s="6"/>
      <c r="Y40" s="12">
        <v>532.3943661971831</v>
      </c>
      <c r="Z40" s="6" t="s">
        <v>53</v>
      </c>
      <c r="AA40" s="6">
        <v>26.29107981220691</v>
      </c>
      <c r="AB40" s="6"/>
      <c r="AC40" s="12">
        <v>35.3333333333333</v>
      </c>
      <c r="AD40" s="7" t="s">
        <v>39</v>
      </c>
      <c r="AE40" s="6">
        <v>3</v>
      </c>
      <c r="AF40" s="6"/>
      <c r="AG40" s="12">
        <v>36.320754716981099</v>
      </c>
      <c r="AH40" s="7" t="s">
        <v>40</v>
      </c>
      <c r="AI40" s="6">
        <v>0.99056603773590268</v>
      </c>
      <c r="AJ40" s="6"/>
      <c r="AK40" s="12">
        <v>451.67464114832501</v>
      </c>
      <c r="AL40" s="6" t="s">
        <v>54</v>
      </c>
      <c r="AM40" s="6">
        <v>7.6555023923449994</v>
      </c>
      <c r="AN40" s="6"/>
      <c r="AO40" s="12">
        <f t="shared" si="4"/>
        <v>15067.765081052366</v>
      </c>
      <c r="AP40" s="7" t="s">
        <v>215</v>
      </c>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f t="shared" si="5"/>
        <v>1.283333333333331</v>
      </c>
      <c r="BR40" s="6" t="s">
        <v>248</v>
      </c>
      <c r="BS40" s="6" t="s">
        <v>55</v>
      </c>
      <c r="BT40" s="6"/>
      <c r="BU40" s="6"/>
      <c r="BV40" s="6"/>
      <c r="BW40" s="6"/>
      <c r="BX40" s="6"/>
      <c r="BY40" s="6"/>
      <c r="BZ40" s="6"/>
      <c r="CA40" s="6"/>
      <c r="CB40" s="6"/>
      <c r="CC40" s="6"/>
      <c r="CD40" s="6"/>
      <c r="CE40" s="6"/>
      <c r="CF40" s="6"/>
      <c r="CG40" s="6"/>
      <c r="CH40" s="6"/>
      <c r="CI40" s="6"/>
      <c r="CJ40" s="6"/>
      <c r="CK40" s="6"/>
      <c r="CL40" s="6"/>
      <c r="CM40" s="6"/>
      <c r="CN40" s="6"/>
      <c r="CO40" s="6"/>
      <c r="CP40" s="6"/>
      <c r="CQ40" s="6"/>
      <c r="CR40" s="6"/>
    </row>
    <row r="41" spans="1:96" ht="15.6" x14ac:dyDescent="0.3">
      <c r="A41" s="6">
        <v>1</v>
      </c>
      <c r="B41" s="6"/>
      <c r="C41" s="6">
        <v>16</v>
      </c>
      <c r="D41" s="9" t="s">
        <v>60</v>
      </c>
      <c r="E41" s="9" t="s">
        <v>61</v>
      </c>
      <c r="F41" s="9" t="str">
        <f t="shared" si="3"/>
        <v>2010-112HUW5102007OTC</v>
      </c>
      <c r="G41" s="6" t="s">
        <v>62</v>
      </c>
      <c r="H41" s="8" t="s">
        <v>244</v>
      </c>
      <c r="I41" s="6" t="s">
        <v>63</v>
      </c>
      <c r="J41" s="6" t="s">
        <v>34</v>
      </c>
      <c r="K41" s="7" t="s">
        <v>64</v>
      </c>
      <c r="L41" s="7">
        <v>2007</v>
      </c>
      <c r="M41" s="6" t="s">
        <v>36</v>
      </c>
      <c r="N41" s="6" t="s">
        <v>51</v>
      </c>
      <c r="O41" s="7" t="s">
        <v>38</v>
      </c>
      <c r="P41" s="7">
        <f t="shared" ref="P41:P54" si="6">R41*1.08</f>
        <v>5.0760000000000005</v>
      </c>
      <c r="Q41" s="14">
        <v>0</v>
      </c>
      <c r="R41" s="6">
        <v>4.7</v>
      </c>
      <c r="S41" s="6">
        <v>12</v>
      </c>
      <c r="T41" s="6">
        <v>90</v>
      </c>
      <c r="U41" s="6">
        <v>3</v>
      </c>
      <c r="V41" s="6">
        <f t="shared" si="1"/>
        <v>0</v>
      </c>
      <c r="W41" s="14" t="s">
        <v>65</v>
      </c>
      <c r="X41" s="14"/>
      <c r="Y41" s="12">
        <v>458.33330000000001</v>
      </c>
      <c r="Z41" s="7" t="s">
        <v>53</v>
      </c>
      <c r="AA41" s="6" t="s">
        <v>66</v>
      </c>
      <c r="AB41" s="6">
        <v>52.521008403361009</v>
      </c>
      <c r="AC41" s="12">
        <f t="shared" ref="AC41:AC48" si="7">Y41/AW41*1000/44</f>
        <v>34.128677479927461</v>
      </c>
      <c r="AD41" s="7" t="s">
        <v>39</v>
      </c>
      <c r="AE41" s="6" t="s">
        <v>55</v>
      </c>
      <c r="AF41" s="6"/>
      <c r="AG41" s="12">
        <f t="shared" ref="AG41:AG48" si="8">AW41/BM41</f>
        <v>25.48936602989119</v>
      </c>
      <c r="AH41" s="6" t="s">
        <v>55</v>
      </c>
      <c r="AI41" s="6"/>
      <c r="AJ41" s="6"/>
      <c r="AK41" s="12"/>
      <c r="AL41" s="6"/>
      <c r="AM41" s="6"/>
      <c r="AN41" s="6"/>
      <c r="AO41" s="12">
        <f t="shared" si="4"/>
        <v>13429.565217391313</v>
      </c>
      <c r="AP41" s="7" t="s">
        <v>215</v>
      </c>
      <c r="AQ41" s="6"/>
      <c r="AR41" s="6"/>
      <c r="AS41" s="6"/>
      <c r="AT41" s="6"/>
      <c r="AU41" s="6"/>
      <c r="AV41" s="6"/>
      <c r="AW41" s="6">
        <v>305.21739130434798</v>
      </c>
      <c r="AX41" s="6" t="s">
        <v>67</v>
      </c>
      <c r="AY41" s="6"/>
      <c r="AZ41" s="6">
        <v>30</v>
      </c>
      <c r="BA41" s="6">
        <v>0.49290762736821397</v>
      </c>
      <c r="BB41" s="7" t="s">
        <v>246</v>
      </c>
      <c r="BC41" s="6"/>
      <c r="BD41" s="6">
        <v>1.6393442622951004E-2</v>
      </c>
      <c r="BE41" s="6"/>
      <c r="BF41" s="6"/>
      <c r="BG41" s="6"/>
      <c r="BH41" s="6"/>
      <c r="BI41" s="6"/>
      <c r="BJ41" s="6"/>
      <c r="BK41" s="6"/>
      <c r="BL41" s="6"/>
      <c r="BM41" s="6">
        <v>11.9743029680072</v>
      </c>
      <c r="BN41" s="7" t="s">
        <v>68</v>
      </c>
      <c r="BO41" s="6"/>
      <c r="BP41" s="6">
        <v>0.27906976744190004</v>
      </c>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row>
    <row r="42" spans="1:96" ht="15.6" x14ac:dyDescent="0.3">
      <c r="A42" s="6">
        <v>1</v>
      </c>
      <c r="B42" s="6"/>
      <c r="C42" s="6">
        <v>16</v>
      </c>
      <c r="D42" s="9" t="s">
        <v>60</v>
      </c>
      <c r="E42" s="9" t="s">
        <v>61</v>
      </c>
      <c r="F42" s="9" t="str">
        <f t="shared" si="3"/>
        <v>2010-112HUW5102007OTC</v>
      </c>
      <c r="G42" s="6" t="s">
        <v>62</v>
      </c>
      <c r="H42" s="8" t="s">
        <v>244</v>
      </c>
      <c r="I42" s="6" t="s">
        <v>63</v>
      </c>
      <c r="J42" s="6" t="s">
        <v>34</v>
      </c>
      <c r="K42" s="7" t="s">
        <v>64</v>
      </c>
      <c r="L42" s="7">
        <v>2007</v>
      </c>
      <c r="M42" s="6" t="s">
        <v>36</v>
      </c>
      <c r="N42" s="6" t="s">
        <v>51</v>
      </c>
      <c r="O42" s="7" t="s">
        <v>42</v>
      </c>
      <c r="P42" s="7">
        <f t="shared" si="6"/>
        <v>48.923999999999999</v>
      </c>
      <c r="Q42" s="14">
        <v>7.9</v>
      </c>
      <c r="R42" s="6">
        <v>45.3</v>
      </c>
      <c r="S42" s="6">
        <v>12</v>
      </c>
      <c r="T42" s="6">
        <v>90</v>
      </c>
      <c r="U42" s="6">
        <v>3</v>
      </c>
      <c r="V42" s="6">
        <f t="shared" si="1"/>
        <v>7.9</v>
      </c>
      <c r="W42" s="14" t="s">
        <v>65</v>
      </c>
      <c r="X42" s="14"/>
      <c r="Y42" s="12">
        <v>367.75360000000001</v>
      </c>
      <c r="Z42" s="7" t="s">
        <v>53</v>
      </c>
      <c r="AA42" s="6" t="s">
        <v>66</v>
      </c>
      <c r="AB42" s="6">
        <v>33.613445378151994</v>
      </c>
      <c r="AC42" s="12">
        <f t="shared" si="7"/>
        <v>30.955690235690234</v>
      </c>
      <c r="AD42" s="7" t="s">
        <v>39</v>
      </c>
      <c r="AE42" s="6" t="s">
        <v>55</v>
      </c>
      <c r="AF42" s="6"/>
      <c r="AG42" s="12">
        <f t="shared" si="8"/>
        <v>27.98695706218702</v>
      </c>
      <c r="AH42" s="6" t="s">
        <v>55</v>
      </c>
      <c r="AI42" s="6"/>
      <c r="AJ42" s="6"/>
      <c r="AK42" s="12"/>
      <c r="AL42" s="6"/>
      <c r="AM42" s="6"/>
      <c r="AN42" s="6"/>
      <c r="AO42" s="12">
        <f t="shared" si="4"/>
        <v>11880</v>
      </c>
      <c r="AP42" s="7" t="s">
        <v>215</v>
      </c>
      <c r="AQ42" s="6"/>
      <c r="AR42" s="6"/>
      <c r="AS42" s="6"/>
      <c r="AT42" s="6"/>
      <c r="AU42" s="6"/>
      <c r="AV42" s="6"/>
      <c r="AW42" s="6">
        <v>270</v>
      </c>
      <c r="AX42" s="6" t="s">
        <v>67</v>
      </c>
      <c r="AY42" s="6"/>
      <c r="AZ42" s="6">
        <v>11.739130434783021</v>
      </c>
      <c r="BA42" s="6">
        <v>0.43373907921861199</v>
      </c>
      <c r="BB42" s="7" t="s">
        <v>246</v>
      </c>
      <c r="BC42" s="6"/>
      <c r="BD42" s="6">
        <v>2.2534848336115021E-2</v>
      </c>
      <c r="BE42" s="6"/>
      <c r="BF42" s="6"/>
      <c r="BG42" s="6"/>
      <c r="BH42" s="6"/>
      <c r="BI42" s="6"/>
      <c r="BJ42" s="6"/>
      <c r="BK42" s="6"/>
      <c r="BL42" s="6"/>
      <c r="BM42" s="6">
        <v>9.6473510642854094</v>
      </c>
      <c r="BN42" s="7" t="s">
        <v>68</v>
      </c>
      <c r="BO42" s="6"/>
      <c r="BP42" s="6">
        <v>1.4263565891472911</v>
      </c>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row>
    <row r="43" spans="1:96" ht="15.6" x14ac:dyDescent="0.3">
      <c r="A43" s="6">
        <v>1</v>
      </c>
      <c r="B43" s="6"/>
      <c r="C43" s="6">
        <v>16</v>
      </c>
      <c r="D43" s="9" t="s">
        <v>60</v>
      </c>
      <c r="E43" s="9" t="s">
        <v>61</v>
      </c>
      <c r="F43" s="9" t="str">
        <f t="shared" si="3"/>
        <v>2010-112HUW5102007OTC</v>
      </c>
      <c r="G43" s="6" t="s">
        <v>62</v>
      </c>
      <c r="H43" s="8" t="s">
        <v>244</v>
      </c>
      <c r="I43" s="6" t="s">
        <v>63</v>
      </c>
      <c r="J43" s="6" t="s">
        <v>34</v>
      </c>
      <c r="K43" s="7" t="s">
        <v>64</v>
      </c>
      <c r="L43" s="7">
        <v>2007</v>
      </c>
      <c r="M43" s="6" t="s">
        <v>36</v>
      </c>
      <c r="N43" s="6" t="s">
        <v>51</v>
      </c>
      <c r="O43" s="7" t="s">
        <v>43</v>
      </c>
      <c r="P43" s="7">
        <f t="shared" si="6"/>
        <v>54.432000000000002</v>
      </c>
      <c r="Q43" s="14">
        <v>10.4</v>
      </c>
      <c r="R43" s="6">
        <v>50.4</v>
      </c>
      <c r="S43" s="6">
        <v>12</v>
      </c>
      <c r="T43" s="6">
        <v>90</v>
      </c>
      <c r="U43" s="6">
        <v>3</v>
      </c>
      <c r="V43" s="6">
        <f t="shared" si="1"/>
        <v>10.4</v>
      </c>
      <c r="W43" s="14" t="s">
        <v>65</v>
      </c>
      <c r="X43" s="14"/>
      <c r="Y43" s="12">
        <v>288.04349999999999</v>
      </c>
      <c r="Z43" s="7" t="s">
        <v>53</v>
      </c>
      <c r="AA43" s="6" t="s">
        <v>66</v>
      </c>
      <c r="AB43" s="6">
        <v>23.109243697478973</v>
      </c>
      <c r="AC43" s="12">
        <f t="shared" si="7"/>
        <v>28.844481452455639</v>
      </c>
      <c r="AD43" s="7" t="s">
        <v>39</v>
      </c>
      <c r="AE43" s="6" t="s">
        <v>55</v>
      </c>
      <c r="AF43" s="6"/>
      <c r="AG43" s="12">
        <f t="shared" si="8"/>
        <v>32.807286118711687</v>
      </c>
      <c r="AH43" s="6" t="s">
        <v>55</v>
      </c>
      <c r="AI43" s="6"/>
      <c r="AJ43" s="6"/>
      <c r="AK43" s="12"/>
      <c r="AL43" s="6"/>
      <c r="AM43" s="6"/>
      <c r="AN43" s="6"/>
      <c r="AO43" s="12">
        <f t="shared" si="4"/>
        <v>9986.0869565217217</v>
      </c>
      <c r="AP43" s="7" t="s">
        <v>215</v>
      </c>
      <c r="AQ43" s="6"/>
      <c r="AR43" s="6"/>
      <c r="AS43" s="6"/>
      <c r="AT43" s="6"/>
      <c r="AU43" s="6"/>
      <c r="AV43" s="6"/>
      <c r="AW43" s="6">
        <v>226.95652173913001</v>
      </c>
      <c r="AX43" s="6" t="s">
        <v>67</v>
      </c>
      <c r="AY43" s="6"/>
      <c r="AZ43" s="6">
        <v>20.869565217391994</v>
      </c>
      <c r="BA43" s="6">
        <v>0.384687592029057</v>
      </c>
      <c r="BB43" s="7" t="s">
        <v>246</v>
      </c>
      <c r="BC43" s="6"/>
      <c r="BD43" s="6">
        <v>2.0491803278687992E-2</v>
      </c>
      <c r="BE43" s="6"/>
      <c r="BF43" s="6"/>
      <c r="BG43" s="6"/>
      <c r="BH43" s="6"/>
      <c r="BI43" s="6"/>
      <c r="BJ43" s="6"/>
      <c r="BK43" s="6"/>
      <c r="BL43" s="6"/>
      <c r="BM43" s="6">
        <v>6.9178694305252204</v>
      </c>
      <c r="BN43" s="7" t="s">
        <v>68</v>
      </c>
      <c r="BO43" s="6"/>
      <c r="BP43" s="6">
        <v>0.43410852713177928</v>
      </c>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row>
    <row r="44" spans="1:96" ht="15.6" x14ac:dyDescent="0.3">
      <c r="A44" s="6">
        <v>1</v>
      </c>
      <c r="B44" s="6"/>
      <c r="C44" s="6">
        <v>16</v>
      </c>
      <c r="D44" s="9" t="s">
        <v>60</v>
      </c>
      <c r="E44" s="9" t="s">
        <v>61</v>
      </c>
      <c r="F44" s="9" t="str">
        <f t="shared" si="3"/>
        <v>2010-112HUW5102007OTC</v>
      </c>
      <c r="G44" s="6" t="s">
        <v>62</v>
      </c>
      <c r="H44" s="8" t="s">
        <v>244</v>
      </c>
      <c r="I44" s="6" t="s">
        <v>63</v>
      </c>
      <c r="J44" s="6" t="s">
        <v>34</v>
      </c>
      <c r="K44" s="7" t="s">
        <v>64</v>
      </c>
      <c r="L44" s="7">
        <v>2007</v>
      </c>
      <c r="M44" s="6" t="s">
        <v>36</v>
      </c>
      <c r="N44" s="6" t="s">
        <v>51</v>
      </c>
      <c r="O44" s="7" t="s">
        <v>44</v>
      </c>
      <c r="P44" s="7">
        <f t="shared" si="6"/>
        <v>60.048000000000009</v>
      </c>
      <c r="Q44" s="14">
        <v>13.1</v>
      </c>
      <c r="R44" s="6">
        <v>55.6</v>
      </c>
      <c r="S44" s="6">
        <v>12</v>
      </c>
      <c r="T44" s="6">
        <v>90</v>
      </c>
      <c r="U44" s="6">
        <v>3</v>
      </c>
      <c r="V44" s="6">
        <f t="shared" si="1"/>
        <v>13.1</v>
      </c>
      <c r="W44" s="14" t="s">
        <v>65</v>
      </c>
      <c r="X44" s="14"/>
      <c r="Y44" s="12">
        <v>260.86959999999999</v>
      </c>
      <c r="Z44" s="7" t="s">
        <v>53</v>
      </c>
      <c r="AA44" s="6" t="s">
        <v>66</v>
      </c>
      <c r="AB44" s="6">
        <v>12.605042016806976</v>
      </c>
      <c r="AC44" s="12">
        <f t="shared" si="7"/>
        <v>27.056280663780626</v>
      </c>
      <c r="AD44" s="7" t="s">
        <v>39</v>
      </c>
      <c r="AE44" s="6" t="s">
        <v>55</v>
      </c>
      <c r="AF44" s="6"/>
      <c r="AG44" s="12">
        <f t="shared" si="8"/>
        <v>40.364343325875709</v>
      </c>
      <c r="AH44" s="6" t="s">
        <v>55</v>
      </c>
      <c r="AI44" s="6"/>
      <c r="AJ44" s="6"/>
      <c r="AK44" s="12"/>
      <c r="AL44" s="6"/>
      <c r="AM44" s="6"/>
      <c r="AN44" s="6"/>
      <c r="AO44" s="12">
        <f t="shared" si="4"/>
        <v>9641.7391304347966</v>
      </c>
      <c r="AP44" s="7" t="s">
        <v>215</v>
      </c>
      <c r="AQ44" s="6"/>
      <c r="AR44" s="6"/>
      <c r="AS44" s="6"/>
      <c r="AT44" s="6"/>
      <c r="AU44" s="6"/>
      <c r="AV44" s="6"/>
      <c r="AW44" s="6">
        <v>219.130434782609</v>
      </c>
      <c r="AX44" s="6" t="s">
        <v>67</v>
      </c>
      <c r="AY44" s="6"/>
      <c r="AZ44" s="6">
        <v>16.956521739130011</v>
      </c>
      <c r="BA44" s="6">
        <v>0.37867502699519001</v>
      </c>
      <c r="BB44" s="7" t="s">
        <v>246</v>
      </c>
      <c r="BC44" s="6"/>
      <c r="BD44" s="6">
        <v>2.2540983606556986E-2</v>
      </c>
      <c r="BE44" s="6"/>
      <c r="BF44" s="6"/>
      <c r="BG44" s="6"/>
      <c r="BH44" s="6"/>
      <c r="BI44" s="6"/>
      <c r="BJ44" s="6"/>
      <c r="BK44" s="6"/>
      <c r="BL44" s="6"/>
      <c r="BM44" s="6">
        <v>5.4288120833154903</v>
      </c>
      <c r="BN44" s="7" t="s">
        <v>68</v>
      </c>
      <c r="BO44" s="6"/>
      <c r="BP44" s="6">
        <v>0.18604651162789931</v>
      </c>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row>
    <row r="45" spans="1:96" ht="15.6" x14ac:dyDescent="0.3">
      <c r="A45" s="6">
        <v>1</v>
      </c>
      <c r="B45" s="6"/>
      <c r="C45" s="6">
        <v>16</v>
      </c>
      <c r="D45" s="9" t="s">
        <v>60</v>
      </c>
      <c r="E45" s="9" t="s">
        <v>61</v>
      </c>
      <c r="F45" s="9" t="str">
        <f t="shared" si="3"/>
        <v>2010-112Sonalika2007OTC</v>
      </c>
      <c r="G45" s="6" t="s">
        <v>62</v>
      </c>
      <c r="H45" s="8" t="s">
        <v>244</v>
      </c>
      <c r="I45" s="6" t="s">
        <v>63</v>
      </c>
      <c r="J45" s="6" t="s">
        <v>34</v>
      </c>
      <c r="K45" s="7" t="s">
        <v>69</v>
      </c>
      <c r="L45" s="7">
        <v>2007</v>
      </c>
      <c r="M45" s="6" t="s">
        <v>36</v>
      </c>
      <c r="N45" s="6" t="s">
        <v>51</v>
      </c>
      <c r="O45" s="7" t="s">
        <v>38</v>
      </c>
      <c r="P45" s="7">
        <f t="shared" si="6"/>
        <v>5.0760000000000005</v>
      </c>
      <c r="Q45" s="14">
        <v>0</v>
      </c>
      <c r="R45" s="6">
        <v>4.7</v>
      </c>
      <c r="S45" s="6">
        <v>12</v>
      </c>
      <c r="T45" s="6">
        <v>90</v>
      </c>
      <c r="U45" s="6">
        <v>3</v>
      </c>
      <c r="V45" s="6">
        <f t="shared" si="1"/>
        <v>0</v>
      </c>
      <c r="W45" s="14" t="s">
        <v>65</v>
      </c>
      <c r="X45" s="14"/>
      <c r="Y45" s="12">
        <v>501.47058823529397</v>
      </c>
      <c r="Z45" s="7" t="s">
        <v>53</v>
      </c>
      <c r="AA45" s="6" t="s">
        <v>66</v>
      </c>
      <c r="AB45" s="6">
        <v>46.218487394958004</v>
      </c>
      <c r="AC45" s="12">
        <f t="shared" si="7"/>
        <v>37.66269438810005</v>
      </c>
      <c r="AD45" s="7" t="s">
        <v>39</v>
      </c>
      <c r="AE45" s="6" t="s">
        <v>55</v>
      </c>
      <c r="AF45" s="6"/>
      <c r="AG45" s="12">
        <f t="shared" si="8"/>
        <v>26.983358586507215</v>
      </c>
      <c r="AH45" s="6" t="s">
        <v>55</v>
      </c>
      <c r="AI45" s="6"/>
      <c r="AJ45" s="6"/>
      <c r="AK45" s="12"/>
      <c r="AL45" s="6"/>
      <c r="AM45" s="6"/>
      <c r="AN45" s="6"/>
      <c r="AO45" s="12">
        <f t="shared" si="4"/>
        <v>13314.782608695656</v>
      </c>
      <c r="AP45" s="7" t="s">
        <v>215</v>
      </c>
      <c r="AQ45" s="6"/>
      <c r="AR45" s="6"/>
      <c r="AS45" s="6"/>
      <c r="AT45" s="6"/>
      <c r="AU45" s="6"/>
      <c r="AV45" s="6"/>
      <c r="AW45" s="6">
        <v>302.60869565217399</v>
      </c>
      <c r="AX45" s="6" t="s">
        <v>67</v>
      </c>
      <c r="AY45" s="6"/>
      <c r="AZ45" s="6">
        <v>20.869565217391028</v>
      </c>
      <c r="BA45" s="6">
        <v>0.48197457543928501</v>
      </c>
      <c r="BB45" s="7" t="s">
        <v>246</v>
      </c>
      <c r="BC45" s="6"/>
      <c r="BD45" s="6">
        <v>1.2295081967212962E-2</v>
      </c>
      <c r="BE45" s="6"/>
      <c r="BF45" s="6"/>
      <c r="BG45" s="6"/>
      <c r="BH45" s="6"/>
      <c r="BI45" s="6"/>
      <c r="BJ45" s="6"/>
      <c r="BK45" s="6"/>
      <c r="BL45" s="6"/>
      <c r="BM45" s="6">
        <v>11.214641597784301</v>
      </c>
      <c r="BN45" s="7" t="s">
        <v>68</v>
      </c>
      <c r="BO45" s="6"/>
      <c r="BP45" s="6">
        <v>0.68217054263569921</v>
      </c>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row>
    <row r="46" spans="1:96" ht="15.6" x14ac:dyDescent="0.3">
      <c r="A46" s="6">
        <v>1</v>
      </c>
      <c r="B46" s="6"/>
      <c r="C46" s="6">
        <v>16</v>
      </c>
      <c r="D46" s="9" t="s">
        <v>60</v>
      </c>
      <c r="E46" s="9" t="s">
        <v>61</v>
      </c>
      <c r="F46" s="9" t="str">
        <f t="shared" si="3"/>
        <v>2010-112Sonalika2007OTC</v>
      </c>
      <c r="G46" s="6" t="s">
        <v>62</v>
      </c>
      <c r="H46" s="8" t="s">
        <v>244</v>
      </c>
      <c r="I46" s="6" t="s">
        <v>63</v>
      </c>
      <c r="J46" s="6" t="s">
        <v>34</v>
      </c>
      <c r="K46" s="7" t="s">
        <v>69</v>
      </c>
      <c r="L46" s="7">
        <v>2007</v>
      </c>
      <c r="M46" s="6" t="s">
        <v>36</v>
      </c>
      <c r="N46" s="6" t="s">
        <v>51</v>
      </c>
      <c r="O46" s="7" t="s">
        <v>42</v>
      </c>
      <c r="P46" s="7">
        <f t="shared" si="6"/>
        <v>48.923999999999999</v>
      </c>
      <c r="Q46" s="14">
        <v>7.9</v>
      </c>
      <c r="R46" s="6">
        <v>45.3</v>
      </c>
      <c r="S46" s="6">
        <v>12</v>
      </c>
      <c r="T46" s="6">
        <v>90</v>
      </c>
      <c r="U46" s="6">
        <v>3</v>
      </c>
      <c r="V46" s="6">
        <f t="shared" si="1"/>
        <v>7.9</v>
      </c>
      <c r="W46" s="14" t="s">
        <v>65</v>
      </c>
      <c r="X46" s="14"/>
      <c r="Y46" s="12">
        <v>445.39215686274503</v>
      </c>
      <c r="Z46" s="7" t="s">
        <v>53</v>
      </c>
      <c r="AA46" s="6" t="s">
        <v>66</v>
      </c>
      <c r="AB46" s="6">
        <v>37.81512605042002</v>
      </c>
      <c r="AC46" s="12">
        <f t="shared" si="7"/>
        <v>40.845373237014051</v>
      </c>
      <c r="AD46" s="7" t="s">
        <v>39</v>
      </c>
      <c r="AE46" s="6" t="s">
        <v>55</v>
      </c>
      <c r="AF46" s="6"/>
      <c r="AG46" s="12">
        <f t="shared" si="8"/>
        <v>25.402819437028814</v>
      </c>
      <c r="AH46" s="6" t="s">
        <v>55</v>
      </c>
      <c r="AI46" s="6"/>
      <c r="AJ46" s="6"/>
      <c r="AK46" s="12"/>
      <c r="AL46" s="6"/>
      <c r="AM46" s="6"/>
      <c r="AN46" s="6"/>
      <c r="AO46" s="12">
        <f t="shared" si="4"/>
        <v>10904.347826086969</v>
      </c>
      <c r="AP46" s="7" t="s">
        <v>215</v>
      </c>
      <c r="AQ46" s="6"/>
      <c r="AR46" s="6"/>
      <c r="AS46" s="6"/>
      <c r="AT46" s="6"/>
      <c r="AU46" s="6"/>
      <c r="AV46" s="6"/>
      <c r="AW46" s="6">
        <v>247.826086956522</v>
      </c>
      <c r="AX46" s="6" t="s">
        <v>67</v>
      </c>
      <c r="AY46" s="6"/>
      <c r="AZ46" s="6">
        <v>26.086956521738983</v>
      </c>
      <c r="BA46" s="6">
        <v>0.46584494944537203</v>
      </c>
      <c r="BB46" s="7" t="s">
        <v>246</v>
      </c>
      <c r="BC46" s="6"/>
      <c r="BD46" s="6">
        <v>4.0983606557369878E-3</v>
      </c>
      <c r="BE46" s="6"/>
      <c r="BF46" s="6"/>
      <c r="BG46" s="6"/>
      <c r="BH46" s="6"/>
      <c r="BI46" s="6"/>
      <c r="BJ46" s="6"/>
      <c r="BK46" s="6"/>
      <c r="BL46" s="6"/>
      <c r="BM46" s="6">
        <v>9.7558496438105795</v>
      </c>
      <c r="BN46" s="7" t="s">
        <v>68</v>
      </c>
      <c r="BO46" s="6"/>
      <c r="BP46" s="6">
        <v>0.34102816680232095</v>
      </c>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row>
    <row r="47" spans="1:96" ht="15.6" x14ac:dyDescent="0.3">
      <c r="A47" s="6">
        <v>1</v>
      </c>
      <c r="B47" s="6"/>
      <c r="C47" s="6">
        <v>16</v>
      </c>
      <c r="D47" s="9" t="s">
        <v>60</v>
      </c>
      <c r="E47" s="9" t="s">
        <v>61</v>
      </c>
      <c r="F47" s="9" t="str">
        <f t="shared" si="3"/>
        <v>2010-112Sonalika2007OTC</v>
      </c>
      <c r="G47" s="6" t="s">
        <v>62</v>
      </c>
      <c r="H47" s="8" t="s">
        <v>244</v>
      </c>
      <c r="I47" s="6" t="s">
        <v>63</v>
      </c>
      <c r="J47" s="6" t="s">
        <v>34</v>
      </c>
      <c r="K47" s="7" t="s">
        <v>69</v>
      </c>
      <c r="L47" s="7">
        <v>2007</v>
      </c>
      <c r="M47" s="6" t="s">
        <v>36</v>
      </c>
      <c r="N47" s="6" t="s">
        <v>51</v>
      </c>
      <c r="O47" s="7" t="s">
        <v>43</v>
      </c>
      <c r="P47" s="7">
        <f t="shared" si="6"/>
        <v>54.432000000000002</v>
      </c>
      <c r="Q47" s="14">
        <v>10.4</v>
      </c>
      <c r="R47" s="6">
        <v>50.4</v>
      </c>
      <c r="S47" s="6">
        <v>12</v>
      </c>
      <c r="T47" s="6">
        <v>90</v>
      </c>
      <c r="U47" s="6">
        <v>3</v>
      </c>
      <c r="V47" s="6">
        <f t="shared" si="1"/>
        <v>10.4</v>
      </c>
      <c r="W47" s="14" t="s">
        <v>65</v>
      </c>
      <c r="X47" s="14"/>
      <c r="Y47" s="12">
        <v>378.52941176470603</v>
      </c>
      <c r="Z47" s="7" t="s">
        <v>53</v>
      </c>
      <c r="AA47" s="6" t="s">
        <v>66</v>
      </c>
      <c r="AB47" s="6">
        <v>35.714285714284983</v>
      </c>
      <c r="AC47" s="12">
        <f t="shared" si="7"/>
        <v>38.797577854671232</v>
      </c>
      <c r="AD47" s="7" t="s">
        <v>39</v>
      </c>
      <c r="AE47" s="6" t="s">
        <v>55</v>
      </c>
      <c r="AF47" s="6"/>
      <c r="AG47" s="12">
        <f t="shared" si="8"/>
        <v>29.599050350575602</v>
      </c>
      <c r="AH47" s="6" t="s">
        <v>55</v>
      </c>
      <c r="AI47" s="6"/>
      <c r="AJ47" s="6"/>
      <c r="AK47" s="12"/>
      <c r="AL47" s="6"/>
      <c r="AM47" s="6"/>
      <c r="AN47" s="6"/>
      <c r="AO47" s="12">
        <f t="shared" si="4"/>
        <v>9756.5217391304504</v>
      </c>
      <c r="AP47" s="7" t="s">
        <v>215</v>
      </c>
      <c r="AQ47" s="6"/>
      <c r="AR47" s="6"/>
      <c r="AS47" s="6"/>
      <c r="AT47" s="6"/>
      <c r="AU47" s="6"/>
      <c r="AV47" s="6"/>
      <c r="AW47" s="6">
        <v>221.73913043478299</v>
      </c>
      <c r="AX47" s="6" t="s">
        <v>67</v>
      </c>
      <c r="AY47" s="6"/>
      <c r="AZ47" s="6">
        <v>24.782608695652016</v>
      </c>
      <c r="BA47" s="6">
        <v>0.44138976146068498</v>
      </c>
      <c r="BB47" s="7" t="s">
        <v>246</v>
      </c>
      <c r="BC47" s="6"/>
      <c r="BD47" s="6">
        <v>1.4338127024638991E-2</v>
      </c>
      <c r="BE47" s="6"/>
      <c r="BF47" s="6"/>
      <c r="BG47" s="6"/>
      <c r="BH47" s="6"/>
      <c r="BI47" s="6"/>
      <c r="BJ47" s="6"/>
      <c r="BK47" s="6"/>
      <c r="BL47" s="6"/>
      <c r="BM47" s="6">
        <v>7.4914271846046203</v>
      </c>
      <c r="BN47" s="7" t="s">
        <v>68</v>
      </c>
      <c r="BO47" s="6"/>
      <c r="BP47" s="6">
        <v>0.31019172841092946</v>
      </c>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row>
    <row r="48" spans="1:96" ht="15.6" x14ac:dyDescent="0.3">
      <c r="A48" s="6">
        <v>1</v>
      </c>
      <c r="B48" s="6"/>
      <c r="C48" s="6">
        <v>16</v>
      </c>
      <c r="D48" s="9" t="s">
        <v>60</v>
      </c>
      <c r="E48" s="9" t="s">
        <v>61</v>
      </c>
      <c r="F48" s="9" t="str">
        <f t="shared" si="3"/>
        <v>2010-112Sonalika2007OTC</v>
      </c>
      <c r="G48" s="6" t="s">
        <v>62</v>
      </c>
      <c r="H48" s="8" t="s">
        <v>244</v>
      </c>
      <c r="I48" s="6" t="s">
        <v>63</v>
      </c>
      <c r="J48" s="6" t="s">
        <v>34</v>
      </c>
      <c r="K48" s="7" t="s">
        <v>69</v>
      </c>
      <c r="L48" s="7">
        <v>2007</v>
      </c>
      <c r="M48" s="6" t="s">
        <v>36</v>
      </c>
      <c r="N48" s="6" t="s">
        <v>51</v>
      </c>
      <c r="O48" s="7" t="s">
        <v>44</v>
      </c>
      <c r="P48" s="7">
        <f t="shared" si="6"/>
        <v>60.048000000000009</v>
      </c>
      <c r="Q48" s="14">
        <v>13.1</v>
      </c>
      <c r="R48" s="6">
        <v>55.6</v>
      </c>
      <c r="S48" s="6">
        <v>12</v>
      </c>
      <c r="T48" s="6">
        <v>90</v>
      </c>
      <c r="U48" s="6">
        <v>3</v>
      </c>
      <c r="V48" s="6">
        <f t="shared" si="1"/>
        <v>13.1</v>
      </c>
      <c r="W48" s="14" t="s">
        <v>65</v>
      </c>
      <c r="X48" s="14"/>
      <c r="Y48" s="12">
        <v>308.43137254902001</v>
      </c>
      <c r="Z48" s="7" t="s">
        <v>53</v>
      </c>
      <c r="AA48" s="6" t="s">
        <v>66</v>
      </c>
      <c r="AB48" s="6">
        <v>37.81512605042002</v>
      </c>
      <c r="AC48" s="12">
        <f t="shared" si="7"/>
        <v>34.672148429264269</v>
      </c>
      <c r="AD48" s="7" t="s">
        <v>39</v>
      </c>
      <c r="AE48" s="6" t="s">
        <v>55</v>
      </c>
      <c r="AF48" s="6"/>
      <c r="AG48" s="12">
        <f t="shared" si="8"/>
        <v>32.834253218017082</v>
      </c>
      <c r="AH48" s="6" t="s">
        <v>55</v>
      </c>
      <c r="AI48" s="6"/>
      <c r="AJ48" s="6"/>
      <c r="AK48" s="12"/>
      <c r="AL48" s="6"/>
      <c r="AM48" s="6"/>
      <c r="AN48" s="6"/>
      <c r="AO48" s="12">
        <f t="shared" si="4"/>
        <v>8895.6521739130312</v>
      </c>
      <c r="AP48" s="7" t="s">
        <v>215</v>
      </c>
      <c r="AQ48" s="6"/>
      <c r="AR48" s="6"/>
      <c r="AS48" s="6"/>
      <c r="AT48" s="6"/>
      <c r="AU48" s="6"/>
      <c r="AV48" s="6"/>
      <c r="AW48" s="6">
        <v>202.173913043478</v>
      </c>
      <c r="AX48" s="6" t="s">
        <v>67</v>
      </c>
      <c r="AY48" s="6"/>
      <c r="AZ48" s="6">
        <v>24.782608695652016</v>
      </c>
      <c r="BA48" s="6">
        <v>0.40667640129576899</v>
      </c>
      <c r="BB48" s="7" t="s">
        <v>246</v>
      </c>
      <c r="BC48" s="6"/>
      <c r="BD48" s="6">
        <v>2.0491803278688991E-2</v>
      </c>
      <c r="BE48" s="6"/>
      <c r="BF48" s="6"/>
      <c r="BG48" s="6"/>
      <c r="BH48" s="6"/>
      <c r="BI48" s="6"/>
      <c r="BJ48" s="6"/>
      <c r="BK48" s="6"/>
      <c r="BL48" s="6"/>
      <c r="BM48" s="6">
        <v>6.1574085970848103</v>
      </c>
      <c r="BN48" s="7" t="s">
        <v>68</v>
      </c>
      <c r="BO48" s="6"/>
      <c r="BP48" s="6">
        <v>0.18610361614345017</v>
      </c>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row>
    <row r="49" spans="1:96" ht="15.6" x14ac:dyDescent="0.3">
      <c r="A49" s="6">
        <v>1</v>
      </c>
      <c r="B49" s="6"/>
      <c r="C49" s="6">
        <v>16</v>
      </c>
      <c r="D49" s="9" t="s">
        <v>60</v>
      </c>
      <c r="E49" s="9" t="s">
        <v>61</v>
      </c>
      <c r="F49" s="9" t="str">
        <f t="shared" si="3"/>
        <v>2010-112Sonalika2008OTC</v>
      </c>
      <c r="G49" s="6" t="s">
        <v>62</v>
      </c>
      <c r="H49" s="8" t="s">
        <v>244</v>
      </c>
      <c r="I49" s="6" t="s">
        <v>63</v>
      </c>
      <c r="J49" s="6" t="s">
        <v>34</v>
      </c>
      <c r="K49" s="7" t="s">
        <v>69</v>
      </c>
      <c r="L49" s="7">
        <v>2008</v>
      </c>
      <c r="M49" s="6" t="s">
        <v>36</v>
      </c>
      <c r="N49" s="6" t="s">
        <v>51</v>
      </c>
      <c r="O49" s="7" t="s">
        <v>38</v>
      </c>
      <c r="P49" s="7">
        <f t="shared" si="6"/>
        <v>5.2920000000000007</v>
      </c>
      <c r="Q49" s="14">
        <v>0</v>
      </c>
      <c r="R49" s="6">
        <v>4.9000000000000004</v>
      </c>
      <c r="S49" s="6">
        <v>12</v>
      </c>
      <c r="T49" s="6">
        <v>90</v>
      </c>
      <c r="U49" s="6">
        <v>3</v>
      </c>
      <c r="V49" s="6">
        <f t="shared" si="1"/>
        <v>0</v>
      </c>
      <c r="W49" s="14" t="s">
        <v>65</v>
      </c>
      <c r="X49" s="14"/>
      <c r="Y49" s="12">
        <v>525.2324000000001</v>
      </c>
      <c r="Z49" s="7" t="s">
        <v>53</v>
      </c>
      <c r="AA49" s="6"/>
      <c r="AB49" s="6"/>
      <c r="AC49" s="12"/>
      <c r="AD49" s="7"/>
      <c r="AE49" s="6"/>
      <c r="AF49" s="6"/>
      <c r="AG49" s="12"/>
      <c r="AH49" s="6"/>
      <c r="AI49" s="6"/>
      <c r="AJ49" s="6"/>
      <c r="AK49" s="12"/>
      <c r="AL49" s="6"/>
      <c r="AM49" s="6"/>
      <c r="AN49" s="6"/>
      <c r="AO49" s="12"/>
      <c r="AP49" s="6"/>
      <c r="AQ49" s="6"/>
      <c r="AR49" s="6"/>
      <c r="AS49" s="6"/>
      <c r="AT49" s="6"/>
      <c r="AU49" s="6"/>
      <c r="AV49" s="6"/>
      <c r="AW49" s="6"/>
      <c r="AX49" s="6"/>
      <c r="AY49" s="6"/>
      <c r="AZ49" s="6"/>
      <c r="BA49" s="6"/>
      <c r="BB49" s="7"/>
      <c r="BC49" s="6"/>
      <c r="BD49" s="6"/>
      <c r="BE49" s="6"/>
      <c r="BF49" s="6"/>
      <c r="BG49" s="6"/>
      <c r="BH49" s="6"/>
      <c r="BI49" s="6"/>
      <c r="BJ49" s="6"/>
      <c r="BK49" s="6"/>
      <c r="BL49" s="6"/>
      <c r="BM49" s="6"/>
      <c r="BN49" s="7"/>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row>
    <row r="50" spans="1:96" ht="15.6" x14ac:dyDescent="0.3">
      <c r="A50" s="6">
        <v>1</v>
      </c>
      <c r="B50" s="6"/>
      <c r="C50" s="6">
        <v>16</v>
      </c>
      <c r="D50" s="9" t="s">
        <v>60</v>
      </c>
      <c r="E50" s="9" t="s">
        <v>61</v>
      </c>
      <c r="F50" s="9" t="str">
        <f t="shared" si="3"/>
        <v>2010-112Sonalika2008OTC</v>
      </c>
      <c r="G50" s="6" t="s">
        <v>62</v>
      </c>
      <c r="H50" s="8" t="s">
        <v>244</v>
      </c>
      <c r="I50" s="6" t="s">
        <v>63</v>
      </c>
      <c r="J50" s="6" t="s">
        <v>34</v>
      </c>
      <c r="K50" s="7" t="s">
        <v>69</v>
      </c>
      <c r="L50" s="7">
        <v>2008</v>
      </c>
      <c r="M50" s="6" t="s">
        <v>36</v>
      </c>
      <c r="N50" s="6" t="s">
        <v>51</v>
      </c>
      <c r="O50" s="7" t="s">
        <v>42</v>
      </c>
      <c r="P50" s="7">
        <f t="shared" si="6"/>
        <v>51.084000000000003</v>
      </c>
      <c r="Q50" s="14">
        <v>8.6999999999999993</v>
      </c>
      <c r="R50" s="6">
        <v>47.3</v>
      </c>
      <c r="S50" s="6">
        <v>12</v>
      </c>
      <c r="T50" s="6">
        <v>90</v>
      </c>
      <c r="U50" s="6">
        <v>3</v>
      </c>
      <c r="V50" s="6">
        <f t="shared" si="1"/>
        <v>8.6999999999999993</v>
      </c>
      <c r="W50" s="14" t="s">
        <v>65</v>
      </c>
      <c r="X50" s="14"/>
      <c r="Y50" s="12">
        <v>443.11642222222213</v>
      </c>
      <c r="Z50" s="7" t="s">
        <v>53</v>
      </c>
      <c r="AA50" s="6"/>
      <c r="AB50" s="6"/>
      <c r="AC50" s="12"/>
      <c r="AD50" s="7"/>
      <c r="AE50" s="6"/>
      <c r="AF50" s="6"/>
      <c r="AG50" s="12"/>
      <c r="AH50" s="6"/>
      <c r="AI50" s="6"/>
      <c r="AJ50" s="6"/>
      <c r="AK50" s="12"/>
      <c r="AL50" s="6"/>
      <c r="AM50" s="6"/>
      <c r="AN50" s="6"/>
      <c r="AO50" s="12"/>
      <c r="AP50" s="6"/>
      <c r="AQ50" s="6"/>
      <c r="AR50" s="6"/>
      <c r="AS50" s="6"/>
      <c r="AT50" s="6"/>
      <c r="AU50" s="6"/>
      <c r="AV50" s="6"/>
      <c r="AW50" s="6"/>
      <c r="AX50" s="6"/>
      <c r="AY50" s="6"/>
      <c r="AZ50" s="6"/>
      <c r="BA50" s="6"/>
      <c r="BB50" s="7"/>
      <c r="BC50" s="6"/>
      <c r="BD50" s="6"/>
      <c r="BE50" s="6"/>
      <c r="BF50" s="6"/>
      <c r="BG50" s="6"/>
      <c r="BH50" s="6"/>
      <c r="BI50" s="6"/>
      <c r="BJ50" s="6"/>
      <c r="BK50" s="6"/>
      <c r="BL50" s="6"/>
      <c r="BM50" s="6"/>
      <c r="BN50" s="7"/>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row>
    <row r="51" spans="1:96" ht="15.6" x14ac:dyDescent="0.3">
      <c r="A51" s="6">
        <v>1</v>
      </c>
      <c r="B51" s="6"/>
      <c r="C51" s="6">
        <v>16</v>
      </c>
      <c r="D51" s="9" t="s">
        <v>60</v>
      </c>
      <c r="E51" s="9" t="s">
        <v>61</v>
      </c>
      <c r="F51" s="9" t="str">
        <f t="shared" si="3"/>
        <v>2010-112Sonalika2008OTC</v>
      </c>
      <c r="G51" s="6" t="s">
        <v>62</v>
      </c>
      <c r="H51" s="8" t="s">
        <v>244</v>
      </c>
      <c r="I51" s="6" t="s">
        <v>63</v>
      </c>
      <c r="J51" s="6" t="s">
        <v>34</v>
      </c>
      <c r="K51" s="7" t="s">
        <v>69</v>
      </c>
      <c r="L51" s="7">
        <v>2008</v>
      </c>
      <c r="M51" s="6" t="s">
        <v>36</v>
      </c>
      <c r="N51" s="6" t="s">
        <v>51</v>
      </c>
      <c r="O51" s="7" t="s">
        <v>44</v>
      </c>
      <c r="P51" s="7">
        <f t="shared" si="6"/>
        <v>61.452000000000005</v>
      </c>
      <c r="Q51" s="14">
        <v>14.4</v>
      </c>
      <c r="R51" s="6">
        <v>56.9</v>
      </c>
      <c r="S51" s="6">
        <v>12</v>
      </c>
      <c r="T51" s="6">
        <v>90</v>
      </c>
      <c r="U51" s="6">
        <v>3</v>
      </c>
      <c r="V51" s="6">
        <f t="shared" si="1"/>
        <v>14.4</v>
      </c>
      <c r="W51" s="14" t="s">
        <v>65</v>
      </c>
      <c r="X51" s="14"/>
      <c r="Y51" s="12">
        <v>286.85258888888887</v>
      </c>
      <c r="Z51" s="7" t="s">
        <v>53</v>
      </c>
      <c r="AA51" s="6"/>
      <c r="AB51" s="6"/>
      <c r="AC51" s="12"/>
      <c r="AD51" s="7"/>
      <c r="AE51" s="6"/>
      <c r="AF51" s="6"/>
      <c r="AG51" s="12"/>
      <c r="AH51" s="6"/>
      <c r="AI51" s="6"/>
      <c r="AJ51" s="6"/>
      <c r="AK51" s="12"/>
      <c r="AL51" s="6"/>
      <c r="AM51" s="6"/>
      <c r="AN51" s="6"/>
      <c r="AO51" s="12"/>
      <c r="AP51" s="6"/>
      <c r="AQ51" s="6"/>
      <c r="AR51" s="6"/>
      <c r="AS51" s="6"/>
      <c r="AT51" s="6"/>
      <c r="AU51" s="6"/>
      <c r="AV51" s="6"/>
      <c r="AW51" s="6"/>
      <c r="AX51" s="6"/>
      <c r="AY51" s="6"/>
      <c r="AZ51" s="6"/>
      <c r="BA51" s="6"/>
      <c r="BB51" s="7"/>
      <c r="BC51" s="6"/>
      <c r="BD51" s="6"/>
      <c r="BE51" s="6"/>
      <c r="BF51" s="6"/>
      <c r="BG51" s="6"/>
      <c r="BH51" s="6"/>
      <c r="BI51" s="6"/>
      <c r="BJ51" s="6"/>
      <c r="BK51" s="6"/>
      <c r="BL51" s="6"/>
      <c r="BM51" s="6"/>
      <c r="BN51" s="7"/>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row>
    <row r="52" spans="1:96" ht="15.6" x14ac:dyDescent="0.3">
      <c r="A52" s="6">
        <v>1</v>
      </c>
      <c r="B52" s="6"/>
      <c r="C52" s="6">
        <v>16</v>
      </c>
      <c r="D52" s="9" t="s">
        <v>60</v>
      </c>
      <c r="E52" s="9" t="s">
        <v>61</v>
      </c>
      <c r="F52" s="9" t="str">
        <f t="shared" si="3"/>
        <v>2010-112HUW5102008OTC</v>
      </c>
      <c r="G52" s="6" t="s">
        <v>62</v>
      </c>
      <c r="H52" s="8" t="s">
        <v>244</v>
      </c>
      <c r="I52" s="6" t="s">
        <v>63</v>
      </c>
      <c r="J52" s="6" t="s">
        <v>34</v>
      </c>
      <c r="K52" s="7" t="s">
        <v>64</v>
      </c>
      <c r="L52" s="7">
        <v>2008</v>
      </c>
      <c r="M52" s="6" t="s">
        <v>36</v>
      </c>
      <c r="N52" s="6" t="s">
        <v>51</v>
      </c>
      <c r="O52" s="7" t="s">
        <v>38</v>
      </c>
      <c r="P52" s="7">
        <f t="shared" si="6"/>
        <v>5.2920000000000007</v>
      </c>
      <c r="Q52" s="14">
        <v>0</v>
      </c>
      <c r="R52" s="6">
        <v>4.9000000000000004</v>
      </c>
      <c r="S52" s="6">
        <v>12</v>
      </c>
      <c r="T52" s="6">
        <v>90</v>
      </c>
      <c r="U52" s="6">
        <v>3</v>
      </c>
      <c r="V52" s="6">
        <f t="shared" si="1"/>
        <v>0</v>
      </c>
      <c r="W52" s="14" t="s">
        <v>65</v>
      </c>
      <c r="X52" s="14"/>
      <c r="Y52" s="12">
        <v>366.52236666666664</v>
      </c>
      <c r="Z52" s="7" t="s">
        <v>53</v>
      </c>
      <c r="AA52" s="6"/>
      <c r="AB52" s="6"/>
      <c r="AC52" s="12"/>
      <c r="AD52" s="7"/>
      <c r="AE52" s="6"/>
      <c r="AF52" s="6"/>
      <c r="AG52" s="12"/>
      <c r="AH52" s="6"/>
      <c r="AI52" s="6"/>
      <c r="AJ52" s="6"/>
      <c r="AK52" s="12"/>
      <c r="AL52" s="6"/>
      <c r="AM52" s="6"/>
      <c r="AN52" s="6"/>
      <c r="AO52" s="12"/>
      <c r="AP52" s="6"/>
      <c r="AQ52" s="6"/>
      <c r="AR52" s="6"/>
      <c r="AS52" s="6"/>
      <c r="AT52" s="6"/>
      <c r="AU52" s="6"/>
      <c r="AV52" s="6"/>
      <c r="AW52" s="6"/>
      <c r="AX52" s="6"/>
      <c r="AY52" s="6"/>
      <c r="AZ52" s="6"/>
      <c r="BA52" s="6"/>
      <c r="BB52" s="7"/>
      <c r="BC52" s="6"/>
      <c r="BD52" s="6"/>
      <c r="BE52" s="6"/>
      <c r="BF52" s="6"/>
      <c r="BG52" s="6"/>
      <c r="BH52" s="6"/>
      <c r="BI52" s="6"/>
      <c r="BJ52" s="6"/>
      <c r="BK52" s="6"/>
      <c r="BL52" s="6"/>
      <c r="BM52" s="6"/>
      <c r="BN52" s="7"/>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row>
    <row r="53" spans="1:96" ht="15.6" x14ac:dyDescent="0.3">
      <c r="A53" s="6">
        <v>1</v>
      </c>
      <c r="B53" s="6"/>
      <c r="C53" s="6">
        <v>16</v>
      </c>
      <c r="D53" s="9" t="s">
        <v>60</v>
      </c>
      <c r="E53" s="9" t="s">
        <v>61</v>
      </c>
      <c r="F53" s="9" t="str">
        <f t="shared" si="3"/>
        <v>2010-112HUW5102008OTC</v>
      </c>
      <c r="G53" s="6" t="s">
        <v>62</v>
      </c>
      <c r="H53" s="8" t="s">
        <v>244</v>
      </c>
      <c r="I53" s="6" t="s">
        <v>63</v>
      </c>
      <c r="J53" s="6" t="s">
        <v>34</v>
      </c>
      <c r="K53" s="7" t="s">
        <v>64</v>
      </c>
      <c r="L53" s="7">
        <v>2008</v>
      </c>
      <c r="M53" s="6" t="s">
        <v>36</v>
      </c>
      <c r="N53" s="6" t="s">
        <v>51</v>
      </c>
      <c r="O53" s="7" t="s">
        <v>42</v>
      </c>
      <c r="P53" s="7">
        <f t="shared" si="6"/>
        <v>51.084000000000003</v>
      </c>
      <c r="Q53" s="14">
        <v>8.6999999999999993</v>
      </c>
      <c r="R53" s="6">
        <v>47.3</v>
      </c>
      <c r="S53" s="6">
        <v>12</v>
      </c>
      <c r="T53" s="6">
        <v>90</v>
      </c>
      <c r="U53" s="6">
        <v>3</v>
      </c>
      <c r="V53" s="6">
        <f t="shared" si="1"/>
        <v>8.6999999999999993</v>
      </c>
      <c r="W53" s="14" t="s">
        <v>65</v>
      </c>
      <c r="X53" s="14"/>
      <c r="Y53" s="12">
        <v>396.37937272727271</v>
      </c>
      <c r="Z53" s="7" t="s">
        <v>53</v>
      </c>
      <c r="AA53" s="6"/>
      <c r="AB53" s="6"/>
      <c r="AC53" s="12"/>
      <c r="AD53" s="7"/>
      <c r="AE53" s="6"/>
      <c r="AF53" s="6"/>
      <c r="AG53" s="12"/>
      <c r="AH53" s="6"/>
      <c r="AI53" s="6"/>
      <c r="AJ53" s="6"/>
      <c r="AK53" s="12"/>
      <c r="AL53" s="6"/>
      <c r="AM53" s="6"/>
      <c r="AN53" s="6"/>
      <c r="AO53" s="12"/>
      <c r="AP53" s="6"/>
      <c r="AQ53" s="6"/>
      <c r="AR53" s="6"/>
      <c r="AS53" s="6"/>
      <c r="AT53" s="6"/>
      <c r="AU53" s="6"/>
      <c r="AV53" s="6"/>
      <c r="AW53" s="6"/>
      <c r="AX53" s="6"/>
      <c r="AY53" s="6"/>
      <c r="AZ53" s="6"/>
      <c r="BA53" s="6"/>
      <c r="BB53" s="7"/>
      <c r="BC53" s="6"/>
      <c r="BD53" s="6"/>
      <c r="BE53" s="6"/>
      <c r="BF53" s="6"/>
      <c r="BG53" s="6"/>
      <c r="BH53" s="6"/>
      <c r="BI53" s="6"/>
      <c r="BJ53" s="6"/>
      <c r="BK53" s="6"/>
      <c r="BL53" s="6"/>
      <c r="BM53" s="6"/>
      <c r="BN53" s="7"/>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row>
    <row r="54" spans="1:96" ht="15.6" x14ac:dyDescent="0.3">
      <c r="A54" s="6">
        <v>1</v>
      </c>
      <c r="B54" s="6"/>
      <c r="C54" s="6">
        <v>16</v>
      </c>
      <c r="D54" s="9" t="s">
        <v>60</v>
      </c>
      <c r="E54" s="9" t="s">
        <v>61</v>
      </c>
      <c r="F54" s="9" t="str">
        <f t="shared" si="3"/>
        <v>2010-112HUW5102008OTC</v>
      </c>
      <c r="G54" s="6" t="s">
        <v>62</v>
      </c>
      <c r="H54" s="8" t="s">
        <v>244</v>
      </c>
      <c r="I54" s="6" t="s">
        <v>63</v>
      </c>
      <c r="J54" s="6" t="s">
        <v>34</v>
      </c>
      <c r="K54" s="7" t="s">
        <v>64</v>
      </c>
      <c r="L54" s="7">
        <v>2008</v>
      </c>
      <c r="M54" s="6" t="s">
        <v>36</v>
      </c>
      <c r="N54" s="6" t="s">
        <v>51</v>
      </c>
      <c r="O54" s="7" t="s">
        <v>44</v>
      </c>
      <c r="P54" s="7">
        <f t="shared" si="6"/>
        <v>61.452000000000005</v>
      </c>
      <c r="Q54" s="14">
        <v>14.4</v>
      </c>
      <c r="R54" s="6">
        <v>56.9</v>
      </c>
      <c r="S54" s="6">
        <v>12</v>
      </c>
      <c r="T54" s="6">
        <v>90</v>
      </c>
      <c r="U54" s="6">
        <v>3</v>
      </c>
      <c r="V54" s="6">
        <f t="shared" si="1"/>
        <v>14.4</v>
      </c>
      <c r="W54" s="14" t="s">
        <v>65</v>
      </c>
      <c r="X54" s="14"/>
      <c r="Y54" s="12">
        <v>258.00866250000001</v>
      </c>
      <c r="Z54" s="7" t="s">
        <v>53</v>
      </c>
      <c r="AA54" s="6"/>
      <c r="AB54" s="6"/>
      <c r="AC54" s="12"/>
      <c r="AD54" s="7"/>
      <c r="AE54" s="6"/>
      <c r="AF54" s="6"/>
      <c r="AG54" s="12"/>
      <c r="AH54" s="6"/>
      <c r="AI54" s="6"/>
      <c r="AJ54" s="6"/>
      <c r="AK54" s="12"/>
      <c r="AL54" s="6"/>
      <c r="AM54" s="6"/>
      <c r="AN54" s="6"/>
      <c r="AO54" s="12"/>
      <c r="AP54" s="6"/>
      <c r="AQ54" s="6"/>
      <c r="AR54" s="6"/>
      <c r="AS54" s="6"/>
      <c r="AT54" s="6"/>
      <c r="AU54" s="6"/>
      <c r="AV54" s="6"/>
      <c r="AW54" s="6"/>
      <c r="AX54" s="6"/>
      <c r="AY54" s="6"/>
      <c r="AZ54" s="6"/>
      <c r="BA54" s="6"/>
      <c r="BB54" s="7"/>
      <c r="BC54" s="6"/>
      <c r="BD54" s="6"/>
      <c r="BE54" s="6"/>
      <c r="BF54" s="6"/>
      <c r="BG54" s="6"/>
      <c r="BH54" s="6"/>
      <c r="BI54" s="6"/>
      <c r="BJ54" s="6"/>
      <c r="BK54" s="6"/>
      <c r="BL54" s="6"/>
      <c r="BM54" s="6"/>
      <c r="BN54" s="7"/>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row>
    <row r="55" spans="1:96" ht="15.6" x14ac:dyDescent="0.3">
      <c r="A55" s="6">
        <v>1</v>
      </c>
      <c r="B55" s="6"/>
      <c r="C55" s="6">
        <v>17</v>
      </c>
      <c r="D55" s="6" t="s">
        <v>70</v>
      </c>
      <c r="E55" s="13" t="s">
        <v>71</v>
      </c>
      <c r="F55" s="9" t="str">
        <f t="shared" si="3"/>
        <v>2018-139HD29672016OTC</v>
      </c>
      <c r="G55" s="6" t="s">
        <v>72</v>
      </c>
      <c r="H55" s="8" t="s">
        <v>244</v>
      </c>
      <c r="I55" s="6" t="s">
        <v>63</v>
      </c>
      <c r="J55" s="6" t="s">
        <v>34</v>
      </c>
      <c r="K55" s="6" t="s">
        <v>73</v>
      </c>
      <c r="L55" s="6">
        <v>2016</v>
      </c>
      <c r="M55" s="6" t="s">
        <v>36</v>
      </c>
      <c r="N55" s="6" t="s">
        <v>51</v>
      </c>
      <c r="O55" s="6" t="s">
        <v>74</v>
      </c>
      <c r="P55" s="7">
        <f>R55/1.01*1.08</f>
        <v>56.031683168316832</v>
      </c>
      <c r="Q55" s="6">
        <v>11.9</v>
      </c>
      <c r="R55" s="6">
        <v>52.4</v>
      </c>
      <c r="S55" s="6">
        <v>8</v>
      </c>
      <c r="T55" s="7">
        <v>119</v>
      </c>
      <c r="U55" s="6">
        <v>3</v>
      </c>
      <c r="V55" s="16">
        <f t="shared" si="1"/>
        <v>9</v>
      </c>
      <c r="W55" s="10">
        <v>42682</v>
      </c>
      <c r="X55" s="10">
        <v>42814</v>
      </c>
      <c r="Y55" s="12">
        <v>8.3333333333333304</v>
      </c>
      <c r="Z55" s="7" t="s">
        <v>245</v>
      </c>
      <c r="AA55" s="6"/>
      <c r="AB55" s="6">
        <v>0.55555555555555891</v>
      </c>
      <c r="AC55" s="12">
        <v>47.142857142857103</v>
      </c>
      <c r="AD55" s="7" t="s">
        <v>39</v>
      </c>
      <c r="AE55" s="6"/>
      <c r="AF55" s="6">
        <v>1.7857142857142989</v>
      </c>
      <c r="AG55" s="12"/>
      <c r="AH55" s="6"/>
      <c r="AI55" s="6"/>
      <c r="AJ55" s="6"/>
      <c r="AK55" s="12"/>
      <c r="AL55" s="6"/>
      <c r="AM55" s="6"/>
      <c r="AN55" s="6"/>
      <c r="AO55" s="12">
        <f t="shared" si="4"/>
        <v>176.76767676767685</v>
      </c>
      <c r="AP55" s="6" t="s">
        <v>67</v>
      </c>
      <c r="AQ55" s="6"/>
      <c r="AR55" s="6"/>
      <c r="AS55" s="6"/>
      <c r="AT55" s="6"/>
      <c r="AU55" s="6"/>
      <c r="AV55" s="6"/>
      <c r="AW55" s="6">
        <v>200.32051282051299</v>
      </c>
      <c r="AX55" s="6" t="s">
        <v>67</v>
      </c>
      <c r="AY55" s="6"/>
      <c r="AZ55" s="6">
        <v>11.217948717949014</v>
      </c>
      <c r="BA55" s="6">
        <v>0.38690476190476197</v>
      </c>
      <c r="BB55" s="7" t="s">
        <v>246</v>
      </c>
      <c r="BC55" s="6"/>
      <c r="BD55" s="6">
        <v>1.4880952380952051E-2</v>
      </c>
      <c r="BE55" s="6"/>
      <c r="BF55" s="6"/>
      <c r="BG55" s="6"/>
      <c r="BH55" s="6"/>
      <c r="BI55" s="6"/>
      <c r="BJ55" s="6"/>
      <c r="BK55" s="6"/>
      <c r="BL55" s="6"/>
      <c r="BM55" s="6"/>
      <c r="BN55" s="7"/>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row>
    <row r="56" spans="1:96" ht="15.6" x14ac:dyDescent="0.3">
      <c r="A56" s="6">
        <v>1</v>
      </c>
      <c r="B56" s="6"/>
      <c r="C56" s="6">
        <v>17</v>
      </c>
      <c r="D56" s="6" t="s">
        <v>70</v>
      </c>
      <c r="E56" s="13" t="s">
        <v>71</v>
      </c>
      <c r="F56" s="9" t="str">
        <f t="shared" si="3"/>
        <v>2018-139HD29672016OTC</v>
      </c>
      <c r="G56" s="6" t="s">
        <v>72</v>
      </c>
      <c r="H56" s="8" t="s">
        <v>244</v>
      </c>
      <c r="I56" s="6" t="s">
        <v>63</v>
      </c>
      <c r="J56" s="6" t="s">
        <v>34</v>
      </c>
      <c r="K56" s="6" t="s">
        <v>73</v>
      </c>
      <c r="L56" s="6">
        <v>2016</v>
      </c>
      <c r="M56" s="6" t="s">
        <v>36</v>
      </c>
      <c r="N56" s="6" t="s">
        <v>51</v>
      </c>
      <c r="O56" s="6" t="s">
        <v>75</v>
      </c>
      <c r="P56" s="7">
        <f>(8 * R56+ 4 * 0.97*R55) / 12*1.08</f>
        <v>61.210079999999998</v>
      </c>
      <c r="Q56" s="6">
        <v>18.3</v>
      </c>
      <c r="R56" s="6">
        <v>59.6</v>
      </c>
      <c r="S56" s="6">
        <v>8</v>
      </c>
      <c r="T56" s="7">
        <v>115</v>
      </c>
      <c r="U56" s="6">
        <v>3</v>
      </c>
      <c r="V56" s="16">
        <f t="shared" si="1"/>
        <v>14.321739130434784</v>
      </c>
      <c r="W56" s="10">
        <v>42682</v>
      </c>
      <c r="X56" s="10">
        <v>42795</v>
      </c>
      <c r="Y56" s="12">
        <v>8.2716049382716008</v>
      </c>
      <c r="Z56" s="7" t="s">
        <v>245</v>
      </c>
      <c r="AA56" s="6"/>
      <c r="AB56" s="6">
        <v>0.37037037037036846</v>
      </c>
      <c r="AC56" s="12">
        <v>48.928571428571402</v>
      </c>
      <c r="AD56" s="7" t="s">
        <v>39</v>
      </c>
      <c r="AE56" s="6"/>
      <c r="AF56" s="6">
        <v>1.4285714285714946</v>
      </c>
      <c r="AG56" s="12"/>
      <c r="AH56" s="6"/>
      <c r="AI56" s="6"/>
      <c r="AJ56" s="6"/>
      <c r="AK56" s="12"/>
      <c r="AL56" s="6"/>
      <c r="AM56" s="6"/>
      <c r="AN56" s="6"/>
      <c r="AO56" s="12">
        <f t="shared" si="4"/>
        <v>169.05469946832477</v>
      </c>
      <c r="AP56" s="6" t="s">
        <v>67</v>
      </c>
      <c r="AQ56" s="6"/>
      <c r="AR56" s="6"/>
      <c r="AS56" s="6"/>
      <c r="AT56" s="6"/>
      <c r="AU56" s="6"/>
      <c r="AV56" s="6"/>
      <c r="AW56" s="6">
        <v>171.47435897435901</v>
      </c>
      <c r="AX56" s="6" t="s">
        <v>67</v>
      </c>
      <c r="AY56" s="6"/>
      <c r="AZ56" s="6">
        <v>12.820512820512988</v>
      </c>
      <c r="BA56" s="6">
        <v>0.40178571428571402</v>
      </c>
      <c r="BB56" s="7" t="s">
        <v>246</v>
      </c>
      <c r="BC56" s="6"/>
      <c r="BD56" s="6">
        <v>8.928571428571952E-3</v>
      </c>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row>
    <row r="57" spans="1:96" ht="15.6" x14ac:dyDescent="0.3">
      <c r="A57" s="6">
        <v>1</v>
      </c>
      <c r="B57" s="6"/>
      <c r="C57" s="6">
        <v>17</v>
      </c>
      <c r="D57" s="6" t="s">
        <v>70</v>
      </c>
      <c r="E57" s="13" t="s">
        <v>71</v>
      </c>
      <c r="F57" s="9" t="str">
        <f t="shared" si="3"/>
        <v>2018-139Sonalika2016OTC</v>
      </c>
      <c r="G57" s="6" t="s">
        <v>72</v>
      </c>
      <c r="H57" s="8" t="s">
        <v>244</v>
      </c>
      <c r="I57" s="6" t="s">
        <v>63</v>
      </c>
      <c r="J57" s="6" t="s">
        <v>34</v>
      </c>
      <c r="K57" s="6" t="s">
        <v>69</v>
      </c>
      <c r="L57" s="6">
        <v>2016</v>
      </c>
      <c r="M57" s="6" t="s">
        <v>36</v>
      </c>
      <c r="N57" s="6" t="s">
        <v>51</v>
      </c>
      <c r="O57" s="6" t="s">
        <v>74</v>
      </c>
      <c r="P57" s="7">
        <f>R57/1.01*1.08</f>
        <v>56.031683168316832</v>
      </c>
      <c r="Q57" s="6">
        <v>11.9</v>
      </c>
      <c r="R57" s="6">
        <v>52.4</v>
      </c>
      <c r="S57" s="6">
        <v>8</v>
      </c>
      <c r="T57" s="7">
        <v>119</v>
      </c>
      <c r="U57" s="6">
        <v>3</v>
      </c>
      <c r="V57" s="16">
        <f t="shared" si="1"/>
        <v>9</v>
      </c>
      <c r="W57" s="10">
        <v>42682</v>
      </c>
      <c r="X57" s="10">
        <v>42814</v>
      </c>
      <c r="Y57" s="12">
        <v>6.7901234567901199</v>
      </c>
      <c r="Z57" s="7" t="s">
        <v>245</v>
      </c>
      <c r="AA57" s="6"/>
      <c r="AB57" s="6">
        <v>0.4320987654320998</v>
      </c>
      <c r="AC57" s="12">
        <v>52.5</v>
      </c>
      <c r="AD57" s="7" t="s">
        <v>39</v>
      </c>
      <c r="AE57" s="6"/>
      <c r="AF57" s="6">
        <v>1.7857142857142989</v>
      </c>
      <c r="AG57" s="12"/>
      <c r="AH57" s="6"/>
      <c r="AI57" s="6"/>
      <c r="AJ57" s="6"/>
      <c r="AK57" s="12"/>
      <c r="AL57" s="6"/>
      <c r="AM57" s="6"/>
      <c r="AN57" s="6"/>
      <c r="AO57" s="12">
        <f t="shared" si="4"/>
        <v>129.33568489124036</v>
      </c>
      <c r="AP57" s="6" t="s">
        <v>67</v>
      </c>
      <c r="AQ57" s="6"/>
      <c r="AR57" s="6"/>
      <c r="AS57" s="6"/>
      <c r="AT57" s="6"/>
      <c r="AU57" s="6"/>
      <c r="AV57" s="6"/>
      <c r="AW57" s="6">
        <v>133.01282051282101</v>
      </c>
      <c r="AX57" s="6" t="s">
        <v>67</v>
      </c>
      <c r="AY57" s="6"/>
      <c r="AZ57" s="6">
        <v>11.217948717947991</v>
      </c>
      <c r="BA57" s="6">
        <v>0.33928571428571402</v>
      </c>
      <c r="BB57" s="7" t="s">
        <v>246</v>
      </c>
      <c r="BC57" s="6"/>
      <c r="BD57" s="6">
        <v>1.4880952380952994E-2</v>
      </c>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row>
    <row r="58" spans="1:96" ht="15.6" x14ac:dyDescent="0.3">
      <c r="A58" s="6">
        <v>1</v>
      </c>
      <c r="B58" s="6"/>
      <c r="C58" s="6">
        <v>17</v>
      </c>
      <c r="D58" s="6" t="s">
        <v>70</v>
      </c>
      <c r="E58" s="13" t="s">
        <v>71</v>
      </c>
      <c r="F58" s="9" t="str">
        <f t="shared" si="3"/>
        <v>2018-139Sonalika2016OTC</v>
      </c>
      <c r="G58" s="6" t="s">
        <v>72</v>
      </c>
      <c r="H58" s="8" t="s">
        <v>244</v>
      </c>
      <c r="I58" s="6" t="s">
        <v>63</v>
      </c>
      <c r="J58" s="6" t="s">
        <v>34</v>
      </c>
      <c r="K58" s="6" t="s">
        <v>69</v>
      </c>
      <c r="L58" s="6">
        <v>2016</v>
      </c>
      <c r="M58" s="6" t="s">
        <v>36</v>
      </c>
      <c r="N58" s="6" t="s">
        <v>51</v>
      </c>
      <c r="O58" s="6" t="s">
        <v>75</v>
      </c>
      <c r="P58" s="7">
        <f>(8 * R58+ 4 * 0.97*R57) / 12*1.08</f>
        <v>61.210079999999998</v>
      </c>
      <c r="Q58" s="6">
        <v>18.3</v>
      </c>
      <c r="R58" s="6">
        <v>59.6</v>
      </c>
      <c r="S58" s="6">
        <v>8</v>
      </c>
      <c r="T58" s="7">
        <v>115</v>
      </c>
      <c r="U58" s="6">
        <v>3</v>
      </c>
      <c r="V58" s="16">
        <f t="shared" si="1"/>
        <v>14.321739130434784</v>
      </c>
      <c r="W58" s="10">
        <v>42682</v>
      </c>
      <c r="X58" s="10">
        <v>42795</v>
      </c>
      <c r="Y58" s="12">
        <v>5.4938271604938302</v>
      </c>
      <c r="Z58" s="7" t="s">
        <v>245</v>
      </c>
      <c r="AA58" s="6"/>
      <c r="AB58" s="6">
        <v>0.30864197530863979</v>
      </c>
      <c r="AC58" s="12">
        <v>50.714285714285701</v>
      </c>
      <c r="AD58" s="7" t="s">
        <v>39</v>
      </c>
      <c r="AE58" s="6"/>
      <c r="AF58" s="6">
        <v>1.0714285714285978</v>
      </c>
      <c r="AG58" s="12"/>
      <c r="AH58" s="6"/>
      <c r="AI58" s="6"/>
      <c r="AJ58" s="6"/>
      <c r="AK58" s="12"/>
      <c r="AL58" s="6"/>
      <c r="AM58" s="6"/>
      <c r="AN58" s="6"/>
      <c r="AO58" s="12">
        <f t="shared" si="4"/>
        <v>108.32898626325866</v>
      </c>
      <c r="AP58" s="6" t="s">
        <v>67</v>
      </c>
      <c r="AQ58" s="6"/>
      <c r="AR58" s="6"/>
      <c r="AS58" s="6"/>
      <c r="AT58" s="6"/>
      <c r="AU58" s="6"/>
      <c r="AV58" s="6"/>
      <c r="AW58" s="6">
        <v>113.782051282051</v>
      </c>
      <c r="AX58" s="6" t="s">
        <v>67</v>
      </c>
      <c r="AY58" s="6"/>
      <c r="AZ58" s="6">
        <v>4.8076923076930029</v>
      </c>
      <c r="BA58" s="6">
        <v>0.31547619047619002</v>
      </c>
      <c r="BB58" s="7" t="s">
        <v>246</v>
      </c>
      <c r="BC58" s="6"/>
      <c r="BD58" s="6">
        <v>2.3809523809524002E-2</v>
      </c>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row>
    <row r="59" spans="1:96" ht="15.6" x14ac:dyDescent="0.3">
      <c r="A59" s="6">
        <v>1</v>
      </c>
      <c r="B59" s="6"/>
      <c r="C59" s="7">
        <v>26</v>
      </c>
      <c r="D59" s="7" t="s">
        <v>76</v>
      </c>
      <c r="E59" s="13" t="s">
        <v>77</v>
      </c>
      <c r="F59" s="9" t="str">
        <f t="shared" si="3"/>
        <v>2015-100PBW3432008OTC</v>
      </c>
      <c r="G59" s="7" t="s">
        <v>78</v>
      </c>
      <c r="H59" s="8" t="s">
        <v>244</v>
      </c>
      <c r="I59" s="7" t="s">
        <v>63</v>
      </c>
      <c r="J59" s="7" t="s">
        <v>34</v>
      </c>
      <c r="K59" s="7" t="s">
        <v>79</v>
      </c>
      <c r="L59" s="7">
        <v>2008</v>
      </c>
      <c r="M59" s="7" t="s">
        <v>36</v>
      </c>
      <c r="N59" s="7" t="s">
        <v>51</v>
      </c>
      <c r="O59" s="7" t="s">
        <v>42</v>
      </c>
      <c r="P59" s="7">
        <f>R59/1.01*1.08</f>
        <v>33.041584158415837</v>
      </c>
      <c r="Q59" s="7">
        <v>2.0499999999999998</v>
      </c>
      <c r="R59" s="7">
        <v>30.9</v>
      </c>
      <c r="S59" s="7">
        <v>7</v>
      </c>
      <c r="T59" s="7">
        <v>123</v>
      </c>
      <c r="U59" s="6">
        <v>3</v>
      </c>
      <c r="V59" s="6">
        <f t="shared" si="1"/>
        <v>1.5</v>
      </c>
      <c r="W59" s="6" t="s">
        <v>52</v>
      </c>
      <c r="X59" s="6"/>
      <c r="Y59" s="11">
        <v>439</v>
      </c>
      <c r="Z59" s="6" t="s">
        <v>80</v>
      </c>
      <c r="AA59" s="6"/>
      <c r="AB59" s="6">
        <v>5.3</v>
      </c>
      <c r="AC59" s="12">
        <v>42.8</v>
      </c>
      <c r="AD59" s="7" t="s">
        <v>39</v>
      </c>
      <c r="AE59" s="6"/>
      <c r="AF59" s="6">
        <v>0.5</v>
      </c>
      <c r="AG59" s="12">
        <v>52.3</v>
      </c>
      <c r="AH59" s="7" t="s">
        <v>40</v>
      </c>
      <c r="AI59" s="6"/>
      <c r="AJ59" s="6">
        <v>0.5</v>
      </c>
      <c r="AK59" s="12">
        <v>10.8</v>
      </c>
      <c r="AL59" s="7" t="s">
        <v>68</v>
      </c>
      <c r="AM59" s="6"/>
      <c r="AN59" s="6">
        <v>0.1</v>
      </c>
      <c r="AO59" s="12">
        <f t="shared" si="4"/>
        <v>10257.009345794395</v>
      </c>
      <c r="AP59" s="6" t="s">
        <v>54</v>
      </c>
      <c r="AQ59" s="6"/>
      <c r="AR59" s="6"/>
      <c r="AS59" s="6"/>
      <c r="AT59" s="6"/>
      <c r="AU59" s="6"/>
      <c r="AV59" s="6"/>
      <c r="AW59" s="6"/>
      <c r="AX59" s="6"/>
      <c r="AY59" s="6"/>
      <c r="AZ59" s="6"/>
      <c r="BA59" s="6">
        <v>0.41</v>
      </c>
      <c r="BB59" s="7" t="s">
        <v>246</v>
      </c>
      <c r="BC59" s="6"/>
      <c r="BD59" s="6">
        <v>0.01</v>
      </c>
      <c r="BE59" s="6"/>
      <c r="BF59" s="6"/>
      <c r="BG59" s="6"/>
      <c r="BH59" s="6"/>
      <c r="BI59" s="6">
        <v>20.6</v>
      </c>
      <c r="BJ59" s="7" t="s">
        <v>40</v>
      </c>
      <c r="BK59" s="6"/>
      <c r="BL59" s="6">
        <v>0.4</v>
      </c>
      <c r="BM59" s="6">
        <v>12.3</v>
      </c>
      <c r="BN59" s="7" t="s">
        <v>68</v>
      </c>
      <c r="BO59" s="6"/>
      <c r="BP59" s="6">
        <v>0.3</v>
      </c>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row>
    <row r="60" spans="1:96" ht="15.6" x14ac:dyDescent="0.3">
      <c r="A60" s="6">
        <v>1</v>
      </c>
      <c r="B60" s="6"/>
      <c r="C60" s="7">
        <v>26</v>
      </c>
      <c r="D60" s="7" t="s">
        <v>76</v>
      </c>
      <c r="E60" s="13" t="s">
        <v>77</v>
      </c>
      <c r="F60" s="9" t="str">
        <f t="shared" si="3"/>
        <v>2015-100PBW3432008OTC</v>
      </c>
      <c r="G60" s="7" t="s">
        <v>78</v>
      </c>
      <c r="H60" s="8" t="s">
        <v>244</v>
      </c>
      <c r="I60" s="7" t="s">
        <v>63</v>
      </c>
      <c r="J60" s="7" t="s">
        <v>34</v>
      </c>
      <c r="K60" s="7" t="s">
        <v>79</v>
      </c>
      <c r="L60" s="7">
        <v>2008</v>
      </c>
      <c r="M60" s="7" t="s">
        <v>36</v>
      </c>
      <c r="N60" s="7" t="s">
        <v>51</v>
      </c>
      <c r="O60" s="7" t="s">
        <v>38</v>
      </c>
      <c r="P60" s="7">
        <f>R60/1.01*1.08</f>
        <v>5.6138613861386144</v>
      </c>
      <c r="Q60" s="7">
        <v>0</v>
      </c>
      <c r="R60" s="7">
        <v>5.25</v>
      </c>
      <c r="S60" s="7">
        <v>7</v>
      </c>
      <c r="T60" s="7">
        <v>123</v>
      </c>
      <c r="U60" s="6">
        <v>3</v>
      </c>
      <c r="V60" s="6">
        <f t="shared" si="1"/>
        <v>0</v>
      </c>
      <c r="W60" s="6" t="s">
        <v>52</v>
      </c>
      <c r="X60" s="6"/>
      <c r="Y60" s="11">
        <v>527</v>
      </c>
      <c r="Z60" s="6" t="s">
        <v>80</v>
      </c>
      <c r="AA60" s="6"/>
      <c r="AB60" s="6">
        <v>7.8</v>
      </c>
      <c r="AC60" s="12">
        <v>45.3</v>
      </c>
      <c r="AD60" s="7" t="s">
        <v>39</v>
      </c>
      <c r="AE60" s="6"/>
      <c r="AF60" s="6">
        <v>1.1000000000000001</v>
      </c>
      <c r="AG60" s="12">
        <v>56.3</v>
      </c>
      <c r="AH60" s="7" t="s">
        <v>40</v>
      </c>
      <c r="AI60" s="6"/>
      <c r="AJ60" s="6">
        <v>0.5</v>
      </c>
      <c r="AK60" s="12">
        <v>12</v>
      </c>
      <c r="AL60" s="7" t="s">
        <v>68</v>
      </c>
      <c r="AM60" s="6"/>
      <c r="AN60" s="6">
        <v>0.2</v>
      </c>
      <c r="AO60" s="12">
        <f t="shared" si="4"/>
        <v>11633.55408388521</v>
      </c>
      <c r="AP60" s="6" t="s">
        <v>54</v>
      </c>
      <c r="AQ60" s="6"/>
      <c r="AR60" s="6"/>
      <c r="AS60" s="6"/>
      <c r="AT60" s="6"/>
      <c r="AU60" s="6"/>
      <c r="AV60" s="6"/>
      <c r="AW60" s="6"/>
      <c r="AX60" s="6"/>
      <c r="AY60" s="6"/>
      <c r="AZ60" s="6"/>
      <c r="BA60" s="6">
        <v>0.41</v>
      </c>
      <c r="BB60" s="7" t="s">
        <v>246</v>
      </c>
      <c r="BC60" s="6"/>
      <c r="BD60" s="6">
        <v>0</v>
      </c>
      <c r="BE60" s="6"/>
      <c r="BF60" s="6"/>
      <c r="BG60" s="6"/>
      <c r="BH60" s="6"/>
      <c r="BI60" s="6">
        <v>21.4</v>
      </c>
      <c r="BJ60" s="7" t="s">
        <v>40</v>
      </c>
      <c r="BK60" s="6"/>
      <c r="BL60" s="6">
        <v>0.9</v>
      </c>
      <c r="BM60" s="6">
        <v>13.7</v>
      </c>
      <c r="BN60" s="7" t="s">
        <v>68</v>
      </c>
      <c r="BO60" s="6"/>
      <c r="BP60" s="6">
        <v>0.2</v>
      </c>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row>
    <row r="61" spans="1:96" ht="15.6" x14ac:dyDescent="0.3">
      <c r="A61" s="6">
        <v>1</v>
      </c>
      <c r="B61" s="6"/>
      <c r="C61" s="7">
        <v>26</v>
      </c>
      <c r="D61" s="7" t="s">
        <v>76</v>
      </c>
      <c r="E61" s="13" t="s">
        <v>77</v>
      </c>
      <c r="F61" s="9" t="str">
        <f t="shared" si="3"/>
        <v>2015-100PBW3432008OTC</v>
      </c>
      <c r="G61" s="7" t="s">
        <v>78</v>
      </c>
      <c r="H61" s="8" t="s">
        <v>244</v>
      </c>
      <c r="I61" s="7" t="s">
        <v>63</v>
      </c>
      <c r="J61" s="7" t="s">
        <v>34</v>
      </c>
      <c r="K61" s="7" t="s">
        <v>79</v>
      </c>
      <c r="L61" s="7">
        <v>2008</v>
      </c>
      <c r="M61" s="7" t="s">
        <v>36</v>
      </c>
      <c r="N61" s="7" t="s">
        <v>51</v>
      </c>
      <c r="O61" s="7" t="s">
        <v>56</v>
      </c>
      <c r="P61" s="7">
        <f>(7*R61+5*0.976*R59)/12*1.08</f>
        <v>50.867280000000001</v>
      </c>
      <c r="Q61" s="7">
        <v>16.62</v>
      </c>
      <c r="R61" s="7">
        <v>59.2</v>
      </c>
      <c r="S61" s="7">
        <v>7</v>
      </c>
      <c r="T61" s="7">
        <v>123</v>
      </c>
      <c r="U61" s="6">
        <v>3</v>
      </c>
      <c r="V61" s="6">
        <f t="shared" si="1"/>
        <v>12.160975609756099</v>
      </c>
      <c r="W61" s="6" t="s">
        <v>52</v>
      </c>
      <c r="X61" s="6"/>
      <c r="Y61" s="11">
        <v>369</v>
      </c>
      <c r="Z61" s="6" t="s">
        <v>80</v>
      </c>
      <c r="AA61" s="6"/>
      <c r="AB61" s="6">
        <v>8.5</v>
      </c>
      <c r="AC61" s="12">
        <v>37.6</v>
      </c>
      <c r="AD61" s="7" t="s">
        <v>39</v>
      </c>
      <c r="AE61" s="6"/>
      <c r="AF61" s="6">
        <v>0.1</v>
      </c>
      <c r="AG61" s="12">
        <v>48.5</v>
      </c>
      <c r="AH61" s="7" t="s">
        <v>40</v>
      </c>
      <c r="AI61" s="6"/>
      <c r="AJ61" s="6">
        <v>0.1</v>
      </c>
      <c r="AK61" s="12">
        <v>9.5</v>
      </c>
      <c r="AL61" s="7" t="s">
        <v>68</v>
      </c>
      <c r="AM61" s="6"/>
      <c r="AN61" s="6">
        <v>0.04</v>
      </c>
      <c r="AO61" s="12">
        <f t="shared" si="4"/>
        <v>9813.8297872340409</v>
      </c>
      <c r="AP61" s="6" t="s">
        <v>54</v>
      </c>
      <c r="AQ61" s="6"/>
      <c r="AR61" s="6"/>
      <c r="AS61" s="6"/>
      <c r="AT61" s="6"/>
      <c r="AU61" s="6"/>
      <c r="AV61" s="6"/>
      <c r="AW61" s="6"/>
      <c r="AX61" s="6"/>
      <c r="AY61" s="6"/>
      <c r="AZ61" s="6"/>
      <c r="BA61" s="6">
        <v>0.4</v>
      </c>
      <c r="BB61" s="7" t="s">
        <v>246</v>
      </c>
      <c r="BC61" s="6"/>
      <c r="BD61" s="6">
        <v>0.01</v>
      </c>
      <c r="BE61" s="6"/>
      <c r="BF61" s="6"/>
      <c r="BG61" s="6"/>
      <c r="BH61" s="6"/>
      <c r="BI61" s="6">
        <v>18.600000000000001</v>
      </c>
      <c r="BJ61" s="7" t="s">
        <v>40</v>
      </c>
      <c r="BK61" s="6"/>
      <c r="BL61" s="6">
        <v>0.6</v>
      </c>
      <c r="BM61" s="6">
        <v>10.3</v>
      </c>
      <c r="BN61" s="7" t="s">
        <v>68</v>
      </c>
      <c r="BO61" s="6"/>
      <c r="BP61" s="6">
        <v>0.3</v>
      </c>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row>
    <row r="62" spans="1:96" ht="15.6" x14ac:dyDescent="0.3">
      <c r="A62" s="6">
        <v>1</v>
      </c>
      <c r="B62" s="6"/>
      <c r="C62" s="7">
        <v>26</v>
      </c>
      <c r="D62" s="7" t="s">
        <v>76</v>
      </c>
      <c r="E62" s="13" t="s">
        <v>77</v>
      </c>
      <c r="F62" s="9" t="str">
        <f t="shared" si="3"/>
        <v>2015-100PBW3432009OTC</v>
      </c>
      <c r="G62" s="7" t="s">
        <v>78</v>
      </c>
      <c r="H62" s="8" t="s">
        <v>244</v>
      </c>
      <c r="I62" s="7" t="s">
        <v>63</v>
      </c>
      <c r="J62" s="7" t="s">
        <v>34</v>
      </c>
      <c r="K62" s="7" t="s">
        <v>79</v>
      </c>
      <c r="L62" s="7">
        <v>2009</v>
      </c>
      <c r="M62" s="7" t="s">
        <v>36</v>
      </c>
      <c r="N62" s="7" t="s">
        <v>51</v>
      </c>
      <c r="O62" s="7" t="s">
        <v>42</v>
      </c>
      <c r="P62" s="7">
        <f>R62/1.01*1.08</f>
        <v>37.318811881188125</v>
      </c>
      <c r="Q62" s="7">
        <v>2.39</v>
      </c>
      <c r="R62" s="7">
        <v>34.9</v>
      </c>
      <c r="S62" s="7">
        <v>7</v>
      </c>
      <c r="T62" s="7">
        <v>135</v>
      </c>
      <c r="U62" s="6">
        <v>3</v>
      </c>
      <c r="V62" s="6">
        <f t="shared" si="1"/>
        <v>1.5933333333333333</v>
      </c>
      <c r="W62" s="6" t="s">
        <v>52</v>
      </c>
      <c r="X62" s="6"/>
      <c r="Y62" s="11">
        <v>423</v>
      </c>
      <c r="Z62" s="6" t="s">
        <v>80</v>
      </c>
      <c r="AA62" s="6"/>
      <c r="AB62" s="6">
        <v>5.0999999999999996</v>
      </c>
      <c r="AC62" s="12">
        <v>42.1</v>
      </c>
      <c r="AD62" s="7" t="s">
        <v>39</v>
      </c>
      <c r="AE62" s="6"/>
      <c r="AF62" s="6">
        <v>0.43</v>
      </c>
      <c r="AG62" s="12">
        <v>44.8</v>
      </c>
      <c r="AH62" s="7" t="s">
        <v>40</v>
      </c>
      <c r="AI62" s="6"/>
      <c r="AJ62" s="6">
        <v>0.88</v>
      </c>
      <c r="AK62" s="12">
        <v>10.9</v>
      </c>
      <c r="AL62" s="7" t="s">
        <v>68</v>
      </c>
      <c r="AM62" s="6"/>
      <c r="AN62" s="6">
        <v>0.1</v>
      </c>
      <c r="AO62" s="12">
        <f t="shared" si="4"/>
        <v>10047.505938242279</v>
      </c>
      <c r="AP62" s="6" t="s">
        <v>54</v>
      </c>
      <c r="AQ62" s="6"/>
      <c r="AR62" s="6"/>
      <c r="AS62" s="6"/>
      <c r="AT62" s="6"/>
      <c r="AU62" s="6"/>
      <c r="AV62" s="6"/>
      <c r="AW62" s="6"/>
      <c r="AX62" s="6"/>
      <c r="AY62" s="6"/>
      <c r="AZ62" s="6"/>
      <c r="BA62" s="6">
        <v>0.4</v>
      </c>
      <c r="BB62" s="7" t="s">
        <v>246</v>
      </c>
      <c r="BC62" s="6"/>
      <c r="BD62" s="6">
        <v>0.01</v>
      </c>
      <c r="BE62" s="6"/>
      <c r="BF62" s="6"/>
      <c r="BG62" s="6"/>
      <c r="BH62" s="6"/>
      <c r="BI62" s="6">
        <v>17.600000000000001</v>
      </c>
      <c r="BJ62" s="7" t="s">
        <v>40</v>
      </c>
      <c r="BK62" s="6"/>
      <c r="BL62" s="6">
        <v>0.27</v>
      </c>
      <c r="BM62" s="6">
        <v>11.7</v>
      </c>
      <c r="BN62" s="7" t="s">
        <v>68</v>
      </c>
      <c r="BO62" s="6"/>
      <c r="BP62" s="6">
        <v>0.4</v>
      </c>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row>
    <row r="63" spans="1:96" ht="15.6" x14ac:dyDescent="0.3">
      <c r="A63" s="6">
        <v>1</v>
      </c>
      <c r="B63" s="6"/>
      <c r="C63" s="7">
        <v>26</v>
      </c>
      <c r="D63" s="7" t="s">
        <v>76</v>
      </c>
      <c r="E63" s="13" t="s">
        <v>77</v>
      </c>
      <c r="F63" s="9" t="str">
        <f t="shared" si="3"/>
        <v>2015-100PBW3432009OTC</v>
      </c>
      <c r="G63" s="7" t="s">
        <v>78</v>
      </c>
      <c r="H63" s="8" t="s">
        <v>244</v>
      </c>
      <c r="I63" s="7" t="s">
        <v>63</v>
      </c>
      <c r="J63" s="7" t="s">
        <v>34</v>
      </c>
      <c r="K63" s="7" t="s">
        <v>79</v>
      </c>
      <c r="L63" s="7">
        <v>2009</v>
      </c>
      <c r="M63" s="7" t="s">
        <v>36</v>
      </c>
      <c r="N63" s="7" t="s">
        <v>51</v>
      </c>
      <c r="O63" s="7" t="s">
        <v>38</v>
      </c>
      <c r="P63" s="7">
        <f>R63/1.01*1.08</f>
        <v>8.2229702970297041</v>
      </c>
      <c r="Q63" s="7">
        <v>0</v>
      </c>
      <c r="R63" s="7">
        <v>7.69</v>
      </c>
      <c r="S63" s="7">
        <v>7</v>
      </c>
      <c r="T63" s="7">
        <v>135</v>
      </c>
      <c r="U63" s="6">
        <v>3</v>
      </c>
      <c r="V63" s="6">
        <f t="shared" si="1"/>
        <v>0</v>
      </c>
      <c r="W63" s="6" t="s">
        <v>52</v>
      </c>
      <c r="X63" s="6"/>
      <c r="Y63" s="11">
        <v>499</v>
      </c>
      <c r="Z63" s="6" t="s">
        <v>80</v>
      </c>
      <c r="AA63" s="6"/>
      <c r="AB63" s="6">
        <v>8</v>
      </c>
      <c r="AC63" s="12">
        <v>43.5</v>
      </c>
      <c r="AD63" s="7" t="s">
        <v>39</v>
      </c>
      <c r="AE63" s="6"/>
      <c r="AF63" s="6">
        <v>2.17</v>
      </c>
      <c r="AG63" s="12">
        <v>48.1</v>
      </c>
      <c r="AH63" s="7" t="s">
        <v>40</v>
      </c>
      <c r="AI63" s="6"/>
      <c r="AJ63" s="6">
        <v>0.45</v>
      </c>
      <c r="AK63" s="12">
        <v>11.8</v>
      </c>
      <c r="AL63" s="7" t="s">
        <v>68</v>
      </c>
      <c r="AM63" s="6"/>
      <c r="AN63" s="6">
        <v>0.2</v>
      </c>
      <c r="AO63" s="12">
        <f t="shared" si="4"/>
        <v>11471.264367816091</v>
      </c>
      <c r="AP63" s="6" t="s">
        <v>54</v>
      </c>
      <c r="AQ63" s="6"/>
      <c r="AR63" s="6"/>
      <c r="AS63" s="6"/>
      <c r="AT63" s="6"/>
      <c r="AU63" s="6"/>
      <c r="AV63" s="6"/>
      <c r="AW63" s="6"/>
      <c r="AX63" s="6"/>
      <c r="AY63" s="6"/>
      <c r="AZ63" s="6"/>
      <c r="BA63" s="6">
        <v>0.42</v>
      </c>
      <c r="BB63" s="7" t="s">
        <v>246</v>
      </c>
      <c r="BC63" s="6"/>
      <c r="BD63" s="6">
        <v>0.01</v>
      </c>
      <c r="BE63" s="6"/>
      <c r="BF63" s="6"/>
      <c r="BG63" s="6"/>
      <c r="BH63" s="6"/>
      <c r="BI63" s="6">
        <v>18.2</v>
      </c>
      <c r="BJ63" s="7" t="s">
        <v>40</v>
      </c>
      <c r="BK63" s="6"/>
      <c r="BL63" s="6">
        <v>0.33</v>
      </c>
      <c r="BM63" s="6">
        <v>12.7</v>
      </c>
      <c r="BN63" s="7" t="s">
        <v>68</v>
      </c>
      <c r="BO63" s="6"/>
      <c r="BP63" s="6">
        <v>0.2</v>
      </c>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row>
    <row r="64" spans="1:96" ht="15.6" x14ac:dyDescent="0.3">
      <c r="A64" s="6">
        <v>1</v>
      </c>
      <c r="B64" s="6"/>
      <c r="C64" s="7">
        <v>26</v>
      </c>
      <c r="D64" s="7" t="s">
        <v>76</v>
      </c>
      <c r="E64" s="13" t="s">
        <v>77</v>
      </c>
      <c r="F64" s="9" t="str">
        <f t="shared" si="3"/>
        <v>2015-100PBW3432009OTC</v>
      </c>
      <c r="G64" s="7" t="s">
        <v>78</v>
      </c>
      <c r="H64" s="8" t="s">
        <v>244</v>
      </c>
      <c r="I64" s="7" t="s">
        <v>63</v>
      </c>
      <c r="J64" s="7" t="s">
        <v>34</v>
      </c>
      <c r="K64" s="7" t="s">
        <v>79</v>
      </c>
      <c r="L64" s="7">
        <v>2009</v>
      </c>
      <c r="M64" s="7" t="s">
        <v>36</v>
      </c>
      <c r="N64" s="7" t="s">
        <v>51</v>
      </c>
      <c r="O64" s="7" t="s">
        <v>56</v>
      </c>
      <c r="P64" s="7">
        <f>(7*R64+5*0.976*R62)/12*1.08</f>
        <v>56.498580000000004</v>
      </c>
      <c r="Q64" s="7">
        <v>17.96</v>
      </c>
      <c r="R64" s="7">
        <v>65.349999999999994</v>
      </c>
      <c r="S64" s="7">
        <v>7</v>
      </c>
      <c r="T64" s="7">
        <v>135</v>
      </c>
      <c r="U64" s="6">
        <v>3</v>
      </c>
      <c r="V64" s="6">
        <f t="shared" si="1"/>
        <v>11.973333333333333</v>
      </c>
      <c r="W64" s="6" t="s">
        <v>52</v>
      </c>
      <c r="X64" s="6"/>
      <c r="Y64" s="11">
        <v>345</v>
      </c>
      <c r="Z64" s="6" t="s">
        <v>80</v>
      </c>
      <c r="AA64" s="6"/>
      <c r="AB64" s="6">
        <v>7.5</v>
      </c>
      <c r="AC64" s="12">
        <v>37.1</v>
      </c>
      <c r="AD64" s="7" t="s">
        <v>39</v>
      </c>
      <c r="AE64" s="6"/>
      <c r="AF64" s="6">
        <v>0.1</v>
      </c>
      <c r="AG64" s="12">
        <v>40.799999999999997</v>
      </c>
      <c r="AH64" s="7" t="s">
        <v>40</v>
      </c>
      <c r="AI64" s="6"/>
      <c r="AJ64" s="6">
        <v>0.17</v>
      </c>
      <c r="AK64" s="12">
        <v>9.8000000000000007</v>
      </c>
      <c r="AL64" s="7" t="s">
        <v>68</v>
      </c>
      <c r="AM64" s="6"/>
      <c r="AN64" s="6">
        <v>0.01</v>
      </c>
      <c r="AO64" s="12">
        <f t="shared" si="4"/>
        <v>9299.1913746630726</v>
      </c>
      <c r="AP64" s="6" t="s">
        <v>54</v>
      </c>
      <c r="AQ64" s="6"/>
      <c r="AR64" s="6"/>
      <c r="AS64" s="6"/>
      <c r="AT64" s="6"/>
      <c r="AU64" s="6"/>
      <c r="AV64" s="6"/>
      <c r="AW64" s="6"/>
      <c r="AX64" s="6"/>
      <c r="AY64" s="6"/>
      <c r="AZ64" s="6"/>
      <c r="BA64" s="6">
        <v>0.38</v>
      </c>
      <c r="BB64" s="7" t="s">
        <v>246</v>
      </c>
      <c r="BC64" s="6"/>
      <c r="BD64" s="6">
        <v>0.01</v>
      </c>
      <c r="BE64" s="6"/>
      <c r="BF64" s="6"/>
      <c r="BG64" s="6"/>
      <c r="BH64" s="6"/>
      <c r="BI64" s="6">
        <v>16.5</v>
      </c>
      <c r="BJ64" s="7" t="s">
        <v>40</v>
      </c>
      <c r="BK64" s="6"/>
      <c r="BL64" s="6">
        <v>0.04</v>
      </c>
      <c r="BM64" s="6">
        <v>10.1</v>
      </c>
      <c r="BN64" s="7" t="s">
        <v>68</v>
      </c>
      <c r="BO64" s="6"/>
      <c r="BP64" s="6">
        <v>0.1</v>
      </c>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row>
    <row r="65" spans="1:96" ht="15.6" x14ac:dyDescent="0.3">
      <c r="A65" s="6">
        <v>1</v>
      </c>
      <c r="B65" s="6"/>
      <c r="C65" s="7">
        <v>49</v>
      </c>
      <c r="D65" s="7" t="s">
        <v>81</v>
      </c>
      <c r="E65" s="13" t="s">
        <v>82</v>
      </c>
      <c r="F65" s="9" t="str">
        <f t="shared" si="3"/>
        <v>2013-76HUW372011OTC</v>
      </c>
      <c r="G65" s="7" t="s">
        <v>83</v>
      </c>
      <c r="H65" s="8" t="s">
        <v>244</v>
      </c>
      <c r="I65" s="7" t="s">
        <v>63</v>
      </c>
      <c r="J65" s="7" t="s">
        <v>34</v>
      </c>
      <c r="K65" s="7" t="s">
        <v>84</v>
      </c>
      <c r="L65" s="7">
        <v>2011</v>
      </c>
      <c r="M65" s="7" t="s">
        <v>36</v>
      </c>
      <c r="N65" s="7" t="s">
        <v>51</v>
      </c>
      <c r="O65" s="7" t="s">
        <v>42</v>
      </c>
      <c r="P65" s="7">
        <f>R65/1.01*1.08</f>
        <v>51.754455445544558</v>
      </c>
      <c r="Q65" s="18">
        <v>5.0999999999999996</v>
      </c>
      <c r="R65" s="6">
        <v>48.4</v>
      </c>
      <c r="S65" s="6">
        <v>8</v>
      </c>
      <c r="T65" s="6">
        <v>125</v>
      </c>
      <c r="U65" s="6">
        <v>3</v>
      </c>
      <c r="V65" s="6">
        <f t="shared" si="1"/>
        <v>3.6719999999999997</v>
      </c>
      <c r="W65" s="6" t="s">
        <v>52</v>
      </c>
      <c r="X65" s="6"/>
      <c r="Y65" s="12">
        <v>4.2972972972973</v>
      </c>
      <c r="Z65" s="7" t="s">
        <v>245</v>
      </c>
      <c r="AA65" s="6"/>
      <c r="AB65" s="6">
        <v>4.0540540540540349E-2</v>
      </c>
      <c r="AC65" s="12">
        <f>Y65/AW65*1000</f>
        <v>33.559845559845549</v>
      </c>
      <c r="AD65" s="7" t="s">
        <v>39</v>
      </c>
      <c r="AE65" s="6" t="s">
        <v>55</v>
      </c>
      <c r="AF65" s="6"/>
      <c r="AG65" s="12">
        <f>AW65/AK65</f>
        <v>27.182769133725831</v>
      </c>
      <c r="AH65" s="7" t="s">
        <v>40</v>
      </c>
      <c r="AI65" s="6"/>
      <c r="AJ65" s="6"/>
      <c r="AK65" s="12">
        <v>4.7106598984771599</v>
      </c>
      <c r="AL65" s="6" t="s">
        <v>67</v>
      </c>
      <c r="AM65" s="6"/>
      <c r="AN65" s="6">
        <v>0.20304568527918043</v>
      </c>
      <c r="AO65" s="12">
        <f t="shared" si="4"/>
        <v>128.048780487805</v>
      </c>
      <c r="AP65" s="6" t="s">
        <v>67</v>
      </c>
      <c r="AQ65" s="6"/>
      <c r="AR65" s="6"/>
      <c r="AS65" s="6"/>
      <c r="AT65" s="6"/>
      <c r="AU65" s="6"/>
      <c r="AV65" s="6"/>
      <c r="AW65" s="6">
        <v>128.048780487805</v>
      </c>
      <c r="AX65" s="6" t="s">
        <v>67</v>
      </c>
      <c r="AY65" s="6"/>
      <c r="AZ65" s="6">
        <v>1.5243902439019905</v>
      </c>
      <c r="BA65" s="6">
        <v>0.26959459459459501</v>
      </c>
      <c r="BB65" s="6" t="s">
        <v>229</v>
      </c>
      <c r="BC65" s="6"/>
      <c r="BD65" s="6">
        <v>1.0135135135134976E-2</v>
      </c>
      <c r="BE65" s="6"/>
      <c r="BF65" s="6"/>
      <c r="BG65" s="6"/>
      <c r="BH65" s="6"/>
      <c r="BI65" s="6"/>
      <c r="BJ65" s="6"/>
      <c r="BK65" s="6"/>
      <c r="BL65" s="6"/>
      <c r="BM65" s="6"/>
      <c r="BN65" s="6"/>
      <c r="BO65" s="6"/>
      <c r="BP65" s="6"/>
      <c r="BQ65" s="6"/>
      <c r="BR65" s="6"/>
      <c r="BS65" s="6"/>
      <c r="BT65" s="6"/>
      <c r="BU65" s="6"/>
      <c r="BV65" s="6"/>
      <c r="BW65" s="6"/>
      <c r="BX65" s="6"/>
      <c r="BY65" s="6">
        <v>28.8</v>
      </c>
      <c r="BZ65" s="6" t="s">
        <v>229</v>
      </c>
      <c r="CA65" s="6"/>
      <c r="CB65" s="6">
        <v>0.23</v>
      </c>
      <c r="CC65" s="6">
        <v>102.5</v>
      </c>
      <c r="CD65" s="6" t="s">
        <v>229</v>
      </c>
      <c r="CE65" s="6"/>
      <c r="CF65" s="6">
        <v>1.66</v>
      </c>
      <c r="CG65" s="6">
        <v>5.0761421319797</v>
      </c>
      <c r="CH65" s="6" t="s">
        <v>245</v>
      </c>
      <c r="CI65" s="6"/>
      <c r="CJ65" s="6">
        <v>0.50761421319796973</v>
      </c>
      <c r="CK65" s="6"/>
      <c r="CL65" s="6"/>
      <c r="CM65" s="6"/>
      <c r="CN65" s="6"/>
      <c r="CO65" s="6"/>
      <c r="CP65" s="6"/>
      <c r="CQ65" s="6"/>
      <c r="CR65" s="6"/>
    </row>
    <row r="66" spans="1:96" ht="15.6" x14ac:dyDescent="0.3">
      <c r="A66" s="6">
        <v>1</v>
      </c>
      <c r="B66" s="6"/>
      <c r="C66" s="7">
        <v>49</v>
      </c>
      <c r="D66" s="7" t="s">
        <v>81</v>
      </c>
      <c r="E66" s="13" t="s">
        <v>82</v>
      </c>
      <c r="F66" s="9" t="str">
        <f t="shared" si="3"/>
        <v>2013-76HUW372011OTC</v>
      </c>
      <c r="G66" s="7" t="s">
        <v>83</v>
      </c>
      <c r="H66" s="8" t="s">
        <v>244</v>
      </c>
      <c r="I66" s="7" t="s">
        <v>63</v>
      </c>
      <c r="J66" s="7" t="s">
        <v>34</v>
      </c>
      <c r="K66" s="7" t="s">
        <v>84</v>
      </c>
      <c r="L66" s="7">
        <v>2011</v>
      </c>
      <c r="M66" s="7" t="s">
        <v>36</v>
      </c>
      <c r="N66" s="7" t="s">
        <v>51</v>
      </c>
      <c r="O66" s="15" t="s">
        <v>75</v>
      </c>
      <c r="P66" s="7">
        <f>(8 * R66+ 4 * 0.97*R65) / 12*1.08</f>
        <v>56.645280000000007</v>
      </c>
      <c r="Q66" s="18">
        <v>8.4</v>
      </c>
      <c r="R66" s="6">
        <v>55.2</v>
      </c>
      <c r="S66" s="6">
        <v>8</v>
      </c>
      <c r="T66" s="6">
        <v>125</v>
      </c>
      <c r="U66" s="6">
        <v>3</v>
      </c>
      <c r="V66" s="6">
        <f t="shared" ref="V66:V68" si="9">IF(T66&lt;=90,Q66,Q66/T66*90)</f>
        <v>6.0480000000000009</v>
      </c>
      <c r="W66" s="6" t="s">
        <v>52</v>
      </c>
      <c r="X66" s="6"/>
      <c r="Y66" s="12">
        <v>2.5945945945945899</v>
      </c>
      <c r="Z66" s="7" t="s">
        <v>245</v>
      </c>
      <c r="AA66" s="6"/>
      <c r="AB66" s="6">
        <v>4.0540540540550118E-2</v>
      </c>
      <c r="AC66" s="12">
        <f>Y66/AW66*1000</f>
        <v>26.185446985446948</v>
      </c>
      <c r="AD66" s="7" t="s">
        <v>39</v>
      </c>
      <c r="AE66" s="6" t="s">
        <v>55</v>
      </c>
      <c r="AF66" s="6"/>
      <c r="AG66" s="12">
        <f>AW66/AK66</f>
        <v>28.371827141236523</v>
      </c>
      <c r="AH66" s="7" t="s">
        <v>40</v>
      </c>
      <c r="AI66" s="6"/>
      <c r="AJ66" s="6"/>
      <c r="AK66" s="12">
        <v>3.4923857868020298</v>
      </c>
      <c r="AL66" s="6" t="s">
        <v>67</v>
      </c>
      <c r="AM66" s="6"/>
      <c r="AN66" s="6">
        <v>0.1624365482233503</v>
      </c>
      <c r="AO66" s="12">
        <f t="shared" si="4"/>
        <v>99.085365853658502</v>
      </c>
      <c r="AP66" s="6" t="s">
        <v>67</v>
      </c>
      <c r="AQ66" s="6"/>
      <c r="AR66" s="6"/>
      <c r="AS66" s="6"/>
      <c r="AT66" s="6"/>
      <c r="AU66" s="6"/>
      <c r="AV66" s="6"/>
      <c r="AW66" s="6">
        <v>99.085365853658502</v>
      </c>
      <c r="AX66" s="6" t="s">
        <v>67</v>
      </c>
      <c r="AY66" s="6"/>
      <c r="AZ66" s="6">
        <v>3.0487804878044926</v>
      </c>
      <c r="BA66" s="6">
        <v>0.25945945945945897</v>
      </c>
      <c r="BB66" s="6" t="s">
        <v>229</v>
      </c>
      <c r="BC66" s="6"/>
      <c r="BD66" s="6">
        <v>1.0135135135136031E-2</v>
      </c>
      <c r="BE66" s="6"/>
      <c r="BF66" s="6"/>
      <c r="BG66" s="6"/>
      <c r="BH66" s="6"/>
      <c r="BI66" s="6"/>
      <c r="BJ66" s="6"/>
      <c r="BK66" s="6"/>
      <c r="BL66" s="6"/>
      <c r="BM66" s="6"/>
      <c r="BN66" s="6"/>
      <c r="BO66" s="6"/>
      <c r="BP66" s="6"/>
      <c r="BQ66" s="6"/>
      <c r="BR66" s="6"/>
      <c r="BS66" s="6"/>
      <c r="BT66" s="6"/>
      <c r="BU66" s="6"/>
      <c r="BV66" s="6"/>
      <c r="BW66" s="6"/>
      <c r="BX66" s="6"/>
      <c r="BY66" s="6">
        <v>23.3</v>
      </c>
      <c r="BZ66" s="6" t="s">
        <v>229</v>
      </c>
      <c r="CA66" s="6"/>
      <c r="CB66" s="6">
        <v>0.28000000000000003</v>
      </c>
      <c r="CC66" s="6">
        <v>77.7</v>
      </c>
      <c r="CD66" s="6" t="s">
        <v>229</v>
      </c>
      <c r="CE66" s="6"/>
      <c r="CF66" s="6">
        <v>1.35</v>
      </c>
      <c r="CG66" s="6">
        <v>3.4010152284264001</v>
      </c>
      <c r="CH66" s="6" t="s">
        <v>245</v>
      </c>
      <c r="CI66" s="6"/>
      <c r="CJ66" s="6">
        <v>0.20304568527917999</v>
      </c>
      <c r="CK66" s="6"/>
      <c r="CL66" s="6"/>
      <c r="CM66" s="6"/>
      <c r="CN66" s="6"/>
      <c r="CO66" s="6"/>
      <c r="CP66" s="6"/>
      <c r="CQ66" s="6"/>
      <c r="CR66" s="6"/>
    </row>
    <row r="67" spans="1:96" ht="15.6" x14ac:dyDescent="0.3">
      <c r="A67" s="6">
        <v>1</v>
      </c>
      <c r="B67" s="6"/>
      <c r="C67" s="7">
        <v>49</v>
      </c>
      <c r="D67" s="7" t="s">
        <v>81</v>
      </c>
      <c r="E67" s="13" t="s">
        <v>82</v>
      </c>
      <c r="F67" s="9" t="str">
        <f t="shared" ref="F67:F130" si="10">D67&amp;K67&amp;L67&amp;M67</f>
        <v>2013-76K91072011OTC</v>
      </c>
      <c r="G67" s="7" t="s">
        <v>83</v>
      </c>
      <c r="H67" s="8" t="s">
        <v>244</v>
      </c>
      <c r="I67" s="7" t="s">
        <v>63</v>
      </c>
      <c r="J67" s="7" t="s">
        <v>34</v>
      </c>
      <c r="K67" s="7" t="s">
        <v>85</v>
      </c>
      <c r="L67" s="7">
        <v>2011</v>
      </c>
      <c r="M67" s="7" t="s">
        <v>36</v>
      </c>
      <c r="N67" s="7" t="s">
        <v>51</v>
      </c>
      <c r="O67" s="7" t="s">
        <v>42</v>
      </c>
      <c r="P67" s="7">
        <f>R67/1.01*1.08</f>
        <v>51.754455445544558</v>
      </c>
      <c r="Q67" s="18">
        <v>5.0999999999999996</v>
      </c>
      <c r="R67" s="6">
        <v>48.4</v>
      </c>
      <c r="S67" s="6">
        <v>8</v>
      </c>
      <c r="T67" s="6">
        <v>125</v>
      </c>
      <c r="U67" s="6">
        <v>3</v>
      </c>
      <c r="V67" s="6">
        <f t="shared" si="9"/>
        <v>3.6719999999999997</v>
      </c>
      <c r="W67" s="6" t="s">
        <v>52</v>
      </c>
      <c r="X67" s="6"/>
      <c r="Y67" s="12">
        <v>4.5405405405405403</v>
      </c>
      <c r="Z67" s="7" t="s">
        <v>245</v>
      </c>
      <c r="AA67" s="6"/>
      <c r="AB67" s="6">
        <v>0.12162162162161927</v>
      </c>
      <c r="AC67" s="12">
        <f>Y67/AW67*1000</f>
        <v>23.453500744839296</v>
      </c>
      <c r="AD67" s="7" t="s">
        <v>39</v>
      </c>
      <c r="AE67" s="6" t="s">
        <v>55</v>
      </c>
      <c r="AF67" s="6"/>
      <c r="AG67" s="12">
        <f>AW67/AK67</f>
        <v>33.338041531639142</v>
      </c>
      <c r="AH67" s="7" t="s">
        <v>40</v>
      </c>
      <c r="AI67" s="6"/>
      <c r="AJ67" s="6"/>
      <c r="AK67" s="12">
        <v>5.8071065989847703</v>
      </c>
      <c r="AL67" s="6" t="s">
        <v>67</v>
      </c>
      <c r="AM67" s="6"/>
      <c r="AN67" s="6">
        <v>0.32487309644669971</v>
      </c>
      <c r="AO67" s="12">
        <f t="shared" ref="AO67:AO126" si="11">Y67/AC67*1000</f>
        <v>193.59756097561001</v>
      </c>
      <c r="AP67" s="6" t="s">
        <v>67</v>
      </c>
      <c r="AQ67" s="6"/>
      <c r="AR67" s="6"/>
      <c r="AS67" s="6"/>
      <c r="AT67" s="6"/>
      <c r="AU67" s="6"/>
      <c r="AV67" s="6"/>
      <c r="AW67" s="6">
        <v>193.59756097561001</v>
      </c>
      <c r="AX67" s="6" t="s">
        <v>67</v>
      </c>
      <c r="AY67" s="6"/>
      <c r="AZ67" s="6">
        <v>12.195121951218994</v>
      </c>
      <c r="BA67" s="6">
        <v>0.32027027027027</v>
      </c>
      <c r="BB67" s="6" t="s">
        <v>229</v>
      </c>
      <c r="BC67" s="6"/>
      <c r="BD67" s="6">
        <v>6.081081081081019E-3</v>
      </c>
      <c r="BE67" s="6"/>
      <c r="BF67" s="6"/>
      <c r="BG67" s="6"/>
      <c r="BH67" s="6"/>
      <c r="BI67" s="6"/>
      <c r="BJ67" s="6"/>
      <c r="BK67" s="6"/>
      <c r="BL67" s="6"/>
      <c r="BM67" s="6"/>
      <c r="BN67" s="6"/>
      <c r="BO67" s="6"/>
      <c r="BP67" s="6"/>
      <c r="BQ67" s="6"/>
      <c r="BR67" s="6"/>
      <c r="BS67" s="6"/>
      <c r="BT67" s="6"/>
      <c r="BU67" s="6"/>
      <c r="BV67" s="6"/>
      <c r="BW67" s="6"/>
      <c r="BX67" s="6"/>
      <c r="BY67" s="6">
        <v>33.9</v>
      </c>
      <c r="BZ67" s="6" t="s">
        <v>229</v>
      </c>
      <c r="CA67" s="6"/>
      <c r="CB67" s="6">
        <v>0.13</v>
      </c>
      <c r="CC67" s="6">
        <v>107.4</v>
      </c>
      <c r="CD67" s="6" t="s">
        <v>229</v>
      </c>
      <c r="CE67" s="6"/>
      <c r="CF67" s="6">
        <v>1.4</v>
      </c>
      <c r="CG67" s="6">
        <v>5.4822335025380697</v>
      </c>
      <c r="CH67" s="6" t="s">
        <v>245</v>
      </c>
      <c r="CI67" s="6"/>
      <c r="CJ67" s="6">
        <v>0.2030456852791902</v>
      </c>
      <c r="CK67" s="6"/>
      <c r="CL67" s="6"/>
      <c r="CM67" s="6"/>
      <c r="CN67" s="6"/>
      <c r="CO67" s="6"/>
      <c r="CP67" s="6"/>
      <c r="CQ67" s="6"/>
      <c r="CR67" s="6"/>
    </row>
    <row r="68" spans="1:96" ht="15.6" x14ac:dyDescent="0.3">
      <c r="A68" s="6">
        <v>1</v>
      </c>
      <c r="B68" s="6"/>
      <c r="C68" s="7">
        <v>49</v>
      </c>
      <c r="D68" s="7" t="s">
        <v>81</v>
      </c>
      <c r="E68" s="13" t="s">
        <v>82</v>
      </c>
      <c r="F68" s="9" t="str">
        <f t="shared" si="10"/>
        <v>2013-76K91072011OTC</v>
      </c>
      <c r="G68" s="7" t="s">
        <v>83</v>
      </c>
      <c r="H68" s="8" t="s">
        <v>244</v>
      </c>
      <c r="I68" s="7" t="s">
        <v>63</v>
      </c>
      <c r="J68" s="7" t="s">
        <v>34</v>
      </c>
      <c r="K68" s="7" t="s">
        <v>85</v>
      </c>
      <c r="L68" s="7">
        <v>2011</v>
      </c>
      <c r="M68" s="7" t="s">
        <v>36</v>
      </c>
      <c r="N68" s="7" t="s">
        <v>51</v>
      </c>
      <c r="O68" s="15" t="s">
        <v>75</v>
      </c>
      <c r="P68" s="7">
        <f>(8 * R68+ 4 * 0.97*R67) / 12*1.08</f>
        <v>56.645280000000007</v>
      </c>
      <c r="Q68" s="18">
        <v>8.4</v>
      </c>
      <c r="R68" s="6">
        <v>55.2</v>
      </c>
      <c r="S68" s="6">
        <v>8</v>
      </c>
      <c r="T68" s="6">
        <v>125</v>
      </c>
      <c r="U68" s="6">
        <v>3</v>
      </c>
      <c r="V68" s="6">
        <f t="shared" si="9"/>
        <v>6.0480000000000009</v>
      </c>
      <c r="W68" s="6" t="s">
        <v>52</v>
      </c>
      <c r="X68" s="6"/>
      <c r="Y68" s="12">
        <v>4.0540540540540499</v>
      </c>
      <c r="Z68" s="7" t="s">
        <v>245</v>
      </c>
      <c r="AA68" s="6"/>
      <c r="AB68" s="6">
        <v>0.12162162162162993</v>
      </c>
      <c r="AC68" s="12">
        <f>Y68/AW68*1000</f>
        <v>25.571725571725491</v>
      </c>
      <c r="AD68" s="7" t="s">
        <v>39</v>
      </c>
      <c r="AE68" s="6" t="s">
        <v>55</v>
      </c>
      <c r="AF68" s="6"/>
      <c r="AG68" s="12">
        <f>AW68/AK68</f>
        <v>34.54834880207212</v>
      </c>
      <c r="AH68" s="7" t="s">
        <v>40</v>
      </c>
      <c r="AI68" s="6"/>
      <c r="AJ68" s="6"/>
      <c r="AK68" s="12">
        <v>4.5888324873096504</v>
      </c>
      <c r="AL68" s="6" t="s">
        <v>67</v>
      </c>
      <c r="AM68" s="6"/>
      <c r="AN68" s="6">
        <v>0.24365482233501989</v>
      </c>
      <c r="AO68" s="12">
        <f t="shared" si="11"/>
        <v>158.53658536585399</v>
      </c>
      <c r="AP68" s="6" t="s">
        <v>67</v>
      </c>
      <c r="AQ68" s="6"/>
      <c r="AR68" s="6"/>
      <c r="AS68" s="6"/>
      <c r="AT68" s="6"/>
      <c r="AU68" s="6"/>
      <c r="AV68" s="6"/>
      <c r="AW68" s="6">
        <v>158.53658536585399</v>
      </c>
      <c r="AX68" s="6" t="s">
        <v>67</v>
      </c>
      <c r="AY68" s="6"/>
      <c r="AZ68" s="6">
        <v>7.6219512195119989</v>
      </c>
      <c r="BA68" s="6">
        <v>0.31013513513513502</v>
      </c>
      <c r="BB68" s="6" t="s">
        <v>229</v>
      </c>
      <c r="BC68" s="6"/>
      <c r="BD68" s="6">
        <v>1.0135135135134976E-2</v>
      </c>
      <c r="BE68" s="6"/>
      <c r="BF68" s="6"/>
      <c r="BG68" s="6"/>
      <c r="BH68" s="6"/>
      <c r="BI68" s="6"/>
      <c r="BJ68" s="6"/>
      <c r="BK68" s="6"/>
      <c r="BL68" s="6"/>
      <c r="BM68" s="6"/>
      <c r="BN68" s="6"/>
      <c r="BO68" s="6"/>
      <c r="BP68" s="6"/>
      <c r="BQ68" s="6"/>
      <c r="BR68" s="6"/>
      <c r="BS68" s="6"/>
      <c r="BT68" s="6"/>
      <c r="BU68" s="6"/>
      <c r="BV68" s="6"/>
      <c r="BW68" s="6"/>
      <c r="BX68" s="6"/>
      <c r="BY68" s="6">
        <v>28.7</v>
      </c>
      <c r="BZ68" s="6" t="s">
        <v>229</v>
      </c>
      <c r="CA68" s="6"/>
      <c r="CB68" s="6">
        <v>0.1</v>
      </c>
      <c r="CC68" s="6">
        <v>94.3</v>
      </c>
      <c r="CD68" s="6" t="s">
        <v>229</v>
      </c>
      <c r="CE68" s="6"/>
      <c r="CF68" s="6">
        <v>1.52</v>
      </c>
      <c r="CG68" s="6">
        <v>3.8071065989847699</v>
      </c>
      <c r="CH68" s="6" t="s">
        <v>245</v>
      </c>
      <c r="CI68" s="6"/>
      <c r="CJ68" s="6">
        <v>0.20304568527918976</v>
      </c>
      <c r="CK68" s="6"/>
      <c r="CL68" s="6"/>
      <c r="CM68" s="6"/>
      <c r="CN68" s="6"/>
      <c r="CO68" s="6"/>
      <c r="CP68" s="6"/>
      <c r="CQ68" s="6"/>
      <c r="CR68" s="6"/>
    </row>
    <row r="69" spans="1:96" ht="15.6" x14ac:dyDescent="0.3">
      <c r="A69" s="6">
        <v>1</v>
      </c>
      <c r="B69" s="6"/>
      <c r="C69" s="7">
        <v>50</v>
      </c>
      <c r="D69" s="7" t="s">
        <v>86</v>
      </c>
      <c r="E69" s="13" t="s">
        <v>87</v>
      </c>
      <c r="F69" s="9" t="str">
        <f t="shared" si="10"/>
        <v>2019-164C3062016FACE</v>
      </c>
      <c r="G69" s="7" t="s">
        <v>88</v>
      </c>
      <c r="H69" s="8" t="s">
        <v>244</v>
      </c>
      <c r="I69" s="7" t="s">
        <v>63</v>
      </c>
      <c r="J69" s="7" t="s">
        <v>34</v>
      </c>
      <c r="K69" s="7" t="s">
        <v>89</v>
      </c>
      <c r="L69" s="7">
        <v>2016</v>
      </c>
      <c r="M69" s="7" t="s">
        <v>50</v>
      </c>
      <c r="N69" s="7" t="s">
        <v>51</v>
      </c>
      <c r="O69" s="7" t="s">
        <v>42</v>
      </c>
      <c r="P69" s="7">
        <f>R69/1.01*1.08</f>
        <v>32.827722772277234</v>
      </c>
      <c r="Q69" s="7"/>
      <c r="R69" s="7">
        <v>30.7</v>
      </c>
      <c r="S69" s="7">
        <v>7</v>
      </c>
      <c r="T69" s="7">
        <v>160</v>
      </c>
      <c r="U69" s="6">
        <v>4</v>
      </c>
      <c r="V69" s="13">
        <v>2.6636551037927898</v>
      </c>
      <c r="W69" s="6" t="s">
        <v>52</v>
      </c>
      <c r="X69" s="6"/>
      <c r="Y69" s="12">
        <v>450</v>
      </c>
      <c r="Z69" s="6" t="s">
        <v>80</v>
      </c>
      <c r="AA69" s="6"/>
      <c r="AB69" s="6">
        <v>30</v>
      </c>
      <c r="AC69" s="12">
        <v>36.1</v>
      </c>
      <c r="AD69" s="7" t="s">
        <v>39</v>
      </c>
      <c r="AE69" s="6"/>
      <c r="AF69" s="6">
        <v>0.5</v>
      </c>
      <c r="AG69" s="12">
        <v>42.2</v>
      </c>
      <c r="AH69" s="7" t="s">
        <v>40</v>
      </c>
      <c r="AI69" s="6"/>
      <c r="AJ69" s="6">
        <v>1</v>
      </c>
      <c r="AK69" s="12">
        <v>450</v>
      </c>
      <c r="AL69" s="6" t="s">
        <v>54</v>
      </c>
      <c r="AM69" s="6"/>
      <c r="AN69" s="6">
        <v>18</v>
      </c>
      <c r="AO69" s="12">
        <f t="shared" si="11"/>
        <v>12465.373961218836</v>
      </c>
      <c r="AP69" s="6" t="s">
        <v>54</v>
      </c>
      <c r="AQ69" s="6"/>
      <c r="AR69" s="6"/>
      <c r="AS69" s="6"/>
      <c r="AT69" s="6"/>
      <c r="AU69" s="6"/>
      <c r="AV69" s="6"/>
      <c r="AW69" s="6"/>
      <c r="AX69" s="6"/>
      <c r="AY69" s="6"/>
      <c r="AZ69" s="6"/>
      <c r="BA69" s="6">
        <v>0.33800000000000002</v>
      </c>
      <c r="BB69" s="7" t="s">
        <v>246</v>
      </c>
      <c r="BC69" s="6"/>
      <c r="BD69" s="6">
        <v>5.0999999999999997E-2</v>
      </c>
      <c r="BE69" s="6"/>
      <c r="BF69" s="6"/>
      <c r="BG69" s="6"/>
      <c r="BH69" s="6"/>
      <c r="BI69" s="6">
        <v>33</v>
      </c>
      <c r="BJ69" s="7" t="s">
        <v>40</v>
      </c>
      <c r="BK69" s="6"/>
      <c r="BL69" s="6">
        <v>1.1000000000000001</v>
      </c>
      <c r="BM69" s="6"/>
      <c r="BN69" s="6"/>
      <c r="BO69" s="6"/>
      <c r="BP69" s="6"/>
      <c r="BQ69" s="6">
        <v>2.1</v>
      </c>
      <c r="BR69" s="6" t="s">
        <v>248</v>
      </c>
      <c r="BS69" s="6"/>
      <c r="BT69" s="6">
        <v>0.2</v>
      </c>
      <c r="BU69" s="6">
        <v>2</v>
      </c>
      <c r="BV69" s="6" t="s">
        <v>229</v>
      </c>
      <c r="BW69" s="6"/>
      <c r="BX69" s="6"/>
      <c r="BY69" s="6">
        <v>11.9</v>
      </c>
      <c r="BZ69" s="6" t="s">
        <v>229</v>
      </c>
      <c r="CA69" s="6"/>
      <c r="CB69" s="6"/>
      <c r="CC69" s="6">
        <v>72</v>
      </c>
      <c r="CD69" s="6" t="s">
        <v>229</v>
      </c>
      <c r="CE69" s="6"/>
      <c r="CF69" s="6"/>
      <c r="CG69" s="6"/>
      <c r="CH69" s="6"/>
      <c r="CI69" s="6"/>
      <c r="CJ69" s="6"/>
      <c r="CK69" s="6"/>
      <c r="CL69" s="6"/>
      <c r="CM69" s="6"/>
      <c r="CN69" s="6"/>
      <c r="CO69" s="6"/>
      <c r="CP69" s="6"/>
      <c r="CQ69" s="6"/>
      <c r="CR69" s="6"/>
    </row>
    <row r="70" spans="1:96" ht="15.6" x14ac:dyDescent="0.3">
      <c r="A70" s="6">
        <v>1</v>
      </c>
      <c r="B70" s="6"/>
      <c r="C70" s="7">
        <v>50</v>
      </c>
      <c r="D70" s="7" t="s">
        <v>86</v>
      </c>
      <c r="E70" s="13" t="s">
        <v>87</v>
      </c>
      <c r="F70" s="9" t="str">
        <f t="shared" si="10"/>
        <v>2019-164C3062016FACE</v>
      </c>
      <c r="G70" s="7" t="s">
        <v>88</v>
      </c>
      <c r="H70" s="8" t="s">
        <v>244</v>
      </c>
      <c r="I70" s="7" t="s">
        <v>63</v>
      </c>
      <c r="J70" s="7" t="s">
        <v>34</v>
      </c>
      <c r="K70" s="7" t="s">
        <v>89</v>
      </c>
      <c r="L70" s="7">
        <v>2016</v>
      </c>
      <c r="M70" s="7" t="s">
        <v>50</v>
      </c>
      <c r="N70" s="7" t="s">
        <v>51</v>
      </c>
      <c r="O70" s="7" t="s">
        <v>56</v>
      </c>
      <c r="P70" s="7">
        <f>(7*R70+5*0.976*R69)/12*1.08</f>
        <v>58.969440000000006</v>
      </c>
      <c r="Q70" s="7">
        <v>31.232610000000001</v>
      </c>
      <c r="R70" s="7">
        <v>72.2</v>
      </c>
      <c r="S70" s="7">
        <v>7</v>
      </c>
      <c r="T70" s="7">
        <v>160</v>
      </c>
      <c r="U70" s="6">
        <v>4</v>
      </c>
      <c r="V70" s="6">
        <f>IF(T70&lt;=90,Q70,Q70/T70*90)</f>
        <v>17.568343125000002</v>
      </c>
      <c r="W70" s="6" t="s">
        <v>52</v>
      </c>
      <c r="X70" s="6"/>
      <c r="Y70" s="12">
        <v>440</v>
      </c>
      <c r="Z70" s="6" t="s">
        <v>80</v>
      </c>
      <c r="AA70" s="6"/>
      <c r="AB70" s="6">
        <v>30</v>
      </c>
      <c r="AC70" s="12">
        <v>33.299999999999997</v>
      </c>
      <c r="AD70" s="7" t="s">
        <v>39</v>
      </c>
      <c r="AE70" s="6"/>
      <c r="AF70" s="6">
        <v>0.8</v>
      </c>
      <c r="AG70" s="12">
        <v>35.799999999999997</v>
      </c>
      <c r="AH70" s="7" t="s">
        <v>40</v>
      </c>
      <c r="AI70" s="6"/>
      <c r="AJ70" s="6">
        <v>1.6</v>
      </c>
      <c r="AK70" s="12">
        <v>406</v>
      </c>
      <c r="AL70" s="6" t="s">
        <v>54</v>
      </c>
      <c r="AM70" s="6"/>
      <c r="AN70" s="6">
        <v>5</v>
      </c>
      <c r="AO70" s="12">
        <f t="shared" si="11"/>
        <v>13213.213213213214</v>
      </c>
      <c r="AP70" s="6" t="s">
        <v>54</v>
      </c>
      <c r="AQ70" s="6"/>
      <c r="AR70" s="6"/>
      <c r="AS70" s="6"/>
      <c r="AT70" s="6"/>
      <c r="AU70" s="6"/>
      <c r="AV70" s="6"/>
      <c r="AW70" s="6"/>
      <c r="AX70" s="6"/>
      <c r="AY70" s="6"/>
      <c r="AZ70" s="6"/>
      <c r="BA70" s="6">
        <v>0.38200000000000001</v>
      </c>
      <c r="BB70" s="7" t="s">
        <v>246</v>
      </c>
      <c r="BC70" s="6"/>
      <c r="BD70" s="6">
        <v>1.6E-2</v>
      </c>
      <c r="BE70" s="6"/>
      <c r="BF70" s="6"/>
      <c r="BG70" s="6"/>
      <c r="BH70" s="6"/>
      <c r="BI70" s="6">
        <v>31</v>
      </c>
      <c r="BJ70" s="7" t="s">
        <v>40</v>
      </c>
      <c r="BK70" s="6"/>
      <c r="BL70" s="6">
        <v>1.2</v>
      </c>
      <c r="BM70" s="6"/>
      <c r="BN70" s="6"/>
      <c r="BO70" s="6"/>
      <c r="BP70" s="6"/>
      <c r="BQ70" s="6">
        <v>1.8</v>
      </c>
      <c r="BR70" s="6" t="s">
        <v>248</v>
      </c>
      <c r="BS70" s="6"/>
      <c r="BT70" s="6">
        <v>0.3</v>
      </c>
      <c r="BU70" s="6">
        <v>2.33</v>
      </c>
      <c r="BV70" s="6" t="s">
        <v>229</v>
      </c>
      <c r="BW70" s="6"/>
      <c r="BX70" s="6"/>
      <c r="BY70" s="6">
        <v>13.9</v>
      </c>
      <c r="BZ70" s="6" t="s">
        <v>229</v>
      </c>
      <c r="CA70" s="6"/>
      <c r="CB70" s="6"/>
      <c r="CC70" s="6">
        <v>68</v>
      </c>
      <c r="CD70" s="6" t="s">
        <v>229</v>
      </c>
      <c r="CE70" s="6"/>
      <c r="CF70" s="6"/>
      <c r="CG70" s="6"/>
      <c r="CH70" s="6"/>
      <c r="CI70" s="6"/>
      <c r="CJ70" s="6"/>
      <c r="CK70" s="6"/>
      <c r="CL70" s="6"/>
      <c r="CM70" s="6"/>
      <c r="CN70" s="6"/>
      <c r="CO70" s="6"/>
      <c r="CP70" s="6"/>
      <c r="CQ70" s="6"/>
      <c r="CR70" s="6"/>
    </row>
    <row r="71" spans="1:96" ht="15.6" x14ac:dyDescent="0.3">
      <c r="A71" s="6">
        <v>1</v>
      </c>
      <c r="B71" s="6"/>
      <c r="C71" s="7">
        <v>50</v>
      </c>
      <c r="D71" s="7" t="s">
        <v>86</v>
      </c>
      <c r="E71" s="13" t="s">
        <v>87</v>
      </c>
      <c r="F71" s="9" t="str">
        <f t="shared" si="10"/>
        <v>2019-164HD29672016FACE</v>
      </c>
      <c r="G71" s="7" t="s">
        <v>88</v>
      </c>
      <c r="H71" s="8" t="s">
        <v>244</v>
      </c>
      <c r="I71" s="7" t="s">
        <v>63</v>
      </c>
      <c r="J71" s="7" t="s">
        <v>34</v>
      </c>
      <c r="K71" s="7" t="s">
        <v>90</v>
      </c>
      <c r="L71" s="7">
        <v>2016</v>
      </c>
      <c r="M71" s="7" t="s">
        <v>50</v>
      </c>
      <c r="N71" s="7" t="s">
        <v>51</v>
      </c>
      <c r="O71" s="7" t="s">
        <v>42</v>
      </c>
      <c r="P71" s="7">
        <f>R71/1.01*1.08</f>
        <v>32.827722772277234</v>
      </c>
      <c r="Q71" s="7"/>
      <c r="R71" s="7">
        <v>30.7</v>
      </c>
      <c r="S71" s="7">
        <v>7</v>
      </c>
      <c r="T71" s="7">
        <v>160</v>
      </c>
      <c r="U71" s="6">
        <v>4</v>
      </c>
      <c r="V71" s="13">
        <v>2.6636551037927898</v>
      </c>
      <c r="W71" s="6" t="s">
        <v>52</v>
      </c>
      <c r="X71" s="6"/>
      <c r="Y71" s="12">
        <v>440</v>
      </c>
      <c r="Z71" s="6" t="s">
        <v>80</v>
      </c>
      <c r="AA71" s="6"/>
      <c r="AB71" s="6">
        <v>40</v>
      </c>
      <c r="AC71" s="12">
        <v>35.9</v>
      </c>
      <c r="AD71" s="7" t="s">
        <v>39</v>
      </c>
      <c r="AE71" s="6"/>
      <c r="AF71" s="6">
        <v>0.9</v>
      </c>
      <c r="AG71" s="12">
        <v>41.3</v>
      </c>
      <c r="AH71" s="7" t="s">
        <v>40</v>
      </c>
      <c r="AI71" s="6"/>
      <c r="AJ71" s="6">
        <v>3</v>
      </c>
      <c r="AK71" s="12">
        <v>400</v>
      </c>
      <c r="AL71" s="6" t="s">
        <v>54</v>
      </c>
      <c r="AM71" s="6"/>
      <c r="AN71" s="6">
        <v>8</v>
      </c>
      <c r="AO71" s="12">
        <f t="shared" si="11"/>
        <v>12256.267409470751</v>
      </c>
      <c r="AP71" s="6" t="s">
        <v>54</v>
      </c>
      <c r="AQ71" s="6"/>
      <c r="AR71" s="6"/>
      <c r="AS71" s="6"/>
      <c r="AT71" s="6"/>
      <c r="AU71" s="6"/>
      <c r="AV71" s="6"/>
      <c r="AW71" s="6"/>
      <c r="AX71" s="6"/>
      <c r="AY71" s="6"/>
      <c r="AZ71" s="6"/>
      <c r="BA71" s="6">
        <v>0.32500000000000001</v>
      </c>
      <c r="BB71" s="7" t="s">
        <v>246</v>
      </c>
      <c r="BC71" s="6"/>
      <c r="BD71" s="6">
        <v>3.6999999999999998E-2</v>
      </c>
      <c r="BE71" s="6"/>
      <c r="BF71" s="6"/>
      <c r="BG71" s="6"/>
      <c r="BH71" s="6"/>
      <c r="BI71" s="6">
        <v>35</v>
      </c>
      <c r="BJ71" s="7" t="s">
        <v>40</v>
      </c>
      <c r="BK71" s="6"/>
      <c r="BL71" s="6">
        <v>1.5</v>
      </c>
      <c r="BM71" s="6"/>
      <c r="BN71" s="6"/>
      <c r="BO71" s="6"/>
      <c r="BP71" s="6"/>
      <c r="BQ71" s="6">
        <v>2.2000000000000002</v>
      </c>
      <c r="BR71" s="6" t="s">
        <v>248</v>
      </c>
      <c r="BS71" s="6"/>
      <c r="BT71" s="6">
        <v>0.2</v>
      </c>
      <c r="BU71" s="6">
        <v>2</v>
      </c>
      <c r="BV71" s="6" t="s">
        <v>229</v>
      </c>
      <c r="BW71" s="6"/>
      <c r="BX71" s="6"/>
      <c r="BY71" s="6">
        <v>11.9</v>
      </c>
      <c r="BZ71" s="6" t="s">
        <v>229</v>
      </c>
      <c r="CA71" s="6"/>
      <c r="CB71" s="6"/>
      <c r="CC71" s="6">
        <v>76</v>
      </c>
      <c r="CD71" s="6" t="s">
        <v>229</v>
      </c>
      <c r="CE71" s="6"/>
      <c r="CF71" s="6"/>
      <c r="CG71" s="6"/>
      <c r="CH71" s="6"/>
      <c r="CI71" s="6"/>
      <c r="CJ71" s="6"/>
      <c r="CK71" s="6"/>
      <c r="CL71" s="6"/>
      <c r="CM71" s="6"/>
      <c r="CN71" s="6"/>
      <c r="CO71" s="6"/>
      <c r="CP71" s="6"/>
      <c r="CQ71" s="6"/>
      <c r="CR71" s="6"/>
    </row>
    <row r="72" spans="1:96" ht="15.6" x14ac:dyDescent="0.3">
      <c r="A72" s="6">
        <v>1</v>
      </c>
      <c r="B72" s="6"/>
      <c r="C72" s="7">
        <v>50</v>
      </c>
      <c r="D72" s="7" t="s">
        <v>86</v>
      </c>
      <c r="E72" s="13" t="s">
        <v>87</v>
      </c>
      <c r="F72" s="9" t="str">
        <f t="shared" si="10"/>
        <v>2019-164HD29672016FACE</v>
      </c>
      <c r="G72" s="7" t="s">
        <v>88</v>
      </c>
      <c r="H72" s="8" t="s">
        <v>244</v>
      </c>
      <c r="I72" s="7" t="s">
        <v>63</v>
      </c>
      <c r="J72" s="7" t="s">
        <v>34</v>
      </c>
      <c r="K72" s="7" t="s">
        <v>90</v>
      </c>
      <c r="L72" s="7">
        <v>2016</v>
      </c>
      <c r="M72" s="7" t="s">
        <v>50</v>
      </c>
      <c r="N72" s="7" t="s">
        <v>51</v>
      </c>
      <c r="O72" s="7" t="s">
        <v>56</v>
      </c>
      <c r="P72" s="7">
        <f>(7*R72+5*0.976*R71)/12*1.08</f>
        <v>58.969440000000006</v>
      </c>
      <c r="Q72" s="7">
        <v>31.232610000000001</v>
      </c>
      <c r="R72" s="7">
        <v>72.2</v>
      </c>
      <c r="S72" s="7">
        <v>7</v>
      </c>
      <c r="T72" s="7">
        <v>160</v>
      </c>
      <c r="U72" s="6">
        <v>4</v>
      </c>
      <c r="V72" s="6">
        <f>IF(T72&lt;=90,Q72,Q72/T72*90)</f>
        <v>17.568343125000002</v>
      </c>
      <c r="W72" s="6" t="s">
        <v>52</v>
      </c>
      <c r="X72" s="6"/>
      <c r="Y72" s="12">
        <v>390</v>
      </c>
      <c r="Z72" s="6" t="s">
        <v>80</v>
      </c>
      <c r="AA72" s="6"/>
      <c r="AB72" s="6">
        <v>20</v>
      </c>
      <c r="AC72" s="12">
        <v>33.9</v>
      </c>
      <c r="AD72" s="7" t="s">
        <v>39</v>
      </c>
      <c r="AE72" s="6"/>
      <c r="AF72" s="6">
        <v>1</v>
      </c>
      <c r="AG72" s="12">
        <v>40.5</v>
      </c>
      <c r="AH72" s="7" t="s">
        <v>40</v>
      </c>
      <c r="AI72" s="6"/>
      <c r="AJ72" s="6">
        <v>3</v>
      </c>
      <c r="AK72" s="12">
        <v>381</v>
      </c>
      <c r="AL72" s="6" t="s">
        <v>54</v>
      </c>
      <c r="AM72" s="6"/>
      <c r="AN72" s="6">
        <v>30</v>
      </c>
      <c r="AO72" s="12">
        <f t="shared" si="11"/>
        <v>11504.424778761062</v>
      </c>
      <c r="AP72" s="6" t="s">
        <v>54</v>
      </c>
      <c r="AQ72" s="6"/>
      <c r="AR72" s="6"/>
      <c r="AS72" s="6"/>
      <c r="AT72" s="6"/>
      <c r="AU72" s="6"/>
      <c r="AV72" s="6"/>
      <c r="AW72" s="6"/>
      <c r="AX72" s="6"/>
      <c r="AY72" s="6"/>
      <c r="AZ72" s="6"/>
      <c r="BA72" s="6">
        <v>0.35399999999999998</v>
      </c>
      <c r="BB72" s="7" t="s">
        <v>246</v>
      </c>
      <c r="BC72" s="6"/>
      <c r="BD72" s="6">
        <v>0.01</v>
      </c>
      <c r="BE72" s="6"/>
      <c r="BF72" s="6"/>
      <c r="BG72" s="6"/>
      <c r="BH72" s="6"/>
      <c r="BI72" s="6">
        <v>33</v>
      </c>
      <c r="BJ72" s="7" t="s">
        <v>40</v>
      </c>
      <c r="BK72" s="6"/>
      <c r="BL72" s="6">
        <v>1.3</v>
      </c>
      <c r="BM72" s="6"/>
      <c r="BN72" s="6"/>
      <c r="BO72" s="6"/>
      <c r="BP72" s="6"/>
      <c r="BQ72" s="6">
        <v>1.8</v>
      </c>
      <c r="BR72" s="6" t="s">
        <v>248</v>
      </c>
      <c r="BS72" s="6"/>
      <c r="BT72" s="6">
        <v>0.1</v>
      </c>
      <c r="BU72" s="6">
        <v>2.2000000000000002</v>
      </c>
      <c r="BV72" s="6" t="s">
        <v>229</v>
      </c>
      <c r="BW72" s="6"/>
      <c r="BX72" s="6"/>
      <c r="BY72" s="6">
        <v>13</v>
      </c>
      <c r="BZ72" s="6" t="s">
        <v>229</v>
      </c>
      <c r="CA72" s="6"/>
      <c r="CB72" s="6"/>
      <c r="CC72" s="6">
        <v>67</v>
      </c>
      <c r="CD72" s="6" t="s">
        <v>229</v>
      </c>
      <c r="CE72" s="6"/>
      <c r="CF72" s="6"/>
      <c r="CG72" s="6"/>
      <c r="CH72" s="6"/>
      <c r="CI72" s="6"/>
      <c r="CJ72" s="6"/>
      <c r="CK72" s="6"/>
      <c r="CL72" s="6"/>
      <c r="CM72" s="6"/>
      <c r="CN72" s="6"/>
      <c r="CO72" s="6"/>
      <c r="CP72" s="6"/>
      <c r="CQ72" s="6"/>
      <c r="CR72" s="6"/>
    </row>
    <row r="73" spans="1:96" ht="15.6" x14ac:dyDescent="0.3">
      <c r="A73" s="6">
        <v>1</v>
      </c>
      <c r="B73" s="6"/>
      <c r="C73" s="7">
        <v>50</v>
      </c>
      <c r="D73" s="7" t="s">
        <v>86</v>
      </c>
      <c r="E73" s="13" t="s">
        <v>91</v>
      </c>
      <c r="F73" s="9" t="str">
        <f t="shared" si="10"/>
        <v>2019-164C3062017FACE</v>
      </c>
      <c r="G73" s="7" t="s">
        <v>88</v>
      </c>
      <c r="H73" s="8" t="s">
        <v>244</v>
      </c>
      <c r="I73" s="7" t="s">
        <v>63</v>
      </c>
      <c r="J73" s="7" t="s">
        <v>34</v>
      </c>
      <c r="K73" s="7" t="s">
        <v>89</v>
      </c>
      <c r="L73" s="7">
        <v>2017</v>
      </c>
      <c r="M73" s="7" t="s">
        <v>50</v>
      </c>
      <c r="N73" s="7" t="s">
        <v>51</v>
      </c>
      <c r="O73" s="7" t="s">
        <v>42</v>
      </c>
      <c r="P73" s="7">
        <f>R73/1.01*1.08</f>
        <v>32.827722772277234</v>
      </c>
      <c r="Q73" s="7"/>
      <c r="R73" s="7">
        <v>30.7</v>
      </c>
      <c r="S73" s="7">
        <v>7</v>
      </c>
      <c r="T73" s="7">
        <v>160</v>
      </c>
      <c r="U73" s="6">
        <v>4</v>
      </c>
      <c r="V73" s="13">
        <v>2.6636551037927898</v>
      </c>
      <c r="W73" s="6" t="s">
        <v>52</v>
      </c>
      <c r="X73" s="6"/>
      <c r="Y73" s="12">
        <v>490</v>
      </c>
      <c r="Z73" s="6" t="s">
        <v>80</v>
      </c>
      <c r="AA73" s="6"/>
      <c r="AB73" s="6">
        <v>30</v>
      </c>
      <c r="AC73" s="12">
        <v>40.200000000000003</v>
      </c>
      <c r="AD73" s="7" t="s">
        <v>39</v>
      </c>
      <c r="AE73" s="6"/>
      <c r="AF73" s="6">
        <v>1</v>
      </c>
      <c r="AG73" s="12">
        <v>43</v>
      </c>
      <c r="AH73" s="7" t="s">
        <v>40</v>
      </c>
      <c r="AI73" s="6"/>
      <c r="AJ73" s="6">
        <v>3</v>
      </c>
      <c r="AK73" s="12">
        <v>374</v>
      </c>
      <c r="AL73" s="6" t="s">
        <v>54</v>
      </c>
      <c r="AM73" s="6"/>
      <c r="AN73" s="6">
        <v>18</v>
      </c>
      <c r="AO73" s="12">
        <f t="shared" si="11"/>
        <v>12189.054726368158</v>
      </c>
      <c r="AP73" s="6" t="s">
        <v>54</v>
      </c>
      <c r="AQ73" s="6"/>
      <c r="AR73" s="6"/>
      <c r="AS73" s="6"/>
      <c r="AT73" s="6"/>
      <c r="AU73" s="6"/>
      <c r="AV73" s="6"/>
      <c r="AW73" s="6"/>
      <c r="AX73" s="6"/>
      <c r="AY73" s="6"/>
      <c r="AZ73" s="6"/>
      <c r="BA73" s="6">
        <v>0.34</v>
      </c>
      <c r="BB73" s="7" t="s">
        <v>246</v>
      </c>
      <c r="BC73" s="6"/>
      <c r="BD73" s="6">
        <v>0.02</v>
      </c>
      <c r="BE73" s="6"/>
      <c r="BF73" s="6"/>
      <c r="BG73" s="6"/>
      <c r="BH73" s="6"/>
      <c r="BI73" s="6">
        <v>35</v>
      </c>
      <c r="BJ73" s="7" t="s">
        <v>40</v>
      </c>
      <c r="BK73" s="6"/>
      <c r="BL73" s="6">
        <v>0.6</v>
      </c>
      <c r="BM73" s="6"/>
      <c r="BN73" s="6"/>
      <c r="BO73" s="6"/>
      <c r="BP73" s="6"/>
      <c r="BQ73" s="6">
        <v>2.2999999999999998</v>
      </c>
      <c r="BR73" s="6" t="s">
        <v>248</v>
      </c>
      <c r="BS73" s="6"/>
      <c r="BT73" s="6">
        <v>0.1</v>
      </c>
      <c r="BU73" s="6">
        <v>1.95</v>
      </c>
      <c r="BV73" s="6" t="s">
        <v>229</v>
      </c>
      <c r="BW73" s="6"/>
      <c r="BX73" s="6"/>
      <c r="BY73" s="6">
        <v>11.6</v>
      </c>
      <c r="BZ73" s="6" t="s">
        <v>229</v>
      </c>
      <c r="CA73" s="6"/>
      <c r="CB73" s="6"/>
      <c r="CC73" s="6">
        <v>75</v>
      </c>
      <c r="CD73" s="6" t="s">
        <v>229</v>
      </c>
      <c r="CE73" s="6"/>
      <c r="CF73" s="6"/>
      <c r="CG73" s="6"/>
      <c r="CH73" s="6"/>
      <c r="CI73" s="6"/>
      <c r="CJ73" s="6"/>
      <c r="CK73" s="6"/>
      <c r="CL73" s="6"/>
      <c r="CM73" s="6"/>
      <c r="CN73" s="6"/>
      <c r="CO73" s="6"/>
      <c r="CP73" s="6"/>
      <c r="CQ73" s="6"/>
      <c r="CR73" s="6"/>
    </row>
    <row r="74" spans="1:96" ht="15.6" x14ac:dyDescent="0.3">
      <c r="A74" s="6">
        <v>1</v>
      </c>
      <c r="B74" s="6"/>
      <c r="C74" s="7">
        <v>50</v>
      </c>
      <c r="D74" s="7" t="s">
        <v>86</v>
      </c>
      <c r="E74" s="13" t="s">
        <v>87</v>
      </c>
      <c r="F74" s="9" t="str">
        <f t="shared" si="10"/>
        <v>2019-164C3062017FACE</v>
      </c>
      <c r="G74" s="7" t="s">
        <v>88</v>
      </c>
      <c r="H74" s="8" t="s">
        <v>244</v>
      </c>
      <c r="I74" s="7" t="s">
        <v>63</v>
      </c>
      <c r="J74" s="7" t="s">
        <v>34</v>
      </c>
      <c r="K74" s="7" t="s">
        <v>89</v>
      </c>
      <c r="L74" s="7">
        <v>2017</v>
      </c>
      <c r="M74" s="7" t="s">
        <v>50</v>
      </c>
      <c r="N74" s="7" t="s">
        <v>51</v>
      </c>
      <c r="O74" s="7" t="s">
        <v>56</v>
      </c>
      <c r="P74" s="7">
        <f>(7*R74+5*0.976*R73)/12*1.08</f>
        <v>58.969440000000006</v>
      </c>
      <c r="Q74" s="7">
        <v>31.232610000000001</v>
      </c>
      <c r="R74" s="7">
        <v>72.2</v>
      </c>
      <c r="S74" s="7">
        <v>7</v>
      </c>
      <c r="T74" s="7">
        <v>160</v>
      </c>
      <c r="U74" s="6">
        <v>4</v>
      </c>
      <c r="V74" s="6">
        <f>IF(T74&lt;=90,Q74,Q74/T74*90)</f>
        <v>17.568343125000002</v>
      </c>
      <c r="W74" s="6" t="s">
        <v>52</v>
      </c>
      <c r="X74" s="6"/>
      <c r="Y74" s="12">
        <v>420</v>
      </c>
      <c r="Z74" s="6" t="s">
        <v>80</v>
      </c>
      <c r="AA74" s="6"/>
      <c r="AB74" s="6">
        <v>20</v>
      </c>
      <c r="AC74" s="12">
        <v>36.6</v>
      </c>
      <c r="AD74" s="7" t="s">
        <v>39</v>
      </c>
      <c r="AE74" s="6"/>
      <c r="AF74" s="6">
        <v>1.1000000000000001</v>
      </c>
      <c r="AG74" s="12">
        <v>42.1</v>
      </c>
      <c r="AH74" s="7" t="s">
        <v>40</v>
      </c>
      <c r="AI74" s="6"/>
      <c r="AJ74" s="6">
        <v>5.0999999999999996</v>
      </c>
      <c r="AK74" s="12">
        <v>320</v>
      </c>
      <c r="AL74" s="6" t="s">
        <v>54</v>
      </c>
      <c r="AM74" s="6"/>
      <c r="AN74" s="6">
        <v>19</v>
      </c>
      <c r="AO74" s="12">
        <f t="shared" si="11"/>
        <v>11475.409836065573</v>
      </c>
      <c r="AP74" s="6" t="s">
        <v>54</v>
      </c>
      <c r="AQ74" s="6"/>
      <c r="AR74" s="6"/>
      <c r="AS74" s="6"/>
      <c r="AT74" s="6"/>
      <c r="AU74" s="6"/>
      <c r="AV74" s="6"/>
      <c r="AW74" s="6"/>
      <c r="AX74" s="6"/>
      <c r="AY74" s="6"/>
      <c r="AZ74" s="6"/>
      <c r="BA74" s="6">
        <v>0.315</v>
      </c>
      <c r="BB74" s="7" t="s">
        <v>246</v>
      </c>
      <c r="BC74" s="6"/>
      <c r="BD74" s="6">
        <v>7.6999999999999999E-2</v>
      </c>
      <c r="BE74" s="6"/>
      <c r="BF74" s="6"/>
      <c r="BG74" s="6"/>
      <c r="BH74" s="6"/>
      <c r="BI74" s="6">
        <v>33</v>
      </c>
      <c r="BJ74" s="7" t="s">
        <v>40</v>
      </c>
      <c r="BK74" s="6"/>
      <c r="BL74" s="6">
        <v>1</v>
      </c>
      <c r="BM74" s="6"/>
      <c r="BN74" s="6"/>
      <c r="BO74" s="6"/>
      <c r="BP74" s="6"/>
      <c r="BQ74" s="6">
        <v>1.8</v>
      </c>
      <c r="BR74" s="6" t="s">
        <v>248</v>
      </c>
      <c r="BS74" s="6"/>
      <c r="BT74" s="6">
        <v>0.2</v>
      </c>
      <c r="BU74" s="6">
        <v>2.2200000000000002</v>
      </c>
      <c r="BV74" s="6" t="s">
        <v>229</v>
      </c>
      <c r="BW74" s="6"/>
      <c r="BX74" s="6"/>
      <c r="BY74" s="6">
        <v>13.2</v>
      </c>
      <c r="BZ74" s="6" t="s">
        <v>229</v>
      </c>
      <c r="CA74" s="6"/>
      <c r="CB74" s="6"/>
      <c r="CC74" s="6">
        <v>66</v>
      </c>
      <c r="CD74" s="6" t="s">
        <v>229</v>
      </c>
      <c r="CE74" s="6"/>
      <c r="CF74" s="6"/>
      <c r="CG74" s="6"/>
      <c r="CH74" s="6"/>
      <c r="CI74" s="6"/>
      <c r="CJ74" s="6"/>
      <c r="CK74" s="6"/>
      <c r="CL74" s="6"/>
      <c r="CM74" s="6"/>
      <c r="CN74" s="6"/>
      <c r="CO74" s="6"/>
      <c r="CP74" s="6"/>
      <c r="CQ74" s="6"/>
      <c r="CR74" s="6"/>
    </row>
    <row r="75" spans="1:96" ht="15.6" x14ac:dyDescent="0.3">
      <c r="A75" s="6">
        <v>1</v>
      </c>
      <c r="B75" s="6"/>
      <c r="C75" s="7">
        <v>50</v>
      </c>
      <c r="D75" s="7" t="s">
        <v>86</v>
      </c>
      <c r="E75" s="13" t="s">
        <v>87</v>
      </c>
      <c r="F75" s="9" t="str">
        <f t="shared" si="10"/>
        <v>2019-164HD29672017FACE</v>
      </c>
      <c r="G75" s="7" t="s">
        <v>88</v>
      </c>
      <c r="H75" s="8" t="s">
        <v>244</v>
      </c>
      <c r="I75" s="7" t="s">
        <v>63</v>
      </c>
      <c r="J75" s="7" t="s">
        <v>34</v>
      </c>
      <c r="K75" s="7" t="s">
        <v>90</v>
      </c>
      <c r="L75" s="7">
        <v>2017</v>
      </c>
      <c r="M75" s="7" t="s">
        <v>50</v>
      </c>
      <c r="N75" s="7" t="s">
        <v>51</v>
      </c>
      <c r="O75" s="7" t="s">
        <v>42</v>
      </c>
      <c r="P75" s="7">
        <f>R75/1.01*1.08</f>
        <v>32.827722772277234</v>
      </c>
      <c r="Q75" s="7"/>
      <c r="R75" s="7">
        <v>30.7</v>
      </c>
      <c r="S75" s="7">
        <v>7</v>
      </c>
      <c r="T75" s="7">
        <v>160</v>
      </c>
      <c r="U75" s="6">
        <v>4</v>
      </c>
      <c r="V75" s="13">
        <v>2.6636551037927898</v>
      </c>
      <c r="W75" s="6" t="s">
        <v>52</v>
      </c>
      <c r="X75" s="6"/>
      <c r="Y75" s="12">
        <v>430</v>
      </c>
      <c r="Z75" s="6" t="s">
        <v>80</v>
      </c>
      <c r="AA75" s="6"/>
      <c r="AB75" s="6">
        <v>60</v>
      </c>
      <c r="AC75" s="12">
        <v>34.799999999999997</v>
      </c>
      <c r="AD75" s="7" t="s">
        <v>39</v>
      </c>
      <c r="AE75" s="6"/>
      <c r="AF75" s="6">
        <v>1.3</v>
      </c>
      <c r="AG75" s="12">
        <v>52.6</v>
      </c>
      <c r="AH75" s="7" t="s">
        <v>40</v>
      </c>
      <c r="AI75" s="6"/>
      <c r="AJ75" s="6">
        <v>2.5</v>
      </c>
      <c r="AK75" s="12">
        <v>394</v>
      </c>
      <c r="AL75" s="6" t="s">
        <v>54</v>
      </c>
      <c r="AM75" s="6"/>
      <c r="AN75" s="6">
        <v>24</v>
      </c>
      <c r="AO75" s="12">
        <f t="shared" si="11"/>
        <v>12356.321839080461</v>
      </c>
      <c r="AP75" s="6" t="s">
        <v>54</v>
      </c>
      <c r="AQ75" s="6"/>
      <c r="AR75" s="6"/>
      <c r="AS75" s="6"/>
      <c r="AT75" s="6"/>
      <c r="AU75" s="6"/>
      <c r="AV75" s="6"/>
      <c r="AW75" s="6"/>
      <c r="AX75" s="6"/>
      <c r="AY75" s="6"/>
      <c r="AZ75" s="6"/>
      <c r="BA75" s="6">
        <v>0.29099999999999998</v>
      </c>
      <c r="BB75" s="7" t="s">
        <v>246</v>
      </c>
      <c r="BC75" s="6"/>
      <c r="BD75" s="6">
        <v>7.0999999999999994E-2</v>
      </c>
      <c r="BE75" s="6"/>
      <c r="BF75" s="6"/>
      <c r="BG75" s="6"/>
      <c r="BH75" s="6"/>
      <c r="BI75" s="6">
        <v>37</v>
      </c>
      <c r="BJ75" s="7" t="s">
        <v>40</v>
      </c>
      <c r="BK75" s="6"/>
      <c r="BL75" s="6">
        <v>0.7</v>
      </c>
      <c r="BM75" s="6"/>
      <c r="BN75" s="6"/>
      <c r="BO75" s="6"/>
      <c r="BP75" s="6"/>
      <c r="BQ75" s="6">
        <v>2.4</v>
      </c>
      <c r="BR75" s="6" t="s">
        <v>248</v>
      </c>
      <c r="BS75" s="6"/>
      <c r="BT75" s="6">
        <v>0.4</v>
      </c>
      <c r="BU75" s="6">
        <v>1.97</v>
      </c>
      <c r="BV75" s="6" t="s">
        <v>229</v>
      </c>
      <c r="BW75" s="6"/>
      <c r="BX75" s="6"/>
      <c r="BY75" s="6">
        <v>11.7</v>
      </c>
      <c r="BZ75" s="6" t="s">
        <v>229</v>
      </c>
      <c r="CA75" s="6"/>
      <c r="CB75" s="6"/>
      <c r="CC75" s="6">
        <v>74</v>
      </c>
      <c r="CD75" s="6" t="s">
        <v>229</v>
      </c>
      <c r="CE75" s="6"/>
      <c r="CF75" s="6"/>
      <c r="CG75" s="6"/>
      <c r="CH75" s="6"/>
      <c r="CI75" s="6"/>
      <c r="CJ75" s="6"/>
      <c r="CK75" s="6"/>
      <c r="CL75" s="6"/>
      <c r="CM75" s="6"/>
      <c r="CN75" s="6"/>
      <c r="CO75" s="6"/>
      <c r="CP75" s="6"/>
      <c r="CQ75" s="6"/>
      <c r="CR75" s="6"/>
    </row>
    <row r="76" spans="1:96" ht="15.6" x14ac:dyDescent="0.3">
      <c r="A76" s="6">
        <v>1</v>
      </c>
      <c r="B76" s="6"/>
      <c r="C76" s="7">
        <v>50</v>
      </c>
      <c r="D76" s="7" t="s">
        <v>86</v>
      </c>
      <c r="E76" s="13" t="s">
        <v>87</v>
      </c>
      <c r="F76" s="9" t="str">
        <f t="shared" si="10"/>
        <v>2019-164HD29672017FACE</v>
      </c>
      <c r="G76" s="7" t="s">
        <v>88</v>
      </c>
      <c r="H76" s="8" t="s">
        <v>244</v>
      </c>
      <c r="I76" s="7" t="s">
        <v>63</v>
      </c>
      <c r="J76" s="7" t="s">
        <v>34</v>
      </c>
      <c r="K76" s="7" t="s">
        <v>90</v>
      </c>
      <c r="L76" s="7">
        <v>2017</v>
      </c>
      <c r="M76" s="7" t="s">
        <v>50</v>
      </c>
      <c r="N76" s="7" t="s">
        <v>51</v>
      </c>
      <c r="O76" s="7" t="s">
        <v>56</v>
      </c>
      <c r="P76" s="7">
        <f>(7*R76+5*0.976*R75)/12*1.08</f>
        <v>58.969440000000006</v>
      </c>
      <c r="Q76" s="7">
        <v>31.232610000000001</v>
      </c>
      <c r="R76" s="7">
        <v>72.2</v>
      </c>
      <c r="S76" s="7">
        <v>7</v>
      </c>
      <c r="T76" s="7">
        <v>160</v>
      </c>
      <c r="U76" s="6">
        <v>4</v>
      </c>
      <c r="V76" s="6">
        <f>IF(T76&lt;=90,Q76,Q76/T76*90)</f>
        <v>17.568343125000002</v>
      </c>
      <c r="W76" s="6" t="s">
        <v>52</v>
      </c>
      <c r="X76" s="6"/>
      <c r="Y76" s="12">
        <v>370</v>
      </c>
      <c r="Z76" s="6" t="s">
        <v>80</v>
      </c>
      <c r="AA76" s="6"/>
      <c r="AB76" s="6">
        <v>30</v>
      </c>
      <c r="AC76" s="12">
        <v>33.1</v>
      </c>
      <c r="AD76" s="7" t="s">
        <v>39</v>
      </c>
      <c r="AE76" s="6"/>
      <c r="AF76" s="6">
        <v>1</v>
      </c>
      <c r="AG76" s="12">
        <v>45.6</v>
      </c>
      <c r="AH76" s="7" t="s">
        <v>40</v>
      </c>
      <c r="AI76" s="6"/>
      <c r="AJ76" s="6">
        <v>6</v>
      </c>
      <c r="AK76" s="12">
        <v>371</v>
      </c>
      <c r="AL76" s="6" t="s">
        <v>54</v>
      </c>
      <c r="AM76" s="6"/>
      <c r="AN76" s="6">
        <v>32</v>
      </c>
      <c r="AO76" s="12">
        <f t="shared" si="11"/>
        <v>11178.247734138973</v>
      </c>
      <c r="AP76" s="6" t="s">
        <v>54</v>
      </c>
      <c r="AQ76" s="6"/>
      <c r="AR76" s="6"/>
      <c r="AS76" s="6"/>
      <c r="AT76" s="6"/>
      <c r="AU76" s="6"/>
      <c r="AV76" s="6"/>
      <c r="AW76" s="6"/>
      <c r="AX76" s="6"/>
      <c r="AY76" s="6"/>
      <c r="AZ76" s="6"/>
      <c r="BA76" s="6">
        <v>0.308</v>
      </c>
      <c r="BB76" s="7" t="s">
        <v>246</v>
      </c>
      <c r="BC76" s="6"/>
      <c r="BD76" s="6">
        <v>2.3E-2</v>
      </c>
      <c r="BE76" s="6"/>
      <c r="BF76" s="6"/>
      <c r="BG76" s="6"/>
      <c r="BH76" s="6"/>
      <c r="BI76" s="6">
        <v>31</v>
      </c>
      <c r="BJ76" s="7" t="s">
        <v>40</v>
      </c>
      <c r="BK76" s="6"/>
      <c r="BL76" s="6">
        <v>1.5</v>
      </c>
      <c r="BM76" s="6"/>
      <c r="BN76" s="6"/>
      <c r="BO76" s="6"/>
      <c r="BP76" s="6"/>
      <c r="BQ76" s="6">
        <v>1.9</v>
      </c>
      <c r="BR76" s="6" t="s">
        <v>248</v>
      </c>
      <c r="BS76" s="6"/>
      <c r="BT76" s="6">
        <v>0.1</v>
      </c>
      <c r="BU76" s="6">
        <v>2.2999999999999998</v>
      </c>
      <c r="BV76" s="6" t="s">
        <v>229</v>
      </c>
      <c r="BW76" s="6"/>
      <c r="BX76" s="6"/>
      <c r="BY76" s="6">
        <v>13.8</v>
      </c>
      <c r="BZ76" s="6" t="s">
        <v>229</v>
      </c>
      <c r="CA76" s="6"/>
      <c r="CB76" s="6"/>
      <c r="CC76" s="6">
        <v>65.3</v>
      </c>
      <c r="CD76" s="6" t="s">
        <v>229</v>
      </c>
      <c r="CE76" s="6"/>
      <c r="CF76" s="6"/>
      <c r="CG76" s="6"/>
      <c r="CH76" s="6"/>
      <c r="CI76" s="6"/>
      <c r="CJ76" s="6"/>
      <c r="CK76" s="6"/>
      <c r="CL76" s="6"/>
      <c r="CM76" s="6"/>
      <c r="CN76" s="6"/>
      <c r="CO76" s="6"/>
      <c r="CP76" s="6"/>
      <c r="CQ76" s="6"/>
      <c r="CR76" s="6"/>
    </row>
    <row r="77" spans="1:96" ht="15.6" x14ac:dyDescent="0.3">
      <c r="A77" s="6">
        <v>1</v>
      </c>
      <c r="B77" s="6"/>
      <c r="C77" s="6">
        <v>63</v>
      </c>
      <c r="D77" s="6" t="s">
        <v>92</v>
      </c>
      <c r="E77" s="13" t="s">
        <v>93</v>
      </c>
      <c r="F77" s="9" t="str">
        <f t="shared" si="10"/>
        <v>2020-13HD29672018OTC</v>
      </c>
      <c r="G77" s="6" t="s">
        <v>94</v>
      </c>
      <c r="H77" s="8" t="s">
        <v>244</v>
      </c>
      <c r="I77" s="6" t="s">
        <v>95</v>
      </c>
      <c r="J77" s="6" t="s">
        <v>96</v>
      </c>
      <c r="K77" s="6" t="s">
        <v>90</v>
      </c>
      <c r="L77" s="6">
        <v>2018</v>
      </c>
      <c r="M77" s="6" t="s">
        <v>97</v>
      </c>
      <c r="N77" s="7" t="s">
        <v>51</v>
      </c>
      <c r="O77" s="6" t="s">
        <v>74</v>
      </c>
      <c r="P77" s="7">
        <f>R77/1.01*1.08</f>
        <v>49.316435643564354</v>
      </c>
      <c r="Q77" s="6">
        <v>8.9</v>
      </c>
      <c r="R77" s="6">
        <v>46.12</v>
      </c>
      <c r="S77" s="6">
        <v>8</v>
      </c>
      <c r="T77" s="6">
        <v>126</v>
      </c>
      <c r="U77" s="6">
        <v>3</v>
      </c>
      <c r="V77" s="6">
        <f t="shared" ref="V77:V106" si="12">IF(T77&lt;=90,Q77,Q77/T77*90)</f>
        <v>6.3571428571428568</v>
      </c>
      <c r="W77" s="6" t="s">
        <v>65</v>
      </c>
      <c r="X77" s="6"/>
      <c r="Y77" s="12">
        <v>8.1587659188335095</v>
      </c>
      <c r="Z77" s="7" t="s">
        <v>245</v>
      </c>
      <c r="AA77" s="6"/>
      <c r="AB77" s="6">
        <v>0.1492537313432809</v>
      </c>
      <c r="AC77" s="12">
        <v>49.703579418344503</v>
      </c>
      <c r="AD77" s="7" t="s">
        <v>39</v>
      </c>
      <c r="AE77" s="6"/>
      <c r="AF77" s="6">
        <v>3.213486736976698</v>
      </c>
      <c r="AG77" s="12"/>
      <c r="AH77" s="6"/>
      <c r="AI77" s="6"/>
      <c r="AJ77" s="6"/>
      <c r="AK77" s="12"/>
      <c r="AL77" s="6"/>
      <c r="AM77" s="6"/>
      <c r="AN77" s="6"/>
      <c r="AO77" s="12">
        <f t="shared" si="11"/>
        <v>164.14845800466207</v>
      </c>
      <c r="AP77" s="6" t="s">
        <v>98</v>
      </c>
      <c r="AQ77" s="6"/>
      <c r="AR77" s="6"/>
      <c r="AS77" s="6"/>
      <c r="AT77" s="6"/>
      <c r="AU77" s="6"/>
      <c r="AV77" s="6"/>
      <c r="AW77" s="6">
        <v>254.46428571428601</v>
      </c>
      <c r="AX77" s="6" t="s">
        <v>98</v>
      </c>
      <c r="AY77" s="6"/>
      <c r="AZ77" s="6">
        <v>10.714285714284983</v>
      </c>
      <c r="BA77" s="6">
        <v>0.38955414989457499</v>
      </c>
      <c r="BB77" s="6" t="s">
        <v>229</v>
      </c>
      <c r="BC77" s="6"/>
      <c r="BD77" s="6">
        <v>1.7515046961856018E-2</v>
      </c>
      <c r="BE77" s="6"/>
      <c r="BF77" s="6"/>
      <c r="BG77" s="6"/>
      <c r="BH77" s="6"/>
      <c r="BI77" s="6"/>
      <c r="BJ77" s="6"/>
      <c r="BK77" s="6"/>
      <c r="BL77" s="6"/>
      <c r="BM77" s="6"/>
      <c r="BN77" s="6"/>
      <c r="BO77" s="6"/>
      <c r="BP77" s="6"/>
      <c r="BQ77" s="6"/>
      <c r="BR77" s="6"/>
      <c r="BS77" s="6"/>
      <c r="BT77" s="6"/>
      <c r="BU77" s="6">
        <v>16.7</v>
      </c>
      <c r="BV77" s="6"/>
      <c r="BW77" s="6"/>
      <c r="BX77" s="6">
        <v>0.7</v>
      </c>
      <c r="BY77" s="6"/>
      <c r="BZ77" s="6"/>
      <c r="CA77" s="6"/>
      <c r="CB77" s="6"/>
      <c r="CC77" s="6"/>
      <c r="CD77" s="6"/>
      <c r="CE77" s="6"/>
      <c r="CF77" s="6"/>
      <c r="CG77" s="6"/>
      <c r="CH77" s="6"/>
      <c r="CI77" s="6"/>
      <c r="CJ77" s="6"/>
      <c r="CK77" s="6"/>
      <c r="CL77" s="6"/>
      <c r="CM77" s="6"/>
      <c r="CN77" s="6"/>
      <c r="CO77" s="6"/>
      <c r="CP77" s="6"/>
      <c r="CQ77" s="6"/>
      <c r="CR77" s="6"/>
    </row>
    <row r="78" spans="1:96" ht="15.6" x14ac:dyDescent="0.3">
      <c r="A78" s="6">
        <v>1</v>
      </c>
      <c r="B78" s="6"/>
      <c r="C78" s="6">
        <v>63</v>
      </c>
      <c r="D78" s="6" t="s">
        <v>92</v>
      </c>
      <c r="E78" s="13" t="s">
        <v>93</v>
      </c>
      <c r="F78" s="9" t="str">
        <f t="shared" si="10"/>
        <v>2020-13HD29672018OTC</v>
      </c>
      <c r="G78" s="6" t="s">
        <v>94</v>
      </c>
      <c r="H78" s="8" t="s">
        <v>244</v>
      </c>
      <c r="I78" s="6" t="s">
        <v>95</v>
      </c>
      <c r="J78" s="6" t="s">
        <v>96</v>
      </c>
      <c r="K78" s="6" t="s">
        <v>90</v>
      </c>
      <c r="L78" s="6">
        <v>2018</v>
      </c>
      <c r="M78" s="6" t="s">
        <v>97</v>
      </c>
      <c r="N78" s="7" t="s">
        <v>51</v>
      </c>
      <c r="O78" s="7" t="s">
        <v>56</v>
      </c>
      <c r="P78" s="7">
        <f>(8 * R78+ 4 * 0.97*R77) / 12*1.08</f>
        <v>63.517103999999996</v>
      </c>
      <c r="Q78" s="6">
        <v>15.7</v>
      </c>
      <c r="R78" s="6">
        <v>65.849999999999994</v>
      </c>
      <c r="S78" s="6">
        <v>8</v>
      </c>
      <c r="T78" s="6">
        <v>126</v>
      </c>
      <c r="U78" s="6">
        <v>3</v>
      </c>
      <c r="V78" s="6">
        <f t="shared" si="12"/>
        <v>11.214285714285714</v>
      </c>
      <c r="W78" s="6" t="s">
        <v>65</v>
      </c>
      <c r="X78" s="6"/>
      <c r="Y78" s="12">
        <v>6.7094715103726603</v>
      </c>
      <c r="Z78" s="7" t="s">
        <v>245</v>
      </c>
      <c r="AA78" s="6"/>
      <c r="AB78" s="6">
        <v>0.11952814543633927</v>
      </c>
      <c r="AC78" s="12">
        <v>41.754154682006998</v>
      </c>
      <c r="AD78" s="7" t="s">
        <v>39</v>
      </c>
      <c r="AE78" s="6"/>
      <c r="AF78" s="6">
        <v>1.4285714285715017</v>
      </c>
      <c r="AG78" s="12"/>
      <c r="AH78" s="6"/>
      <c r="AI78" s="6"/>
      <c r="AJ78" s="6"/>
      <c r="AK78" s="12"/>
      <c r="AL78" s="6"/>
      <c r="AM78" s="6"/>
      <c r="AN78" s="6"/>
      <c r="AO78" s="12">
        <f t="shared" si="11"/>
        <v>160.68991364981349</v>
      </c>
      <c r="AP78" s="6" t="s">
        <v>98</v>
      </c>
      <c r="AQ78" s="6"/>
      <c r="AR78" s="6"/>
      <c r="AS78" s="6"/>
      <c r="AT78" s="6"/>
      <c r="AU78" s="6"/>
      <c r="AV78" s="6"/>
      <c r="AW78" s="6">
        <v>224.107142857143</v>
      </c>
      <c r="AX78" s="6" t="s">
        <v>98</v>
      </c>
      <c r="AY78" s="6"/>
      <c r="AZ78" s="6">
        <v>10.714285714286007</v>
      </c>
      <c r="BA78" s="6">
        <v>0.32352386428982199</v>
      </c>
      <c r="BB78" s="6" t="s">
        <v>229</v>
      </c>
      <c r="BC78" s="6"/>
      <c r="BD78" s="6">
        <v>4.3795284646350185E-3</v>
      </c>
      <c r="BE78" s="6"/>
      <c r="BF78" s="6"/>
      <c r="BG78" s="6"/>
      <c r="BH78" s="6"/>
      <c r="BI78" s="6"/>
      <c r="BJ78" s="6"/>
      <c r="BK78" s="6"/>
      <c r="BL78" s="6"/>
      <c r="BM78" s="6"/>
      <c r="BN78" s="6"/>
      <c r="BO78" s="6"/>
      <c r="BP78" s="6"/>
      <c r="BQ78" s="6"/>
      <c r="BR78" s="6"/>
      <c r="BS78" s="6"/>
      <c r="BT78" s="6"/>
      <c r="BU78" s="6">
        <v>14.1</v>
      </c>
      <c r="BV78" s="6"/>
      <c r="BW78" s="6"/>
      <c r="BX78" s="6">
        <v>0.6</v>
      </c>
      <c r="BY78" s="6"/>
      <c r="BZ78" s="6"/>
      <c r="CA78" s="6"/>
      <c r="CB78" s="6"/>
      <c r="CC78" s="6"/>
      <c r="CD78" s="6"/>
      <c r="CE78" s="6"/>
      <c r="CF78" s="6"/>
      <c r="CG78" s="6"/>
      <c r="CH78" s="6"/>
      <c r="CI78" s="6"/>
      <c r="CJ78" s="6"/>
      <c r="CK78" s="6"/>
      <c r="CL78" s="6"/>
      <c r="CM78" s="6"/>
      <c r="CN78" s="6"/>
      <c r="CO78" s="6"/>
      <c r="CP78" s="6"/>
      <c r="CQ78" s="6"/>
      <c r="CR78" s="6"/>
    </row>
    <row r="79" spans="1:96" ht="15.6" x14ac:dyDescent="0.3">
      <c r="A79" s="6">
        <v>1</v>
      </c>
      <c r="B79" s="6"/>
      <c r="C79" s="6">
        <v>66</v>
      </c>
      <c r="D79" s="6" t="s">
        <v>99</v>
      </c>
      <c r="E79" s="13" t="s">
        <v>100</v>
      </c>
      <c r="F79" s="9" t="str">
        <f t="shared" si="10"/>
        <v>2019-35DB502015OTC</v>
      </c>
      <c r="G79" s="6" t="s">
        <v>101</v>
      </c>
      <c r="H79" s="8" t="s">
        <v>244</v>
      </c>
      <c r="I79" s="6" t="s">
        <v>95</v>
      </c>
      <c r="J79" s="6" t="s">
        <v>96</v>
      </c>
      <c r="K79" s="6" t="s">
        <v>102</v>
      </c>
      <c r="L79" s="6">
        <v>2015</v>
      </c>
      <c r="M79" s="6" t="s">
        <v>97</v>
      </c>
      <c r="N79" s="7" t="s">
        <v>51</v>
      </c>
      <c r="O79" s="6" t="s">
        <v>103</v>
      </c>
      <c r="P79" s="6"/>
      <c r="Q79" s="6">
        <v>8</v>
      </c>
      <c r="R79" s="6"/>
      <c r="S79" s="6">
        <v>8</v>
      </c>
      <c r="T79" s="6">
        <v>120</v>
      </c>
      <c r="U79" s="6">
        <v>9</v>
      </c>
      <c r="V79" s="6">
        <f t="shared" si="12"/>
        <v>6</v>
      </c>
      <c r="W79" s="6" t="s">
        <v>65</v>
      </c>
      <c r="X79" s="6"/>
      <c r="Y79" s="12">
        <v>386.93467336683398</v>
      </c>
      <c r="Z79" s="6" t="s">
        <v>80</v>
      </c>
      <c r="AA79" s="6"/>
      <c r="AB79" s="6"/>
      <c r="AC79" s="12"/>
      <c r="AD79" s="6"/>
      <c r="AE79" s="6"/>
      <c r="AF79" s="6"/>
      <c r="AG79" s="12"/>
      <c r="AH79" s="6"/>
      <c r="AI79" s="6"/>
      <c r="AJ79" s="6"/>
      <c r="AK79" s="12"/>
      <c r="AL79" s="6"/>
      <c r="AM79" s="6"/>
      <c r="AN79" s="6"/>
      <c r="AO79" s="12"/>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row>
    <row r="80" spans="1:96" ht="15.6" x14ac:dyDescent="0.3">
      <c r="A80" s="6">
        <v>1</v>
      </c>
      <c r="B80" s="6"/>
      <c r="C80" s="6">
        <v>66</v>
      </c>
      <c r="D80" s="6" t="s">
        <v>99</v>
      </c>
      <c r="E80" s="13" t="s">
        <v>100</v>
      </c>
      <c r="F80" s="9" t="str">
        <f t="shared" si="10"/>
        <v>2019-35DB502015OTC</v>
      </c>
      <c r="G80" s="6" t="s">
        <v>101</v>
      </c>
      <c r="H80" s="8" t="s">
        <v>244</v>
      </c>
      <c r="I80" s="6" t="s">
        <v>95</v>
      </c>
      <c r="J80" s="6" t="s">
        <v>96</v>
      </c>
      <c r="K80" s="6" t="s">
        <v>102</v>
      </c>
      <c r="L80" s="6">
        <v>2015</v>
      </c>
      <c r="M80" s="6" t="s">
        <v>97</v>
      </c>
      <c r="N80" s="7" t="s">
        <v>51</v>
      </c>
      <c r="O80" s="6" t="s">
        <v>75</v>
      </c>
      <c r="P80" s="6"/>
      <c r="Q80" s="6">
        <v>21.7</v>
      </c>
      <c r="R80" s="6"/>
      <c r="S80" s="6">
        <v>8</v>
      </c>
      <c r="T80" s="6">
        <v>120</v>
      </c>
      <c r="U80" s="6">
        <v>9</v>
      </c>
      <c r="V80" s="6">
        <f t="shared" si="12"/>
        <v>16.274999999999999</v>
      </c>
      <c r="W80" s="6" t="s">
        <v>65</v>
      </c>
      <c r="X80" s="6"/>
      <c r="Y80" s="12">
        <v>271.356783919598</v>
      </c>
      <c r="Z80" s="6" t="s">
        <v>80</v>
      </c>
      <c r="AA80" s="6"/>
      <c r="AB80" s="6"/>
      <c r="AC80" s="12"/>
      <c r="AD80" s="6"/>
      <c r="AE80" s="6"/>
      <c r="AF80" s="6"/>
      <c r="AG80" s="12"/>
      <c r="AH80" s="6"/>
      <c r="AI80" s="6"/>
      <c r="AJ80" s="6"/>
      <c r="AK80" s="12"/>
      <c r="AL80" s="6"/>
      <c r="AM80" s="6"/>
      <c r="AN80" s="6"/>
      <c r="AO80" s="12"/>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row>
    <row r="81" spans="1:96" ht="15.6" x14ac:dyDescent="0.3">
      <c r="A81" s="6">
        <v>1</v>
      </c>
      <c r="B81" s="6"/>
      <c r="C81" s="6">
        <v>66</v>
      </c>
      <c r="D81" s="6" t="s">
        <v>99</v>
      </c>
      <c r="E81" s="13" t="s">
        <v>100</v>
      </c>
      <c r="F81" s="9" t="str">
        <f t="shared" si="10"/>
        <v>2019-35DB772015OTC</v>
      </c>
      <c r="G81" s="6" t="s">
        <v>101</v>
      </c>
      <c r="H81" s="8" t="s">
        <v>244</v>
      </c>
      <c r="I81" s="6" t="s">
        <v>95</v>
      </c>
      <c r="J81" s="6" t="s">
        <v>96</v>
      </c>
      <c r="K81" s="6" t="s">
        <v>104</v>
      </c>
      <c r="L81" s="6">
        <v>2015</v>
      </c>
      <c r="M81" s="6" t="s">
        <v>97</v>
      </c>
      <c r="N81" s="7" t="s">
        <v>51</v>
      </c>
      <c r="O81" s="6" t="s">
        <v>103</v>
      </c>
      <c r="P81" s="6"/>
      <c r="Q81" s="6">
        <v>8</v>
      </c>
      <c r="R81" s="6"/>
      <c r="S81" s="6">
        <v>8</v>
      </c>
      <c r="T81" s="6">
        <v>120</v>
      </c>
      <c r="U81" s="6">
        <v>9</v>
      </c>
      <c r="V81" s="6">
        <f t="shared" si="12"/>
        <v>6</v>
      </c>
      <c r="W81" s="6" t="s">
        <v>65</v>
      </c>
      <c r="X81" s="6"/>
      <c r="Y81" s="12">
        <v>218.592964824121</v>
      </c>
      <c r="Z81" s="6" t="s">
        <v>80</v>
      </c>
      <c r="AA81" s="6"/>
      <c r="AB81" s="6"/>
      <c r="AC81" s="12"/>
      <c r="AD81" s="6"/>
      <c r="AE81" s="6"/>
      <c r="AF81" s="6"/>
      <c r="AG81" s="12"/>
      <c r="AH81" s="6"/>
      <c r="AI81" s="6"/>
      <c r="AJ81" s="6"/>
      <c r="AK81" s="12"/>
      <c r="AL81" s="6"/>
      <c r="AM81" s="6"/>
      <c r="AN81" s="6"/>
      <c r="AO81" s="12"/>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row>
    <row r="82" spans="1:96" ht="15.6" x14ac:dyDescent="0.3">
      <c r="A82" s="6">
        <v>1</v>
      </c>
      <c r="B82" s="6"/>
      <c r="C82" s="6">
        <v>66</v>
      </c>
      <c r="D82" s="6" t="s">
        <v>99</v>
      </c>
      <c r="E82" s="13" t="s">
        <v>100</v>
      </c>
      <c r="F82" s="9" t="str">
        <f t="shared" si="10"/>
        <v>2019-35DB772015OTC</v>
      </c>
      <c r="G82" s="6" t="s">
        <v>101</v>
      </c>
      <c r="H82" s="8" t="s">
        <v>244</v>
      </c>
      <c r="I82" s="6" t="s">
        <v>95</v>
      </c>
      <c r="J82" s="6" t="s">
        <v>96</v>
      </c>
      <c r="K82" s="6" t="s">
        <v>104</v>
      </c>
      <c r="L82" s="6">
        <v>2015</v>
      </c>
      <c r="M82" s="6" t="s">
        <v>97</v>
      </c>
      <c r="N82" s="7" t="s">
        <v>51</v>
      </c>
      <c r="O82" s="6" t="s">
        <v>75</v>
      </c>
      <c r="P82" s="6"/>
      <c r="Q82" s="6">
        <v>21.7</v>
      </c>
      <c r="R82" s="6"/>
      <c r="S82" s="6">
        <v>8</v>
      </c>
      <c r="T82" s="6">
        <v>120</v>
      </c>
      <c r="U82" s="6">
        <v>9</v>
      </c>
      <c r="V82" s="6">
        <f t="shared" si="12"/>
        <v>16.274999999999999</v>
      </c>
      <c r="W82" s="6" t="s">
        <v>65</v>
      </c>
      <c r="X82" s="6"/>
      <c r="Y82" s="12">
        <v>158.29145728643201</v>
      </c>
      <c r="Z82" s="6" t="s">
        <v>80</v>
      </c>
      <c r="AA82" s="6"/>
      <c r="AB82" s="6"/>
      <c r="AC82" s="12"/>
      <c r="AD82" s="6"/>
      <c r="AE82" s="6"/>
      <c r="AF82" s="6"/>
      <c r="AG82" s="12"/>
      <c r="AH82" s="6"/>
      <c r="AI82" s="6"/>
      <c r="AJ82" s="6"/>
      <c r="AK82" s="12"/>
      <c r="AL82" s="6"/>
      <c r="AM82" s="6"/>
      <c r="AN82" s="6"/>
      <c r="AO82" s="12"/>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row>
    <row r="83" spans="1:96" ht="15.6" x14ac:dyDescent="0.3">
      <c r="A83" s="6">
        <v>1</v>
      </c>
      <c r="B83" s="6"/>
      <c r="C83" s="6">
        <v>66</v>
      </c>
      <c r="D83" s="6" t="s">
        <v>99</v>
      </c>
      <c r="E83" s="13" t="s">
        <v>100</v>
      </c>
      <c r="F83" s="9" t="str">
        <f t="shared" si="10"/>
        <v>2019-35HD262015OTC</v>
      </c>
      <c r="G83" s="6" t="s">
        <v>101</v>
      </c>
      <c r="H83" s="8" t="s">
        <v>244</v>
      </c>
      <c r="I83" s="6" t="s">
        <v>95</v>
      </c>
      <c r="J83" s="6" t="s">
        <v>96</v>
      </c>
      <c r="K83" s="6" t="s">
        <v>105</v>
      </c>
      <c r="L83" s="6">
        <v>2015</v>
      </c>
      <c r="M83" s="6" t="s">
        <v>97</v>
      </c>
      <c r="N83" s="7" t="s">
        <v>51</v>
      </c>
      <c r="O83" s="6" t="s">
        <v>103</v>
      </c>
      <c r="P83" s="6"/>
      <c r="Q83" s="6">
        <v>8</v>
      </c>
      <c r="R83" s="6"/>
      <c r="S83" s="6">
        <v>8</v>
      </c>
      <c r="T83" s="6">
        <v>120</v>
      </c>
      <c r="U83" s="6">
        <v>9</v>
      </c>
      <c r="V83" s="6">
        <f t="shared" si="12"/>
        <v>6</v>
      </c>
      <c r="W83" s="6" t="s">
        <v>65</v>
      </c>
      <c r="X83" s="6"/>
      <c r="Y83" s="12">
        <v>321.608040201005</v>
      </c>
      <c r="Z83" s="6" t="s">
        <v>80</v>
      </c>
      <c r="AA83" s="6"/>
      <c r="AB83" s="6"/>
      <c r="AC83" s="12"/>
      <c r="AD83" s="6"/>
      <c r="AE83" s="6"/>
      <c r="AF83" s="6"/>
      <c r="AG83" s="12"/>
      <c r="AH83" s="6"/>
      <c r="AI83" s="6"/>
      <c r="AJ83" s="6"/>
      <c r="AK83" s="12"/>
      <c r="AL83" s="6"/>
      <c r="AM83" s="6"/>
      <c r="AN83" s="6"/>
      <c r="AO83" s="12"/>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row>
    <row r="84" spans="1:96" ht="15.6" x14ac:dyDescent="0.3">
      <c r="A84" s="6">
        <v>1</v>
      </c>
      <c r="B84" s="6"/>
      <c r="C84" s="6">
        <v>66</v>
      </c>
      <c r="D84" s="6" t="s">
        <v>99</v>
      </c>
      <c r="E84" s="13" t="s">
        <v>100</v>
      </c>
      <c r="F84" s="9" t="str">
        <f t="shared" si="10"/>
        <v>2019-35HD262015OTC</v>
      </c>
      <c r="G84" s="6" t="s">
        <v>101</v>
      </c>
      <c r="H84" s="8" t="s">
        <v>244</v>
      </c>
      <c r="I84" s="6" t="s">
        <v>95</v>
      </c>
      <c r="J84" s="6" t="s">
        <v>96</v>
      </c>
      <c r="K84" s="6" t="s">
        <v>105</v>
      </c>
      <c r="L84" s="6">
        <v>2015</v>
      </c>
      <c r="M84" s="6" t="s">
        <v>97</v>
      </c>
      <c r="N84" s="7" t="s">
        <v>51</v>
      </c>
      <c r="O84" s="6" t="s">
        <v>75</v>
      </c>
      <c r="P84" s="6"/>
      <c r="Q84" s="6">
        <v>21.7</v>
      </c>
      <c r="R84" s="6"/>
      <c r="S84" s="6">
        <v>8</v>
      </c>
      <c r="T84" s="6">
        <v>120</v>
      </c>
      <c r="U84" s="6">
        <v>9</v>
      </c>
      <c r="V84" s="6">
        <f t="shared" si="12"/>
        <v>16.274999999999999</v>
      </c>
      <c r="W84" s="6" t="s">
        <v>65</v>
      </c>
      <c r="X84" s="6"/>
      <c r="Y84" s="12">
        <v>246.23115577889399</v>
      </c>
      <c r="Z84" s="6" t="s">
        <v>80</v>
      </c>
      <c r="AA84" s="6"/>
      <c r="AB84" s="6"/>
      <c r="AC84" s="12"/>
      <c r="AD84" s="6"/>
      <c r="AE84" s="6"/>
      <c r="AF84" s="6"/>
      <c r="AG84" s="12"/>
      <c r="AH84" s="6"/>
      <c r="AI84" s="6"/>
      <c r="AJ84" s="6"/>
      <c r="AK84" s="12"/>
      <c r="AL84" s="6"/>
      <c r="AM84" s="6"/>
      <c r="AN84" s="6"/>
      <c r="AO84" s="12"/>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row>
    <row r="85" spans="1:96" ht="15.6" x14ac:dyDescent="0.3">
      <c r="A85" s="6">
        <v>1</v>
      </c>
      <c r="B85" s="6"/>
      <c r="C85" s="6">
        <v>66</v>
      </c>
      <c r="D85" s="6" t="s">
        <v>99</v>
      </c>
      <c r="E85" s="13" t="s">
        <v>100</v>
      </c>
      <c r="F85" s="9" t="str">
        <f t="shared" si="10"/>
        <v>2019-35HD282015OTC</v>
      </c>
      <c r="G85" s="6" t="s">
        <v>101</v>
      </c>
      <c r="H85" s="8" t="s">
        <v>244</v>
      </c>
      <c r="I85" s="6" t="s">
        <v>95</v>
      </c>
      <c r="J85" s="6" t="s">
        <v>96</v>
      </c>
      <c r="K85" s="6" t="s">
        <v>106</v>
      </c>
      <c r="L85" s="6">
        <v>2015</v>
      </c>
      <c r="M85" s="6" t="s">
        <v>97</v>
      </c>
      <c r="N85" s="7" t="s">
        <v>51</v>
      </c>
      <c r="O85" s="6" t="s">
        <v>103</v>
      </c>
      <c r="P85" s="6"/>
      <c r="Q85" s="6">
        <v>8</v>
      </c>
      <c r="R85" s="6"/>
      <c r="S85" s="6">
        <v>8</v>
      </c>
      <c r="T85" s="6">
        <v>120</v>
      </c>
      <c r="U85" s="6">
        <v>9</v>
      </c>
      <c r="V85" s="6">
        <f t="shared" si="12"/>
        <v>6</v>
      </c>
      <c r="W85" s="6" t="s">
        <v>65</v>
      </c>
      <c r="X85" s="6"/>
      <c r="Y85" s="12">
        <v>319.09547738693499</v>
      </c>
      <c r="Z85" s="6" t="s">
        <v>80</v>
      </c>
      <c r="AA85" s="6"/>
      <c r="AB85" s="6"/>
      <c r="AC85" s="12"/>
      <c r="AD85" s="6"/>
      <c r="AE85" s="6"/>
      <c r="AF85" s="6"/>
      <c r="AG85" s="12"/>
      <c r="AH85" s="6"/>
      <c r="AI85" s="6"/>
      <c r="AJ85" s="6"/>
      <c r="AK85" s="12"/>
      <c r="AL85" s="6"/>
      <c r="AM85" s="6"/>
      <c r="AN85" s="6"/>
      <c r="AO85" s="12"/>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row>
    <row r="86" spans="1:96" ht="15.6" x14ac:dyDescent="0.3">
      <c r="A86" s="6">
        <v>1</v>
      </c>
      <c r="B86" s="6"/>
      <c r="C86" s="6">
        <v>66</v>
      </c>
      <c r="D86" s="6" t="s">
        <v>99</v>
      </c>
      <c r="E86" s="13" t="s">
        <v>100</v>
      </c>
      <c r="F86" s="9" t="str">
        <f t="shared" si="10"/>
        <v>2019-35HD282015OTC</v>
      </c>
      <c r="G86" s="6" t="s">
        <v>101</v>
      </c>
      <c r="H86" s="8" t="s">
        <v>244</v>
      </c>
      <c r="I86" s="6" t="s">
        <v>95</v>
      </c>
      <c r="J86" s="6" t="s">
        <v>96</v>
      </c>
      <c r="K86" s="6" t="s">
        <v>106</v>
      </c>
      <c r="L86" s="6">
        <v>2015</v>
      </c>
      <c r="M86" s="6" t="s">
        <v>97</v>
      </c>
      <c r="N86" s="7" t="s">
        <v>51</v>
      </c>
      <c r="O86" s="6" t="s">
        <v>75</v>
      </c>
      <c r="P86" s="6"/>
      <c r="Q86" s="6">
        <v>21.7</v>
      </c>
      <c r="R86" s="6"/>
      <c r="S86" s="6">
        <v>8</v>
      </c>
      <c r="T86" s="6">
        <v>120</v>
      </c>
      <c r="U86" s="6">
        <v>9</v>
      </c>
      <c r="V86" s="6">
        <f t="shared" si="12"/>
        <v>16.274999999999999</v>
      </c>
      <c r="W86" s="6" t="s">
        <v>65</v>
      </c>
      <c r="X86" s="6"/>
      <c r="Y86" s="12">
        <v>216.08040201004999</v>
      </c>
      <c r="Z86" s="6" t="s">
        <v>80</v>
      </c>
      <c r="AA86" s="6"/>
      <c r="AB86" s="6"/>
      <c r="AC86" s="12"/>
      <c r="AD86" s="6"/>
      <c r="AE86" s="6"/>
      <c r="AF86" s="6"/>
      <c r="AG86" s="12"/>
      <c r="AH86" s="6"/>
      <c r="AI86" s="6"/>
      <c r="AJ86" s="6"/>
      <c r="AK86" s="12"/>
      <c r="AL86" s="6"/>
      <c r="AM86" s="6"/>
      <c r="AN86" s="6"/>
      <c r="AO86" s="12"/>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row>
    <row r="87" spans="1:96" ht="15.6" x14ac:dyDescent="0.3">
      <c r="A87" s="6">
        <v>1</v>
      </c>
      <c r="B87" s="6"/>
      <c r="C87" s="6">
        <v>66</v>
      </c>
      <c r="D87" s="6" t="s">
        <v>99</v>
      </c>
      <c r="E87" s="13" t="s">
        <v>100</v>
      </c>
      <c r="F87" s="9" t="str">
        <f t="shared" si="10"/>
        <v>2019-35HD302015OTC</v>
      </c>
      <c r="G87" s="6" t="s">
        <v>101</v>
      </c>
      <c r="H87" s="8" t="s">
        <v>244</v>
      </c>
      <c r="I87" s="6" t="s">
        <v>95</v>
      </c>
      <c r="J87" s="6" t="s">
        <v>96</v>
      </c>
      <c r="K87" s="6" t="s">
        <v>107</v>
      </c>
      <c r="L87" s="6">
        <v>2015</v>
      </c>
      <c r="M87" s="6" t="s">
        <v>97</v>
      </c>
      <c r="N87" s="7" t="s">
        <v>51</v>
      </c>
      <c r="O87" s="6" t="s">
        <v>103</v>
      </c>
      <c r="P87" s="6"/>
      <c r="Q87" s="6">
        <v>8</v>
      </c>
      <c r="R87" s="6"/>
      <c r="S87" s="6">
        <v>8</v>
      </c>
      <c r="T87" s="6">
        <v>120</v>
      </c>
      <c r="U87" s="6">
        <v>9</v>
      </c>
      <c r="V87" s="6">
        <f t="shared" si="12"/>
        <v>6</v>
      </c>
      <c r="W87" s="6" t="s">
        <v>65</v>
      </c>
      <c r="X87" s="6"/>
      <c r="Y87" s="12">
        <v>366.83417085427101</v>
      </c>
      <c r="Z87" s="6" t="s">
        <v>80</v>
      </c>
      <c r="AA87" s="6"/>
      <c r="AB87" s="6"/>
      <c r="AC87" s="12"/>
      <c r="AD87" s="6"/>
      <c r="AE87" s="6"/>
      <c r="AF87" s="6"/>
      <c r="AG87" s="12"/>
      <c r="AH87" s="6"/>
      <c r="AI87" s="6"/>
      <c r="AJ87" s="6"/>
      <c r="AK87" s="12"/>
      <c r="AL87" s="6"/>
      <c r="AM87" s="6"/>
      <c r="AN87" s="6"/>
      <c r="AO87" s="12"/>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row>
    <row r="88" spans="1:96" ht="15.6" x14ac:dyDescent="0.3">
      <c r="A88" s="6">
        <v>1</v>
      </c>
      <c r="B88" s="6"/>
      <c r="C88" s="6">
        <v>66</v>
      </c>
      <c r="D88" s="6" t="s">
        <v>99</v>
      </c>
      <c r="E88" s="13" t="s">
        <v>100</v>
      </c>
      <c r="F88" s="9" t="str">
        <f t="shared" si="10"/>
        <v>2019-35HD302015OTC</v>
      </c>
      <c r="G88" s="6" t="s">
        <v>101</v>
      </c>
      <c r="H88" s="8" t="s">
        <v>244</v>
      </c>
      <c r="I88" s="6" t="s">
        <v>95</v>
      </c>
      <c r="J88" s="6" t="s">
        <v>96</v>
      </c>
      <c r="K88" s="6" t="s">
        <v>107</v>
      </c>
      <c r="L88" s="6">
        <v>2015</v>
      </c>
      <c r="M88" s="6" t="s">
        <v>97</v>
      </c>
      <c r="N88" s="7" t="s">
        <v>51</v>
      </c>
      <c r="O88" s="6" t="s">
        <v>75</v>
      </c>
      <c r="P88" s="6"/>
      <c r="Q88" s="6">
        <v>21.7</v>
      </c>
      <c r="R88" s="6"/>
      <c r="S88" s="6">
        <v>8</v>
      </c>
      <c r="T88" s="6">
        <v>120</v>
      </c>
      <c r="U88" s="6">
        <v>9</v>
      </c>
      <c r="V88" s="6">
        <f t="shared" si="12"/>
        <v>16.274999999999999</v>
      </c>
      <c r="W88" s="6" t="s">
        <v>65</v>
      </c>
      <c r="X88" s="6"/>
      <c r="Y88" s="12">
        <v>278.89447236180899</v>
      </c>
      <c r="Z88" s="6" t="s">
        <v>80</v>
      </c>
      <c r="AA88" s="6"/>
      <c r="AB88" s="6"/>
      <c r="AC88" s="12"/>
      <c r="AD88" s="6"/>
      <c r="AE88" s="6"/>
      <c r="AF88" s="6"/>
      <c r="AG88" s="12"/>
      <c r="AH88" s="6"/>
      <c r="AI88" s="6"/>
      <c r="AJ88" s="6"/>
      <c r="AK88" s="12"/>
      <c r="AL88" s="6"/>
      <c r="AM88" s="6"/>
      <c r="AN88" s="6"/>
      <c r="AO88" s="12"/>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row>
    <row r="89" spans="1:96" ht="15.6" x14ac:dyDescent="0.3">
      <c r="A89" s="6">
        <v>1</v>
      </c>
      <c r="B89" s="6"/>
      <c r="C89" s="6">
        <v>66</v>
      </c>
      <c r="D89" s="6" t="s">
        <v>99</v>
      </c>
      <c r="E89" s="13" t="s">
        <v>100</v>
      </c>
      <c r="F89" s="9" t="str">
        <f t="shared" si="10"/>
        <v>2019-35HU122015OTC</v>
      </c>
      <c r="G89" s="6" t="s">
        <v>101</v>
      </c>
      <c r="H89" s="8" t="s">
        <v>244</v>
      </c>
      <c r="I89" s="6" t="s">
        <v>95</v>
      </c>
      <c r="J89" s="6" t="s">
        <v>96</v>
      </c>
      <c r="K89" s="6" t="s">
        <v>108</v>
      </c>
      <c r="L89" s="6">
        <v>2015</v>
      </c>
      <c r="M89" s="6" t="s">
        <v>97</v>
      </c>
      <c r="N89" s="7" t="s">
        <v>51</v>
      </c>
      <c r="O89" s="6" t="s">
        <v>103</v>
      </c>
      <c r="P89" s="6"/>
      <c r="Q89" s="6">
        <v>8</v>
      </c>
      <c r="R89" s="6"/>
      <c r="S89" s="6">
        <v>8</v>
      </c>
      <c r="T89" s="6">
        <v>120</v>
      </c>
      <c r="U89" s="6">
        <v>9</v>
      </c>
      <c r="V89" s="6">
        <f t="shared" si="12"/>
        <v>6</v>
      </c>
      <c r="W89" s="6" t="s">
        <v>65</v>
      </c>
      <c r="X89" s="6"/>
      <c r="Y89" s="12">
        <v>270.93596059113298</v>
      </c>
      <c r="Z89" s="6" t="s">
        <v>80</v>
      </c>
      <c r="AA89" s="6"/>
      <c r="AB89" s="6"/>
      <c r="AC89" s="12"/>
      <c r="AD89" s="6"/>
      <c r="AE89" s="6"/>
      <c r="AF89" s="6"/>
      <c r="AG89" s="12"/>
      <c r="AH89" s="6"/>
      <c r="AI89" s="6"/>
      <c r="AJ89" s="6"/>
      <c r="AK89" s="12"/>
      <c r="AL89" s="6"/>
      <c r="AM89" s="6"/>
      <c r="AN89" s="6"/>
      <c r="AO89" s="12"/>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row>
    <row r="90" spans="1:96" ht="15.6" x14ac:dyDescent="0.3">
      <c r="A90" s="6">
        <v>1</v>
      </c>
      <c r="B90" s="6"/>
      <c r="C90" s="6">
        <v>66</v>
      </c>
      <c r="D90" s="6" t="s">
        <v>99</v>
      </c>
      <c r="E90" s="13" t="s">
        <v>100</v>
      </c>
      <c r="F90" s="9" t="str">
        <f t="shared" si="10"/>
        <v>2019-35HU122015OTC</v>
      </c>
      <c r="G90" s="6" t="s">
        <v>101</v>
      </c>
      <c r="H90" s="8" t="s">
        <v>244</v>
      </c>
      <c r="I90" s="6" t="s">
        <v>95</v>
      </c>
      <c r="J90" s="6" t="s">
        <v>96</v>
      </c>
      <c r="K90" s="6" t="s">
        <v>108</v>
      </c>
      <c r="L90" s="6">
        <v>2015</v>
      </c>
      <c r="M90" s="6" t="s">
        <v>97</v>
      </c>
      <c r="N90" s="7" t="s">
        <v>51</v>
      </c>
      <c r="O90" s="6" t="s">
        <v>75</v>
      </c>
      <c r="P90" s="6"/>
      <c r="Q90" s="6">
        <v>21.7</v>
      </c>
      <c r="R90" s="6"/>
      <c r="S90" s="6">
        <v>8</v>
      </c>
      <c r="T90" s="6">
        <v>120</v>
      </c>
      <c r="U90" s="6">
        <v>9</v>
      </c>
      <c r="V90" s="6">
        <f t="shared" si="12"/>
        <v>16.274999999999999</v>
      </c>
      <c r="W90" s="6" t="s">
        <v>65</v>
      </c>
      <c r="X90" s="6"/>
      <c r="Y90" s="12">
        <v>241.37931034482801</v>
      </c>
      <c r="Z90" s="6" t="s">
        <v>80</v>
      </c>
      <c r="AA90" s="6"/>
      <c r="AB90" s="6"/>
      <c r="AC90" s="12"/>
      <c r="AD90" s="6"/>
      <c r="AE90" s="6"/>
      <c r="AF90" s="6"/>
      <c r="AG90" s="12"/>
      <c r="AH90" s="6"/>
      <c r="AI90" s="6"/>
      <c r="AJ90" s="6"/>
      <c r="AK90" s="12"/>
      <c r="AL90" s="6"/>
      <c r="AM90" s="6"/>
      <c r="AN90" s="6"/>
      <c r="AO90" s="12"/>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row>
    <row r="91" spans="1:96" ht="15.6" x14ac:dyDescent="0.3">
      <c r="A91" s="6">
        <v>1</v>
      </c>
      <c r="B91" s="6"/>
      <c r="C91" s="6">
        <v>66</v>
      </c>
      <c r="D91" s="6" t="s">
        <v>99</v>
      </c>
      <c r="E91" s="13" t="s">
        <v>100</v>
      </c>
      <c r="F91" s="9" t="str">
        <f t="shared" si="10"/>
        <v>2019-35HU212015OTC</v>
      </c>
      <c r="G91" s="6" t="s">
        <v>101</v>
      </c>
      <c r="H91" s="8" t="s">
        <v>244</v>
      </c>
      <c r="I91" s="6" t="s">
        <v>95</v>
      </c>
      <c r="J91" s="6" t="s">
        <v>96</v>
      </c>
      <c r="K91" s="6" t="s">
        <v>109</v>
      </c>
      <c r="L91" s="6">
        <v>2015</v>
      </c>
      <c r="M91" s="6" t="s">
        <v>97</v>
      </c>
      <c r="N91" s="7" t="s">
        <v>51</v>
      </c>
      <c r="O91" s="6" t="s">
        <v>103</v>
      </c>
      <c r="P91" s="6"/>
      <c r="Q91" s="6">
        <v>8</v>
      </c>
      <c r="R91" s="6"/>
      <c r="S91" s="6">
        <v>8</v>
      </c>
      <c r="T91" s="6">
        <v>120</v>
      </c>
      <c r="U91" s="6">
        <v>9</v>
      </c>
      <c r="V91" s="6">
        <f t="shared" si="12"/>
        <v>6</v>
      </c>
      <c r="W91" s="6" t="s">
        <v>65</v>
      </c>
      <c r="X91" s="6"/>
      <c r="Y91" s="12">
        <v>320.19704433497498</v>
      </c>
      <c r="Z91" s="6" t="s">
        <v>80</v>
      </c>
      <c r="AA91" s="6"/>
      <c r="AB91" s="6"/>
      <c r="AC91" s="12"/>
      <c r="AD91" s="6"/>
      <c r="AE91" s="6"/>
      <c r="AF91" s="6"/>
      <c r="AG91" s="12"/>
      <c r="AH91" s="6"/>
      <c r="AI91" s="6"/>
      <c r="AJ91" s="6"/>
      <c r="AK91" s="12"/>
      <c r="AL91" s="6"/>
      <c r="AM91" s="6"/>
      <c r="AN91" s="6"/>
      <c r="AO91" s="12"/>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row>
    <row r="92" spans="1:96" ht="15.6" x14ac:dyDescent="0.3">
      <c r="A92" s="6">
        <v>1</v>
      </c>
      <c r="B92" s="6"/>
      <c r="C92" s="6">
        <v>66</v>
      </c>
      <c r="D92" s="6" t="s">
        <v>99</v>
      </c>
      <c r="E92" s="13" t="s">
        <v>100</v>
      </c>
      <c r="F92" s="9" t="str">
        <f t="shared" si="10"/>
        <v>2019-35HU212015OTC</v>
      </c>
      <c r="G92" s="6" t="s">
        <v>101</v>
      </c>
      <c r="H92" s="8" t="s">
        <v>244</v>
      </c>
      <c r="I92" s="6" t="s">
        <v>95</v>
      </c>
      <c r="J92" s="6" t="s">
        <v>96</v>
      </c>
      <c r="K92" s="6" t="s">
        <v>109</v>
      </c>
      <c r="L92" s="6">
        <v>2015</v>
      </c>
      <c r="M92" s="6" t="s">
        <v>97</v>
      </c>
      <c r="N92" s="7" t="s">
        <v>51</v>
      </c>
      <c r="O92" s="6" t="s">
        <v>75</v>
      </c>
      <c r="P92" s="6"/>
      <c r="Q92" s="6">
        <v>21.7</v>
      </c>
      <c r="R92" s="6"/>
      <c r="S92" s="6">
        <v>8</v>
      </c>
      <c r="T92" s="6">
        <v>120</v>
      </c>
      <c r="U92" s="6">
        <v>9</v>
      </c>
      <c r="V92" s="6">
        <f t="shared" si="12"/>
        <v>16.274999999999999</v>
      </c>
      <c r="W92" s="6" t="s">
        <v>65</v>
      </c>
      <c r="X92" s="6"/>
      <c r="Y92" s="12">
        <v>266.00985221674898</v>
      </c>
      <c r="Z92" s="6" t="s">
        <v>80</v>
      </c>
      <c r="AA92" s="6"/>
      <c r="AB92" s="6"/>
      <c r="AC92" s="12"/>
      <c r="AD92" s="6"/>
      <c r="AE92" s="6"/>
      <c r="AF92" s="6"/>
      <c r="AG92" s="12"/>
      <c r="AH92" s="6"/>
      <c r="AI92" s="6"/>
      <c r="AJ92" s="6"/>
      <c r="AK92" s="12"/>
      <c r="AL92" s="6"/>
      <c r="AM92" s="6"/>
      <c r="AN92" s="6"/>
      <c r="AO92" s="12"/>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row>
    <row r="93" spans="1:96" ht="15.6" x14ac:dyDescent="0.3">
      <c r="A93" s="6">
        <v>1</v>
      </c>
      <c r="B93" s="6"/>
      <c r="C93" s="6">
        <v>66</v>
      </c>
      <c r="D93" s="6" t="s">
        <v>99</v>
      </c>
      <c r="E93" s="13" t="s">
        <v>100</v>
      </c>
      <c r="F93" s="9" t="str">
        <f t="shared" si="10"/>
        <v>2019-35HU252015OTC</v>
      </c>
      <c r="G93" s="6" t="s">
        <v>101</v>
      </c>
      <c r="H93" s="8" t="s">
        <v>244</v>
      </c>
      <c r="I93" s="6" t="s">
        <v>95</v>
      </c>
      <c r="J93" s="6" t="s">
        <v>96</v>
      </c>
      <c r="K93" s="6" t="s">
        <v>110</v>
      </c>
      <c r="L93" s="6">
        <v>2015</v>
      </c>
      <c r="M93" s="6" t="s">
        <v>97</v>
      </c>
      <c r="N93" s="7" t="s">
        <v>51</v>
      </c>
      <c r="O93" s="6" t="s">
        <v>103</v>
      </c>
      <c r="P93" s="6"/>
      <c r="Q93" s="6">
        <v>8</v>
      </c>
      <c r="R93" s="6"/>
      <c r="S93" s="6">
        <v>8</v>
      </c>
      <c r="T93" s="6">
        <v>120</v>
      </c>
      <c r="U93" s="6">
        <v>9</v>
      </c>
      <c r="V93" s="6">
        <f t="shared" si="12"/>
        <v>6</v>
      </c>
      <c r="W93" s="6" t="s">
        <v>65</v>
      </c>
      <c r="X93" s="6"/>
      <c r="Y93" s="12">
        <v>310.34482758620697</v>
      </c>
      <c r="Z93" s="6" t="s">
        <v>80</v>
      </c>
      <c r="AA93" s="6"/>
      <c r="AB93" s="6"/>
      <c r="AC93" s="12"/>
      <c r="AD93" s="6"/>
      <c r="AE93" s="6"/>
      <c r="AF93" s="6"/>
      <c r="AG93" s="12"/>
      <c r="AH93" s="6"/>
      <c r="AI93" s="6"/>
      <c r="AJ93" s="6"/>
      <c r="AK93" s="12"/>
      <c r="AL93" s="6"/>
      <c r="AM93" s="6"/>
      <c r="AN93" s="6"/>
      <c r="AO93" s="12"/>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row>
    <row r="94" spans="1:96" ht="15.6" x14ac:dyDescent="0.3">
      <c r="A94" s="6">
        <v>1</v>
      </c>
      <c r="B94" s="6"/>
      <c r="C94" s="6">
        <v>66</v>
      </c>
      <c r="D94" s="6" t="s">
        <v>99</v>
      </c>
      <c r="E94" s="13" t="s">
        <v>100</v>
      </c>
      <c r="F94" s="9" t="str">
        <f t="shared" si="10"/>
        <v>2019-35HU252015OTC</v>
      </c>
      <c r="G94" s="6" t="s">
        <v>101</v>
      </c>
      <c r="H94" s="8" t="s">
        <v>244</v>
      </c>
      <c r="I94" s="6" t="s">
        <v>95</v>
      </c>
      <c r="J94" s="6" t="s">
        <v>96</v>
      </c>
      <c r="K94" s="6" t="s">
        <v>110</v>
      </c>
      <c r="L94" s="6">
        <v>2015</v>
      </c>
      <c r="M94" s="6" t="s">
        <v>97</v>
      </c>
      <c r="N94" s="7" t="s">
        <v>51</v>
      </c>
      <c r="O94" s="6" t="s">
        <v>75</v>
      </c>
      <c r="P94" s="6"/>
      <c r="Q94" s="6">
        <v>21.7</v>
      </c>
      <c r="R94" s="6"/>
      <c r="S94" s="6">
        <v>8</v>
      </c>
      <c r="T94" s="6">
        <v>120</v>
      </c>
      <c r="U94" s="6">
        <v>9</v>
      </c>
      <c r="V94" s="6">
        <f t="shared" si="12"/>
        <v>16.274999999999999</v>
      </c>
      <c r="W94" s="6" t="s">
        <v>65</v>
      </c>
      <c r="X94" s="6"/>
      <c r="Y94" s="12">
        <v>248.76847290640401</v>
      </c>
      <c r="Z94" s="6" t="s">
        <v>80</v>
      </c>
      <c r="AA94" s="6"/>
      <c r="AB94" s="6"/>
      <c r="AC94" s="12"/>
      <c r="AD94" s="6"/>
      <c r="AE94" s="6"/>
      <c r="AF94" s="6"/>
      <c r="AG94" s="12"/>
      <c r="AH94" s="6"/>
      <c r="AI94" s="6"/>
      <c r="AJ94" s="6"/>
      <c r="AK94" s="12"/>
      <c r="AL94" s="6"/>
      <c r="AM94" s="6"/>
      <c r="AN94" s="6"/>
      <c r="AO94" s="12"/>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row>
    <row r="95" spans="1:96" ht="15.6" x14ac:dyDescent="0.3">
      <c r="A95" s="6">
        <v>1</v>
      </c>
      <c r="B95" s="6"/>
      <c r="C95" s="6">
        <v>66</v>
      </c>
      <c r="D95" s="6" t="s">
        <v>99</v>
      </c>
      <c r="E95" s="13" t="s">
        <v>100</v>
      </c>
      <c r="F95" s="9" t="str">
        <f t="shared" si="10"/>
        <v>2019-35HU552015OTC</v>
      </c>
      <c r="G95" s="6" t="s">
        <v>101</v>
      </c>
      <c r="H95" s="8" t="s">
        <v>244</v>
      </c>
      <c r="I95" s="6" t="s">
        <v>95</v>
      </c>
      <c r="J95" s="6" t="s">
        <v>96</v>
      </c>
      <c r="K95" s="6" t="s">
        <v>111</v>
      </c>
      <c r="L95" s="6">
        <v>2015</v>
      </c>
      <c r="M95" s="6" t="s">
        <v>97</v>
      </c>
      <c r="N95" s="7" t="s">
        <v>51</v>
      </c>
      <c r="O95" s="6" t="s">
        <v>103</v>
      </c>
      <c r="P95" s="6"/>
      <c r="Q95" s="6">
        <v>8</v>
      </c>
      <c r="R95" s="6"/>
      <c r="S95" s="6">
        <v>8</v>
      </c>
      <c r="T95" s="6">
        <v>120</v>
      </c>
      <c r="U95" s="6">
        <v>9</v>
      </c>
      <c r="V95" s="6">
        <f t="shared" si="12"/>
        <v>6</v>
      </c>
      <c r="W95" s="6" t="s">
        <v>65</v>
      </c>
      <c r="X95" s="6"/>
      <c r="Y95" s="12">
        <v>347.290640394089</v>
      </c>
      <c r="Z95" s="6" t="s">
        <v>80</v>
      </c>
      <c r="AA95" s="6"/>
      <c r="AB95" s="6"/>
      <c r="AC95" s="12"/>
      <c r="AD95" s="6"/>
      <c r="AE95" s="6"/>
      <c r="AF95" s="6"/>
      <c r="AG95" s="12"/>
      <c r="AH95" s="6"/>
      <c r="AI95" s="6"/>
      <c r="AJ95" s="6"/>
      <c r="AK95" s="12"/>
      <c r="AL95" s="6"/>
      <c r="AM95" s="6"/>
      <c r="AN95" s="6"/>
      <c r="AO95" s="12"/>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row>
    <row r="96" spans="1:96" ht="15.6" x14ac:dyDescent="0.3">
      <c r="A96" s="6">
        <v>1</v>
      </c>
      <c r="B96" s="6"/>
      <c r="C96" s="6">
        <v>66</v>
      </c>
      <c r="D96" s="6" t="s">
        <v>99</v>
      </c>
      <c r="E96" s="13" t="s">
        <v>100</v>
      </c>
      <c r="F96" s="9" t="str">
        <f t="shared" si="10"/>
        <v>2019-35HU552015OTC</v>
      </c>
      <c r="G96" s="6" t="s">
        <v>101</v>
      </c>
      <c r="H96" s="8" t="s">
        <v>244</v>
      </c>
      <c r="I96" s="6" t="s">
        <v>95</v>
      </c>
      <c r="J96" s="6" t="s">
        <v>96</v>
      </c>
      <c r="K96" s="6" t="s">
        <v>111</v>
      </c>
      <c r="L96" s="6">
        <v>2015</v>
      </c>
      <c r="M96" s="6" t="s">
        <v>97</v>
      </c>
      <c r="N96" s="7" t="s">
        <v>51</v>
      </c>
      <c r="O96" s="6" t="s">
        <v>75</v>
      </c>
      <c r="P96" s="6"/>
      <c r="Q96" s="6">
        <v>21.7</v>
      </c>
      <c r="R96" s="6"/>
      <c r="S96" s="6">
        <v>8</v>
      </c>
      <c r="T96" s="6">
        <v>120</v>
      </c>
      <c r="U96" s="6">
        <v>9</v>
      </c>
      <c r="V96" s="6">
        <f t="shared" si="12"/>
        <v>16.274999999999999</v>
      </c>
      <c r="W96" s="6" t="s">
        <v>65</v>
      </c>
      <c r="X96" s="6"/>
      <c r="Y96" s="12">
        <v>275.86206896551698</v>
      </c>
      <c r="Z96" s="6" t="s">
        <v>80</v>
      </c>
      <c r="AA96" s="6"/>
      <c r="AB96" s="6"/>
      <c r="AC96" s="12"/>
      <c r="AD96" s="6"/>
      <c r="AE96" s="6"/>
      <c r="AF96" s="6"/>
      <c r="AG96" s="12"/>
      <c r="AH96" s="6"/>
      <c r="AI96" s="6"/>
      <c r="AJ96" s="6"/>
      <c r="AK96" s="12"/>
      <c r="AL96" s="6"/>
      <c r="AM96" s="6"/>
      <c r="AN96" s="6"/>
      <c r="AO96" s="12"/>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row>
    <row r="97" spans="1:96" ht="15.6" x14ac:dyDescent="0.3">
      <c r="A97" s="6">
        <v>1</v>
      </c>
      <c r="B97" s="6"/>
      <c r="C97" s="6">
        <v>66</v>
      </c>
      <c r="D97" s="6" t="s">
        <v>99</v>
      </c>
      <c r="E97" s="13" t="s">
        <v>100</v>
      </c>
      <c r="F97" s="9" t="str">
        <f t="shared" si="10"/>
        <v>2019-35KH652015OTC</v>
      </c>
      <c r="G97" s="6" t="s">
        <v>101</v>
      </c>
      <c r="H97" s="8" t="s">
        <v>244</v>
      </c>
      <c r="I97" s="6" t="s">
        <v>95</v>
      </c>
      <c r="J97" s="6" t="s">
        <v>96</v>
      </c>
      <c r="K97" s="6" t="s">
        <v>112</v>
      </c>
      <c r="L97" s="6">
        <v>2015</v>
      </c>
      <c r="M97" s="6" t="s">
        <v>97</v>
      </c>
      <c r="N97" s="7" t="s">
        <v>51</v>
      </c>
      <c r="O97" s="6" t="s">
        <v>103</v>
      </c>
      <c r="P97" s="6"/>
      <c r="Q97" s="6">
        <v>8</v>
      </c>
      <c r="R97" s="6"/>
      <c r="S97" s="6">
        <v>8</v>
      </c>
      <c r="T97" s="6">
        <v>120</v>
      </c>
      <c r="U97" s="6">
        <v>9</v>
      </c>
      <c r="V97" s="6">
        <f t="shared" si="12"/>
        <v>6</v>
      </c>
      <c r="W97" s="6" t="s">
        <v>65</v>
      </c>
      <c r="X97" s="6"/>
      <c r="Y97" s="12">
        <v>500</v>
      </c>
      <c r="Z97" s="6" t="s">
        <v>80</v>
      </c>
      <c r="AA97" s="6"/>
      <c r="AB97" s="6"/>
      <c r="AC97" s="12"/>
      <c r="AD97" s="6"/>
      <c r="AE97" s="6"/>
      <c r="AF97" s="6"/>
      <c r="AG97" s="12"/>
      <c r="AH97" s="6"/>
      <c r="AI97" s="6"/>
      <c r="AJ97" s="6"/>
      <c r="AK97" s="12"/>
      <c r="AL97" s="6"/>
      <c r="AM97" s="6"/>
      <c r="AN97" s="6"/>
      <c r="AO97" s="12"/>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row>
    <row r="98" spans="1:96" ht="15.6" x14ac:dyDescent="0.3">
      <c r="A98" s="6">
        <v>1</v>
      </c>
      <c r="B98" s="6"/>
      <c r="C98" s="6">
        <v>66</v>
      </c>
      <c r="D98" s="6" t="s">
        <v>99</v>
      </c>
      <c r="E98" s="13" t="s">
        <v>100</v>
      </c>
      <c r="F98" s="9" t="str">
        <f t="shared" si="10"/>
        <v>2019-35KH652015OTC</v>
      </c>
      <c r="G98" s="6" t="s">
        <v>101</v>
      </c>
      <c r="H98" s="8" t="s">
        <v>244</v>
      </c>
      <c r="I98" s="6" t="s">
        <v>95</v>
      </c>
      <c r="J98" s="6" t="s">
        <v>96</v>
      </c>
      <c r="K98" s="6" t="s">
        <v>112</v>
      </c>
      <c r="L98" s="6">
        <v>2015</v>
      </c>
      <c r="M98" s="6" t="s">
        <v>97</v>
      </c>
      <c r="N98" s="7" t="s">
        <v>51</v>
      </c>
      <c r="O98" s="6" t="s">
        <v>75</v>
      </c>
      <c r="P98" s="6"/>
      <c r="Q98" s="6">
        <v>21.7</v>
      </c>
      <c r="R98" s="6"/>
      <c r="S98" s="6">
        <v>8</v>
      </c>
      <c r="T98" s="6">
        <v>120</v>
      </c>
      <c r="U98" s="6">
        <v>9</v>
      </c>
      <c r="V98" s="6">
        <f t="shared" si="12"/>
        <v>16.274999999999999</v>
      </c>
      <c r="W98" s="6" t="s">
        <v>65</v>
      </c>
      <c r="X98" s="6"/>
      <c r="Y98" s="12">
        <v>447.236180904523</v>
      </c>
      <c r="Z98" s="6" t="s">
        <v>80</v>
      </c>
      <c r="AA98" s="6"/>
      <c r="AB98" s="6"/>
      <c r="AC98" s="12"/>
      <c r="AD98" s="6"/>
      <c r="AE98" s="6"/>
      <c r="AF98" s="6"/>
      <c r="AG98" s="12"/>
      <c r="AH98" s="6"/>
      <c r="AI98" s="6"/>
      <c r="AJ98" s="6"/>
      <c r="AK98" s="12"/>
      <c r="AL98" s="6"/>
      <c r="AM98" s="6"/>
      <c r="AN98" s="6"/>
      <c r="AO98" s="12"/>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row>
    <row r="99" spans="1:96" ht="15.6" x14ac:dyDescent="0.3">
      <c r="A99" s="6">
        <v>1</v>
      </c>
      <c r="B99" s="6"/>
      <c r="C99" s="6">
        <v>66</v>
      </c>
      <c r="D99" s="6" t="s">
        <v>99</v>
      </c>
      <c r="E99" s="13" t="s">
        <v>100</v>
      </c>
      <c r="F99" s="9" t="str">
        <f t="shared" si="10"/>
        <v>2019-35KUND2015OTC</v>
      </c>
      <c r="G99" s="6" t="s">
        <v>101</v>
      </c>
      <c r="H99" s="8" t="s">
        <v>244</v>
      </c>
      <c r="I99" s="6" t="s">
        <v>95</v>
      </c>
      <c r="J99" s="6" t="s">
        <v>96</v>
      </c>
      <c r="K99" s="6" t="s">
        <v>113</v>
      </c>
      <c r="L99" s="6">
        <v>2015</v>
      </c>
      <c r="M99" s="6" t="s">
        <v>97</v>
      </c>
      <c r="N99" s="7" t="s">
        <v>51</v>
      </c>
      <c r="O99" s="6" t="s">
        <v>103</v>
      </c>
      <c r="P99" s="6"/>
      <c r="Q99" s="6">
        <v>8</v>
      </c>
      <c r="R99" s="6"/>
      <c r="S99" s="6">
        <v>8</v>
      </c>
      <c r="T99" s="6">
        <v>120</v>
      </c>
      <c r="U99" s="6">
        <v>9</v>
      </c>
      <c r="V99" s="6">
        <f t="shared" si="12"/>
        <v>6</v>
      </c>
      <c r="W99" s="6" t="s">
        <v>65</v>
      </c>
      <c r="X99" s="6"/>
      <c r="Y99" s="12">
        <v>280.78817733990098</v>
      </c>
      <c r="Z99" s="6" t="s">
        <v>80</v>
      </c>
      <c r="AA99" s="6"/>
      <c r="AB99" s="6"/>
      <c r="AC99" s="12"/>
      <c r="AD99" s="6"/>
      <c r="AE99" s="6"/>
      <c r="AF99" s="6"/>
      <c r="AG99" s="12"/>
      <c r="AH99" s="6"/>
      <c r="AI99" s="6"/>
      <c r="AJ99" s="6"/>
      <c r="AK99" s="12"/>
      <c r="AL99" s="6"/>
      <c r="AM99" s="6"/>
      <c r="AN99" s="6"/>
      <c r="AO99" s="12"/>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row>
    <row r="100" spans="1:96" ht="15.6" x14ac:dyDescent="0.3">
      <c r="A100" s="6">
        <v>1</v>
      </c>
      <c r="B100" s="6"/>
      <c r="C100" s="6">
        <v>66</v>
      </c>
      <c r="D100" s="6" t="s">
        <v>99</v>
      </c>
      <c r="E100" s="13" t="s">
        <v>100</v>
      </c>
      <c r="F100" s="9" t="str">
        <f t="shared" si="10"/>
        <v>2019-35KUND2015OTC</v>
      </c>
      <c r="G100" s="6" t="s">
        <v>101</v>
      </c>
      <c r="H100" s="8" t="s">
        <v>244</v>
      </c>
      <c r="I100" s="6" t="s">
        <v>95</v>
      </c>
      <c r="J100" s="6" t="s">
        <v>96</v>
      </c>
      <c r="K100" s="6" t="s">
        <v>113</v>
      </c>
      <c r="L100" s="6">
        <v>2015</v>
      </c>
      <c r="M100" s="6" t="s">
        <v>97</v>
      </c>
      <c r="N100" s="7" t="s">
        <v>51</v>
      </c>
      <c r="O100" s="6" t="s">
        <v>75</v>
      </c>
      <c r="P100" s="6"/>
      <c r="Q100" s="6">
        <v>21.7</v>
      </c>
      <c r="R100" s="6"/>
      <c r="S100" s="6">
        <v>8</v>
      </c>
      <c r="T100" s="6">
        <v>120</v>
      </c>
      <c r="U100" s="6">
        <v>9</v>
      </c>
      <c r="V100" s="6">
        <f t="shared" si="12"/>
        <v>16.274999999999999</v>
      </c>
      <c r="W100" s="6" t="s">
        <v>65</v>
      </c>
      <c r="X100" s="6"/>
      <c r="Y100" s="12">
        <v>246.30541871921201</v>
      </c>
      <c r="Z100" s="6" t="s">
        <v>80</v>
      </c>
      <c r="AA100" s="6"/>
      <c r="AB100" s="6"/>
      <c r="AC100" s="12"/>
      <c r="AD100" s="6"/>
      <c r="AE100" s="6"/>
      <c r="AF100" s="6"/>
      <c r="AG100" s="12"/>
      <c r="AH100" s="6"/>
      <c r="AI100" s="6"/>
      <c r="AJ100" s="6"/>
      <c r="AK100" s="12"/>
      <c r="AL100" s="6"/>
      <c r="AM100" s="6"/>
      <c r="AN100" s="6"/>
      <c r="AO100" s="12"/>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row>
    <row r="101" spans="1:96" ht="15.6" x14ac:dyDescent="0.3">
      <c r="A101" s="6">
        <v>1</v>
      </c>
      <c r="B101" s="6"/>
      <c r="C101" s="6">
        <v>66</v>
      </c>
      <c r="D101" s="6" t="s">
        <v>99</v>
      </c>
      <c r="E101" s="13" t="s">
        <v>100</v>
      </c>
      <c r="F101" s="9" t="str">
        <f t="shared" si="10"/>
        <v>2019-35NI342015OTC</v>
      </c>
      <c r="G101" s="6" t="s">
        <v>101</v>
      </c>
      <c r="H101" s="8" t="s">
        <v>244</v>
      </c>
      <c r="I101" s="6" t="s">
        <v>95</v>
      </c>
      <c r="J101" s="6" t="s">
        <v>96</v>
      </c>
      <c r="K101" s="6" t="s">
        <v>114</v>
      </c>
      <c r="L101" s="6">
        <v>2015</v>
      </c>
      <c r="M101" s="6" t="s">
        <v>97</v>
      </c>
      <c r="N101" s="7" t="s">
        <v>51</v>
      </c>
      <c r="O101" s="6" t="s">
        <v>103</v>
      </c>
      <c r="P101" s="6"/>
      <c r="Q101" s="6">
        <v>8</v>
      </c>
      <c r="R101" s="6"/>
      <c r="S101" s="6">
        <v>8</v>
      </c>
      <c r="T101" s="6">
        <v>120</v>
      </c>
      <c r="U101" s="6">
        <v>9</v>
      </c>
      <c r="V101" s="6">
        <f t="shared" si="12"/>
        <v>6</v>
      </c>
      <c r="W101" s="6" t="s">
        <v>65</v>
      </c>
      <c r="X101" s="6"/>
      <c r="Y101" s="12">
        <v>258.79396984924603</v>
      </c>
      <c r="Z101" s="6" t="s">
        <v>80</v>
      </c>
      <c r="AA101" s="6"/>
      <c r="AB101" s="6"/>
      <c r="AC101" s="12"/>
      <c r="AD101" s="6"/>
      <c r="AE101" s="6"/>
      <c r="AF101" s="6"/>
      <c r="AG101" s="12"/>
      <c r="AH101" s="6"/>
      <c r="AI101" s="6"/>
      <c r="AJ101" s="6"/>
      <c r="AK101" s="12"/>
      <c r="AL101" s="6"/>
      <c r="AM101" s="6"/>
      <c r="AN101" s="6"/>
      <c r="AO101" s="12"/>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row>
    <row r="102" spans="1:96" ht="15.6" x14ac:dyDescent="0.3">
      <c r="A102" s="6">
        <v>1</v>
      </c>
      <c r="B102" s="6"/>
      <c r="C102" s="6">
        <v>66</v>
      </c>
      <c r="D102" s="6" t="s">
        <v>99</v>
      </c>
      <c r="E102" s="13" t="s">
        <v>100</v>
      </c>
      <c r="F102" s="9" t="str">
        <f t="shared" si="10"/>
        <v>2019-35NI342015OTC</v>
      </c>
      <c r="G102" s="6" t="s">
        <v>101</v>
      </c>
      <c r="H102" s="8" t="s">
        <v>244</v>
      </c>
      <c r="I102" s="6" t="s">
        <v>95</v>
      </c>
      <c r="J102" s="6" t="s">
        <v>96</v>
      </c>
      <c r="K102" s="6" t="s">
        <v>114</v>
      </c>
      <c r="L102" s="6">
        <v>2015</v>
      </c>
      <c r="M102" s="6" t="s">
        <v>97</v>
      </c>
      <c r="N102" s="7" t="s">
        <v>51</v>
      </c>
      <c r="O102" s="6" t="s">
        <v>75</v>
      </c>
      <c r="P102" s="6"/>
      <c r="Q102" s="6">
        <v>21.7</v>
      </c>
      <c r="R102" s="6"/>
      <c r="S102" s="6">
        <v>8</v>
      </c>
      <c r="T102" s="6">
        <v>120</v>
      </c>
      <c r="U102" s="6">
        <v>9</v>
      </c>
      <c r="V102" s="6">
        <f t="shared" si="12"/>
        <v>16.274999999999999</v>
      </c>
      <c r="W102" s="6" t="s">
        <v>65</v>
      </c>
      <c r="X102" s="6"/>
      <c r="Y102" s="12">
        <v>195.979899497487</v>
      </c>
      <c r="Z102" s="6" t="s">
        <v>80</v>
      </c>
      <c r="AA102" s="6"/>
      <c r="AB102" s="6"/>
      <c r="AC102" s="12"/>
      <c r="AD102" s="6"/>
      <c r="AE102" s="6"/>
      <c r="AF102" s="6"/>
      <c r="AG102" s="12"/>
      <c r="AH102" s="6"/>
      <c r="AI102" s="6"/>
      <c r="AJ102" s="6"/>
      <c r="AK102" s="12"/>
      <c r="AL102" s="6"/>
      <c r="AM102" s="6"/>
      <c r="AN102" s="6"/>
      <c r="AO102" s="12"/>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row>
    <row r="103" spans="1:96" ht="15.6" x14ac:dyDescent="0.3">
      <c r="A103" s="6">
        <v>1</v>
      </c>
      <c r="B103" s="6"/>
      <c r="C103" s="6">
        <v>66</v>
      </c>
      <c r="D103" s="6" t="s">
        <v>99</v>
      </c>
      <c r="E103" s="13" t="s">
        <v>100</v>
      </c>
      <c r="F103" s="9" t="str">
        <f t="shared" si="10"/>
        <v>2019-35P5022015OTC</v>
      </c>
      <c r="G103" s="6" t="s">
        <v>101</v>
      </c>
      <c r="H103" s="8" t="s">
        <v>244</v>
      </c>
      <c r="I103" s="6" t="s">
        <v>95</v>
      </c>
      <c r="J103" s="6" t="s">
        <v>96</v>
      </c>
      <c r="K103" s="6" t="s">
        <v>115</v>
      </c>
      <c r="L103" s="6">
        <v>2015</v>
      </c>
      <c r="M103" s="6" t="s">
        <v>97</v>
      </c>
      <c r="N103" s="7" t="s">
        <v>51</v>
      </c>
      <c r="O103" s="6" t="s">
        <v>103</v>
      </c>
      <c r="P103" s="6"/>
      <c r="Q103" s="6">
        <v>8</v>
      </c>
      <c r="R103" s="6"/>
      <c r="S103" s="6">
        <v>8</v>
      </c>
      <c r="T103" s="6">
        <v>120</v>
      </c>
      <c r="U103" s="6">
        <v>9</v>
      </c>
      <c r="V103" s="6">
        <f t="shared" si="12"/>
        <v>6</v>
      </c>
      <c r="W103" s="6" t="s">
        <v>65</v>
      </c>
      <c r="X103" s="6"/>
      <c r="Y103" s="12">
        <v>329.14572864321599</v>
      </c>
      <c r="Z103" s="6" t="s">
        <v>80</v>
      </c>
      <c r="AA103" s="6"/>
      <c r="AB103" s="6"/>
      <c r="AC103" s="12"/>
      <c r="AD103" s="6"/>
      <c r="AE103" s="6"/>
      <c r="AF103" s="6"/>
      <c r="AG103" s="12"/>
      <c r="AH103" s="6"/>
      <c r="AI103" s="6"/>
      <c r="AJ103" s="6"/>
      <c r="AK103" s="12"/>
      <c r="AL103" s="6"/>
      <c r="AM103" s="6"/>
      <c r="AN103" s="6"/>
      <c r="AO103" s="12"/>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row>
    <row r="104" spans="1:96" ht="15.6" x14ac:dyDescent="0.3">
      <c r="A104" s="6">
        <v>1</v>
      </c>
      <c r="B104" s="6"/>
      <c r="C104" s="6">
        <v>66</v>
      </c>
      <c r="D104" s="6" t="s">
        <v>99</v>
      </c>
      <c r="E104" s="13" t="s">
        <v>100</v>
      </c>
      <c r="F104" s="9" t="str">
        <f t="shared" si="10"/>
        <v>2019-35P5022015OTC</v>
      </c>
      <c r="G104" s="6" t="s">
        <v>101</v>
      </c>
      <c r="H104" s="8" t="s">
        <v>244</v>
      </c>
      <c r="I104" s="6" t="s">
        <v>95</v>
      </c>
      <c r="J104" s="6" t="s">
        <v>96</v>
      </c>
      <c r="K104" s="6" t="s">
        <v>115</v>
      </c>
      <c r="L104" s="6">
        <v>2015</v>
      </c>
      <c r="M104" s="6" t="s">
        <v>97</v>
      </c>
      <c r="N104" s="7" t="s">
        <v>51</v>
      </c>
      <c r="O104" s="6" t="s">
        <v>75</v>
      </c>
      <c r="P104" s="6"/>
      <c r="Q104" s="6">
        <v>21.7</v>
      </c>
      <c r="R104" s="6"/>
      <c r="S104" s="6">
        <v>8</v>
      </c>
      <c r="T104" s="6">
        <v>120</v>
      </c>
      <c r="U104" s="6">
        <v>9</v>
      </c>
      <c r="V104" s="6">
        <f t="shared" si="12"/>
        <v>16.274999999999999</v>
      </c>
      <c r="W104" s="6" t="s">
        <v>65</v>
      </c>
      <c r="X104" s="6"/>
      <c r="Y104" s="12">
        <v>251.256281407035</v>
      </c>
      <c r="Z104" s="6" t="s">
        <v>80</v>
      </c>
      <c r="AA104" s="6"/>
      <c r="AB104" s="6"/>
      <c r="AC104" s="12"/>
      <c r="AD104" s="6"/>
      <c r="AE104" s="6"/>
      <c r="AF104" s="6"/>
      <c r="AG104" s="12"/>
      <c r="AH104" s="6"/>
      <c r="AI104" s="6"/>
      <c r="AJ104" s="6"/>
      <c r="AK104" s="12"/>
      <c r="AL104" s="6"/>
      <c r="AM104" s="6"/>
      <c r="AN104" s="6"/>
      <c r="AO104" s="12"/>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row>
    <row r="105" spans="1:96" ht="15.6" x14ac:dyDescent="0.3">
      <c r="A105" s="6">
        <v>1</v>
      </c>
      <c r="B105" s="6"/>
      <c r="C105" s="6">
        <v>66</v>
      </c>
      <c r="D105" s="6" t="s">
        <v>99</v>
      </c>
      <c r="E105" s="13" t="s">
        <v>100</v>
      </c>
      <c r="F105" s="9" t="str">
        <f t="shared" si="10"/>
        <v>2019-35P5502015OTC</v>
      </c>
      <c r="G105" s="6" t="s">
        <v>101</v>
      </c>
      <c r="H105" s="8" t="s">
        <v>244</v>
      </c>
      <c r="I105" s="6" t="s">
        <v>95</v>
      </c>
      <c r="J105" s="6" t="s">
        <v>96</v>
      </c>
      <c r="K105" s="6" t="s">
        <v>116</v>
      </c>
      <c r="L105" s="6">
        <v>2015</v>
      </c>
      <c r="M105" s="6" t="s">
        <v>97</v>
      </c>
      <c r="N105" s="7" t="s">
        <v>51</v>
      </c>
      <c r="O105" s="6" t="s">
        <v>103</v>
      </c>
      <c r="P105" s="6"/>
      <c r="Q105" s="6">
        <v>8</v>
      </c>
      <c r="R105" s="6"/>
      <c r="S105" s="6">
        <v>8</v>
      </c>
      <c r="T105" s="6">
        <v>120</v>
      </c>
      <c r="U105" s="6">
        <v>9</v>
      </c>
      <c r="V105" s="6">
        <f t="shared" si="12"/>
        <v>6</v>
      </c>
      <c r="W105" s="6" t="s">
        <v>65</v>
      </c>
      <c r="X105" s="6"/>
      <c r="Y105" s="12">
        <v>331.658291457286</v>
      </c>
      <c r="Z105" s="6" t="s">
        <v>80</v>
      </c>
      <c r="AA105" s="6"/>
      <c r="AB105" s="6"/>
      <c r="AC105" s="12"/>
      <c r="AD105" s="6"/>
      <c r="AE105" s="6"/>
      <c r="AF105" s="6"/>
      <c r="AG105" s="12"/>
      <c r="AH105" s="6"/>
      <c r="AI105" s="6"/>
      <c r="AJ105" s="6"/>
      <c r="AK105" s="12"/>
      <c r="AL105" s="6"/>
      <c r="AM105" s="6"/>
      <c r="AN105" s="6"/>
      <c r="AO105" s="12"/>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row>
    <row r="106" spans="1:96" ht="15.6" x14ac:dyDescent="0.3">
      <c r="A106" s="6">
        <v>1</v>
      </c>
      <c r="B106" s="6"/>
      <c r="C106" s="6">
        <v>66</v>
      </c>
      <c r="D106" s="6" t="s">
        <v>99</v>
      </c>
      <c r="E106" s="13" t="s">
        <v>100</v>
      </c>
      <c r="F106" s="9" t="str">
        <f t="shared" si="10"/>
        <v>2019-35P5502015OTC</v>
      </c>
      <c r="G106" s="6" t="s">
        <v>101</v>
      </c>
      <c r="H106" s="8" t="s">
        <v>244</v>
      </c>
      <c r="I106" s="6" t="s">
        <v>95</v>
      </c>
      <c r="J106" s="6" t="s">
        <v>96</v>
      </c>
      <c r="K106" s="6" t="s">
        <v>116</v>
      </c>
      <c r="L106" s="6">
        <v>2015</v>
      </c>
      <c r="M106" s="6" t="s">
        <v>97</v>
      </c>
      <c r="N106" s="7" t="s">
        <v>51</v>
      </c>
      <c r="O106" s="6" t="s">
        <v>75</v>
      </c>
      <c r="P106" s="6"/>
      <c r="Q106" s="6">
        <v>21.7</v>
      </c>
      <c r="R106" s="6"/>
      <c r="S106" s="6">
        <v>8</v>
      </c>
      <c r="T106" s="6">
        <v>120</v>
      </c>
      <c r="U106" s="6">
        <v>9</v>
      </c>
      <c r="V106" s="6">
        <f t="shared" si="12"/>
        <v>16.274999999999999</v>
      </c>
      <c r="W106" s="6" t="s">
        <v>65</v>
      </c>
      <c r="X106" s="6"/>
      <c r="Y106" s="12">
        <v>241.206030150754</v>
      </c>
      <c r="Z106" s="6" t="s">
        <v>80</v>
      </c>
      <c r="AA106" s="6"/>
      <c r="AB106" s="6"/>
      <c r="AC106" s="12"/>
      <c r="AD106" s="6"/>
      <c r="AE106" s="6"/>
      <c r="AF106" s="6"/>
      <c r="AG106" s="12"/>
      <c r="AH106" s="6"/>
      <c r="AI106" s="6"/>
      <c r="AJ106" s="6"/>
      <c r="AK106" s="12"/>
      <c r="AL106" s="6"/>
      <c r="AM106" s="6"/>
      <c r="AN106" s="6"/>
      <c r="AO106" s="12"/>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row>
    <row r="107" spans="1:96" ht="15.6" x14ac:dyDescent="0.3">
      <c r="A107" s="6">
        <v>1</v>
      </c>
      <c r="B107" s="6"/>
      <c r="C107" s="6">
        <v>68</v>
      </c>
      <c r="D107" s="6" t="s">
        <v>117</v>
      </c>
      <c r="E107" s="13" t="s">
        <v>118</v>
      </c>
      <c r="F107" s="9" t="str">
        <f t="shared" si="10"/>
        <v>2020-48HD31182016OTC</v>
      </c>
      <c r="G107" s="6" t="s">
        <v>119</v>
      </c>
      <c r="H107" s="8" t="s">
        <v>244</v>
      </c>
      <c r="I107" s="6" t="s">
        <v>95</v>
      </c>
      <c r="J107" s="6" t="s">
        <v>96</v>
      </c>
      <c r="K107" s="6" t="s">
        <v>120</v>
      </c>
      <c r="L107" s="6">
        <v>2016</v>
      </c>
      <c r="M107" s="6" t="s">
        <v>97</v>
      </c>
      <c r="N107" s="7" t="s">
        <v>51</v>
      </c>
      <c r="O107" s="6" t="s">
        <v>103</v>
      </c>
      <c r="P107" s="7">
        <f>R107/1.01*1.08</f>
        <v>55.283168316831691</v>
      </c>
      <c r="Q107" s="6"/>
      <c r="R107" s="6">
        <v>51.7</v>
      </c>
      <c r="S107" s="6">
        <v>8</v>
      </c>
      <c r="T107" s="6">
        <v>100</v>
      </c>
      <c r="U107" s="6">
        <v>5</v>
      </c>
      <c r="V107" s="13">
        <v>16.635934586368901</v>
      </c>
      <c r="W107" s="6" t="s">
        <v>52</v>
      </c>
      <c r="X107" s="10"/>
      <c r="Y107" s="12">
        <v>364.5</v>
      </c>
      <c r="Z107" s="6" t="s">
        <v>80</v>
      </c>
      <c r="AA107" s="6"/>
      <c r="AB107" s="6"/>
      <c r="AC107" s="12">
        <v>35.4</v>
      </c>
      <c r="AD107" s="7" t="s">
        <v>39</v>
      </c>
      <c r="AE107" s="6"/>
      <c r="AF107" s="6"/>
      <c r="AG107" s="12"/>
      <c r="AH107" s="6"/>
      <c r="AI107" s="6"/>
      <c r="AJ107" s="6"/>
      <c r="AK107" s="12">
        <v>4.55</v>
      </c>
      <c r="AL107" s="6" t="s">
        <v>67</v>
      </c>
      <c r="AM107" s="6"/>
      <c r="AN107" s="6"/>
      <c r="AO107" s="12">
        <f t="shared" si="11"/>
        <v>10296.610169491525</v>
      </c>
      <c r="AP107" s="6" t="s">
        <v>54</v>
      </c>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v>147.53161077515099</v>
      </c>
      <c r="BZ107" s="6" t="s">
        <v>249</v>
      </c>
      <c r="CA107" s="6"/>
      <c r="CB107" s="6">
        <v>3.5294117647059977</v>
      </c>
      <c r="CC107" s="6">
        <v>819.23648802736602</v>
      </c>
      <c r="CD107" s="6" t="s">
        <v>249</v>
      </c>
      <c r="CE107" s="6"/>
      <c r="CF107" s="6">
        <v>6.6189281641959496</v>
      </c>
      <c r="CG107" s="6">
        <v>9.27</v>
      </c>
      <c r="CH107" s="6" t="s">
        <v>245</v>
      </c>
      <c r="CI107" s="6"/>
      <c r="CJ107" s="6"/>
      <c r="CK107" s="6"/>
      <c r="CL107" s="6"/>
      <c r="CM107" s="6"/>
      <c r="CN107" s="6"/>
      <c r="CO107" s="6">
        <v>105.940594059406</v>
      </c>
      <c r="CP107" s="6" t="s">
        <v>249</v>
      </c>
      <c r="CQ107" s="6"/>
      <c r="CR107" s="6">
        <v>2.9702970297030049</v>
      </c>
    </row>
    <row r="108" spans="1:96" ht="15.6" x14ac:dyDescent="0.3">
      <c r="A108" s="6">
        <v>1</v>
      </c>
      <c r="B108" s="6"/>
      <c r="C108" s="6">
        <v>68</v>
      </c>
      <c r="D108" s="6" t="s">
        <v>117</v>
      </c>
      <c r="E108" s="13" t="s">
        <v>118</v>
      </c>
      <c r="F108" s="9" t="str">
        <f t="shared" si="10"/>
        <v>2020-48HD31182016OTC</v>
      </c>
      <c r="G108" s="6" t="s">
        <v>119</v>
      </c>
      <c r="H108" s="8" t="s">
        <v>244</v>
      </c>
      <c r="I108" s="6" t="s">
        <v>95</v>
      </c>
      <c r="J108" s="6" t="s">
        <v>96</v>
      </c>
      <c r="K108" s="6" t="s">
        <v>120</v>
      </c>
      <c r="L108" s="6">
        <v>2016</v>
      </c>
      <c r="M108" s="6" t="s">
        <v>97</v>
      </c>
      <c r="N108" s="7" t="s">
        <v>51</v>
      </c>
      <c r="O108" s="6" t="s">
        <v>75</v>
      </c>
      <c r="P108" s="7">
        <f>(8 * R108+ 4 * 0.97*R107) / 12*1.08</f>
        <v>69.677640000000011</v>
      </c>
      <c r="Q108" s="6"/>
      <c r="R108" s="6">
        <v>71.7</v>
      </c>
      <c r="S108" s="6">
        <v>8</v>
      </c>
      <c r="T108" s="6">
        <v>100</v>
      </c>
      <c r="U108" s="6">
        <v>5</v>
      </c>
      <c r="V108" s="13">
        <v>29.338133020351801</v>
      </c>
      <c r="W108" s="6" t="s">
        <v>52</v>
      </c>
      <c r="X108" s="6"/>
      <c r="Y108" s="12">
        <v>277.5</v>
      </c>
      <c r="Z108" s="6" t="s">
        <v>80</v>
      </c>
      <c r="AA108" s="6"/>
      <c r="AB108" s="6"/>
      <c r="AC108" s="12">
        <v>33.1</v>
      </c>
      <c r="AD108" s="7" t="s">
        <v>39</v>
      </c>
      <c r="AE108" s="6"/>
      <c r="AF108" s="6"/>
      <c r="AG108" s="12"/>
      <c r="AH108" s="6"/>
      <c r="AI108" s="6"/>
      <c r="AJ108" s="6"/>
      <c r="AK108" s="12">
        <v>3.95</v>
      </c>
      <c r="AL108" s="6" t="s">
        <v>67</v>
      </c>
      <c r="AM108" s="6"/>
      <c r="AN108" s="6"/>
      <c r="AO108" s="12">
        <f t="shared" si="11"/>
        <v>8383.6858006042294</v>
      </c>
      <c r="AP108" s="6" t="s">
        <v>54</v>
      </c>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v>136.42385926333199</v>
      </c>
      <c r="BZ108" s="6" t="s">
        <v>249</v>
      </c>
      <c r="CA108" s="6"/>
      <c r="CB108" s="6">
        <v>1.7647058823520183</v>
      </c>
      <c r="CC108" s="6">
        <v>779.93158494868896</v>
      </c>
      <c r="CD108" s="6" t="s">
        <v>249</v>
      </c>
      <c r="CE108" s="6"/>
      <c r="CF108" s="6">
        <v>9.9174458380840633</v>
      </c>
      <c r="CG108" s="6">
        <v>7.42</v>
      </c>
      <c r="CH108" s="6" t="s">
        <v>245</v>
      </c>
      <c r="CI108" s="6"/>
      <c r="CJ108" s="6"/>
      <c r="CK108" s="6"/>
      <c r="CL108" s="6"/>
      <c r="CM108" s="6"/>
      <c r="CN108" s="6"/>
      <c r="CO108" s="6">
        <v>117.821782178218</v>
      </c>
      <c r="CP108" s="6" t="s">
        <v>249</v>
      </c>
      <c r="CQ108" s="6"/>
      <c r="CR108" s="6">
        <v>3.9603960396039923</v>
      </c>
    </row>
    <row r="109" spans="1:96" ht="15.6" x14ac:dyDescent="0.3">
      <c r="A109" s="6">
        <v>1</v>
      </c>
      <c r="B109" s="6"/>
      <c r="C109" s="6">
        <v>68</v>
      </c>
      <c r="D109" s="6" t="s">
        <v>117</v>
      </c>
      <c r="E109" s="13" t="s">
        <v>118</v>
      </c>
      <c r="F109" s="9" t="str">
        <f t="shared" si="10"/>
        <v>2020-48HUW2342016OTC</v>
      </c>
      <c r="G109" s="6" t="s">
        <v>119</v>
      </c>
      <c r="H109" s="8" t="s">
        <v>244</v>
      </c>
      <c r="I109" s="6" t="s">
        <v>95</v>
      </c>
      <c r="J109" s="6" t="s">
        <v>96</v>
      </c>
      <c r="K109" s="6" t="s">
        <v>121</v>
      </c>
      <c r="L109" s="6">
        <v>2016</v>
      </c>
      <c r="M109" s="6" t="s">
        <v>97</v>
      </c>
      <c r="N109" s="7" t="s">
        <v>51</v>
      </c>
      <c r="O109" s="6" t="s">
        <v>103</v>
      </c>
      <c r="P109" s="7">
        <f>R109/1.01*1.08</f>
        <v>55.283168316831691</v>
      </c>
      <c r="Q109" s="6"/>
      <c r="R109" s="6">
        <v>51.7</v>
      </c>
      <c r="S109" s="6">
        <v>8</v>
      </c>
      <c r="T109" s="6">
        <v>100</v>
      </c>
      <c r="U109" s="6">
        <v>5</v>
      </c>
      <c r="V109" s="13">
        <v>16.635934586368901</v>
      </c>
      <c r="W109" s="6" t="s">
        <v>52</v>
      </c>
      <c r="X109" s="6"/>
      <c r="Y109" s="12">
        <v>435.5</v>
      </c>
      <c r="Z109" s="6" t="s">
        <v>80</v>
      </c>
      <c r="AA109" s="6"/>
      <c r="AB109" s="6"/>
      <c r="AC109" s="12">
        <v>38.5</v>
      </c>
      <c r="AD109" s="7" t="s">
        <v>39</v>
      </c>
      <c r="AE109" s="6"/>
      <c r="AF109" s="6"/>
      <c r="AG109" s="12"/>
      <c r="AH109" s="6"/>
      <c r="AI109" s="6"/>
      <c r="AJ109" s="6"/>
      <c r="AK109" s="12">
        <v>5.95</v>
      </c>
      <c r="AL109" s="6" t="s">
        <v>67</v>
      </c>
      <c r="AM109" s="6"/>
      <c r="AN109" s="6"/>
      <c r="AO109" s="12">
        <f t="shared" si="11"/>
        <v>11311.688311688311</v>
      </c>
      <c r="AP109" s="6" t="s">
        <v>54</v>
      </c>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v>108.567894447499</v>
      </c>
      <c r="BZ109" s="6" t="s">
        <v>249</v>
      </c>
      <c r="CA109" s="6"/>
      <c r="CB109" s="6">
        <v>2.3529411764699972</v>
      </c>
      <c r="CC109" s="6">
        <v>742.45838084378602</v>
      </c>
      <c r="CD109" s="6" t="s">
        <v>249</v>
      </c>
      <c r="CE109" s="6"/>
      <c r="CF109" s="6">
        <v>13.230558722919</v>
      </c>
      <c r="CG109" s="6">
        <v>11.2</v>
      </c>
      <c r="CH109" s="6" t="s">
        <v>245</v>
      </c>
      <c r="CI109" s="6"/>
      <c r="CJ109" s="6"/>
      <c r="CK109" s="6"/>
      <c r="CL109" s="6"/>
      <c r="CM109" s="6"/>
      <c r="CN109" s="6"/>
      <c r="CO109" s="6">
        <v>105.940594059406</v>
      </c>
      <c r="CP109" s="6" t="s">
        <v>249</v>
      </c>
      <c r="CQ109" s="6"/>
      <c r="CR109" s="6">
        <v>1.9801980198020033</v>
      </c>
    </row>
    <row r="110" spans="1:96" ht="15.6" x14ac:dyDescent="0.3">
      <c r="A110" s="6">
        <v>1</v>
      </c>
      <c r="B110" s="6"/>
      <c r="C110" s="6">
        <v>68</v>
      </c>
      <c r="D110" s="6" t="s">
        <v>117</v>
      </c>
      <c r="E110" s="13" t="s">
        <v>118</v>
      </c>
      <c r="F110" s="9" t="str">
        <f t="shared" si="10"/>
        <v>2020-48HUW2342016OTC</v>
      </c>
      <c r="G110" s="6" t="s">
        <v>119</v>
      </c>
      <c r="H110" s="8" t="s">
        <v>244</v>
      </c>
      <c r="I110" s="6" t="s">
        <v>95</v>
      </c>
      <c r="J110" s="6" t="s">
        <v>96</v>
      </c>
      <c r="K110" s="6" t="s">
        <v>121</v>
      </c>
      <c r="L110" s="6">
        <v>2016</v>
      </c>
      <c r="M110" s="6" t="s">
        <v>97</v>
      </c>
      <c r="N110" s="7" t="s">
        <v>51</v>
      </c>
      <c r="O110" s="6" t="s">
        <v>75</v>
      </c>
      <c r="P110" s="7">
        <f>(8 * R110+ 4 * 0.97*R109) / 12*1.08</f>
        <v>69.677640000000011</v>
      </c>
      <c r="Q110" s="6"/>
      <c r="R110" s="6">
        <v>71.7</v>
      </c>
      <c r="S110" s="6">
        <v>8</v>
      </c>
      <c r="T110" s="6">
        <v>100</v>
      </c>
      <c r="U110" s="6">
        <v>5</v>
      </c>
      <c r="V110" s="13">
        <v>29.338133020351801</v>
      </c>
      <c r="W110" s="6" t="s">
        <v>52</v>
      </c>
      <c r="X110" s="6"/>
      <c r="Y110" s="12">
        <v>339</v>
      </c>
      <c r="Z110" s="6" t="s">
        <v>80</v>
      </c>
      <c r="AA110" s="6"/>
      <c r="AB110" s="6"/>
      <c r="AC110" s="12">
        <v>38</v>
      </c>
      <c r="AD110" s="7" t="s">
        <v>39</v>
      </c>
      <c r="AE110" s="6"/>
      <c r="AF110" s="6"/>
      <c r="AG110" s="12"/>
      <c r="AH110" s="6"/>
      <c r="AI110" s="6"/>
      <c r="AJ110" s="6"/>
      <c r="AK110" s="12">
        <v>4.6500000000000004</v>
      </c>
      <c r="AL110" s="6" t="s">
        <v>67</v>
      </c>
      <c r="AM110" s="6"/>
      <c r="AN110" s="6"/>
      <c r="AO110" s="12">
        <f t="shared" si="11"/>
        <v>8921.0526315789466</v>
      </c>
      <c r="AP110" s="6" t="s">
        <v>54</v>
      </c>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v>100.990929081913</v>
      </c>
      <c r="BZ110" s="6" t="s">
        <v>249</v>
      </c>
      <c r="CA110" s="6"/>
      <c r="CB110" s="6">
        <v>2.9398020890600094</v>
      </c>
      <c r="CC110" s="6">
        <v>696.54914481185904</v>
      </c>
      <c r="CD110" s="6" t="s">
        <v>249</v>
      </c>
      <c r="CE110" s="6"/>
      <c r="CF110" s="6">
        <v>9.9028506271379229</v>
      </c>
      <c r="CG110" s="6">
        <v>9.6999999999999993</v>
      </c>
      <c r="CH110" s="6" t="s">
        <v>245</v>
      </c>
      <c r="CI110" s="6"/>
      <c r="CJ110" s="6"/>
      <c r="CK110" s="6"/>
      <c r="CL110" s="6"/>
      <c r="CM110" s="6"/>
      <c r="CN110" s="6"/>
      <c r="CO110" s="6">
        <v>114.851485148515</v>
      </c>
      <c r="CP110" s="6" t="s">
        <v>249</v>
      </c>
      <c r="CQ110" s="6"/>
      <c r="CR110" s="6">
        <v>2.9702970297030049</v>
      </c>
    </row>
    <row r="111" spans="1:96" ht="15.6" x14ac:dyDescent="0.3">
      <c r="A111" s="6">
        <v>1</v>
      </c>
      <c r="B111" s="6"/>
      <c r="C111" s="6">
        <v>71</v>
      </c>
      <c r="D111" s="6" t="s">
        <v>122</v>
      </c>
      <c r="E111" s="13" t="s">
        <v>123</v>
      </c>
      <c r="F111" s="9" t="str">
        <f t="shared" si="10"/>
        <v>2021-X140HD30862017OTC</v>
      </c>
      <c r="G111" s="6" t="s">
        <v>119</v>
      </c>
      <c r="H111" s="8" t="s">
        <v>244</v>
      </c>
      <c r="I111" s="6" t="s">
        <v>95</v>
      </c>
      <c r="J111" s="6" t="s">
        <v>96</v>
      </c>
      <c r="K111" s="6" t="s">
        <v>124</v>
      </c>
      <c r="L111" s="6">
        <v>2017</v>
      </c>
      <c r="M111" s="6" t="s">
        <v>97</v>
      </c>
      <c r="N111" s="7" t="s">
        <v>51</v>
      </c>
      <c r="O111" s="6" t="s">
        <v>103</v>
      </c>
      <c r="P111" s="7">
        <f>R111/1.01*1.08</f>
        <v>54.748514851485155</v>
      </c>
      <c r="Q111" s="6">
        <v>11.78</v>
      </c>
      <c r="R111" s="6">
        <v>51.2</v>
      </c>
      <c r="S111" s="6">
        <v>8</v>
      </c>
      <c r="T111" s="6">
        <v>150</v>
      </c>
      <c r="U111" s="6">
        <v>3</v>
      </c>
      <c r="V111" s="6">
        <f t="shared" ref="V111:V130" si="13">IF(T111&lt;=90,Q111,Q111/T111*90)</f>
        <v>7.0679999999999996</v>
      </c>
      <c r="W111" s="6" t="s">
        <v>65</v>
      </c>
      <c r="X111" s="6"/>
      <c r="Y111" s="12">
        <v>554</v>
      </c>
      <c r="Z111" s="6" t="s">
        <v>80</v>
      </c>
      <c r="AA111" s="6"/>
      <c r="AB111" s="6">
        <v>26</v>
      </c>
      <c r="AC111" s="12">
        <v>45.4</v>
      </c>
      <c r="AD111" s="7" t="s">
        <v>39</v>
      </c>
      <c r="AE111" s="6"/>
      <c r="AF111" s="6">
        <v>0.9</v>
      </c>
      <c r="AG111" s="12"/>
      <c r="AH111" s="6"/>
      <c r="AI111" s="6"/>
      <c r="AJ111" s="6"/>
      <c r="AK111" s="12"/>
      <c r="AL111" s="6"/>
      <c r="AM111" s="6"/>
      <c r="AN111" s="6"/>
      <c r="AO111" s="12">
        <f t="shared" si="11"/>
        <v>12202.643171806169</v>
      </c>
      <c r="AP111" s="6" t="s">
        <v>54</v>
      </c>
      <c r="AQ111" s="6"/>
      <c r="AR111" s="6"/>
      <c r="AS111" s="6"/>
      <c r="AT111" s="6"/>
      <c r="AU111" s="6"/>
      <c r="AV111" s="6"/>
      <c r="AW111" s="6">
        <v>233.4</v>
      </c>
      <c r="AX111" s="6" t="s">
        <v>67</v>
      </c>
      <c r="AY111" s="6"/>
      <c r="AZ111" s="6">
        <v>8.9</v>
      </c>
      <c r="BA111" s="6">
        <v>0.49</v>
      </c>
      <c r="BB111" s="6" t="s">
        <v>229</v>
      </c>
      <c r="BC111" s="6"/>
      <c r="BD111" s="6">
        <v>5.0000000000000001E-3</v>
      </c>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row>
    <row r="112" spans="1:96" ht="15.6" x14ac:dyDescent="0.3">
      <c r="A112" s="6">
        <v>1</v>
      </c>
      <c r="B112" s="6"/>
      <c r="C112" s="6">
        <v>71</v>
      </c>
      <c r="D112" s="6" t="s">
        <v>122</v>
      </c>
      <c r="E112" s="13" t="s">
        <v>123</v>
      </c>
      <c r="F112" s="9" t="str">
        <f t="shared" si="10"/>
        <v>2021-X140HD30862017OTC</v>
      </c>
      <c r="G112" s="6" t="s">
        <v>119</v>
      </c>
      <c r="H112" s="8" t="s">
        <v>244</v>
      </c>
      <c r="I112" s="6" t="s">
        <v>95</v>
      </c>
      <c r="J112" s="6" t="s">
        <v>96</v>
      </c>
      <c r="K112" s="6" t="s">
        <v>124</v>
      </c>
      <c r="L112" s="6">
        <v>2017</v>
      </c>
      <c r="M112" s="6" t="s">
        <v>97</v>
      </c>
      <c r="N112" s="7" t="s">
        <v>51</v>
      </c>
      <c r="O112" s="6" t="s">
        <v>75</v>
      </c>
      <c r="P112" s="7">
        <f>(8 * R112+ 4 * 0.97*R111) / 12*1.08</f>
        <v>69.863040000000012</v>
      </c>
      <c r="Q112" s="6">
        <v>21.6</v>
      </c>
      <c r="R112" s="6">
        <v>72.2</v>
      </c>
      <c r="S112" s="6">
        <v>8</v>
      </c>
      <c r="T112" s="6">
        <v>150</v>
      </c>
      <c r="U112" s="6">
        <v>3</v>
      </c>
      <c r="V112" s="6">
        <f t="shared" si="13"/>
        <v>12.96</v>
      </c>
      <c r="W112" s="6" t="s">
        <v>65</v>
      </c>
      <c r="X112" s="6"/>
      <c r="Y112" s="12">
        <v>381</v>
      </c>
      <c r="Z112" s="6" t="s">
        <v>80</v>
      </c>
      <c r="AA112" s="6"/>
      <c r="AB112" s="6">
        <v>21</v>
      </c>
      <c r="AC112" s="12">
        <v>41.7</v>
      </c>
      <c r="AD112" s="7" t="s">
        <v>39</v>
      </c>
      <c r="AE112" s="6"/>
      <c r="AF112" s="6">
        <v>0.53</v>
      </c>
      <c r="AG112" s="12"/>
      <c r="AH112" s="6"/>
      <c r="AI112" s="6"/>
      <c r="AJ112" s="6"/>
      <c r="AK112" s="12"/>
      <c r="AL112" s="6"/>
      <c r="AM112" s="6"/>
      <c r="AN112" s="6"/>
      <c r="AO112" s="12">
        <f t="shared" si="11"/>
        <v>9136.6906474820153</v>
      </c>
      <c r="AP112" s="6" t="s">
        <v>54</v>
      </c>
      <c r="AQ112" s="6"/>
      <c r="AR112" s="6"/>
      <c r="AS112" s="6"/>
      <c r="AT112" s="6"/>
      <c r="AU112" s="6"/>
      <c r="AV112" s="6"/>
      <c r="AW112" s="6">
        <v>192</v>
      </c>
      <c r="AX112" s="6" t="s">
        <v>67</v>
      </c>
      <c r="AY112" s="6"/>
      <c r="AZ112" s="6">
        <v>14.2</v>
      </c>
      <c r="BA112" s="6">
        <v>0.46</v>
      </c>
      <c r="BB112" s="6" t="s">
        <v>229</v>
      </c>
      <c r="BC112" s="6"/>
      <c r="BD112" s="6">
        <v>5.0000000000000001E-3</v>
      </c>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row>
    <row r="113" spans="1:96" ht="15.6" x14ac:dyDescent="0.3">
      <c r="A113" s="6">
        <v>1</v>
      </c>
      <c r="B113" s="6"/>
      <c r="C113" s="6">
        <v>71</v>
      </c>
      <c r="D113" s="6" t="s">
        <v>122</v>
      </c>
      <c r="E113" s="13" t="s">
        <v>123</v>
      </c>
      <c r="F113" s="9" t="str">
        <f t="shared" si="10"/>
        <v>2021-X140HD31182017OTC</v>
      </c>
      <c r="G113" s="6" t="s">
        <v>119</v>
      </c>
      <c r="H113" s="8" t="s">
        <v>244</v>
      </c>
      <c r="I113" s="6" t="s">
        <v>95</v>
      </c>
      <c r="J113" s="6" t="s">
        <v>96</v>
      </c>
      <c r="K113" s="6" t="s">
        <v>120</v>
      </c>
      <c r="L113" s="6">
        <v>2017</v>
      </c>
      <c r="M113" s="6" t="s">
        <v>97</v>
      </c>
      <c r="N113" s="7" t="s">
        <v>51</v>
      </c>
      <c r="O113" s="6" t="s">
        <v>103</v>
      </c>
      <c r="P113" s="7">
        <f>R113/1.01*1.08</f>
        <v>55.325940594059418</v>
      </c>
      <c r="Q113" s="6">
        <v>8.4</v>
      </c>
      <c r="R113" s="6">
        <v>51.74</v>
      </c>
      <c r="S113" s="6">
        <v>8</v>
      </c>
      <c r="T113" s="6">
        <v>131</v>
      </c>
      <c r="U113" s="6">
        <v>3</v>
      </c>
      <c r="V113" s="6">
        <f t="shared" si="13"/>
        <v>5.770992366412214</v>
      </c>
      <c r="W113" s="6" t="s">
        <v>65</v>
      </c>
      <c r="X113" s="6"/>
      <c r="Y113" s="12">
        <v>542</v>
      </c>
      <c r="Z113" s="6" t="s">
        <v>80</v>
      </c>
      <c r="AA113" s="6"/>
      <c r="AB113" s="6">
        <v>25</v>
      </c>
      <c r="AC113" s="12">
        <v>38.4</v>
      </c>
      <c r="AD113" s="7" t="s">
        <v>39</v>
      </c>
      <c r="AE113" s="6"/>
      <c r="AF113" s="6">
        <v>0.66</v>
      </c>
      <c r="AG113" s="12"/>
      <c r="AH113" s="6"/>
      <c r="AI113" s="6"/>
      <c r="AJ113" s="6"/>
      <c r="AK113" s="12"/>
      <c r="AL113" s="6"/>
      <c r="AM113" s="6"/>
      <c r="AN113" s="6"/>
      <c r="AO113" s="12">
        <f t="shared" si="11"/>
        <v>14114.583333333334</v>
      </c>
      <c r="AP113" s="6" t="s">
        <v>54</v>
      </c>
      <c r="AQ113" s="6"/>
      <c r="AR113" s="6"/>
      <c r="AS113" s="6"/>
      <c r="AT113" s="6"/>
      <c r="AU113" s="6"/>
      <c r="AV113" s="6"/>
      <c r="AW113" s="6">
        <v>279.8</v>
      </c>
      <c r="AX113" s="6" t="s">
        <v>67</v>
      </c>
      <c r="AY113" s="6"/>
      <c r="AZ113" s="6">
        <v>6.1</v>
      </c>
      <c r="BA113" s="6">
        <v>0.49</v>
      </c>
      <c r="BB113" s="6" t="s">
        <v>229</v>
      </c>
      <c r="BC113" s="6"/>
      <c r="BD113" s="6">
        <v>0.01</v>
      </c>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row>
    <row r="114" spans="1:96" ht="15.6" x14ac:dyDescent="0.3">
      <c r="A114" s="6">
        <v>1</v>
      </c>
      <c r="B114" s="6"/>
      <c r="C114" s="6">
        <v>71</v>
      </c>
      <c r="D114" s="6" t="s">
        <v>122</v>
      </c>
      <c r="E114" s="13" t="s">
        <v>123</v>
      </c>
      <c r="F114" s="9" t="str">
        <f t="shared" si="10"/>
        <v>2021-X140HD31182017OTC</v>
      </c>
      <c r="G114" s="6" t="s">
        <v>119</v>
      </c>
      <c r="H114" s="8" t="s">
        <v>244</v>
      </c>
      <c r="I114" s="6" t="s">
        <v>95</v>
      </c>
      <c r="J114" s="6" t="s">
        <v>96</v>
      </c>
      <c r="K114" s="6" t="s">
        <v>120</v>
      </c>
      <c r="L114" s="6">
        <v>2017</v>
      </c>
      <c r="M114" s="6" t="s">
        <v>97</v>
      </c>
      <c r="N114" s="7" t="s">
        <v>51</v>
      </c>
      <c r="O114" s="6" t="s">
        <v>75</v>
      </c>
      <c r="P114" s="7">
        <f>(8 * R114+ 4 * 0.97*R113) / 12*1.08</f>
        <v>71.534808000000012</v>
      </c>
      <c r="Q114" s="6">
        <v>16.5</v>
      </c>
      <c r="R114" s="6">
        <v>74.260000000000005</v>
      </c>
      <c r="S114" s="6">
        <v>8</v>
      </c>
      <c r="T114" s="6">
        <v>131</v>
      </c>
      <c r="U114" s="6">
        <v>3</v>
      </c>
      <c r="V114" s="6">
        <f t="shared" si="13"/>
        <v>11.335877862595419</v>
      </c>
      <c r="W114" s="6" t="s">
        <v>65</v>
      </c>
      <c r="X114" s="6"/>
      <c r="Y114" s="12">
        <v>402</v>
      </c>
      <c r="Z114" s="6" t="s">
        <v>80</v>
      </c>
      <c r="AA114" s="6"/>
      <c r="AB114" s="6">
        <v>24</v>
      </c>
      <c r="AC114" s="12">
        <v>32.799999999999997</v>
      </c>
      <c r="AD114" s="7" t="s">
        <v>39</v>
      </c>
      <c r="AE114" s="6"/>
      <c r="AF114" s="6">
        <v>0.73</v>
      </c>
      <c r="AG114" s="12"/>
      <c r="AH114" s="6"/>
      <c r="AI114" s="6"/>
      <c r="AJ114" s="6"/>
      <c r="AK114" s="12"/>
      <c r="AL114" s="6"/>
      <c r="AM114" s="6"/>
      <c r="AN114" s="6"/>
      <c r="AO114" s="12">
        <f t="shared" si="11"/>
        <v>12256.097560975611</v>
      </c>
      <c r="AP114" s="6" t="s">
        <v>54</v>
      </c>
      <c r="AQ114" s="6"/>
      <c r="AR114" s="6"/>
      <c r="AS114" s="6"/>
      <c r="AT114" s="6"/>
      <c r="AU114" s="6"/>
      <c r="AV114" s="6"/>
      <c r="AW114" s="6">
        <v>254.3</v>
      </c>
      <c r="AX114" s="6" t="s">
        <v>67</v>
      </c>
      <c r="AY114" s="6"/>
      <c r="AZ114" s="6">
        <v>5.68</v>
      </c>
      <c r="BA114" s="6">
        <v>0.47</v>
      </c>
      <c r="BB114" s="6" t="s">
        <v>229</v>
      </c>
      <c r="BC114" s="6"/>
      <c r="BD114" s="6">
        <v>0.01</v>
      </c>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row>
    <row r="115" spans="1:96" ht="15.6" x14ac:dyDescent="0.3">
      <c r="A115" s="6">
        <v>1</v>
      </c>
      <c r="B115" s="6"/>
      <c r="C115" s="6">
        <v>71</v>
      </c>
      <c r="D115" s="6" t="s">
        <v>122</v>
      </c>
      <c r="E115" s="13" t="s">
        <v>123</v>
      </c>
      <c r="F115" s="9" t="str">
        <f t="shared" si="10"/>
        <v>2021-X140HUW2342017OTC</v>
      </c>
      <c r="G115" s="6" t="s">
        <v>119</v>
      </c>
      <c r="H115" s="8" t="s">
        <v>244</v>
      </c>
      <c r="I115" s="6" t="s">
        <v>95</v>
      </c>
      <c r="J115" s="6" t="s">
        <v>96</v>
      </c>
      <c r="K115" s="6" t="s">
        <v>121</v>
      </c>
      <c r="L115" s="6">
        <v>2017</v>
      </c>
      <c r="M115" s="6" t="s">
        <v>97</v>
      </c>
      <c r="N115" s="7" t="s">
        <v>51</v>
      </c>
      <c r="O115" s="6" t="s">
        <v>103</v>
      </c>
      <c r="P115" s="7">
        <f>R115/1.01*1.08</f>
        <v>55.325940594059418</v>
      </c>
      <c r="Q115" s="6">
        <v>8.4</v>
      </c>
      <c r="R115" s="6">
        <v>51.74</v>
      </c>
      <c r="S115" s="6">
        <v>8</v>
      </c>
      <c r="T115" s="6">
        <v>131</v>
      </c>
      <c r="U115" s="6">
        <v>3</v>
      </c>
      <c r="V115" s="6">
        <f t="shared" si="13"/>
        <v>5.770992366412214</v>
      </c>
      <c r="W115" s="6" t="s">
        <v>65</v>
      </c>
      <c r="X115" s="6"/>
      <c r="Y115" s="12">
        <v>521</v>
      </c>
      <c r="Z115" s="6" t="s">
        <v>80</v>
      </c>
      <c r="AA115" s="6"/>
      <c r="AB115" s="6">
        <v>28</v>
      </c>
      <c r="AC115" s="12">
        <v>36.9</v>
      </c>
      <c r="AD115" s="7" t="s">
        <v>39</v>
      </c>
      <c r="AE115" s="6"/>
      <c r="AF115" s="6">
        <v>1</v>
      </c>
      <c r="AG115" s="12"/>
      <c r="AH115" s="6"/>
      <c r="AI115" s="6"/>
      <c r="AJ115" s="6"/>
      <c r="AK115" s="12"/>
      <c r="AL115" s="6"/>
      <c r="AM115" s="6"/>
      <c r="AN115" s="6"/>
      <c r="AO115" s="12">
        <f t="shared" si="11"/>
        <v>14119.241192411926</v>
      </c>
      <c r="AP115" s="6" t="s">
        <v>54</v>
      </c>
      <c r="AQ115" s="6"/>
      <c r="AR115" s="6"/>
      <c r="AS115" s="6"/>
      <c r="AT115" s="6"/>
      <c r="AU115" s="6"/>
      <c r="AV115" s="6"/>
      <c r="AW115" s="6">
        <v>306</v>
      </c>
      <c r="AX115" s="6" t="s">
        <v>67</v>
      </c>
      <c r="AY115" s="6"/>
      <c r="AZ115" s="6">
        <v>5.2</v>
      </c>
      <c r="BA115" s="6">
        <v>0.51</v>
      </c>
      <c r="BB115" s="6" t="s">
        <v>229</v>
      </c>
      <c r="BC115" s="6"/>
      <c r="BD115" s="6">
        <v>6.0000000000000001E-3</v>
      </c>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row>
    <row r="116" spans="1:96" ht="15.6" x14ac:dyDescent="0.3">
      <c r="A116" s="6">
        <v>1</v>
      </c>
      <c r="B116" s="6"/>
      <c r="C116" s="6">
        <v>71</v>
      </c>
      <c r="D116" s="6" t="s">
        <v>122</v>
      </c>
      <c r="E116" s="13" t="s">
        <v>123</v>
      </c>
      <c r="F116" s="9" t="str">
        <f t="shared" si="10"/>
        <v>2021-X140HUW2342017OTC</v>
      </c>
      <c r="G116" s="6" t="s">
        <v>119</v>
      </c>
      <c r="H116" s="8" t="s">
        <v>244</v>
      </c>
      <c r="I116" s="6" t="s">
        <v>95</v>
      </c>
      <c r="J116" s="6" t="s">
        <v>96</v>
      </c>
      <c r="K116" s="6" t="s">
        <v>121</v>
      </c>
      <c r="L116" s="6">
        <v>2017</v>
      </c>
      <c r="M116" s="6" t="s">
        <v>97</v>
      </c>
      <c r="N116" s="7" t="s">
        <v>51</v>
      </c>
      <c r="O116" s="6" t="s">
        <v>75</v>
      </c>
      <c r="P116" s="7">
        <f>(8 * R116+ 4 * 0.97*R115) / 12*1.08</f>
        <v>71.534808000000012</v>
      </c>
      <c r="Q116" s="6">
        <v>16.5</v>
      </c>
      <c r="R116" s="6">
        <v>74.260000000000005</v>
      </c>
      <c r="S116" s="6">
        <v>8</v>
      </c>
      <c r="T116" s="6">
        <v>131</v>
      </c>
      <c r="U116" s="6">
        <v>3</v>
      </c>
      <c r="V116" s="6">
        <f t="shared" si="13"/>
        <v>11.335877862595419</v>
      </c>
      <c r="W116" s="6" t="s">
        <v>65</v>
      </c>
      <c r="X116" s="6"/>
      <c r="Y116" s="12">
        <v>418</v>
      </c>
      <c r="Z116" s="6" t="s">
        <v>80</v>
      </c>
      <c r="AA116" s="6"/>
      <c r="AB116" s="6">
        <v>21</v>
      </c>
      <c r="AC116" s="12">
        <v>33.200000000000003</v>
      </c>
      <c r="AD116" s="7" t="s">
        <v>39</v>
      </c>
      <c r="AE116" s="6"/>
      <c r="AF116" s="6">
        <v>0.1</v>
      </c>
      <c r="AG116" s="12"/>
      <c r="AH116" s="6"/>
      <c r="AI116" s="6"/>
      <c r="AJ116" s="6"/>
      <c r="AK116" s="12"/>
      <c r="AL116" s="6"/>
      <c r="AM116" s="6"/>
      <c r="AN116" s="6"/>
      <c r="AO116" s="12">
        <f t="shared" si="11"/>
        <v>12590.361445783132</v>
      </c>
      <c r="AP116" s="6" t="s">
        <v>54</v>
      </c>
      <c r="AQ116" s="6"/>
      <c r="AR116" s="6"/>
      <c r="AS116" s="6"/>
      <c r="AT116" s="6"/>
      <c r="AU116" s="6"/>
      <c r="AV116" s="6"/>
      <c r="AW116" s="6">
        <v>268.7</v>
      </c>
      <c r="AX116" s="6" t="s">
        <v>67</v>
      </c>
      <c r="AY116" s="6"/>
      <c r="AZ116" s="6">
        <v>7.5</v>
      </c>
      <c r="BA116" s="6">
        <v>0.49399999999999999</v>
      </c>
      <c r="BB116" s="6" t="s">
        <v>229</v>
      </c>
      <c r="BC116" s="6"/>
      <c r="BD116" s="6">
        <v>5.0000000000000001E-3</v>
      </c>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row>
    <row r="117" spans="1:96" ht="15.6" x14ac:dyDescent="0.3">
      <c r="A117" s="6">
        <v>1</v>
      </c>
      <c r="B117" s="6"/>
      <c r="C117" s="6">
        <v>71</v>
      </c>
      <c r="D117" s="6" t="s">
        <v>122</v>
      </c>
      <c r="E117" s="13" t="s">
        <v>123</v>
      </c>
      <c r="F117" s="9" t="str">
        <f t="shared" si="10"/>
        <v>2021-X140HUW4682017OTC</v>
      </c>
      <c r="G117" s="6" t="s">
        <v>119</v>
      </c>
      <c r="H117" s="8" t="s">
        <v>244</v>
      </c>
      <c r="I117" s="6" t="s">
        <v>95</v>
      </c>
      <c r="J117" s="6" t="s">
        <v>96</v>
      </c>
      <c r="K117" s="6" t="s">
        <v>125</v>
      </c>
      <c r="L117" s="6">
        <v>2017</v>
      </c>
      <c r="M117" s="6" t="s">
        <v>97</v>
      </c>
      <c r="N117" s="7" t="s">
        <v>51</v>
      </c>
      <c r="O117" s="6" t="s">
        <v>103</v>
      </c>
      <c r="P117" s="7">
        <f>R117/1.01*1.08</f>
        <v>54.748514851485155</v>
      </c>
      <c r="Q117" s="6">
        <v>11.78</v>
      </c>
      <c r="R117" s="6">
        <v>51.2</v>
      </c>
      <c r="S117" s="6">
        <v>8</v>
      </c>
      <c r="T117" s="6">
        <v>150</v>
      </c>
      <c r="U117" s="6">
        <v>3</v>
      </c>
      <c r="V117" s="6">
        <f t="shared" si="13"/>
        <v>7.0679999999999996</v>
      </c>
      <c r="W117" s="6" t="s">
        <v>65</v>
      </c>
      <c r="X117" s="6"/>
      <c r="Y117" s="12">
        <v>545</v>
      </c>
      <c r="Z117" s="6" t="s">
        <v>80</v>
      </c>
      <c r="AA117" s="6"/>
      <c r="AB117" s="6">
        <v>26</v>
      </c>
      <c r="AC117" s="12">
        <v>37.1</v>
      </c>
      <c r="AD117" s="7" t="s">
        <v>39</v>
      </c>
      <c r="AE117" s="6"/>
      <c r="AF117" s="6">
        <v>0.7</v>
      </c>
      <c r="AG117" s="12"/>
      <c r="AH117" s="6"/>
      <c r="AI117" s="6"/>
      <c r="AJ117" s="6"/>
      <c r="AK117" s="12"/>
      <c r="AL117" s="6"/>
      <c r="AM117" s="6"/>
      <c r="AN117" s="6"/>
      <c r="AO117" s="12">
        <f t="shared" si="11"/>
        <v>14690.026954177898</v>
      </c>
      <c r="AP117" s="6" t="s">
        <v>54</v>
      </c>
      <c r="AQ117" s="6"/>
      <c r="AR117" s="6"/>
      <c r="AS117" s="6"/>
      <c r="AT117" s="6"/>
      <c r="AU117" s="6"/>
      <c r="AV117" s="6"/>
      <c r="AW117" s="6">
        <v>310.89999999999998</v>
      </c>
      <c r="AX117" s="6" t="s">
        <v>67</v>
      </c>
      <c r="AY117" s="6"/>
      <c r="AZ117" s="6">
        <v>11.6</v>
      </c>
      <c r="BA117" s="6">
        <v>0.51300000000000001</v>
      </c>
      <c r="BB117" s="6" t="s">
        <v>229</v>
      </c>
      <c r="BC117" s="6"/>
      <c r="BD117" s="6">
        <v>5.0000000000000001E-3</v>
      </c>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row>
    <row r="118" spans="1:96" ht="15.6" x14ac:dyDescent="0.3">
      <c r="A118" s="6">
        <v>1</v>
      </c>
      <c r="B118" s="6"/>
      <c r="C118" s="6">
        <v>71</v>
      </c>
      <c r="D118" s="6" t="s">
        <v>122</v>
      </c>
      <c r="E118" s="13" t="s">
        <v>123</v>
      </c>
      <c r="F118" s="9" t="str">
        <f t="shared" si="10"/>
        <v>2021-X140HUW4682017OTC</v>
      </c>
      <c r="G118" s="6" t="s">
        <v>119</v>
      </c>
      <c r="H118" s="8" t="s">
        <v>244</v>
      </c>
      <c r="I118" s="6" t="s">
        <v>95</v>
      </c>
      <c r="J118" s="6" t="s">
        <v>96</v>
      </c>
      <c r="K118" s="6" t="s">
        <v>125</v>
      </c>
      <c r="L118" s="6">
        <v>2017</v>
      </c>
      <c r="M118" s="6" t="s">
        <v>97</v>
      </c>
      <c r="N118" s="7" t="s">
        <v>51</v>
      </c>
      <c r="O118" s="6" t="s">
        <v>75</v>
      </c>
      <c r="P118" s="7">
        <f>(8 * R118+ 4 * 0.97*R117) / 12*1.08</f>
        <v>69.863040000000012</v>
      </c>
      <c r="Q118" s="6">
        <v>21.6</v>
      </c>
      <c r="R118" s="6">
        <v>72.2</v>
      </c>
      <c r="S118" s="6">
        <v>8</v>
      </c>
      <c r="T118" s="6">
        <v>150</v>
      </c>
      <c r="U118" s="6">
        <v>3</v>
      </c>
      <c r="V118" s="6">
        <f t="shared" si="13"/>
        <v>12.96</v>
      </c>
      <c r="W118" s="6" t="s">
        <v>65</v>
      </c>
      <c r="X118" s="6"/>
      <c r="Y118" s="12">
        <v>365</v>
      </c>
      <c r="Z118" s="6" t="s">
        <v>80</v>
      </c>
      <c r="AA118" s="6"/>
      <c r="AB118" s="6">
        <v>16</v>
      </c>
      <c r="AC118" s="12">
        <v>33</v>
      </c>
      <c r="AD118" s="7" t="s">
        <v>39</v>
      </c>
      <c r="AE118" s="6"/>
      <c r="AF118" s="6">
        <v>0.67</v>
      </c>
      <c r="AG118" s="12"/>
      <c r="AH118" s="6"/>
      <c r="AI118" s="6"/>
      <c r="AJ118" s="6"/>
      <c r="AK118" s="12"/>
      <c r="AL118" s="6"/>
      <c r="AM118" s="6"/>
      <c r="AN118" s="6"/>
      <c r="AO118" s="12">
        <f t="shared" si="11"/>
        <v>11060.60606060606</v>
      </c>
      <c r="AP118" s="6" t="s">
        <v>54</v>
      </c>
      <c r="AQ118" s="6"/>
      <c r="AR118" s="6"/>
      <c r="AS118" s="6"/>
      <c r="AT118" s="6"/>
      <c r="AU118" s="6"/>
      <c r="AV118" s="6"/>
      <c r="AW118" s="6">
        <v>246.9</v>
      </c>
      <c r="AX118" s="6" t="s">
        <v>67</v>
      </c>
      <c r="AY118" s="6"/>
      <c r="AZ118" s="6">
        <v>7.3</v>
      </c>
      <c r="BA118" s="6">
        <v>0.48699999999999999</v>
      </c>
      <c r="BB118" s="6" t="s">
        <v>229</v>
      </c>
      <c r="BC118" s="6"/>
      <c r="BD118" s="6">
        <v>7.0000000000000001E-3</v>
      </c>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row>
    <row r="119" spans="1:96" ht="15.6" x14ac:dyDescent="0.3">
      <c r="A119" s="6">
        <v>1</v>
      </c>
      <c r="B119" s="6"/>
      <c r="C119" s="6">
        <v>71</v>
      </c>
      <c r="D119" s="6" t="s">
        <v>122</v>
      </c>
      <c r="E119" s="13" t="s">
        <v>123</v>
      </c>
      <c r="F119" s="9" t="str">
        <f t="shared" si="10"/>
        <v>2021-X140HD30862018OTC</v>
      </c>
      <c r="G119" s="6" t="s">
        <v>119</v>
      </c>
      <c r="H119" s="8" t="s">
        <v>244</v>
      </c>
      <c r="I119" s="6" t="s">
        <v>95</v>
      </c>
      <c r="J119" s="6" t="s">
        <v>96</v>
      </c>
      <c r="K119" s="6" t="s">
        <v>124</v>
      </c>
      <c r="L119" s="6">
        <v>2018</v>
      </c>
      <c r="M119" s="6" t="s">
        <v>97</v>
      </c>
      <c r="N119" s="7" t="s">
        <v>51</v>
      </c>
      <c r="O119" s="6" t="s">
        <v>103</v>
      </c>
      <c r="P119" s="7">
        <f>R119/1.01*1.08</f>
        <v>49.049108910891093</v>
      </c>
      <c r="Q119" s="6">
        <v>6.8</v>
      </c>
      <c r="R119" s="6">
        <v>45.87</v>
      </c>
      <c r="S119" s="6">
        <v>8</v>
      </c>
      <c r="T119" s="6">
        <v>150</v>
      </c>
      <c r="U119" s="6">
        <v>3</v>
      </c>
      <c r="V119" s="6">
        <f t="shared" si="13"/>
        <v>4.08</v>
      </c>
      <c r="W119" s="6" t="s">
        <v>65</v>
      </c>
      <c r="X119" s="6"/>
      <c r="Y119" s="12">
        <v>524</v>
      </c>
      <c r="Z119" s="6" t="s">
        <v>80</v>
      </c>
      <c r="AA119" s="6"/>
      <c r="AB119" s="6">
        <v>13</v>
      </c>
      <c r="AC119" s="12">
        <v>41.2</v>
      </c>
      <c r="AD119" s="7" t="s">
        <v>39</v>
      </c>
      <c r="AE119" s="6"/>
      <c r="AF119" s="6">
        <v>0.67</v>
      </c>
      <c r="AG119" s="12"/>
      <c r="AH119" s="6"/>
      <c r="AI119" s="6"/>
      <c r="AJ119" s="6"/>
      <c r="AK119" s="12"/>
      <c r="AL119" s="6"/>
      <c r="AM119" s="6"/>
      <c r="AN119" s="6"/>
      <c r="AO119" s="12">
        <f t="shared" si="11"/>
        <v>12718.446601941747</v>
      </c>
      <c r="AP119" s="6" t="s">
        <v>54</v>
      </c>
      <c r="AQ119" s="6"/>
      <c r="AR119" s="6"/>
      <c r="AS119" s="6"/>
      <c r="AT119" s="6"/>
      <c r="AU119" s="6"/>
      <c r="AV119" s="6"/>
      <c r="AW119" s="6">
        <v>252</v>
      </c>
      <c r="AX119" s="6" t="s">
        <v>67</v>
      </c>
      <c r="AY119" s="6"/>
      <c r="AZ119" s="6">
        <v>11.2</v>
      </c>
      <c r="BA119" s="6">
        <v>0.49</v>
      </c>
      <c r="BB119" s="6" t="s">
        <v>229</v>
      </c>
      <c r="BC119" s="6"/>
      <c r="BD119" s="6">
        <v>5.0000000000000001E-3</v>
      </c>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row>
    <row r="120" spans="1:96" ht="15.6" x14ac:dyDescent="0.3">
      <c r="A120" s="6">
        <v>1</v>
      </c>
      <c r="B120" s="6"/>
      <c r="C120" s="6">
        <v>71</v>
      </c>
      <c r="D120" s="6" t="s">
        <v>122</v>
      </c>
      <c r="E120" s="13" t="s">
        <v>123</v>
      </c>
      <c r="F120" s="9" t="str">
        <f t="shared" si="10"/>
        <v>2021-X140HD30862018OTC</v>
      </c>
      <c r="G120" s="6" t="s">
        <v>119</v>
      </c>
      <c r="H120" s="8" t="s">
        <v>244</v>
      </c>
      <c r="I120" s="6" t="s">
        <v>95</v>
      </c>
      <c r="J120" s="6" t="s">
        <v>96</v>
      </c>
      <c r="K120" s="6" t="s">
        <v>124</v>
      </c>
      <c r="L120" s="6">
        <v>2018</v>
      </c>
      <c r="M120" s="6" t="s">
        <v>97</v>
      </c>
      <c r="N120" s="7" t="s">
        <v>51</v>
      </c>
      <c r="O120" s="6" t="s">
        <v>75</v>
      </c>
      <c r="P120" s="7">
        <f>(8 * R120+ 4 * 0.97*R119) / 12*1.08</f>
        <v>64.380204000000006</v>
      </c>
      <c r="Q120" s="6">
        <v>16.7</v>
      </c>
      <c r="R120" s="6">
        <v>67.17</v>
      </c>
      <c r="S120" s="6">
        <v>8</v>
      </c>
      <c r="T120" s="6">
        <v>150</v>
      </c>
      <c r="U120" s="6">
        <v>3</v>
      </c>
      <c r="V120" s="6">
        <f t="shared" si="13"/>
        <v>10.02</v>
      </c>
      <c r="W120" s="6" t="s">
        <v>65</v>
      </c>
      <c r="X120" s="6"/>
      <c r="Y120" s="12">
        <v>383</v>
      </c>
      <c r="Z120" s="6" t="s">
        <v>80</v>
      </c>
      <c r="AA120" s="6"/>
      <c r="AB120" s="6">
        <v>8</v>
      </c>
      <c r="AC120" s="12">
        <v>36.4</v>
      </c>
      <c r="AD120" s="7" t="s">
        <v>39</v>
      </c>
      <c r="AE120" s="6"/>
      <c r="AF120" s="6">
        <v>0.64</v>
      </c>
      <c r="AG120" s="12"/>
      <c r="AH120" s="6"/>
      <c r="AI120" s="6"/>
      <c r="AJ120" s="6"/>
      <c r="AK120" s="12"/>
      <c r="AL120" s="6"/>
      <c r="AM120" s="6"/>
      <c r="AN120" s="6"/>
      <c r="AO120" s="12">
        <f t="shared" si="11"/>
        <v>10521.978021978022</v>
      </c>
      <c r="AP120" s="6" t="s">
        <v>54</v>
      </c>
      <c r="AQ120" s="6"/>
      <c r="AR120" s="6"/>
      <c r="AS120" s="6"/>
      <c r="AT120" s="6"/>
      <c r="AU120" s="6"/>
      <c r="AV120" s="6"/>
      <c r="AW120" s="6">
        <v>217.5</v>
      </c>
      <c r="AX120" s="6" t="s">
        <v>67</v>
      </c>
      <c r="AY120" s="6"/>
      <c r="AZ120" s="6">
        <v>10.7</v>
      </c>
      <c r="BA120" s="6">
        <v>0.47</v>
      </c>
      <c r="BB120" s="6" t="s">
        <v>229</v>
      </c>
      <c r="BC120" s="6"/>
      <c r="BD120" s="6">
        <v>0.01</v>
      </c>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row>
    <row r="121" spans="1:96" ht="15.6" x14ac:dyDescent="0.3">
      <c r="A121" s="6">
        <v>1</v>
      </c>
      <c r="B121" s="6"/>
      <c r="C121" s="6">
        <v>71</v>
      </c>
      <c r="D121" s="6" t="s">
        <v>122</v>
      </c>
      <c r="E121" s="13" t="s">
        <v>123</v>
      </c>
      <c r="F121" s="9" t="str">
        <f t="shared" si="10"/>
        <v>2021-X140HD31182018OTC</v>
      </c>
      <c r="G121" s="6" t="s">
        <v>119</v>
      </c>
      <c r="H121" s="8" t="s">
        <v>244</v>
      </c>
      <c r="I121" s="6" t="s">
        <v>95</v>
      </c>
      <c r="J121" s="6" t="s">
        <v>96</v>
      </c>
      <c r="K121" s="6" t="s">
        <v>120</v>
      </c>
      <c r="L121" s="6">
        <v>2018</v>
      </c>
      <c r="M121" s="6" t="s">
        <v>97</v>
      </c>
      <c r="N121" s="7" t="s">
        <v>51</v>
      </c>
      <c r="O121" s="6" t="s">
        <v>103</v>
      </c>
      <c r="P121" s="7">
        <f>R121/1.01*1.08</f>
        <v>48.300594059405945</v>
      </c>
      <c r="Q121" s="6">
        <v>6.2</v>
      </c>
      <c r="R121" s="6">
        <v>45.17</v>
      </c>
      <c r="S121" s="6">
        <v>8</v>
      </c>
      <c r="T121" s="6">
        <v>131</v>
      </c>
      <c r="U121" s="6">
        <v>3</v>
      </c>
      <c r="V121" s="6">
        <f t="shared" si="13"/>
        <v>4.2595419847328246</v>
      </c>
      <c r="W121" s="6" t="s">
        <v>65</v>
      </c>
      <c r="X121" s="6"/>
      <c r="Y121" s="12">
        <v>463</v>
      </c>
      <c r="Z121" s="6" t="s">
        <v>80</v>
      </c>
      <c r="AA121" s="6"/>
      <c r="AB121" s="6">
        <v>9</v>
      </c>
      <c r="AC121" s="12">
        <v>38.94</v>
      </c>
      <c r="AD121" s="7" t="s">
        <v>39</v>
      </c>
      <c r="AE121" s="6"/>
      <c r="AF121" s="6">
        <v>0.67</v>
      </c>
      <c r="AG121" s="12"/>
      <c r="AH121" s="6"/>
      <c r="AI121" s="6"/>
      <c r="AJ121" s="6"/>
      <c r="AK121" s="12"/>
      <c r="AL121" s="6"/>
      <c r="AM121" s="6"/>
      <c r="AN121" s="6"/>
      <c r="AO121" s="12">
        <f t="shared" si="11"/>
        <v>11890.087313816128</v>
      </c>
      <c r="AP121" s="6" t="s">
        <v>54</v>
      </c>
      <c r="AQ121" s="6"/>
      <c r="AR121" s="6"/>
      <c r="AS121" s="6"/>
      <c r="AT121" s="6"/>
      <c r="AU121" s="6"/>
      <c r="AV121" s="6"/>
      <c r="AW121" s="6">
        <v>219.7</v>
      </c>
      <c r="AX121" s="6" t="s">
        <v>67</v>
      </c>
      <c r="AY121" s="6"/>
      <c r="AZ121" s="6">
        <v>6</v>
      </c>
      <c r="BA121" s="6">
        <v>0.48</v>
      </c>
      <c r="BB121" s="6" t="s">
        <v>229</v>
      </c>
      <c r="BC121" s="6"/>
      <c r="BD121" s="6">
        <v>0.01</v>
      </c>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row>
    <row r="122" spans="1:96" ht="15.6" x14ac:dyDescent="0.3">
      <c r="A122" s="6">
        <v>1</v>
      </c>
      <c r="B122" s="6"/>
      <c r="C122" s="6">
        <v>71</v>
      </c>
      <c r="D122" s="6" t="s">
        <v>122</v>
      </c>
      <c r="E122" s="13" t="s">
        <v>123</v>
      </c>
      <c r="F122" s="9" t="str">
        <f t="shared" si="10"/>
        <v>2021-X140HD31182018OTC</v>
      </c>
      <c r="G122" s="6" t="s">
        <v>119</v>
      </c>
      <c r="H122" s="8" t="s">
        <v>244</v>
      </c>
      <c r="I122" s="6" t="s">
        <v>95</v>
      </c>
      <c r="J122" s="6" t="s">
        <v>96</v>
      </c>
      <c r="K122" s="6" t="s">
        <v>120</v>
      </c>
      <c r="L122" s="6">
        <v>2018</v>
      </c>
      <c r="M122" s="6" t="s">
        <v>97</v>
      </c>
      <c r="N122" s="7" t="s">
        <v>51</v>
      </c>
      <c r="O122" s="6" t="s">
        <v>75</v>
      </c>
      <c r="P122" s="7">
        <f>(8 * R122+ 4 * 0.97*R121) / 12*1.08</f>
        <v>65.402964000000011</v>
      </c>
      <c r="Q122" s="6">
        <v>15.2</v>
      </c>
      <c r="R122" s="6">
        <v>68.930000000000007</v>
      </c>
      <c r="S122" s="6">
        <v>8</v>
      </c>
      <c r="T122" s="6">
        <v>131</v>
      </c>
      <c r="U122" s="6">
        <v>3</v>
      </c>
      <c r="V122" s="6">
        <f t="shared" si="13"/>
        <v>10.442748091603054</v>
      </c>
      <c r="W122" s="6" t="s">
        <v>65</v>
      </c>
      <c r="X122" s="6"/>
      <c r="Y122" s="12">
        <v>346</v>
      </c>
      <c r="Z122" s="6" t="s">
        <v>80</v>
      </c>
      <c r="AA122" s="6"/>
      <c r="AB122" s="6">
        <v>10</v>
      </c>
      <c r="AC122" s="12">
        <v>34.4</v>
      </c>
      <c r="AD122" s="7" t="s">
        <v>39</v>
      </c>
      <c r="AE122" s="6"/>
      <c r="AF122" s="6">
        <v>1.0900000000000001</v>
      </c>
      <c r="AG122" s="12"/>
      <c r="AH122" s="6"/>
      <c r="AI122" s="6"/>
      <c r="AJ122" s="6"/>
      <c r="AK122" s="12"/>
      <c r="AL122" s="6"/>
      <c r="AM122" s="6"/>
      <c r="AN122" s="6"/>
      <c r="AO122" s="12">
        <f t="shared" si="11"/>
        <v>10058.139534883721</v>
      </c>
      <c r="AP122" s="6" t="s">
        <v>54</v>
      </c>
      <c r="AQ122" s="6"/>
      <c r="AR122" s="6"/>
      <c r="AS122" s="6"/>
      <c r="AT122" s="6"/>
      <c r="AU122" s="6"/>
      <c r="AV122" s="6"/>
      <c r="AW122" s="6">
        <v>193.9</v>
      </c>
      <c r="AX122" s="6" t="s">
        <v>67</v>
      </c>
      <c r="AY122" s="6"/>
      <c r="AZ122" s="6">
        <v>4.2</v>
      </c>
      <c r="BA122" s="6">
        <v>0.47</v>
      </c>
      <c r="BB122" s="6" t="s">
        <v>229</v>
      </c>
      <c r="BC122" s="6"/>
      <c r="BD122" s="6">
        <v>1E-3</v>
      </c>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row>
    <row r="123" spans="1:96" ht="15.6" x14ac:dyDescent="0.3">
      <c r="A123" s="6">
        <v>1</v>
      </c>
      <c r="B123" s="6"/>
      <c r="C123" s="6">
        <v>71</v>
      </c>
      <c r="D123" s="6" t="s">
        <v>122</v>
      </c>
      <c r="E123" s="13" t="s">
        <v>123</v>
      </c>
      <c r="F123" s="9" t="str">
        <f t="shared" si="10"/>
        <v>2021-X140HUW2342018OTC</v>
      </c>
      <c r="G123" s="6" t="s">
        <v>119</v>
      </c>
      <c r="H123" s="8" t="s">
        <v>244</v>
      </c>
      <c r="I123" s="6" t="s">
        <v>95</v>
      </c>
      <c r="J123" s="6" t="s">
        <v>96</v>
      </c>
      <c r="K123" s="6" t="s">
        <v>121</v>
      </c>
      <c r="L123" s="6">
        <v>2018</v>
      </c>
      <c r="M123" s="6" t="s">
        <v>97</v>
      </c>
      <c r="N123" s="7" t="s">
        <v>51</v>
      </c>
      <c r="O123" s="6" t="s">
        <v>103</v>
      </c>
      <c r="P123" s="7">
        <f>R123/1.01*1.08</f>
        <v>48.300594059405945</v>
      </c>
      <c r="Q123" s="6">
        <v>6.2</v>
      </c>
      <c r="R123" s="6">
        <v>45.17</v>
      </c>
      <c r="S123" s="6">
        <v>8</v>
      </c>
      <c r="T123" s="6">
        <v>131</v>
      </c>
      <c r="U123" s="6">
        <v>3</v>
      </c>
      <c r="V123" s="6">
        <f t="shared" si="13"/>
        <v>4.2595419847328246</v>
      </c>
      <c r="W123" s="6" t="s">
        <v>65</v>
      </c>
      <c r="X123" s="6"/>
      <c r="Y123" s="12">
        <v>478</v>
      </c>
      <c r="Z123" s="6" t="s">
        <v>80</v>
      </c>
      <c r="AA123" s="6"/>
      <c r="AB123" s="6">
        <v>13</v>
      </c>
      <c r="AC123" s="12">
        <v>39.64</v>
      </c>
      <c r="AD123" s="7" t="s">
        <v>39</v>
      </c>
      <c r="AE123" s="6"/>
      <c r="AF123" s="6">
        <v>1.1200000000000001</v>
      </c>
      <c r="AG123" s="12"/>
      <c r="AH123" s="6"/>
      <c r="AI123" s="6"/>
      <c r="AJ123" s="6"/>
      <c r="AK123" s="12"/>
      <c r="AL123" s="6"/>
      <c r="AM123" s="6"/>
      <c r="AN123" s="6"/>
      <c r="AO123" s="12">
        <f t="shared" si="11"/>
        <v>12058.526740665993</v>
      </c>
      <c r="AP123" s="6" t="s">
        <v>54</v>
      </c>
      <c r="AQ123" s="6"/>
      <c r="AR123" s="6"/>
      <c r="AS123" s="6"/>
      <c r="AT123" s="6"/>
      <c r="AU123" s="6"/>
      <c r="AV123" s="6"/>
      <c r="AW123" s="6">
        <v>221</v>
      </c>
      <c r="AX123" s="6" t="s">
        <v>67</v>
      </c>
      <c r="AY123" s="6"/>
      <c r="AZ123" s="6">
        <v>4.7</v>
      </c>
      <c r="BA123" s="6">
        <v>0.49</v>
      </c>
      <c r="BB123" s="6" t="s">
        <v>229</v>
      </c>
      <c r="BC123" s="6"/>
      <c r="BD123" s="6">
        <v>4.0000000000000001E-3</v>
      </c>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row>
    <row r="124" spans="1:96" ht="15.6" x14ac:dyDescent="0.3">
      <c r="A124" s="6">
        <v>1</v>
      </c>
      <c r="B124" s="6"/>
      <c r="C124" s="6">
        <v>71</v>
      </c>
      <c r="D124" s="6" t="s">
        <v>122</v>
      </c>
      <c r="E124" s="13" t="s">
        <v>123</v>
      </c>
      <c r="F124" s="9" t="str">
        <f t="shared" si="10"/>
        <v>2021-X140HUW2342018OTC</v>
      </c>
      <c r="G124" s="6" t="s">
        <v>119</v>
      </c>
      <c r="H124" s="8" t="s">
        <v>244</v>
      </c>
      <c r="I124" s="6" t="s">
        <v>95</v>
      </c>
      <c r="J124" s="6" t="s">
        <v>96</v>
      </c>
      <c r="K124" s="6" t="s">
        <v>121</v>
      </c>
      <c r="L124" s="6">
        <v>2018</v>
      </c>
      <c r="M124" s="6" t="s">
        <v>97</v>
      </c>
      <c r="N124" s="7" t="s">
        <v>51</v>
      </c>
      <c r="O124" s="6" t="s">
        <v>75</v>
      </c>
      <c r="P124" s="7">
        <f>(8 * R124+ 4 * 0.97*R123) / 12*1.08</f>
        <v>65.402964000000011</v>
      </c>
      <c r="Q124" s="6">
        <v>15.2</v>
      </c>
      <c r="R124" s="6">
        <v>68.930000000000007</v>
      </c>
      <c r="S124" s="6">
        <v>8</v>
      </c>
      <c r="T124" s="6">
        <v>131</v>
      </c>
      <c r="U124" s="6">
        <v>3</v>
      </c>
      <c r="V124" s="6">
        <f t="shared" si="13"/>
        <v>10.442748091603054</v>
      </c>
      <c r="W124" s="6" t="s">
        <v>65</v>
      </c>
      <c r="X124" s="6"/>
      <c r="Y124" s="12">
        <v>375</v>
      </c>
      <c r="Z124" s="6" t="s">
        <v>80</v>
      </c>
      <c r="AA124" s="6"/>
      <c r="AB124" s="6">
        <v>9</v>
      </c>
      <c r="AC124" s="12">
        <v>35.93</v>
      </c>
      <c r="AD124" s="7" t="s">
        <v>39</v>
      </c>
      <c r="AE124" s="6"/>
      <c r="AF124" s="6">
        <v>0.49</v>
      </c>
      <c r="AG124" s="12"/>
      <c r="AH124" s="6"/>
      <c r="AI124" s="6"/>
      <c r="AJ124" s="6"/>
      <c r="AK124" s="12"/>
      <c r="AL124" s="6"/>
      <c r="AM124" s="6"/>
      <c r="AN124" s="6"/>
      <c r="AO124" s="12">
        <f t="shared" si="11"/>
        <v>10436.960757027555</v>
      </c>
      <c r="AP124" s="6" t="s">
        <v>54</v>
      </c>
      <c r="AQ124" s="6"/>
      <c r="AR124" s="6"/>
      <c r="AS124" s="6"/>
      <c r="AT124" s="6"/>
      <c r="AU124" s="6"/>
      <c r="AV124" s="6"/>
      <c r="AW124" s="6">
        <v>199.3</v>
      </c>
      <c r="AX124" s="6" t="s">
        <v>67</v>
      </c>
      <c r="AY124" s="6"/>
      <c r="AZ124" s="6">
        <v>3.9</v>
      </c>
      <c r="BA124" s="6">
        <v>0.48</v>
      </c>
      <c r="BB124" s="6" t="s">
        <v>229</v>
      </c>
      <c r="BC124" s="6"/>
      <c r="BD124" s="6">
        <v>0.01</v>
      </c>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row>
    <row r="125" spans="1:96" ht="15.6" x14ac:dyDescent="0.3">
      <c r="A125" s="6">
        <v>1</v>
      </c>
      <c r="B125" s="6"/>
      <c r="C125" s="6">
        <v>71</v>
      </c>
      <c r="D125" s="6" t="s">
        <v>122</v>
      </c>
      <c r="E125" s="13" t="s">
        <v>123</v>
      </c>
      <c r="F125" s="9" t="str">
        <f t="shared" si="10"/>
        <v>2021-X140HUW4682018OTC</v>
      </c>
      <c r="G125" s="6" t="s">
        <v>119</v>
      </c>
      <c r="H125" s="8" t="s">
        <v>244</v>
      </c>
      <c r="I125" s="6" t="s">
        <v>95</v>
      </c>
      <c r="J125" s="6" t="s">
        <v>96</v>
      </c>
      <c r="K125" s="6" t="s">
        <v>125</v>
      </c>
      <c r="L125" s="6">
        <v>2018</v>
      </c>
      <c r="M125" s="6" t="s">
        <v>97</v>
      </c>
      <c r="N125" s="7" t="s">
        <v>51</v>
      </c>
      <c r="O125" s="6" t="s">
        <v>103</v>
      </c>
      <c r="P125" s="7">
        <f>R125/1.01*1.08</f>
        <v>49.049108910891093</v>
      </c>
      <c r="Q125" s="6">
        <v>6.8</v>
      </c>
      <c r="R125" s="6">
        <v>45.87</v>
      </c>
      <c r="S125" s="6">
        <v>8</v>
      </c>
      <c r="T125" s="6">
        <v>150</v>
      </c>
      <c r="U125" s="6">
        <v>3</v>
      </c>
      <c r="V125" s="6">
        <f t="shared" si="13"/>
        <v>4.08</v>
      </c>
      <c r="W125" s="6" t="s">
        <v>65</v>
      </c>
      <c r="X125" s="6"/>
      <c r="Y125" s="12">
        <v>514</v>
      </c>
      <c r="Z125" s="6" t="s">
        <v>80</v>
      </c>
      <c r="AA125" s="6"/>
      <c r="AB125" s="6">
        <v>17</v>
      </c>
      <c r="AC125" s="12">
        <v>33.9</v>
      </c>
      <c r="AD125" s="7" t="s">
        <v>39</v>
      </c>
      <c r="AE125" s="6"/>
      <c r="AF125" s="6">
        <v>0.9</v>
      </c>
      <c r="AG125" s="12"/>
      <c r="AH125" s="6"/>
      <c r="AI125" s="6"/>
      <c r="AJ125" s="6"/>
      <c r="AK125" s="12"/>
      <c r="AL125" s="6"/>
      <c r="AM125" s="6"/>
      <c r="AN125" s="6"/>
      <c r="AO125" s="12">
        <f t="shared" si="11"/>
        <v>15162.241887905604</v>
      </c>
      <c r="AP125" s="6" t="s">
        <v>54</v>
      </c>
      <c r="AQ125" s="6"/>
      <c r="AR125" s="6"/>
      <c r="AS125" s="6"/>
      <c r="AT125" s="6"/>
      <c r="AU125" s="6"/>
      <c r="AV125" s="6"/>
      <c r="AW125" s="6">
        <v>280.8</v>
      </c>
      <c r="AX125" s="6" t="s">
        <v>67</v>
      </c>
      <c r="AY125" s="6"/>
      <c r="AZ125" s="6">
        <v>11.6</v>
      </c>
      <c r="BA125" s="6">
        <v>0.5</v>
      </c>
      <c r="BB125" s="6" t="s">
        <v>229</v>
      </c>
      <c r="BC125" s="6"/>
      <c r="BD125" s="6">
        <v>0.01</v>
      </c>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row>
    <row r="126" spans="1:96" ht="15.6" x14ac:dyDescent="0.3">
      <c r="A126" s="6">
        <v>1</v>
      </c>
      <c r="B126" s="6"/>
      <c r="C126" s="6">
        <v>71</v>
      </c>
      <c r="D126" s="6" t="s">
        <v>122</v>
      </c>
      <c r="E126" s="13" t="s">
        <v>123</v>
      </c>
      <c r="F126" s="9" t="str">
        <f t="shared" si="10"/>
        <v>2021-X140HUW4682018OTC</v>
      </c>
      <c r="G126" s="6" t="s">
        <v>119</v>
      </c>
      <c r="H126" s="8" t="s">
        <v>244</v>
      </c>
      <c r="I126" s="6" t="s">
        <v>95</v>
      </c>
      <c r="J126" s="6" t="s">
        <v>96</v>
      </c>
      <c r="K126" s="6" t="s">
        <v>125</v>
      </c>
      <c r="L126" s="6">
        <v>2018</v>
      </c>
      <c r="M126" s="6" t="s">
        <v>97</v>
      </c>
      <c r="N126" s="7" t="s">
        <v>51</v>
      </c>
      <c r="O126" s="6" t="s">
        <v>75</v>
      </c>
      <c r="P126" s="7">
        <f>(8 * R126+ 4 * 0.97*R125) / 12*1.08</f>
        <v>64.380204000000006</v>
      </c>
      <c r="Q126" s="6">
        <v>16.7</v>
      </c>
      <c r="R126" s="6">
        <v>67.17</v>
      </c>
      <c r="S126" s="6">
        <v>8</v>
      </c>
      <c r="T126" s="6">
        <v>150</v>
      </c>
      <c r="U126" s="6">
        <v>3</v>
      </c>
      <c r="V126" s="6">
        <f t="shared" si="13"/>
        <v>10.02</v>
      </c>
      <c r="W126" s="6" t="s">
        <v>65</v>
      </c>
      <c r="X126" s="6"/>
      <c r="Y126" s="12">
        <v>363</v>
      </c>
      <c r="Z126" s="6" t="s">
        <v>80</v>
      </c>
      <c r="AA126" s="6"/>
      <c r="AB126" s="6">
        <v>7</v>
      </c>
      <c r="AC126" s="12">
        <v>28.5</v>
      </c>
      <c r="AD126" s="7" t="s">
        <v>39</v>
      </c>
      <c r="AE126" s="6"/>
      <c r="AF126" s="6">
        <v>0.5</v>
      </c>
      <c r="AG126" s="12"/>
      <c r="AH126" s="6"/>
      <c r="AI126" s="6"/>
      <c r="AJ126" s="6"/>
      <c r="AK126" s="12"/>
      <c r="AL126" s="6"/>
      <c r="AM126" s="6"/>
      <c r="AN126" s="6"/>
      <c r="AO126" s="12">
        <f t="shared" si="11"/>
        <v>12736.842105263158</v>
      </c>
      <c r="AP126" s="6" t="s">
        <v>54</v>
      </c>
      <c r="AQ126" s="6"/>
      <c r="AR126" s="6"/>
      <c r="AS126" s="6"/>
      <c r="AT126" s="6"/>
      <c r="AU126" s="6"/>
      <c r="AV126" s="6"/>
      <c r="AW126" s="6">
        <v>240</v>
      </c>
      <c r="AX126" s="6" t="s">
        <v>67</v>
      </c>
      <c r="AY126" s="6"/>
      <c r="AZ126" s="6">
        <v>7.12</v>
      </c>
      <c r="BA126" s="6">
        <v>0.48</v>
      </c>
      <c r="BB126" s="6" t="s">
        <v>229</v>
      </c>
      <c r="BC126" s="6"/>
      <c r="BD126" s="6">
        <v>0.01</v>
      </c>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row>
    <row r="127" spans="1:96" ht="15.6" x14ac:dyDescent="0.3">
      <c r="A127" s="6">
        <v>1</v>
      </c>
      <c r="B127" s="6"/>
      <c r="C127" s="6">
        <v>77</v>
      </c>
      <c r="D127" s="13" t="s">
        <v>126</v>
      </c>
      <c r="E127" s="13" t="s">
        <v>93</v>
      </c>
      <c r="F127" s="9" t="str">
        <f t="shared" si="10"/>
        <v>2020-13HD29672017OTC</v>
      </c>
      <c r="G127" s="6" t="s">
        <v>94</v>
      </c>
      <c r="H127" s="8" t="s">
        <v>244</v>
      </c>
      <c r="I127" s="6" t="s">
        <v>95</v>
      </c>
      <c r="J127" s="6" t="s">
        <v>96</v>
      </c>
      <c r="K127" s="6" t="s">
        <v>90</v>
      </c>
      <c r="L127" s="6">
        <v>2017</v>
      </c>
      <c r="M127" s="6" t="s">
        <v>97</v>
      </c>
      <c r="N127" s="7" t="s">
        <v>51</v>
      </c>
      <c r="O127" s="6" t="s">
        <v>103</v>
      </c>
      <c r="P127" s="6">
        <f>R127/1.01*T127*12/1000+R127/1.01*(90-T127)*12/1000</f>
        <v>56.031683168316825</v>
      </c>
      <c r="Q127" s="6">
        <v>11.9</v>
      </c>
      <c r="R127" s="6">
        <v>52.4</v>
      </c>
      <c r="S127" s="6">
        <v>8</v>
      </c>
      <c r="T127" s="6">
        <v>88</v>
      </c>
      <c r="U127" s="6">
        <v>3</v>
      </c>
      <c r="V127" s="6">
        <f t="shared" si="13"/>
        <v>11.9</v>
      </c>
      <c r="W127" s="14" t="s">
        <v>65</v>
      </c>
      <c r="X127" s="6"/>
      <c r="Y127" s="12"/>
      <c r="Z127" s="6"/>
      <c r="AA127" s="6"/>
      <c r="AB127" s="6"/>
      <c r="AC127" s="12">
        <v>49.15</v>
      </c>
      <c r="AD127" s="7" t="s">
        <v>39</v>
      </c>
      <c r="AE127" s="6"/>
      <c r="AF127" s="6">
        <v>0.87</v>
      </c>
      <c r="AG127" s="12"/>
      <c r="AH127" s="6"/>
      <c r="AI127" s="6"/>
      <c r="AJ127" s="6"/>
      <c r="AK127" s="12"/>
      <c r="AL127" s="6"/>
      <c r="AM127" s="6"/>
      <c r="AN127" s="6"/>
      <c r="AO127" s="12"/>
      <c r="AP127" s="6"/>
      <c r="AQ127" s="6"/>
      <c r="AR127" s="6"/>
      <c r="AS127" s="6"/>
      <c r="AT127" s="6"/>
      <c r="AU127" s="6"/>
      <c r="AV127" s="6"/>
      <c r="AW127" s="6">
        <v>232.27</v>
      </c>
      <c r="AX127" s="6" t="s">
        <v>67</v>
      </c>
      <c r="AY127" s="6"/>
      <c r="AZ127" s="6">
        <v>12.41</v>
      </c>
      <c r="BA127" s="6">
        <v>0.46</v>
      </c>
      <c r="BB127" s="6" t="s">
        <v>229</v>
      </c>
      <c r="BC127" s="6"/>
      <c r="BD127" s="6">
        <v>4.2000000000000003E-2</v>
      </c>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v>9.07</v>
      </c>
      <c r="CH127" s="6" t="s">
        <v>245</v>
      </c>
      <c r="CI127" s="6"/>
      <c r="CJ127" s="6">
        <v>0.2</v>
      </c>
      <c r="CK127" s="6"/>
      <c r="CL127" s="6"/>
      <c r="CM127" s="6"/>
      <c r="CN127" s="6"/>
      <c r="CO127" s="6"/>
      <c r="CP127" s="6"/>
      <c r="CQ127" s="6"/>
      <c r="CR127" s="6"/>
    </row>
    <row r="128" spans="1:96" ht="15.6" x14ac:dyDescent="0.3">
      <c r="A128" s="6">
        <v>1</v>
      </c>
      <c r="B128" s="6"/>
      <c r="C128" s="6">
        <v>77</v>
      </c>
      <c r="D128" s="13" t="s">
        <v>126</v>
      </c>
      <c r="E128" s="13" t="s">
        <v>93</v>
      </c>
      <c r="F128" s="9" t="str">
        <f t="shared" si="10"/>
        <v>2020-13HD29672017OTC</v>
      </c>
      <c r="G128" s="6" t="s">
        <v>94</v>
      </c>
      <c r="H128" s="8" t="s">
        <v>244</v>
      </c>
      <c r="I128" s="6" t="s">
        <v>95</v>
      </c>
      <c r="J128" s="6" t="s">
        <v>96</v>
      </c>
      <c r="K128" s="6" t="s">
        <v>90</v>
      </c>
      <c r="L128" s="6">
        <v>2017</v>
      </c>
      <c r="M128" s="6" t="s">
        <v>97</v>
      </c>
      <c r="N128" s="7" t="s">
        <v>51</v>
      </c>
      <c r="O128" s="6" t="s">
        <v>75</v>
      </c>
      <c r="P128" s="6">
        <f>(8 * R128+ 4 * 0.97*R127) / 12*T128*12/1000+R127/1.01*(90-T128)*12/1000</f>
        <v>61.376604514851486</v>
      </c>
      <c r="Q128" s="6">
        <v>18.3</v>
      </c>
      <c r="R128" s="6">
        <v>60</v>
      </c>
      <c r="S128" s="6">
        <v>8</v>
      </c>
      <c r="T128" s="6">
        <v>88</v>
      </c>
      <c r="U128" s="6">
        <v>3</v>
      </c>
      <c r="V128" s="6">
        <f t="shared" si="13"/>
        <v>18.3</v>
      </c>
      <c r="W128" s="14" t="s">
        <v>65</v>
      </c>
      <c r="X128" s="6"/>
      <c r="Y128" s="12"/>
      <c r="Z128" s="6"/>
      <c r="AA128" s="6"/>
      <c r="AB128" s="6"/>
      <c r="AC128" s="12">
        <v>46.93</v>
      </c>
      <c r="AD128" s="7" t="s">
        <v>39</v>
      </c>
      <c r="AE128" s="6"/>
      <c r="AF128" s="6">
        <v>0.57999999999999996</v>
      </c>
      <c r="AG128" s="12"/>
      <c r="AH128" s="6"/>
      <c r="AI128" s="6"/>
      <c r="AJ128" s="6"/>
      <c r="AK128" s="12"/>
      <c r="AL128" s="6"/>
      <c r="AM128" s="6"/>
      <c r="AN128" s="6"/>
      <c r="AO128" s="12"/>
      <c r="AP128" s="6"/>
      <c r="AQ128" s="6"/>
      <c r="AR128" s="6"/>
      <c r="AS128" s="6"/>
      <c r="AT128" s="6"/>
      <c r="AU128" s="6"/>
      <c r="AV128" s="6"/>
      <c r="AW128" s="6">
        <v>195.6</v>
      </c>
      <c r="AX128" s="6" t="s">
        <v>67</v>
      </c>
      <c r="AY128" s="6"/>
      <c r="AZ128" s="6">
        <v>4.49</v>
      </c>
      <c r="BA128" s="6">
        <v>0.44</v>
      </c>
      <c r="BB128" s="6" t="s">
        <v>229</v>
      </c>
      <c r="BC128" s="6"/>
      <c r="BD128" s="6">
        <v>0.01</v>
      </c>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v>7.61</v>
      </c>
      <c r="CH128" s="6" t="s">
        <v>245</v>
      </c>
      <c r="CI128" s="6"/>
      <c r="CJ128" s="6">
        <v>0.37</v>
      </c>
      <c r="CK128" s="6"/>
      <c r="CL128" s="6"/>
      <c r="CM128" s="6"/>
      <c r="CN128" s="6"/>
      <c r="CO128" s="6"/>
      <c r="CP128" s="6"/>
      <c r="CQ128" s="6"/>
      <c r="CR128" s="6"/>
    </row>
    <row r="129" spans="1:96" ht="15.6" x14ac:dyDescent="0.3">
      <c r="A129" s="6">
        <v>1</v>
      </c>
      <c r="B129" s="6"/>
      <c r="C129" s="6">
        <v>77</v>
      </c>
      <c r="D129" s="13" t="s">
        <v>126</v>
      </c>
      <c r="E129" s="13" t="s">
        <v>93</v>
      </c>
      <c r="F129" s="9" t="str">
        <f t="shared" si="10"/>
        <v>2020-13HD29672017OTC</v>
      </c>
      <c r="G129" s="6" t="s">
        <v>94</v>
      </c>
      <c r="H129" s="8" t="s">
        <v>244</v>
      </c>
      <c r="I129" s="6" t="s">
        <v>95</v>
      </c>
      <c r="J129" s="6" t="s">
        <v>96</v>
      </c>
      <c r="K129" s="6" t="s">
        <v>90</v>
      </c>
      <c r="L129" s="6">
        <v>2017</v>
      </c>
      <c r="M129" s="6" t="s">
        <v>97</v>
      </c>
      <c r="N129" s="7" t="s">
        <v>51</v>
      </c>
      <c r="O129" s="6" t="s">
        <v>103</v>
      </c>
      <c r="P129" s="7">
        <f>R129/1.01*1.08</f>
        <v>59.560396039603972</v>
      </c>
      <c r="Q129" s="6">
        <v>13</v>
      </c>
      <c r="R129" s="6">
        <v>55.7</v>
      </c>
      <c r="S129" s="6">
        <v>8</v>
      </c>
      <c r="T129" s="6">
        <v>99</v>
      </c>
      <c r="U129" s="6">
        <v>3</v>
      </c>
      <c r="V129" s="6">
        <f t="shared" si="13"/>
        <v>11.81818181818182</v>
      </c>
      <c r="W129" s="14" t="s">
        <v>65</v>
      </c>
      <c r="X129" s="6"/>
      <c r="Y129" s="12"/>
      <c r="Z129" s="6"/>
      <c r="AA129" s="6"/>
      <c r="AB129" s="6"/>
      <c r="AC129" s="12">
        <v>45.11</v>
      </c>
      <c r="AD129" s="7" t="s">
        <v>39</v>
      </c>
      <c r="AE129" s="6"/>
      <c r="AF129" s="6">
        <v>0.88</v>
      </c>
      <c r="AG129" s="12"/>
      <c r="AH129" s="6"/>
      <c r="AI129" s="6"/>
      <c r="AJ129" s="6"/>
      <c r="AK129" s="12"/>
      <c r="AL129" s="6"/>
      <c r="AM129" s="6"/>
      <c r="AN129" s="6"/>
      <c r="AO129" s="12"/>
      <c r="AP129" s="6"/>
      <c r="AQ129" s="6"/>
      <c r="AR129" s="6"/>
      <c r="AS129" s="6"/>
      <c r="AT129" s="6"/>
      <c r="AU129" s="6"/>
      <c r="AV129" s="6"/>
      <c r="AW129" s="6">
        <v>198.87</v>
      </c>
      <c r="AX129" s="6" t="s">
        <v>67</v>
      </c>
      <c r="AY129" s="6"/>
      <c r="AZ129" s="6">
        <v>10.74</v>
      </c>
      <c r="BA129" s="6">
        <v>0.44</v>
      </c>
      <c r="BB129" s="6" t="s">
        <v>229</v>
      </c>
      <c r="BC129" s="6"/>
      <c r="BD129" s="6">
        <v>0.01</v>
      </c>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v>8.15</v>
      </c>
      <c r="CH129" s="6" t="s">
        <v>245</v>
      </c>
      <c r="CI129" s="6"/>
      <c r="CJ129" s="6">
        <v>0.22</v>
      </c>
      <c r="CK129" s="6"/>
      <c r="CL129" s="6"/>
      <c r="CM129" s="6"/>
      <c r="CN129" s="6"/>
      <c r="CO129" s="6"/>
      <c r="CP129" s="6"/>
      <c r="CQ129" s="6"/>
      <c r="CR129" s="6"/>
    </row>
    <row r="130" spans="1:96" ht="15.6" x14ac:dyDescent="0.3">
      <c r="A130" s="6">
        <v>1</v>
      </c>
      <c r="B130" s="6"/>
      <c r="C130" s="6">
        <v>77</v>
      </c>
      <c r="D130" s="13" t="s">
        <v>126</v>
      </c>
      <c r="E130" s="13" t="s">
        <v>93</v>
      </c>
      <c r="F130" s="9" t="str">
        <f t="shared" si="10"/>
        <v>2020-13HD29672017OTC</v>
      </c>
      <c r="G130" s="6" t="s">
        <v>94</v>
      </c>
      <c r="H130" s="8" t="s">
        <v>244</v>
      </c>
      <c r="I130" s="6" t="s">
        <v>95</v>
      </c>
      <c r="J130" s="6" t="s">
        <v>96</v>
      </c>
      <c r="K130" s="6" t="s">
        <v>90</v>
      </c>
      <c r="L130" s="6">
        <v>2017</v>
      </c>
      <c r="M130" s="6" t="s">
        <v>97</v>
      </c>
      <c r="N130" s="7" t="s">
        <v>51</v>
      </c>
      <c r="O130" s="6" t="s">
        <v>75</v>
      </c>
      <c r="P130" s="7">
        <f>(8 * R130+ 4 * 0.97*R129) / 12*1.08</f>
        <v>65.45844000000001</v>
      </c>
      <c r="Q130" s="6">
        <v>21.5</v>
      </c>
      <c r="R130" s="6">
        <v>63.9</v>
      </c>
      <c r="S130" s="6">
        <v>8</v>
      </c>
      <c r="T130" s="6">
        <v>99</v>
      </c>
      <c r="U130" s="6">
        <v>3</v>
      </c>
      <c r="V130" s="6">
        <f t="shared" si="13"/>
        <v>19.545454545454547</v>
      </c>
      <c r="W130" s="14" t="s">
        <v>65</v>
      </c>
      <c r="X130" s="6"/>
      <c r="Y130" s="12"/>
      <c r="Z130" s="6"/>
      <c r="AA130" s="6"/>
      <c r="AB130" s="6"/>
      <c r="AC130" s="12">
        <v>39.380000000000003</v>
      </c>
      <c r="AD130" s="7" t="s">
        <v>39</v>
      </c>
      <c r="AE130" s="6"/>
      <c r="AF130" s="6">
        <v>0.94</v>
      </c>
      <c r="AG130" s="12"/>
      <c r="AH130" s="6"/>
      <c r="AI130" s="6"/>
      <c r="AJ130" s="6"/>
      <c r="AK130" s="12"/>
      <c r="AL130" s="6"/>
      <c r="AM130" s="6"/>
      <c r="AN130" s="6"/>
      <c r="AO130" s="12"/>
      <c r="AP130" s="6"/>
      <c r="AQ130" s="6"/>
      <c r="AR130" s="6"/>
      <c r="AS130" s="6"/>
      <c r="AT130" s="6"/>
      <c r="AU130" s="6"/>
      <c r="AV130" s="6"/>
      <c r="AW130" s="6">
        <v>163.69999999999999</v>
      </c>
      <c r="AX130" s="6" t="s">
        <v>67</v>
      </c>
      <c r="AY130" s="6"/>
      <c r="AZ130" s="6">
        <v>10.37</v>
      </c>
      <c r="BA130" s="6">
        <v>0.39</v>
      </c>
      <c r="BB130" s="6" t="s">
        <v>229</v>
      </c>
      <c r="BC130" s="6"/>
      <c r="BD130" s="6">
        <v>0.01</v>
      </c>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v>4.96</v>
      </c>
      <c r="CH130" s="6" t="s">
        <v>245</v>
      </c>
      <c r="CI130" s="6"/>
      <c r="CJ130" s="6">
        <v>0.32</v>
      </c>
      <c r="CK130" s="6"/>
      <c r="CL130" s="6"/>
      <c r="CM130" s="6"/>
      <c r="CN130" s="6"/>
      <c r="CO130" s="6"/>
      <c r="CP130" s="6"/>
      <c r="CQ130" s="6"/>
      <c r="CR130" s="6"/>
    </row>
    <row r="131" spans="1:96" ht="15.6" x14ac:dyDescent="0.3">
      <c r="A131" s="6">
        <v>1</v>
      </c>
      <c r="B131" s="6"/>
      <c r="C131" s="6"/>
      <c r="D131" s="6" t="s">
        <v>127</v>
      </c>
      <c r="E131" s="9" t="s">
        <v>128</v>
      </c>
      <c r="F131" s="9" t="str">
        <f t="shared" ref="F131:F194" si="14">D131&amp;K131&amp;L131&amp;M131</f>
        <v>1985-2071982OTC</v>
      </c>
      <c r="G131" s="6" t="s">
        <v>129</v>
      </c>
      <c r="H131" s="6" t="s">
        <v>130</v>
      </c>
      <c r="I131" s="6" t="s">
        <v>131</v>
      </c>
      <c r="J131" s="6" t="s">
        <v>96</v>
      </c>
      <c r="K131" s="6"/>
      <c r="L131" s="6">
        <v>1982</v>
      </c>
      <c r="M131" s="6" t="s">
        <v>36</v>
      </c>
      <c r="N131" s="6" t="s">
        <v>51</v>
      </c>
      <c r="O131" s="6" t="s">
        <v>132</v>
      </c>
      <c r="P131" s="6">
        <f>(7*R131+5*0.976*R131)/12*T131*12/1000+R132/1.01*(90-T131)*12/1000</f>
        <v>30.414247128712876</v>
      </c>
      <c r="Q131" s="6"/>
      <c r="R131" s="6">
        <v>22</v>
      </c>
      <c r="S131" s="6">
        <v>7</v>
      </c>
      <c r="T131" s="6">
        <f t="shared" ref="T131:T194" si="15">X131-W131+1</f>
        <v>61</v>
      </c>
      <c r="U131" s="6">
        <v>4</v>
      </c>
      <c r="V131" s="13">
        <v>0.93580380470402003</v>
      </c>
      <c r="W131" s="10">
        <v>30089</v>
      </c>
      <c r="X131" s="10">
        <v>30149</v>
      </c>
      <c r="Y131" s="12">
        <v>533.1</v>
      </c>
      <c r="Z131" s="6" t="s">
        <v>53</v>
      </c>
      <c r="AA131" s="6">
        <v>5.71</v>
      </c>
      <c r="AB131" s="6" t="s">
        <v>133</v>
      </c>
      <c r="AC131" s="6">
        <v>32.6</v>
      </c>
      <c r="AD131" s="7" t="s">
        <v>39</v>
      </c>
      <c r="AE131" s="6"/>
      <c r="AF131" s="6"/>
      <c r="AG131" s="6">
        <f>Y131/AC131*1000/(AK131)</f>
        <v>23.040072724167874</v>
      </c>
      <c r="AH131" s="6" t="s">
        <v>134</v>
      </c>
      <c r="AI131" s="6"/>
      <c r="AJ131" s="6"/>
      <c r="AK131" s="6">
        <f>AM131*5.71</f>
        <v>709.75299999999993</v>
      </c>
      <c r="AL131" s="6" t="s">
        <v>135</v>
      </c>
      <c r="AM131" s="6">
        <v>124.3</v>
      </c>
      <c r="AN131" s="6" t="s">
        <v>135</v>
      </c>
      <c r="AO131" s="12">
        <f t="shared" ref="AO131:AO194" si="16">Y131/AC131*1000</f>
        <v>16352.76073619632</v>
      </c>
      <c r="AP131" s="6" t="s">
        <v>54</v>
      </c>
      <c r="AQ131" s="6"/>
      <c r="AR131" s="6"/>
      <c r="AS131" s="6"/>
      <c r="AT131" s="6"/>
      <c r="AU131" s="6"/>
      <c r="AV131" s="6"/>
      <c r="AW131" s="6"/>
      <c r="AX131" s="6"/>
      <c r="AY131" s="6"/>
      <c r="AZ131" s="6"/>
      <c r="BA131" s="6">
        <v>0.56889498631813429</v>
      </c>
      <c r="BB131" s="6" t="s">
        <v>229</v>
      </c>
      <c r="BC131" s="6" t="s">
        <v>250</v>
      </c>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v>118.5</v>
      </c>
      <c r="CH131" s="6" t="s">
        <v>251</v>
      </c>
      <c r="CI131" s="6"/>
      <c r="CJ131" s="6"/>
      <c r="CK131" s="6"/>
      <c r="CL131" s="6"/>
      <c r="CM131" s="6"/>
      <c r="CN131" s="6"/>
      <c r="CO131" s="6"/>
      <c r="CP131" s="6"/>
      <c r="CQ131" s="6"/>
      <c r="CR131" s="6"/>
    </row>
    <row r="132" spans="1:96" ht="15.6" x14ac:dyDescent="0.3">
      <c r="A132" s="6">
        <v>1</v>
      </c>
      <c r="B132" s="6"/>
      <c r="C132" s="6"/>
      <c r="D132" s="6" t="s">
        <v>127</v>
      </c>
      <c r="E132" s="9" t="s">
        <v>128</v>
      </c>
      <c r="F132" s="9" t="str">
        <f t="shared" si="14"/>
        <v>1985-2071982OTC</v>
      </c>
      <c r="G132" s="6" t="s">
        <v>129</v>
      </c>
      <c r="H132" s="6" t="s">
        <v>130</v>
      </c>
      <c r="I132" s="6" t="s">
        <v>131</v>
      </c>
      <c r="J132" s="6" t="s">
        <v>96</v>
      </c>
      <c r="K132" s="6"/>
      <c r="L132" s="6">
        <v>1982</v>
      </c>
      <c r="M132" s="6" t="s">
        <v>36</v>
      </c>
      <c r="N132" s="6" t="s">
        <v>51</v>
      </c>
      <c r="O132" s="6" t="s">
        <v>103</v>
      </c>
      <c r="P132" s="7">
        <f>R132/1.01*1.08</f>
        <v>44.910891089108915</v>
      </c>
      <c r="Q132" s="6"/>
      <c r="R132" s="6">
        <v>42</v>
      </c>
      <c r="S132" s="6">
        <v>7</v>
      </c>
      <c r="T132" s="6">
        <f t="shared" si="15"/>
        <v>61</v>
      </c>
      <c r="U132" s="6">
        <v>4</v>
      </c>
      <c r="V132" s="13">
        <v>6.1929762965283297</v>
      </c>
      <c r="W132" s="10">
        <v>30089</v>
      </c>
      <c r="X132" s="10">
        <v>30149</v>
      </c>
      <c r="Y132" s="12">
        <v>355.2</v>
      </c>
      <c r="Z132" s="6" t="s">
        <v>53</v>
      </c>
      <c r="AA132" s="6">
        <v>5.71</v>
      </c>
      <c r="AB132" s="6" t="s">
        <v>133</v>
      </c>
      <c r="AC132" s="6">
        <v>24.7</v>
      </c>
      <c r="AD132" s="7" t="s">
        <v>39</v>
      </c>
      <c r="AE132" s="6"/>
      <c r="AF132" s="6"/>
      <c r="AG132" s="6">
        <f>Y132/AC132*1000/(AK132)</f>
        <v>22.506595677619703</v>
      </c>
      <c r="AH132" s="6" t="s">
        <v>134</v>
      </c>
      <c r="AI132" s="6"/>
      <c r="AJ132" s="6"/>
      <c r="AK132" s="6">
        <f>AM132*5.71</f>
        <v>638.94900000000007</v>
      </c>
      <c r="AL132" s="6" t="s">
        <v>135</v>
      </c>
      <c r="AM132" s="6">
        <v>111.9</v>
      </c>
      <c r="AN132" s="6" t="s">
        <v>135</v>
      </c>
      <c r="AO132" s="12">
        <f t="shared" si="16"/>
        <v>14380.566801619434</v>
      </c>
      <c r="AP132" s="6" t="s">
        <v>54</v>
      </c>
      <c r="AQ132" s="6"/>
      <c r="AR132" s="6"/>
      <c r="AS132" s="6"/>
      <c r="AT132" s="6"/>
      <c r="AU132" s="6"/>
      <c r="AV132" s="6"/>
      <c r="AW132" s="6"/>
      <c r="AX132" s="6"/>
      <c r="AY132" s="6"/>
      <c r="AZ132" s="6"/>
      <c r="BA132" s="6">
        <v>0.50885336083892041</v>
      </c>
      <c r="BB132" s="6" t="s">
        <v>229</v>
      </c>
      <c r="BC132" s="6" t="s">
        <v>250</v>
      </c>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v>84.2</v>
      </c>
      <c r="CH132" s="6" t="s">
        <v>251</v>
      </c>
      <c r="CI132" s="6"/>
      <c r="CJ132" s="6"/>
      <c r="CK132" s="6"/>
      <c r="CL132" s="6"/>
      <c r="CM132" s="6"/>
      <c r="CN132" s="6"/>
      <c r="CO132" s="6"/>
      <c r="CP132" s="6"/>
      <c r="CQ132" s="6"/>
      <c r="CR132" s="6"/>
    </row>
    <row r="133" spans="1:96" ht="15.6" x14ac:dyDescent="0.3">
      <c r="A133" s="6">
        <v>1</v>
      </c>
      <c r="B133" s="6"/>
      <c r="C133" s="6"/>
      <c r="D133" s="6" t="s">
        <v>127</v>
      </c>
      <c r="E133" s="9" t="s">
        <v>128</v>
      </c>
      <c r="F133" s="9" t="str">
        <f t="shared" si="14"/>
        <v>1985-2071982OTC</v>
      </c>
      <c r="G133" s="6" t="s">
        <v>129</v>
      </c>
      <c r="H133" s="6" t="s">
        <v>130</v>
      </c>
      <c r="I133" s="6" t="s">
        <v>131</v>
      </c>
      <c r="J133" s="6" t="s">
        <v>96</v>
      </c>
      <c r="K133" s="6"/>
      <c r="L133" s="6">
        <v>1982</v>
      </c>
      <c r="M133" s="6" t="s">
        <v>36</v>
      </c>
      <c r="N133" s="6" t="s">
        <v>51</v>
      </c>
      <c r="O133" s="6" t="s">
        <v>136</v>
      </c>
      <c r="P133" s="6">
        <f>(7*R133+5*0.976*R132)/12*T133*12/1000+R132/1.01*(90-T133)*12/1000</f>
        <v>53.44784712871288</v>
      </c>
      <c r="Q133" s="6"/>
      <c r="R133" s="6">
        <v>62</v>
      </c>
      <c r="S133" s="6">
        <v>7</v>
      </c>
      <c r="T133" s="6">
        <f t="shared" si="15"/>
        <v>61</v>
      </c>
      <c r="U133" s="6">
        <v>4</v>
      </c>
      <c r="V133" s="13">
        <v>12.6935773654142</v>
      </c>
      <c r="W133" s="10">
        <v>30089</v>
      </c>
      <c r="X133" s="10">
        <v>30149</v>
      </c>
      <c r="Y133" s="12">
        <v>232.2</v>
      </c>
      <c r="Z133" s="6" t="s">
        <v>53</v>
      </c>
      <c r="AA133" s="6">
        <v>5.71</v>
      </c>
      <c r="AB133" s="6" t="s">
        <v>133</v>
      </c>
      <c r="AC133" s="6">
        <v>17.7</v>
      </c>
      <c r="AD133" s="7" t="s">
        <v>39</v>
      </c>
      <c r="AE133" s="6"/>
      <c r="AF133" s="6"/>
      <c r="AG133" s="6">
        <f>Y133/AC133*1000/(AK133)</f>
        <v>19.960780419062402</v>
      </c>
      <c r="AH133" s="6" t="s">
        <v>134</v>
      </c>
      <c r="AI133" s="6"/>
      <c r="AJ133" s="6"/>
      <c r="AK133" s="6">
        <f>AM133*5.71</f>
        <v>657.221</v>
      </c>
      <c r="AL133" s="6" t="s">
        <v>135</v>
      </c>
      <c r="AM133" s="6">
        <v>115.1</v>
      </c>
      <c r="AN133" s="6" t="s">
        <v>135</v>
      </c>
      <c r="AO133" s="12">
        <f t="shared" si="16"/>
        <v>13118.644067796611</v>
      </c>
      <c r="AP133" s="6" t="s">
        <v>54</v>
      </c>
      <c r="AQ133" s="6"/>
      <c r="AR133" s="6"/>
      <c r="AS133" s="6"/>
      <c r="AT133" s="6"/>
      <c r="AU133" s="6"/>
      <c r="AV133" s="6"/>
      <c r="AW133" s="6"/>
      <c r="AX133" s="6"/>
      <c r="AY133" s="6"/>
      <c r="AZ133" s="6"/>
      <c r="BA133" s="6">
        <v>0.38725158444602836</v>
      </c>
      <c r="BB133" s="6" t="s">
        <v>229</v>
      </c>
      <c r="BC133" s="6" t="s">
        <v>250</v>
      </c>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v>72</v>
      </c>
      <c r="CH133" s="6" t="s">
        <v>251</v>
      </c>
      <c r="CI133" s="6"/>
      <c r="CJ133" s="6"/>
      <c r="CK133" s="6"/>
      <c r="CL133" s="6"/>
      <c r="CM133" s="6"/>
      <c r="CN133" s="6"/>
      <c r="CO133" s="6"/>
      <c r="CP133" s="6"/>
      <c r="CQ133" s="6"/>
      <c r="CR133" s="6"/>
    </row>
    <row r="134" spans="1:96" ht="15.6" x14ac:dyDescent="0.3">
      <c r="A134" s="6">
        <v>1</v>
      </c>
      <c r="B134" s="6"/>
      <c r="C134" s="6"/>
      <c r="D134" s="6" t="s">
        <v>127</v>
      </c>
      <c r="E134" s="9" t="s">
        <v>128</v>
      </c>
      <c r="F134" s="9" t="str">
        <f t="shared" si="14"/>
        <v>1985-2071982OTC</v>
      </c>
      <c r="G134" s="6" t="s">
        <v>129</v>
      </c>
      <c r="H134" s="6" t="s">
        <v>130</v>
      </c>
      <c r="I134" s="6" t="s">
        <v>131</v>
      </c>
      <c r="J134" s="6" t="s">
        <v>96</v>
      </c>
      <c r="K134" s="6"/>
      <c r="L134" s="6">
        <v>1982</v>
      </c>
      <c r="M134" s="6" t="s">
        <v>36</v>
      </c>
      <c r="N134" s="6" t="s">
        <v>51</v>
      </c>
      <c r="O134" s="6" t="s">
        <v>137</v>
      </c>
      <c r="P134" s="6">
        <f>(7*R134+5*0.976*R132)/12*T134*12/1000+R132/1.01*(90-T134)*12/1000</f>
        <v>61.987847128712879</v>
      </c>
      <c r="Q134" s="6"/>
      <c r="R134" s="6">
        <v>82</v>
      </c>
      <c r="S134" s="6">
        <v>7</v>
      </c>
      <c r="T134" s="6">
        <f t="shared" si="15"/>
        <v>61</v>
      </c>
      <c r="U134" s="6">
        <v>4</v>
      </c>
      <c r="V134" s="13">
        <v>20.3789423805928</v>
      </c>
      <c r="W134" s="10">
        <v>30089</v>
      </c>
      <c r="X134" s="10">
        <v>30149</v>
      </c>
      <c r="Y134" s="12">
        <v>169.8</v>
      </c>
      <c r="Z134" s="6" t="s">
        <v>53</v>
      </c>
      <c r="AA134" s="6">
        <v>5.71</v>
      </c>
      <c r="AB134" s="6" t="s">
        <v>133</v>
      </c>
      <c r="AC134" s="6">
        <v>14.1</v>
      </c>
      <c r="AD134" s="7" t="s">
        <v>39</v>
      </c>
      <c r="AE134" s="6"/>
      <c r="AF134" s="6"/>
      <c r="AG134" s="6">
        <f>Y134/AC134*1000/(AK134)</f>
        <v>17.964468312994871</v>
      </c>
      <c r="AH134" s="6" t="s">
        <v>134</v>
      </c>
      <c r="AI134" s="6"/>
      <c r="AJ134" s="6"/>
      <c r="AK134" s="6">
        <f>AM134*5.71</f>
        <v>670.35400000000004</v>
      </c>
      <c r="AL134" s="6" t="s">
        <v>135</v>
      </c>
      <c r="AM134" s="6">
        <v>117.4</v>
      </c>
      <c r="AN134" s="6" t="s">
        <v>135</v>
      </c>
      <c r="AO134" s="12">
        <f t="shared" si="16"/>
        <v>12042.553191489364</v>
      </c>
      <c r="AP134" s="6" t="s">
        <v>54</v>
      </c>
      <c r="AQ134" s="6"/>
      <c r="AR134" s="6"/>
      <c r="AS134" s="6"/>
      <c r="AT134" s="6"/>
      <c r="AU134" s="6"/>
      <c r="AV134" s="6"/>
      <c r="AW134" s="6"/>
      <c r="AX134" s="6"/>
      <c r="AY134" s="6"/>
      <c r="AZ134" s="6"/>
      <c r="BA134" s="6">
        <v>0.36679554194365349</v>
      </c>
      <c r="BB134" s="6" t="s">
        <v>229</v>
      </c>
      <c r="BC134" s="6" t="s">
        <v>250</v>
      </c>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v>46.3</v>
      </c>
      <c r="CH134" s="6" t="s">
        <v>251</v>
      </c>
      <c r="CI134" s="6"/>
      <c r="CJ134" s="6"/>
      <c r="CK134" s="6"/>
      <c r="CL134" s="6"/>
      <c r="CM134" s="6"/>
      <c r="CN134" s="6"/>
      <c r="CO134" s="6"/>
      <c r="CP134" s="6"/>
      <c r="CQ134" s="6"/>
      <c r="CR134" s="6"/>
    </row>
    <row r="135" spans="1:96" ht="15.6" x14ac:dyDescent="0.3">
      <c r="A135" s="6">
        <v>1</v>
      </c>
      <c r="B135" s="6"/>
      <c r="C135" s="6"/>
      <c r="D135" s="6" t="s">
        <v>127</v>
      </c>
      <c r="E135" s="9" t="s">
        <v>128</v>
      </c>
      <c r="F135" s="9" t="str">
        <f t="shared" si="14"/>
        <v>1985-2071982OTC</v>
      </c>
      <c r="G135" s="6" t="s">
        <v>129</v>
      </c>
      <c r="H135" s="6" t="s">
        <v>130</v>
      </c>
      <c r="I135" s="6" t="s">
        <v>131</v>
      </c>
      <c r="J135" s="6" t="s">
        <v>96</v>
      </c>
      <c r="K135" s="6"/>
      <c r="L135" s="6">
        <v>1982</v>
      </c>
      <c r="M135" s="6" t="s">
        <v>36</v>
      </c>
      <c r="N135" s="6" t="s">
        <v>51</v>
      </c>
      <c r="O135" s="6" t="s">
        <v>138</v>
      </c>
      <c r="P135" s="6">
        <f>(7*R135+5*0.976*R132)/12*T135*12/1000+R132/1.01*(90-T135)*12/1000</f>
        <v>67.96584712871288</v>
      </c>
      <c r="Q135" s="6"/>
      <c r="R135" s="6">
        <v>96</v>
      </c>
      <c r="S135" s="6">
        <v>7</v>
      </c>
      <c r="T135" s="6">
        <f t="shared" si="15"/>
        <v>61</v>
      </c>
      <c r="U135" s="6">
        <v>4</v>
      </c>
      <c r="V135" s="13">
        <v>26.0316178897634</v>
      </c>
      <c r="W135" s="10">
        <v>30089</v>
      </c>
      <c r="X135" s="10">
        <v>30149</v>
      </c>
      <c r="Y135" s="12">
        <v>143</v>
      </c>
      <c r="Z135" s="6" t="s">
        <v>53</v>
      </c>
      <c r="AA135" s="6">
        <v>5.71</v>
      </c>
      <c r="AB135" s="6" t="s">
        <v>133</v>
      </c>
      <c r="AC135" s="6">
        <v>13</v>
      </c>
      <c r="AD135" s="7" t="s">
        <v>39</v>
      </c>
      <c r="AE135" s="6"/>
      <c r="AF135" s="6"/>
      <c r="AG135" s="6">
        <f>Y135/AC135*1000/(AK135)</f>
        <v>19.26444833625219</v>
      </c>
      <c r="AH135" s="6" t="s">
        <v>134</v>
      </c>
      <c r="AI135" s="6"/>
      <c r="AJ135" s="6"/>
      <c r="AK135" s="6">
        <f>AM135*5.71</f>
        <v>571</v>
      </c>
      <c r="AL135" s="6" t="s">
        <v>135</v>
      </c>
      <c r="AM135" s="6">
        <v>100</v>
      </c>
      <c r="AN135" s="6" t="s">
        <v>135</v>
      </c>
      <c r="AO135" s="12">
        <f t="shared" si="16"/>
        <v>11000</v>
      </c>
      <c r="AP135" s="6" t="s">
        <v>54</v>
      </c>
      <c r="AQ135" s="6"/>
      <c r="AR135" s="6"/>
      <c r="AS135" s="6"/>
      <c r="AT135" s="6"/>
      <c r="AU135" s="6"/>
      <c r="AV135" s="6"/>
      <c r="AW135" s="6"/>
      <c r="AX135" s="6"/>
      <c r="AY135" s="6"/>
      <c r="AZ135" s="6"/>
      <c r="BA135" s="6">
        <v>0.36574049918718649</v>
      </c>
      <c r="BB135" s="6" t="s">
        <v>229</v>
      </c>
      <c r="BC135" s="6" t="s">
        <v>250</v>
      </c>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v>38.799999999999997</v>
      </c>
      <c r="CH135" s="6" t="s">
        <v>251</v>
      </c>
      <c r="CI135" s="6"/>
      <c r="CJ135" s="6"/>
      <c r="CK135" s="6"/>
      <c r="CL135" s="6"/>
      <c r="CM135" s="6"/>
      <c r="CN135" s="6"/>
      <c r="CO135" s="6"/>
      <c r="CP135" s="6"/>
      <c r="CQ135" s="6"/>
      <c r="CR135" s="6"/>
    </row>
    <row r="136" spans="1:96" ht="15.6" x14ac:dyDescent="0.3">
      <c r="A136" s="6">
        <v>1</v>
      </c>
      <c r="B136" s="6"/>
      <c r="C136" s="6"/>
      <c r="D136" s="6" t="s">
        <v>139</v>
      </c>
      <c r="E136" s="9" t="s">
        <v>140</v>
      </c>
      <c r="F136" s="9" t="str">
        <f t="shared" si="14"/>
        <v>1985-215Abe1982OTC</v>
      </c>
      <c r="G136" s="6" t="s">
        <v>141</v>
      </c>
      <c r="H136" s="6" t="s">
        <v>130</v>
      </c>
      <c r="I136" s="6" t="s">
        <v>131</v>
      </c>
      <c r="J136" s="6" t="s">
        <v>96</v>
      </c>
      <c r="K136" s="6" t="s">
        <v>142</v>
      </c>
      <c r="L136" s="6">
        <v>1982</v>
      </c>
      <c r="M136" s="6" t="s">
        <v>36</v>
      </c>
      <c r="N136" s="6" t="s">
        <v>51</v>
      </c>
      <c r="O136" s="6" t="s">
        <v>132</v>
      </c>
      <c r="P136" s="6">
        <f>(7*R136+5*0.976*R136)/12*T136*12/1000+R137/1.01*(90-T136)*12/1000</f>
        <v>31.863816237623759</v>
      </c>
      <c r="Q136" s="6"/>
      <c r="R136" s="6">
        <v>23</v>
      </c>
      <c r="S136" s="6">
        <v>7</v>
      </c>
      <c r="T136" s="6">
        <f t="shared" si="15"/>
        <v>56</v>
      </c>
      <c r="U136" s="6">
        <v>4</v>
      </c>
      <c r="V136" s="13">
        <v>1.18114946986415</v>
      </c>
      <c r="W136" s="10">
        <v>30079</v>
      </c>
      <c r="X136" s="10">
        <v>30134</v>
      </c>
      <c r="Y136" s="12">
        <v>531.5</v>
      </c>
      <c r="Z136" s="6" t="s">
        <v>53</v>
      </c>
      <c r="AA136" s="6">
        <v>4.92</v>
      </c>
      <c r="AB136" s="6" t="s">
        <v>133</v>
      </c>
      <c r="AC136" s="6">
        <v>42.9</v>
      </c>
      <c r="AD136" s="7" t="s">
        <v>39</v>
      </c>
      <c r="AE136" s="6"/>
      <c r="AF136" s="6"/>
      <c r="AG136" s="6">
        <v>22.5</v>
      </c>
      <c r="AH136" s="6" t="s">
        <v>134</v>
      </c>
      <c r="AI136" s="6"/>
      <c r="AJ136" s="6"/>
      <c r="AK136" s="6">
        <v>91</v>
      </c>
      <c r="AL136" s="6" t="s">
        <v>143</v>
      </c>
      <c r="AM136" s="6"/>
      <c r="AN136" s="6"/>
      <c r="AO136" s="12">
        <f t="shared" si="16"/>
        <v>12389.277389277389</v>
      </c>
      <c r="AP136" s="6" t="s">
        <v>54</v>
      </c>
      <c r="AQ136" s="6"/>
      <c r="AR136" s="6"/>
      <c r="AS136" s="6"/>
      <c r="AT136" s="6"/>
      <c r="AU136" s="6"/>
      <c r="AV136" s="6"/>
      <c r="AW136" s="6">
        <v>2226</v>
      </c>
      <c r="AX136" s="6" t="s">
        <v>135</v>
      </c>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row>
    <row r="137" spans="1:96" ht="15.6" x14ac:dyDescent="0.3">
      <c r="A137" s="6">
        <v>1</v>
      </c>
      <c r="B137" s="6"/>
      <c r="C137" s="6"/>
      <c r="D137" s="6" t="s">
        <v>139</v>
      </c>
      <c r="E137" s="9" t="s">
        <v>140</v>
      </c>
      <c r="F137" s="9" t="str">
        <f t="shared" si="14"/>
        <v>1985-215Abe1982OTC</v>
      </c>
      <c r="G137" s="6" t="s">
        <v>141</v>
      </c>
      <c r="H137" s="6" t="s">
        <v>130</v>
      </c>
      <c r="I137" s="6" t="s">
        <v>131</v>
      </c>
      <c r="J137" s="6" t="s">
        <v>96</v>
      </c>
      <c r="K137" s="6" t="s">
        <v>142</v>
      </c>
      <c r="L137" s="6">
        <v>1982</v>
      </c>
      <c r="M137" s="6" t="s">
        <v>36</v>
      </c>
      <c r="N137" s="6" t="s">
        <v>51</v>
      </c>
      <c r="O137" s="6" t="s">
        <v>103</v>
      </c>
      <c r="P137" s="7">
        <f>R137/1.01*1.08</f>
        <v>43.841584158415841</v>
      </c>
      <c r="Q137" s="6"/>
      <c r="R137" s="6">
        <v>41</v>
      </c>
      <c r="S137" s="6">
        <v>7</v>
      </c>
      <c r="T137" s="6">
        <f t="shared" si="15"/>
        <v>56</v>
      </c>
      <c r="U137" s="6">
        <v>4</v>
      </c>
      <c r="V137" s="13">
        <v>5.5357140123631297</v>
      </c>
      <c r="W137" s="10">
        <v>30079</v>
      </c>
      <c r="X137" s="10">
        <v>30134</v>
      </c>
      <c r="Y137" s="12">
        <v>505</v>
      </c>
      <c r="Z137" s="6" t="s">
        <v>53</v>
      </c>
      <c r="AA137" s="6">
        <v>4.92</v>
      </c>
      <c r="AB137" s="6" t="s">
        <v>133</v>
      </c>
      <c r="AC137" s="6">
        <v>43.6</v>
      </c>
      <c r="AD137" s="7" t="s">
        <v>39</v>
      </c>
      <c r="AE137" s="6"/>
      <c r="AF137" s="6"/>
      <c r="AG137" s="6">
        <v>21.4</v>
      </c>
      <c r="AH137" s="6" t="s">
        <v>134</v>
      </c>
      <c r="AI137" s="6"/>
      <c r="AJ137" s="6"/>
      <c r="AK137" s="6">
        <v>101</v>
      </c>
      <c r="AL137" s="6" t="s">
        <v>143</v>
      </c>
      <c r="AM137" s="6"/>
      <c r="AN137" s="6"/>
      <c r="AO137" s="12">
        <f t="shared" si="16"/>
        <v>11582.568807339449</v>
      </c>
      <c r="AP137" s="6" t="s">
        <v>54</v>
      </c>
      <c r="AQ137" s="6"/>
      <c r="AR137" s="6"/>
      <c r="AS137" s="6"/>
      <c r="AT137" s="6"/>
      <c r="AU137" s="6"/>
      <c r="AV137" s="6"/>
      <c r="AW137" s="6">
        <v>2035</v>
      </c>
      <c r="AX137" s="6" t="s">
        <v>135</v>
      </c>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row>
    <row r="138" spans="1:96" ht="15.6" x14ac:dyDescent="0.3">
      <c r="A138" s="6">
        <v>1</v>
      </c>
      <c r="B138" s="6"/>
      <c r="C138" s="6"/>
      <c r="D138" s="6" t="s">
        <v>139</v>
      </c>
      <c r="E138" s="9" t="s">
        <v>140</v>
      </c>
      <c r="F138" s="9" t="str">
        <f t="shared" si="14"/>
        <v>1985-215Abe1982OTC</v>
      </c>
      <c r="G138" s="6" t="s">
        <v>141</v>
      </c>
      <c r="H138" s="6" t="s">
        <v>130</v>
      </c>
      <c r="I138" s="6" t="s">
        <v>131</v>
      </c>
      <c r="J138" s="6" t="s">
        <v>96</v>
      </c>
      <c r="K138" s="6" t="s">
        <v>142</v>
      </c>
      <c r="L138" s="6">
        <v>1982</v>
      </c>
      <c r="M138" s="6" t="s">
        <v>36</v>
      </c>
      <c r="N138" s="6" t="s">
        <v>51</v>
      </c>
      <c r="O138" s="6" t="s">
        <v>136</v>
      </c>
      <c r="P138" s="6">
        <f>(7*R138+5*0.976*R137)/12*T138*12/1000+R137/1.01*(90-T138)*12/1000</f>
        <v>54.422856237623755</v>
      </c>
      <c r="Q138" s="6"/>
      <c r="R138" s="6">
        <v>68</v>
      </c>
      <c r="S138" s="6">
        <v>7</v>
      </c>
      <c r="T138" s="6">
        <f t="shared" si="15"/>
        <v>56</v>
      </c>
      <c r="U138" s="6">
        <v>4</v>
      </c>
      <c r="V138" s="13">
        <v>13.533045231200999</v>
      </c>
      <c r="W138" s="10">
        <v>30079</v>
      </c>
      <c r="X138" s="10">
        <v>30134</v>
      </c>
      <c r="Y138" s="12">
        <v>463.3</v>
      </c>
      <c r="Z138" s="6" t="s">
        <v>53</v>
      </c>
      <c r="AA138" s="6">
        <v>4.92</v>
      </c>
      <c r="AB138" s="6" t="s">
        <v>133</v>
      </c>
      <c r="AC138" s="6">
        <v>38</v>
      </c>
      <c r="AD138" s="7" t="s">
        <v>39</v>
      </c>
      <c r="AE138" s="6"/>
      <c r="AF138" s="6"/>
      <c r="AG138" s="6">
        <v>22.1</v>
      </c>
      <c r="AH138" s="6" t="s">
        <v>134</v>
      </c>
      <c r="AI138" s="6"/>
      <c r="AJ138" s="6"/>
      <c r="AK138" s="6">
        <v>89</v>
      </c>
      <c r="AL138" s="6" t="s">
        <v>143</v>
      </c>
      <c r="AM138" s="6"/>
      <c r="AN138" s="6"/>
      <c r="AO138" s="12">
        <f t="shared" si="16"/>
        <v>12192.105263157895</v>
      </c>
      <c r="AP138" s="6" t="s">
        <v>54</v>
      </c>
      <c r="AQ138" s="6"/>
      <c r="AR138" s="6"/>
      <c r="AS138" s="6"/>
      <c r="AT138" s="6"/>
      <c r="AU138" s="6"/>
      <c r="AV138" s="6"/>
      <c r="AW138" s="6">
        <v>2192</v>
      </c>
      <c r="AX138" s="6" t="s">
        <v>135</v>
      </c>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row>
    <row r="139" spans="1:96" ht="15.6" x14ac:dyDescent="0.3">
      <c r="A139" s="6">
        <v>1</v>
      </c>
      <c r="B139" s="6"/>
      <c r="C139" s="6"/>
      <c r="D139" s="6" t="s">
        <v>139</v>
      </c>
      <c r="E139" s="9" t="s">
        <v>140</v>
      </c>
      <c r="F139" s="9" t="str">
        <f t="shared" si="14"/>
        <v>1985-215Abe1982OTC</v>
      </c>
      <c r="G139" s="6" t="s">
        <v>141</v>
      </c>
      <c r="H139" s="6" t="s">
        <v>130</v>
      </c>
      <c r="I139" s="6" t="s">
        <v>131</v>
      </c>
      <c r="J139" s="6" t="s">
        <v>96</v>
      </c>
      <c r="K139" s="6" t="s">
        <v>142</v>
      </c>
      <c r="L139" s="6">
        <v>1982</v>
      </c>
      <c r="M139" s="6" t="s">
        <v>36</v>
      </c>
      <c r="N139" s="6" t="s">
        <v>51</v>
      </c>
      <c r="O139" s="6" t="s">
        <v>137</v>
      </c>
      <c r="P139" s="6">
        <f>(7*R139+5*0.976*R137)/12*T139*12/1000+R137/1.01*(90-T139)*12/1000</f>
        <v>65.006856237623765</v>
      </c>
      <c r="Q139" s="6"/>
      <c r="R139" s="6">
        <v>95</v>
      </c>
      <c r="S139" s="6">
        <v>7</v>
      </c>
      <c r="T139" s="6">
        <f t="shared" si="15"/>
        <v>56</v>
      </c>
      <c r="U139" s="6">
        <v>4</v>
      </c>
      <c r="V139" s="13">
        <v>23.216148995419001</v>
      </c>
      <c r="W139" s="10">
        <v>30079</v>
      </c>
      <c r="X139" s="10">
        <v>30134</v>
      </c>
      <c r="Y139" s="12">
        <v>360.6</v>
      </c>
      <c r="Z139" s="6" t="s">
        <v>53</v>
      </c>
      <c r="AA139" s="6">
        <v>4.92</v>
      </c>
      <c r="AB139" s="6" t="s">
        <v>133</v>
      </c>
      <c r="AC139" s="12">
        <v>31</v>
      </c>
      <c r="AD139" s="7" t="s">
        <v>39</v>
      </c>
      <c r="AE139" s="6"/>
      <c r="AF139" s="6"/>
      <c r="AG139" s="12">
        <v>20.6</v>
      </c>
      <c r="AH139" s="6" t="s">
        <v>134</v>
      </c>
      <c r="AI139" s="6"/>
      <c r="AJ139" s="6"/>
      <c r="AK139" s="12">
        <v>87</v>
      </c>
      <c r="AL139" s="6" t="s">
        <v>143</v>
      </c>
      <c r="AM139" s="6"/>
      <c r="AN139" s="6"/>
      <c r="AO139" s="12">
        <f t="shared" si="16"/>
        <v>11632.258064516129</v>
      </c>
      <c r="AP139" s="6" t="s">
        <v>54</v>
      </c>
      <c r="AQ139" s="6"/>
      <c r="AR139" s="6"/>
      <c r="AS139" s="6"/>
      <c r="AT139" s="6"/>
      <c r="AU139" s="6"/>
      <c r="AV139" s="6"/>
      <c r="AW139" s="6">
        <v>2091</v>
      </c>
      <c r="AX139" s="6" t="s">
        <v>135</v>
      </c>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row>
    <row r="140" spans="1:96" ht="15.6" x14ac:dyDescent="0.3">
      <c r="A140" s="6">
        <v>1</v>
      </c>
      <c r="B140" s="6"/>
      <c r="C140" s="6"/>
      <c r="D140" s="6" t="s">
        <v>139</v>
      </c>
      <c r="E140" s="9" t="s">
        <v>140</v>
      </c>
      <c r="F140" s="9" t="str">
        <f t="shared" si="14"/>
        <v>1985-215Abe1982OTC</v>
      </c>
      <c r="G140" s="6" t="s">
        <v>141</v>
      </c>
      <c r="H140" s="6" t="s">
        <v>130</v>
      </c>
      <c r="I140" s="6" t="s">
        <v>131</v>
      </c>
      <c r="J140" s="6" t="s">
        <v>96</v>
      </c>
      <c r="K140" s="6" t="s">
        <v>142</v>
      </c>
      <c r="L140" s="6">
        <v>1982</v>
      </c>
      <c r="M140" s="6" t="s">
        <v>36</v>
      </c>
      <c r="N140" s="6" t="s">
        <v>51</v>
      </c>
      <c r="O140" s="6" t="s">
        <v>138</v>
      </c>
      <c r="P140" s="6">
        <f>(7*R140+5*0.976*R137)/12*T140*12/1000+R137/1.01*(90-T140)*12/1000</f>
        <v>75.59085623762374</v>
      </c>
      <c r="Q140" s="6"/>
      <c r="R140" s="6">
        <v>122</v>
      </c>
      <c r="S140" s="6">
        <v>7</v>
      </c>
      <c r="T140" s="6">
        <f t="shared" si="15"/>
        <v>56</v>
      </c>
      <c r="U140" s="6">
        <v>4</v>
      </c>
      <c r="V140" s="13">
        <v>33.3905050705403</v>
      </c>
      <c r="W140" s="10">
        <v>30079</v>
      </c>
      <c r="X140" s="10">
        <v>30134</v>
      </c>
      <c r="Y140" s="12">
        <v>273.60000000000002</v>
      </c>
      <c r="Z140" s="6" t="s">
        <v>53</v>
      </c>
      <c r="AA140" s="6">
        <v>4.92</v>
      </c>
      <c r="AB140" s="6" t="s">
        <v>133</v>
      </c>
      <c r="AC140" s="12">
        <v>26</v>
      </c>
      <c r="AD140" s="7" t="s">
        <v>39</v>
      </c>
      <c r="AE140" s="6"/>
      <c r="AF140" s="6"/>
      <c r="AG140" s="12">
        <v>20</v>
      </c>
      <c r="AH140" s="6" t="s">
        <v>134</v>
      </c>
      <c r="AI140" s="6"/>
      <c r="AJ140" s="6"/>
      <c r="AK140" s="12">
        <v>114</v>
      </c>
      <c r="AL140" s="6" t="s">
        <v>143</v>
      </c>
      <c r="AM140" s="6"/>
      <c r="AN140" s="6"/>
      <c r="AO140" s="12">
        <f t="shared" si="16"/>
        <v>10523.076923076926</v>
      </c>
      <c r="AP140" s="6" t="s">
        <v>54</v>
      </c>
      <c r="AQ140" s="6"/>
      <c r="AR140" s="6"/>
      <c r="AS140" s="6"/>
      <c r="AT140" s="6"/>
      <c r="AU140" s="6"/>
      <c r="AV140" s="6"/>
      <c r="AW140" s="6">
        <v>1743</v>
      </c>
      <c r="AX140" s="6" t="s">
        <v>135</v>
      </c>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row>
    <row r="141" spans="1:96" ht="15.6" x14ac:dyDescent="0.3">
      <c r="A141" s="6">
        <v>1</v>
      </c>
      <c r="B141" s="6"/>
      <c r="C141" s="6"/>
      <c r="D141" s="6" t="s">
        <v>139</v>
      </c>
      <c r="E141" s="9" t="s">
        <v>140</v>
      </c>
      <c r="F141" s="9" t="str">
        <f t="shared" si="14"/>
        <v>1985-215Arthur-711982OTC</v>
      </c>
      <c r="G141" s="6" t="s">
        <v>141</v>
      </c>
      <c r="H141" s="6" t="s">
        <v>130</v>
      </c>
      <c r="I141" s="6" t="s">
        <v>131</v>
      </c>
      <c r="J141" s="6" t="s">
        <v>96</v>
      </c>
      <c r="K141" s="6" t="s">
        <v>144</v>
      </c>
      <c r="L141" s="6">
        <v>1982</v>
      </c>
      <c r="M141" s="6" t="s">
        <v>36</v>
      </c>
      <c r="N141" s="6" t="s">
        <v>51</v>
      </c>
      <c r="O141" s="6" t="s">
        <v>132</v>
      </c>
      <c r="P141" s="6">
        <f>(7*R141+5*0.976*R141)/12*T141*12/1000+R142/1.01*(90-T141)*12/1000</f>
        <v>31.863816237623759</v>
      </c>
      <c r="Q141" s="6"/>
      <c r="R141" s="6">
        <v>23</v>
      </c>
      <c r="S141" s="6">
        <v>7</v>
      </c>
      <c r="T141" s="6">
        <f t="shared" si="15"/>
        <v>56</v>
      </c>
      <c r="U141" s="6">
        <v>4</v>
      </c>
      <c r="V141" s="13">
        <v>1.18114946986415</v>
      </c>
      <c r="W141" s="10">
        <v>30079</v>
      </c>
      <c r="X141" s="10">
        <v>30134</v>
      </c>
      <c r="Y141" s="12">
        <v>464.7</v>
      </c>
      <c r="Z141" s="6" t="s">
        <v>53</v>
      </c>
      <c r="AA141" s="6">
        <v>4.92</v>
      </c>
      <c r="AB141" s="6" t="s">
        <v>133</v>
      </c>
      <c r="AC141" s="12">
        <v>43.2</v>
      </c>
      <c r="AD141" s="7" t="s">
        <v>39</v>
      </c>
      <c r="AE141" s="6"/>
      <c r="AF141" s="6"/>
      <c r="AG141" s="12">
        <v>23.1</v>
      </c>
      <c r="AH141" s="6" t="s">
        <v>134</v>
      </c>
      <c r="AI141" s="6"/>
      <c r="AJ141" s="6"/>
      <c r="AK141" s="12">
        <v>78</v>
      </c>
      <c r="AL141" s="6" t="s">
        <v>143</v>
      </c>
      <c r="AM141" s="6"/>
      <c r="AN141" s="6"/>
      <c r="AO141" s="12">
        <f t="shared" si="16"/>
        <v>10756.944444444443</v>
      </c>
      <c r="AP141" s="6" t="s">
        <v>54</v>
      </c>
      <c r="AQ141" s="6"/>
      <c r="AR141" s="6"/>
      <c r="AS141" s="6"/>
      <c r="AT141" s="6"/>
      <c r="AU141" s="6"/>
      <c r="AV141" s="6"/>
      <c r="AW141" s="6">
        <v>1892</v>
      </c>
      <c r="AX141" s="6" t="s">
        <v>135</v>
      </c>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row>
    <row r="142" spans="1:96" ht="15.6" x14ac:dyDescent="0.3">
      <c r="A142" s="6">
        <v>1</v>
      </c>
      <c r="B142" s="6"/>
      <c r="C142" s="6"/>
      <c r="D142" s="6" t="s">
        <v>139</v>
      </c>
      <c r="E142" s="9" t="s">
        <v>140</v>
      </c>
      <c r="F142" s="9" t="str">
        <f t="shared" si="14"/>
        <v>1985-215Arthur-711982OTC</v>
      </c>
      <c r="G142" s="6" t="s">
        <v>141</v>
      </c>
      <c r="H142" s="6" t="s">
        <v>130</v>
      </c>
      <c r="I142" s="6" t="s">
        <v>131</v>
      </c>
      <c r="J142" s="6" t="s">
        <v>96</v>
      </c>
      <c r="K142" s="6" t="s">
        <v>144</v>
      </c>
      <c r="L142" s="6">
        <v>1982</v>
      </c>
      <c r="M142" s="6" t="s">
        <v>36</v>
      </c>
      <c r="N142" s="6" t="s">
        <v>51</v>
      </c>
      <c r="O142" s="6" t="s">
        <v>103</v>
      </c>
      <c r="P142" s="7">
        <f>R142/1.01*1.08</f>
        <v>43.841584158415841</v>
      </c>
      <c r="Q142" s="6"/>
      <c r="R142" s="6">
        <v>41</v>
      </c>
      <c r="S142" s="6">
        <v>7</v>
      </c>
      <c r="T142" s="6">
        <f t="shared" si="15"/>
        <v>56</v>
      </c>
      <c r="U142" s="6">
        <v>4</v>
      </c>
      <c r="V142" s="13">
        <v>5.5357140123631297</v>
      </c>
      <c r="W142" s="10">
        <v>30079</v>
      </c>
      <c r="X142" s="10">
        <v>30134</v>
      </c>
      <c r="Y142" s="12">
        <v>430</v>
      </c>
      <c r="Z142" s="6" t="s">
        <v>53</v>
      </c>
      <c r="AA142" s="6">
        <v>4.92</v>
      </c>
      <c r="AB142" s="6" t="s">
        <v>133</v>
      </c>
      <c r="AC142" s="12">
        <v>42.599999999999994</v>
      </c>
      <c r="AD142" s="7" t="s">
        <v>39</v>
      </c>
      <c r="AE142" s="6"/>
      <c r="AF142" s="6"/>
      <c r="AG142" s="12">
        <v>21.6</v>
      </c>
      <c r="AH142" s="6" t="s">
        <v>134</v>
      </c>
      <c r="AI142" s="6"/>
      <c r="AJ142" s="6"/>
      <c r="AK142" s="12">
        <v>87</v>
      </c>
      <c r="AL142" s="6" t="s">
        <v>143</v>
      </c>
      <c r="AM142" s="6"/>
      <c r="AN142" s="6"/>
      <c r="AO142" s="12">
        <f t="shared" si="16"/>
        <v>10093.896713615024</v>
      </c>
      <c r="AP142" s="6" t="s">
        <v>54</v>
      </c>
      <c r="AQ142" s="6"/>
      <c r="AR142" s="6"/>
      <c r="AS142" s="6"/>
      <c r="AT142" s="6"/>
      <c r="AU142" s="6"/>
      <c r="AV142" s="6"/>
      <c r="AW142" s="6">
        <v>1802</v>
      </c>
      <c r="AX142" s="6" t="s">
        <v>135</v>
      </c>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row>
    <row r="143" spans="1:96" ht="15.6" x14ac:dyDescent="0.3">
      <c r="A143" s="6">
        <v>1</v>
      </c>
      <c r="B143" s="6"/>
      <c r="C143" s="6"/>
      <c r="D143" s="6" t="s">
        <v>139</v>
      </c>
      <c r="E143" s="9" t="s">
        <v>140</v>
      </c>
      <c r="F143" s="9" t="str">
        <f t="shared" si="14"/>
        <v>1985-215Arthur-711982OTC</v>
      </c>
      <c r="G143" s="6" t="s">
        <v>141</v>
      </c>
      <c r="H143" s="6" t="s">
        <v>130</v>
      </c>
      <c r="I143" s="6" t="s">
        <v>131</v>
      </c>
      <c r="J143" s="6" t="s">
        <v>96</v>
      </c>
      <c r="K143" s="6" t="s">
        <v>144</v>
      </c>
      <c r="L143" s="6">
        <v>1982</v>
      </c>
      <c r="M143" s="6" t="s">
        <v>36</v>
      </c>
      <c r="N143" s="6" t="s">
        <v>51</v>
      </c>
      <c r="O143" s="6" t="s">
        <v>136</v>
      </c>
      <c r="P143" s="6">
        <f>(7*R143+5*0.976*R142)/12*T143*12/1000+R142/1.01*(90-T143)*12/1000</f>
        <v>54.422856237623755</v>
      </c>
      <c r="Q143" s="6"/>
      <c r="R143" s="6">
        <v>68</v>
      </c>
      <c r="S143" s="6">
        <v>7</v>
      </c>
      <c r="T143" s="6">
        <f t="shared" si="15"/>
        <v>56</v>
      </c>
      <c r="U143" s="6">
        <v>4</v>
      </c>
      <c r="V143" s="13">
        <v>13.533045231200999</v>
      </c>
      <c r="W143" s="10">
        <v>30079</v>
      </c>
      <c r="X143" s="10">
        <v>30134</v>
      </c>
      <c r="Y143" s="12">
        <v>395.8</v>
      </c>
      <c r="Z143" s="6" t="s">
        <v>53</v>
      </c>
      <c r="AA143" s="6">
        <v>4.92</v>
      </c>
      <c r="AB143" s="6" t="s">
        <v>133</v>
      </c>
      <c r="AC143" s="12">
        <v>39.4</v>
      </c>
      <c r="AD143" s="7" t="s">
        <v>39</v>
      </c>
      <c r="AE143" s="6"/>
      <c r="AF143" s="6"/>
      <c r="AG143" s="12">
        <v>21.8</v>
      </c>
      <c r="AH143" s="6" t="s">
        <v>134</v>
      </c>
      <c r="AI143" s="6"/>
      <c r="AJ143" s="6"/>
      <c r="AK143" s="12">
        <v>78</v>
      </c>
      <c r="AL143" s="6" t="s">
        <v>143</v>
      </c>
      <c r="AM143" s="6"/>
      <c r="AN143" s="6"/>
      <c r="AO143" s="12">
        <f t="shared" si="16"/>
        <v>10045.685279187819</v>
      </c>
      <c r="AP143" s="6" t="s">
        <v>54</v>
      </c>
      <c r="AQ143" s="6"/>
      <c r="AR143" s="6"/>
      <c r="AS143" s="6"/>
      <c r="AT143" s="6"/>
      <c r="AU143" s="6"/>
      <c r="AV143" s="6"/>
      <c r="AW143" s="6">
        <v>1801</v>
      </c>
      <c r="AX143" s="6" t="s">
        <v>135</v>
      </c>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row>
    <row r="144" spans="1:96" ht="15.6" x14ac:dyDescent="0.3">
      <c r="A144" s="6">
        <v>1</v>
      </c>
      <c r="B144" s="6"/>
      <c r="C144" s="6"/>
      <c r="D144" s="6" t="s">
        <v>139</v>
      </c>
      <c r="E144" s="9" t="s">
        <v>140</v>
      </c>
      <c r="F144" s="9" t="str">
        <f t="shared" si="14"/>
        <v>1985-215Arthur-711982OTC</v>
      </c>
      <c r="G144" s="6" t="s">
        <v>141</v>
      </c>
      <c r="H144" s="6" t="s">
        <v>130</v>
      </c>
      <c r="I144" s="6" t="s">
        <v>131</v>
      </c>
      <c r="J144" s="6" t="s">
        <v>96</v>
      </c>
      <c r="K144" s="6" t="s">
        <v>144</v>
      </c>
      <c r="L144" s="6">
        <v>1982</v>
      </c>
      <c r="M144" s="6" t="s">
        <v>36</v>
      </c>
      <c r="N144" s="6" t="s">
        <v>51</v>
      </c>
      <c r="O144" s="6" t="s">
        <v>137</v>
      </c>
      <c r="P144" s="6">
        <f>(7*R144+5*0.976*R142)/12*T144*12/1000+R142/1.01*(90-T144)*12/1000</f>
        <v>65.006856237623765</v>
      </c>
      <c r="Q144" s="6"/>
      <c r="R144" s="6">
        <v>95</v>
      </c>
      <c r="S144" s="6">
        <v>7</v>
      </c>
      <c r="T144" s="6">
        <f t="shared" si="15"/>
        <v>56</v>
      </c>
      <c r="U144" s="6">
        <v>4</v>
      </c>
      <c r="V144" s="13">
        <v>23.216148995419001</v>
      </c>
      <c r="W144" s="10">
        <v>30079</v>
      </c>
      <c r="X144" s="10">
        <v>30134</v>
      </c>
      <c r="Y144" s="12">
        <v>315.10000000000002</v>
      </c>
      <c r="Z144" s="6" t="s">
        <v>53</v>
      </c>
      <c r="AA144" s="6">
        <v>4.92</v>
      </c>
      <c r="AB144" s="6" t="s">
        <v>133</v>
      </c>
      <c r="AC144" s="12">
        <v>32.400000000000006</v>
      </c>
      <c r="AD144" s="7" t="s">
        <v>39</v>
      </c>
      <c r="AE144" s="6"/>
      <c r="AF144" s="6"/>
      <c r="AG144" s="12">
        <v>20.6</v>
      </c>
      <c r="AH144" s="6" t="s">
        <v>134</v>
      </c>
      <c r="AI144" s="6"/>
      <c r="AJ144" s="6"/>
      <c r="AK144" s="12">
        <v>87</v>
      </c>
      <c r="AL144" s="6" t="s">
        <v>143</v>
      </c>
      <c r="AM144" s="6"/>
      <c r="AN144" s="6"/>
      <c r="AO144" s="12">
        <f t="shared" si="16"/>
        <v>9725.3086419753072</v>
      </c>
      <c r="AP144" s="6" t="s">
        <v>54</v>
      </c>
      <c r="AQ144" s="6"/>
      <c r="AR144" s="6"/>
      <c r="AS144" s="6"/>
      <c r="AT144" s="6"/>
      <c r="AU144" s="6"/>
      <c r="AV144" s="6"/>
      <c r="AW144" s="6">
        <v>1706</v>
      </c>
      <c r="AX144" s="6" t="s">
        <v>135</v>
      </c>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row>
    <row r="145" spans="1:96" ht="15.6" x14ac:dyDescent="0.3">
      <c r="A145" s="6">
        <v>1</v>
      </c>
      <c r="B145" s="6"/>
      <c r="C145" s="6"/>
      <c r="D145" s="6" t="s">
        <v>139</v>
      </c>
      <c r="E145" s="9" t="s">
        <v>140</v>
      </c>
      <c r="F145" s="9" t="str">
        <f t="shared" si="14"/>
        <v>1985-215Arthur-711982OTC</v>
      </c>
      <c r="G145" s="6" t="s">
        <v>141</v>
      </c>
      <c r="H145" s="6" t="s">
        <v>130</v>
      </c>
      <c r="I145" s="6" t="s">
        <v>131</v>
      </c>
      <c r="J145" s="6" t="s">
        <v>96</v>
      </c>
      <c r="K145" s="6" t="s">
        <v>144</v>
      </c>
      <c r="L145" s="6">
        <v>1982</v>
      </c>
      <c r="M145" s="6" t="s">
        <v>36</v>
      </c>
      <c r="N145" s="6" t="s">
        <v>51</v>
      </c>
      <c r="O145" s="6" t="s">
        <v>138</v>
      </c>
      <c r="P145" s="6">
        <f>(7*R145+5*0.976*R142)/12*T145*12/1000+R142/1.01*(90-T145)*12/1000</f>
        <v>75.59085623762374</v>
      </c>
      <c r="Q145" s="6"/>
      <c r="R145" s="6">
        <v>122</v>
      </c>
      <c r="S145" s="6">
        <v>7</v>
      </c>
      <c r="T145" s="6">
        <f t="shared" si="15"/>
        <v>56</v>
      </c>
      <c r="U145" s="6">
        <v>4</v>
      </c>
      <c r="V145" s="13">
        <v>33.3905050705403</v>
      </c>
      <c r="W145" s="10">
        <v>30079</v>
      </c>
      <c r="X145" s="10">
        <v>30134</v>
      </c>
      <c r="Y145" s="12">
        <v>241.2</v>
      </c>
      <c r="Z145" s="6" t="s">
        <v>53</v>
      </c>
      <c r="AA145" s="6">
        <v>4.92</v>
      </c>
      <c r="AB145" s="6" t="s">
        <v>133</v>
      </c>
      <c r="AC145" s="12">
        <v>26.5</v>
      </c>
      <c r="AD145" s="7" t="s">
        <v>39</v>
      </c>
      <c r="AE145" s="6"/>
      <c r="AF145" s="6"/>
      <c r="AG145" s="12">
        <v>19.600000000000001</v>
      </c>
      <c r="AH145" s="6" t="s">
        <v>134</v>
      </c>
      <c r="AI145" s="6"/>
      <c r="AJ145" s="6"/>
      <c r="AK145" s="12">
        <v>84</v>
      </c>
      <c r="AL145" s="6" t="s">
        <v>143</v>
      </c>
      <c r="AM145" s="6"/>
      <c r="AN145" s="6"/>
      <c r="AO145" s="12">
        <f t="shared" si="16"/>
        <v>9101.8867924528295</v>
      </c>
      <c r="AP145" s="6" t="s">
        <v>54</v>
      </c>
      <c r="AQ145" s="6"/>
      <c r="AR145" s="6"/>
      <c r="AS145" s="6"/>
      <c r="AT145" s="6"/>
      <c r="AU145" s="6"/>
      <c r="AV145" s="6"/>
      <c r="AW145" s="6">
        <v>1621</v>
      </c>
      <c r="AX145" s="6" t="s">
        <v>135</v>
      </c>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row>
    <row r="146" spans="1:96" ht="15.6" x14ac:dyDescent="0.3">
      <c r="A146" s="6">
        <v>1</v>
      </c>
      <c r="B146" s="6"/>
      <c r="C146" s="6"/>
      <c r="D146" s="6" t="s">
        <v>139</v>
      </c>
      <c r="E146" s="9" t="s">
        <v>140</v>
      </c>
      <c r="F146" s="9" t="str">
        <f t="shared" si="14"/>
        <v>1985-215Roland1982OTC</v>
      </c>
      <c r="G146" s="6" t="s">
        <v>141</v>
      </c>
      <c r="H146" s="6" t="s">
        <v>130</v>
      </c>
      <c r="I146" s="6" t="s">
        <v>131</v>
      </c>
      <c r="J146" s="6" t="s">
        <v>96</v>
      </c>
      <c r="K146" s="6" t="s">
        <v>145</v>
      </c>
      <c r="L146" s="6">
        <v>1982</v>
      </c>
      <c r="M146" s="6" t="s">
        <v>36</v>
      </c>
      <c r="N146" s="6" t="s">
        <v>51</v>
      </c>
      <c r="O146" s="6" t="s">
        <v>132</v>
      </c>
      <c r="P146" s="6">
        <f>(7*R146+5*0.976*R146)/12*T146*12/1000+R147/1.01*(90-T146)*12/1000</f>
        <v>31.863816237623759</v>
      </c>
      <c r="Q146" s="6"/>
      <c r="R146" s="6">
        <v>23</v>
      </c>
      <c r="S146" s="6">
        <v>7</v>
      </c>
      <c r="T146" s="6">
        <f t="shared" si="15"/>
        <v>56</v>
      </c>
      <c r="U146" s="6">
        <v>4</v>
      </c>
      <c r="V146" s="13">
        <v>1.18114946986415</v>
      </c>
      <c r="W146" s="10">
        <v>30079</v>
      </c>
      <c r="X146" s="10">
        <v>30134</v>
      </c>
      <c r="Y146" s="12">
        <v>500.7</v>
      </c>
      <c r="Z146" s="6" t="s">
        <v>53</v>
      </c>
      <c r="AA146" s="6">
        <v>4.92</v>
      </c>
      <c r="AB146" s="6" t="s">
        <v>133</v>
      </c>
      <c r="AC146" s="12">
        <v>36.4</v>
      </c>
      <c r="AD146" s="7" t="s">
        <v>39</v>
      </c>
      <c r="AE146" s="6"/>
      <c r="AF146" s="6"/>
      <c r="AG146" s="12">
        <v>30.8</v>
      </c>
      <c r="AH146" s="6" t="s">
        <v>134</v>
      </c>
      <c r="AI146" s="6"/>
      <c r="AJ146" s="6"/>
      <c r="AK146" s="12">
        <v>82</v>
      </c>
      <c r="AL146" s="6" t="s">
        <v>143</v>
      </c>
      <c r="AM146" s="6"/>
      <c r="AN146" s="6"/>
      <c r="AO146" s="12">
        <f t="shared" si="16"/>
        <v>13755.494505494506</v>
      </c>
      <c r="AP146" s="6" t="s">
        <v>54</v>
      </c>
      <c r="AQ146" s="6"/>
      <c r="AR146" s="6"/>
      <c r="AS146" s="6"/>
      <c r="AT146" s="6"/>
      <c r="AU146" s="6"/>
      <c r="AV146" s="6"/>
      <c r="AW146" s="6">
        <v>2469</v>
      </c>
      <c r="AX146" s="6" t="s">
        <v>135</v>
      </c>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row>
    <row r="147" spans="1:96" ht="15.6" x14ac:dyDescent="0.3">
      <c r="A147" s="6">
        <v>1</v>
      </c>
      <c r="B147" s="6"/>
      <c r="C147" s="6"/>
      <c r="D147" s="6" t="s">
        <v>139</v>
      </c>
      <c r="E147" s="9" t="s">
        <v>140</v>
      </c>
      <c r="F147" s="9" t="str">
        <f t="shared" si="14"/>
        <v>1985-215Roland1982OTC</v>
      </c>
      <c r="G147" s="6" t="s">
        <v>141</v>
      </c>
      <c r="H147" s="6" t="s">
        <v>130</v>
      </c>
      <c r="I147" s="6" t="s">
        <v>131</v>
      </c>
      <c r="J147" s="6" t="s">
        <v>96</v>
      </c>
      <c r="K147" s="6" t="s">
        <v>145</v>
      </c>
      <c r="L147" s="6">
        <v>1982</v>
      </c>
      <c r="M147" s="6" t="s">
        <v>36</v>
      </c>
      <c r="N147" s="6" t="s">
        <v>51</v>
      </c>
      <c r="O147" s="6" t="s">
        <v>103</v>
      </c>
      <c r="P147" s="7">
        <f>R147/1.01*1.08</f>
        <v>43.841584158415841</v>
      </c>
      <c r="Q147" s="6"/>
      <c r="R147" s="6">
        <v>41</v>
      </c>
      <c r="S147" s="6">
        <v>7</v>
      </c>
      <c r="T147" s="6">
        <f t="shared" si="15"/>
        <v>56</v>
      </c>
      <c r="U147" s="6">
        <v>4</v>
      </c>
      <c r="V147" s="13">
        <v>5.5357140123631297</v>
      </c>
      <c r="W147" s="10">
        <v>30079</v>
      </c>
      <c r="X147" s="10">
        <v>30134</v>
      </c>
      <c r="Y147" s="12">
        <v>466.8</v>
      </c>
      <c r="Z147" s="6" t="s">
        <v>53</v>
      </c>
      <c r="AA147" s="6">
        <v>4.92</v>
      </c>
      <c r="AB147" s="6" t="s">
        <v>133</v>
      </c>
      <c r="AC147" s="12">
        <v>33.199999999999996</v>
      </c>
      <c r="AD147" s="7" t="s">
        <v>39</v>
      </c>
      <c r="AE147" s="6"/>
      <c r="AF147" s="6"/>
      <c r="AG147" s="12">
        <v>30.9</v>
      </c>
      <c r="AH147" s="6" t="s">
        <v>134</v>
      </c>
      <c r="AI147" s="6"/>
      <c r="AJ147" s="6"/>
      <c r="AK147" s="12">
        <v>75</v>
      </c>
      <c r="AL147" s="6" t="s">
        <v>143</v>
      </c>
      <c r="AM147" s="6"/>
      <c r="AN147" s="6"/>
      <c r="AO147" s="12">
        <f t="shared" si="16"/>
        <v>14060.240963855424</v>
      </c>
      <c r="AP147" s="6" t="s">
        <v>54</v>
      </c>
      <c r="AQ147" s="6"/>
      <c r="AR147" s="6"/>
      <c r="AS147" s="6"/>
      <c r="AT147" s="6"/>
      <c r="AU147" s="6"/>
      <c r="AV147" s="6"/>
      <c r="AW147" s="6">
        <v>2472</v>
      </c>
      <c r="AX147" s="6" t="s">
        <v>135</v>
      </c>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row>
    <row r="148" spans="1:96" ht="15.6" x14ac:dyDescent="0.3">
      <c r="A148" s="6">
        <v>1</v>
      </c>
      <c r="B148" s="6"/>
      <c r="C148" s="6"/>
      <c r="D148" s="6" t="s">
        <v>139</v>
      </c>
      <c r="E148" s="9" t="s">
        <v>140</v>
      </c>
      <c r="F148" s="9" t="str">
        <f t="shared" si="14"/>
        <v>1985-215Roland1982OTC</v>
      </c>
      <c r="G148" s="6" t="s">
        <v>141</v>
      </c>
      <c r="H148" s="6" t="s">
        <v>130</v>
      </c>
      <c r="I148" s="6" t="s">
        <v>131</v>
      </c>
      <c r="J148" s="6" t="s">
        <v>96</v>
      </c>
      <c r="K148" s="6" t="s">
        <v>145</v>
      </c>
      <c r="L148" s="6">
        <v>1982</v>
      </c>
      <c r="M148" s="6" t="s">
        <v>36</v>
      </c>
      <c r="N148" s="6" t="s">
        <v>51</v>
      </c>
      <c r="O148" s="6" t="s">
        <v>136</v>
      </c>
      <c r="P148" s="6">
        <f>(7*R148+5*0.976*R147)/12*T148*12/1000+R147/1.01*(90-T148)*12/1000</f>
        <v>54.422856237623755</v>
      </c>
      <c r="Q148" s="6"/>
      <c r="R148" s="6">
        <v>68</v>
      </c>
      <c r="S148" s="6">
        <v>7</v>
      </c>
      <c r="T148" s="6">
        <f t="shared" si="15"/>
        <v>56</v>
      </c>
      <c r="U148" s="6">
        <v>4</v>
      </c>
      <c r="V148" s="13">
        <v>13.533045231200999</v>
      </c>
      <c r="W148" s="10">
        <v>30079</v>
      </c>
      <c r="X148" s="10">
        <v>30134</v>
      </c>
      <c r="Y148" s="12">
        <v>355.7</v>
      </c>
      <c r="Z148" s="6" t="s">
        <v>53</v>
      </c>
      <c r="AA148" s="6">
        <v>4.92</v>
      </c>
      <c r="AB148" s="6" t="s">
        <v>133</v>
      </c>
      <c r="AC148" s="12">
        <v>27.3</v>
      </c>
      <c r="AD148" s="7" t="s">
        <v>39</v>
      </c>
      <c r="AE148" s="6"/>
      <c r="AF148" s="6"/>
      <c r="AG148" s="12">
        <v>29.1</v>
      </c>
      <c r="AH148" s="6" t="s">
        <v>134</v>
      </c>
      <c r="AI148" s="6"/>
      <c r="AJ148" s="6"/>
      <c r="AK148" s="12">
        <v>84</v>
      </c>
      <c r="AL148" s="6" t="s">
        <v>143</v>
      </c>
      <c r="AM148" s="6"/>
      <c r="AN148" s="6"/>
      <c r="AO148" s="12">
        <f t="shared" si="16"/>
        <v>13029.304029304029</v>
      </c>
      <c r="AP148" s="6" t="s">
        <v>54</v>
      </c>
      <c r="AQ148" s="6"/>
      <c r="AR148" s="6"/>
      <c r="AS148" s="6"/>
      <c r="AT148" s="6"/>
      <c r="AU148" s="6"/>
      <c r="AV148" s="6"/>
      <c r="AW148" s="6">
        <v>2332</v>
      </c>
      <c r="AX148" s="6" t="s">
        <v>135</v>
      </c>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row>
    <row r="149" spans="1:96" ht="15.6" x14ac:dyDescent="0.3">
      <c r="A149" s="6">
        <v>1</v>
      </c>
      <c r="B149" s="6"/>
      <c r="C149" s="6"/>
      <c r="D149" s="6" t="s">
        <v>139</v>
      </c>
      <c r="E149" s="9" t="s">
        <v>140</v>
      </c>
      <c r="F149" s="9" t="str">
        <f t="shared" si="14"/>
        <v>1985-215Roland1982OTC</v>
      </c>
      <c r="G149" s="6" t="s">
        <v>141</v>
      </c>
      <c r="H149" s="6" t="s">
        <v>130</v>
      </c>
      <c r="I149" s="6" t="s">
        <v>131</v>
      </c>
      <c r="J149" s="6" t="s">
        <v>96</v>
      </c>
      <c r="K149" s="6" t="s">
        <v>145</v>
      </c>
      <c r="L149" s="6">
        <v>1982</v>
      </c>
      <c r="M149" s="6" t="s">
        <v>36</v>
      </c>
      <c r="N149" s="6" t="s">
        <v>51</v>
      </c>
      <c r="O149" s="6" t="s">
        <v>137</v>
      </c>
      <c r="P149" s="6">
        <f>(7*R149+5*0.976*R147)/12*T149*12/1000+R147/1.01*(90-T149)*12/1000</f>
        <v>65.006856237623765</v>
      </c>
      <c r="Q149" s="6"/>
      <c r="R149" s="6">
        <v>95</v>
      </c>
      <c r="S149" s="6">
        <v>7</v>
      </c>
      <c r="T149" s="6">
        <f t="shared" si="15"/>
        <v>56</v>
      </c>
      <c r="U149" s="6">
        <v>4</v>
      </c>
      <c r="V149" s="13">
        <v>23.216148995419001</v>
      </c>
      <c r="W149" s="10">
        <v>30079</v>
      </c>
      <c r="X149" s="10">
        <v>30134</v>
      </c>
      <c r="Y149" s="12">
        <v>245.5</v>
      </c>
      <c r="Z149" s="6" t="s">
        <v>53</v>
      </c>
      <c r="AA149" s="6">
        <v>4.92</v>
      </c>
      <c r="AB149" s="6" t="s">
        <v>133</v>
      </c>
      <c r="AC149" s="12">
        <v>20.7</v>
      </c>
      <c r="AD149" s="7" t="s">
        <v>39</v>
      </c>
      <c r="AE149" s="6"/>
      <c r="AF149" s="6"/>
      <c r="AG149" s="12">
        <v>26.8</v>
      </c>
      <c r="AH149" s="6" t="s">
        <v>134</v>
      </c>
      <c r="AI149" s="6"/>
      <c r="AJ149" s="6"/>
      <c r="AK149" s="12">
        <v>86</v>
      </c>
      <c r="AL149" s="6" t="s">
        <v>143</v>
      </c>
      <c r="AM149" s="6"/>
      <c r="AN149" s="6"/>
      <c r="AO149" s="12">
        <f t="shared" si="16"/>
        <v>11859.903381642513</v>
      </c>
      <c r="AP149" s="6" t="s">
        <v>54</v>
      </c>
      <c r="AQ149" s="6"/>
      <c r="AR149" s="6"/>
      <c r="AS149" s="6"/>
      <c r="AT149" s="6"/>
      <c r="AU149" s="6"/>
      <c r="AV149" s="6"/>
      <c r="AW149" s="6">
        <v>2124</v>
      </c>
      <c r="AX149" s="6" t="s">
        <v>135</v>
      </c>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row>
    <row r="150" spans="1:96" ht="15.6" x14ac:dyDescent="0.3">
      <c r="A150" s="6">
        <v>1</v>
      </c>
      <c r="B150" s="6"/>
      <c r="C150" s="6"/>
      <c r="D150" s="6" t="s">
        <v>139</v>
      </c>
      <c r="E150" s="9" t="s">
        <v>140</v>
      </c>
      <c r="F150" s="9" t="str">
        <f t="shared" si="14"/>
        <v>1985-215Roland1982OTC</v>
      </c>
      <c r="G150" s="6" t="s">
        <v>141</v>
      </c>
      <c r="H150" s="6" t="s">
        <v>130</v>
      </c>
      <c r="I150" s="6" t="s">
        <v>131</v>
      </c>
      <c r="J150" s="6" t="s">
        <v>96</v>
      </c>
      <c r="K150" s="6" t="s">
        <v>145</v>
      </c>
      <c r="L150" s="6">
        <v>1982</v>
      </c>
      <c r="M150" s="6" t="s">
        <v>36</v>
      </c>
      <c r="N150" s="6" t="s">
        <v>51</v>
      </c>
      <c r="O150" s="6" t="s">
        <v>138</v>
      </c>
      <c r="P150" s="6">
        <f>(7*R150+5*0.976*R147)/12*T150*12/1000+R147/1.01*(90-T150)*12/1000</f>
        <v>75.59085623762374</v>
      </c>
      <c r="Q150" s="6"/>
      <c r="R150" s="6">
        <v>122</v>
      </c>
      <c r="S150" s="6">
        <v>7</v>
      </c>
      <c r="T150" s="6">
        <f t="shared" si="15"/>
        <v>56</v>
      </c>
      <c r="U150" s="6">
        <v>4</v>
      </c>
      <c r="V150" s="13">
        <v>33.3905050705403</v>
      </c>
      <c r="W150" s="10">
        <v>30079</v>
      </c>
      <c r="X150" s="10">
        <v>30134</v>
      </c>
      <c r="Y150" s="12">
        <v>185.9</v>
      </c>
      <c r="Z150" s="6" t="s">
        <v>53</v>
      </c>
      <c r="AA150" s="6">
        <v>4.92</v>
      </c>
      <c r="AB150" s="6" t="s">
        <v>133</v>
      </c>
      <c r="AC150" s="12">
        <v>18.3</v>
      </c>
      <c r="AD150" s="7" t="s">
        <v>39</v>
      </c>
      <c r="AE150" s="6"/>
      <c r="AF150" s="6"/>
      <c r="AG150" s="12">
        <v>22.9</v>
      </c>
      <c r="AH150" s="6" t="s">
        <v>134</v>
      </c>
      <c r="AI150" s="6"/>
      <c r="AJ150" s="6"/>
      <c r="AK150" s="12">
        <v>72</v>
      </c>
      <c r="AL150" s="6" t="s">
        <v>143</v>
      </c>
      <c r="AM150" s="6"/>
      <c r="AN150" s="6"/>
      <c r="AO150" s="12">
        <f t="shared" si="16"/>
        <v>10158.469945355191</v>
      </c>
      <c r="AP150" s="6" t="s">
        <v>54</v>
      </c>
      <c r="AQ150" s="6"/>
      <c r="AR150" s="6"/>
      <c r="AS150" s="6"/>
      <c r="AT150" s="6"/>
      <c r="AU150" s="6"/>
      <c r="AV150" s="6"/>
      <c r="AW150" s="6">
        <v>1881</v>
      </c>
      <c r="AX150" s="6" t="s">
        <v>135</v>
      </c>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row>
    <row r="151" spans="1:96" ht="15.6" x14ac:dyDescent="0.3">
      <c r="A151" s="6">
        <v>1</v>
      </c>
      <c r="B151" s="6"/>
      <c r="C151" s="6"/>
      <c r="D151" s="6" t="s">
        <v>139</v>
      </c>
      <c r="E151" s="9" t="s">
        <v>140</v>
      </c>
      <c r="F151" s="9" t="str">
        <f t="shared" si="14"/>
        <v>1985-215Abe1983OTC</v>
      </c>
      <c r="G151" s="6" t="s">
        <v>141</v>
      </c>
      <c r="H151" s="6" t="s">
        <v>130</v>
      </c>
      <c r="I151" s="6" t="s">
        <v>131</v>
      </c>
      <c r="J151" s="6" t="s">
        <v>96</v>
      </c>
      <c r="K151" s="6" t="s">
        <v>142</v>
      </c>
      <c r="L151" s="6">
        <v>1983</v>
      </c>
      <c r="M151" s="6" t="s">
        <v>36</v>
      </c>
      <c r="N151" s="6" t="s">
        <v>51</v>
      </c>
      <c r="O151" s="6" t="s">
        <v>132</v>
      </c>
      <c r="P151" s="6">
        <f>(7*R151+5*0.976*R151)/12*T151*12/1000+R152/1.01*(90-T151)*12/1000</f>
        <v>30.36716198019802</v>
      </c>
      <c r="Q151" s="6"/>
      <c r="R151" s="6">
        <v>18</v>
      </c>
      <c r="S151" s="6">
        <v>7</v>
      </c>
      <c r="T151" s="6">
        <f t="shared" si="15"/>
        <v>54</v>
      </c>
      <c r="U151" s="6">
        <v>4</v>
      </c>
      <c r="V151" s="13">
        <v>0.92844217674115304</v>
      </c>
      <c r="W151" s="10">
        <v>30444</v>
      </c>
      <c r="X151" s="10">
        <v>30497</v>
      </c>
      <c r="Y151" s="12">
        <v>580.79999999999995</v>
      </c>
      <c r="Z151" s="6" t="s">
        <v>53</v>
      </c>
      <c r="AA151" s="6">
        <v>40</v>
      </c>
      <c r="AB151" s="6" t="s">
        <v>146</v>
      </c>
      <c r="AC151" s="12">
        <v>34.4</v>
      </c>
      <c r="AD151" s="7" t="s">
        <v>39</v>
      </c>
      <c r="AE151" s="6"/>
      <c r="AF151" s="6"/>
      <c r="AG151" s="12">
        <v>18.899999999999999</v>
      </c>
      <c r="AH151" s="6" t="s">
        <v>134</v>
      </c>
      <c r="AI151" s="6"/>
      <c r="AJ151" s="6"/>
      <c r="AK151" s="12">
        <v>167</v>
      </c>
      <c r="AL151" s="6" t="s">
        <v>143</v>
      </c>
      <c r="AM151" s="6"/>
      <c r="AN151" s="6"/>
      <c r="AO151" s="12">
        <f t="shared" si="16"/>
        <v>16883.720930232557</v>
      </c>
      <c r="AP151" s="6" t="s">
        <v>54</v>
      </c>
      <c r="AQ151" s="6"/>
      <c r="AR151" s="6"/>
      <c r="AS151" s="6"/>
      <c r="AT151" s="6"/>
      <c r="AU151" s="6"/>
      <c r="AV151" s="6"/>
      <c r="AW151" s="6">
        <v>3080</v>
      </c>
      <c r="AX151" s="6" t="s">
        <v>135</v>
      </c>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row>
    <row r="152" spans="1:96" ht="15.6" x14ac:dyDescent="0.3">
      <c r="A152" s="6">
        <v>1</v>
      </c>
      <c r="B152" s="6"/>
      <c r="C152" s="6"/>
      <c r="D152" s="6" t="s">
        <v>139</v>
      </c>
      <c r="E152" s="9" t="s">
        <v>140</v>
      </c>
      <c r="F152" s="9" t="str">
        <f t="shared" si="14"/>
        <v>1985-215Abe1983OTC</v>
      </c>
      <c r="G152" s="6" t="s">
        <v>141</v>
      </c>
      <c r="H152" s="6" t="s">
        <v>130</v>
      </c>
      <c r="I152" s="6" t="s">
        <v>131</v>
      </c>
      <c r="J152" s="6" t="s">
        <v>96</v>
      </c>
      <c r="K152" s="6" t="s">
        <v>142</v>
      </c>
      <c r="L152" s="6">
        <v>1983</v>
      </c>
      <c r="M152" s="6" t="s">
        <v>36</v>
      </c>
      <c r="N152" s="6" t="s">
        <v>51</v>
      </c>
      <c r="O152" s="6" t="s">
        <v>103</v>
      </c>
      <c r="P152" s="7">
        <f>R152/1.01*1.08</f>
        <v>47.049504950495056</v>
      </c>
      <c r="Q152" s="6"/>
      <c r="R152" s="6">
        <v>44</v>
      </c>
      <c r="S152" s="6">
        <v>7</v>
      </c>
      <c r="T152" s="6">
        <f t="shared" si="15"/>
        <v>54</v>
      </c>
      <c r="U152" s="6">
        <v>4</v>
      </c>
      <c r="V152" s="13">
        <v>7.6334510419664303</v>
      </c>
      <c r="W152" s="10">
        <v>30444</v>
      </c>
      <c r="X152" s="10">
        <v>30497</v>
      </c>
      <c r="Y152" s="12">
        <v>598.6</v>
      </c>
      <c r="Z152" s="6" t="s">
        <v>53</v>
      </c>
      <c r="AA152" s="6">
        <v>40</v>
      </c>
      <c r="AB152" s="6" t="s">
        <v>146</v>
      </c>
      <c r="AC152" s="12">
        <v>34.5</v>
      </c>
      <c r="AD152" s="7" t="s">
        <v>39</v>
      </c>
      <c r="AE152" s="6"/>
      <c r="AF152" s="6"/>
      <c r="AG152" s="12">
        <v>18.600000000000001</v>
      </c>
      <c r="AH152" s="6" t="s">
        <v>134</v>
      </c>
      <c r="AI152" s="6"/>
      <c r="AJ152" s="6"/>
      <c r="AK152" s="12">
        <v>196</v>
      </c>
      <c r="AL152" s="6" t="s">
        <v>143</v>
      </c>
      <c r="AM152" s="6"/>
      <c r="AN152" s="6"/>
      <c r="AO152" s="12">
        <f t="shared" si="16"/>
        <v>17350.72463768116</v>
      </c>
      <c r="AP152" s="6" t="s">
        <v>54</v>
      </c>
      <c r="AQ152" s="6"/>
      <c r="AR152" s="6"/>
      <c r="AS152" s="6"/>
      <c r="AT152" s="6"/>
      <c r="AU152" s="6"/>
      <c r="AV152" s="6"/>
      <c r="AW152" s="6">
        <v>3295</v>
      </c>
      <c r="AX152" s="6" t="s">
        <v>135</v>
      </c>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row>
    <row r="153" spans="1:96" ht="15.6" x14ac:dyDescent="0.3">
      <c r="A153" s="6">
        <v>1</v>
      </c>
      <c r="B153" s="6"/>
      <c r="C153" s="6"/>
      <c r="D153" s="6" t="s">
        <v>139</v>
      </c>
      <c r="E153" s="9" t="s">
        <v>140</v>
      </c>
      <c r="F153" s="9" t="str">
        <f t="shared" si="14"/>
        <v>1985-215Abe1983OTC</v>
      </c>
      <c r="G153" s="6" t="s">
        <v>141</v>
      </c>
      <c r="H153" s="6" t="s">
        <v>130</v>
      </c>
      <c r="I153" s="6" t="s">
        <v>131</v>
      </c>
      <c r="J153" s="6" t="s">
        <v>96</v>
      </c>
      <c r="K153" s="6" t="s">
        <v>142</v>
      </c>
      <c r="L153" s="6">
        <v>1983</v>
      </c>
      <c r="M153" s="6" t="s">
        <v>36</v>
      </c>
      <c r="N153" s="6" t="s">
        <v>51</v>
      </c>
      <c r="O153" s="6" t="s">
        <v>136</v>
      </c>
      <c r="P153" s="6">
        <f>(7*R153+5*0.976*R152)/12*T153*12/1000+R152/1.01*(90-T153)*12/1000</f>
        <v>53.850681980198019</v>
      </c>
      <c r="Q153" s="6"/>
      <c r="R153" s="6">
        <v>62</v>
      </c>
      <c r="S153" s="6">
        <v>7</v>
      </c>
      <c r="T153" s="6">
        <f t="shared" si="15"/>
        <v>54</v>
      </c>
      <c r="U153" s="6">
        <v>4</v>
      </c>
      <c r="V153" s="13">
        <v>13.0387932804637</v>
      </c>
      <c r="W153" s="10">
        <v>30444</v>
      </c>
      <c r="X153" s="10">
        <v>30497</v>
      </c>
      <c r="Y153" s="12">
        <v>598.20000000000005</v>
      </c>
      <c r="Z153" s="6" t="s">
        <v>53</v>
      </c>
      <c r="AA153" s="6">
        <v>40</v>
      </c>
      <c r="AB153" s="6" t="s">
        <v>146</v>
      </c>
      <c r="AC153" s="12">
        <v>33.6</v>
      </c>
      <c r="AD153" s="7" t="s">
        <v>39</v>
      </c>
      <c r="AE153" s="6"/>
      <c r="AF153" s="6"/>
      <c r="AG153" s="12">
        <v>20.3</v>
      </c>
      <c r="AH153" s="6" t="s">
        <v>134</v>
      </c>
      <c r="AI153" s="6"/>
      <c r="AJ153" s="6"/>
      <c r="AK153" s="12">
        <v>154</v>
      </c>
      <c r="AL153" s="6" t="s">
        <v>143</v>
      </c>
      <c r="AM153" s="6"/>
      <c r="AN153" s="6"/>
      <c r="AO153" s="12">
        <f t="shared" si="16"/>
        <v>17803.571428571431</v>
      </c>
      <c r="AP153" s="6" t="s">
        <v>54</v>
      </c>
      <c r="AQ153" s="6"/>
      <c r="AR153" s="6"/>
      <c r="AS153" s="6"/>
      <c r="AT153" s="6"/>
      <c r="AU153" s="6"/>
      <c r="AV153" s="6"/>
      <c r="AW153" s="6">
        <v>3163</v>
      </c>
      <c r="AX153" s="6" t="s">
        <v>135</v>
      </c>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row>
    <row r="154" spans="1:96" ht="15.6" x14ac:dyDescent="0.3">
      <c r="A154" s="6">
        <v>1</v>
      </c>
      <c r="B154" s="6"/>
      <c r="C154" s="6"/>
      <c r="D154" s="6" t="s">
        <v>139</v>
      </c>
      <c r="E154" s="9" t="s">
        <v>140</v>
      </c>
      <c r="F154" s="9" t="str">
        <f t="shared" si="14"/>
        <v>1985-215Abe1983OTC</v>
      </c>
      <c r="G154" s="6" t="s">
        <v>141</v>
      </c>
      <c r="H154" s="6" t="s">
        <v>130</v>
      </c>
      <c r="I154" s="6" t="s">
        <v>131</v>
      </c>
      <c r="J154" s="6" t="s">
        <v>96</v>
      </c>
      <c r="K154" s="6" t="s">
        <v>142</v>
      </c>
      <c r="L154" s="6">
        <v>1983</v>
      </c>
      <c r="M154" s="6" t="s">
        <v>36</v>
      </c>
      <c r="N154" s="6" t="s">
        <v>51</v>
      </c>
      <c r="O154" s="6" t="s">
        <v>137</v>
      </c>
      <c r="P154" s="6">
        <f>(7*R154+5*0.976*R152)/12*T154*12/1000+R152/1.01*(90-T154)*12/1000</f>
        <v>59.89868198019802</v>
      </c>
      <c r="Q154" s="6"/>
      <c r="R154" s="6">
        <v>78</v>
      </c>
      <c r="S154" s="6">
        <v>7</v>
      </c>
      <c r="T154" s="6">
        <f t="shared" si="15"/>
        <v>54</v>
      </c>
      <c r="U154" s="6">
        <v>4</v>
      </c>
      <c r="V154" s="13">
        <v>18.443321520960399</v>
      </c>
      <c r="W154" s="10">
        <v>30444</v>
      </c>
      <c r="X154" s="10">
        <v>30497</v>
      </c>
      <c r="Y154" s="12">
        <v>576.20000000000005</v>
      </c>
      <c r="Z154" s="6" t="s">
        <v>53</v>
      </c>
      <c r="AA154" s="6">
        <v>40</v>
      </c>
      <c r="AB154" s="6" t="s">
        <v>146</v>
      </c>
      <c r="AC154" s="12">
        <v>32.599999999999994</v>
      </c>
      <c r="AD154" s="7" t="s">
        <v>39</v>
      </c>
      <c r="AE154" s="6"/>
      <c r="AF154" s="6"/>
      <c r="AG154" s="12">
        <v>19.8</v>
      </c>
      <c r="AH154" s="6" t="s">
        <v>134</v>
      </c>
      <c r="AI154" s="6"/>
      <c r="AJ154" s="6"/>
      <c r="AK154" s="12">
        <v>160</v>
      </c>
      <c r="AL154" s="6" t="s">
        <v>143</v>
      </c>
      <c r="AM154" s="6"/>
      <c r="AN154" s="6"/>
      <c r="AO154" s="12">
        <f t="shared" si="16"/>
        <v>17674.846625766877</v>
      </c>
      <c r="AP154" s="6" t="s">
        <v>54</v>
      </c>
      <c r="AQ154" s="6"/>
      <c r="AR154" s="6"/>
      <c r="AS154" s="6"/>
      <c r="AT154" s="6"/>
      <c r="AU154" s="6"/>
      <c r="AV154" s="6"/>
      <c r="AW154" s="6">
        <v>3175</v>
      </c>
      <c r="AX154" s="6" t="s">
        <v>135</v>
      </c>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row>
    <row r="155" spans="1:96" ht="15.6" x14ac:dyDescent="0.3">
      <c r="A155" s="6">
        <v>1</v>
      </c>
      <c r="B155" s="6"/>
      <c r="C155" s="6"/>
      <c r="D155" s="6" t="s">
        <v>139</v>
      </c>
      <c r="E155" s="9" t="s">
        <v>140</v>
      </c>
      <c r="F155" s="9" t="str">
        <f t="shared" si="14"/>
        <v>1985-215Abe1983OTC</v>
      </c>
      <c r="G155" s="6" t="s">
        <v>141</v>
      </c>
      <c r="H155" s="6" t="s">
        <v>130</v>
      </c>
      <c r="I155" s="6" t="s">
        <v>131</v>
      </c>
      <c r="J155" s="6" t="s">
        <v>96</v>
      </c>
      <c r="K155" s="6" t="s">
        <v>142</v>
      </c>
      <c r="L155" s="6">
        <v>1983</v>
      </c>
      <c r="M155" s="6" t="s">
        <v>36</v>
      </c>
      <c r="N155" s="6" t="s">
        <v>51</v>
      </c>
      <c r="O155" s="6" t="s">
        <v>138</v>
      </c>
      <c r="P155" s="6">
        <f>(7*R155+5*0.976*R152)/12*T155*12/1000+R152/1.01*(90-T155)*12/1000</f>
        <v>66.324681980198022</v>
      </c>
      <c r="Q155" s="6"/>
      <c r="R155" s="6">
        <v>95</v>
      </c>
      <c r="S155" s="6">
        <v>7</v>
      </c>
      <c r="T155" s="6">
        <f t="shared" si="15"/>
        <v>54</v>
      </c>
      <c r="U155" s="6">
        <v>4</v>
      </c>
      <c r="V155" s="13">
        <v>24.466415950252401</v>
      </c>
      <c r="W155" s="10">
        <v>30444</v>
      </c>
      <c r="X155" s="10">
        <v>30497</v>
      </c>
      <c r="Y155" s="12">
        <v>493.9</v>
      </c>
      <c r="Z155" s="6" t="s">
        <v>53</v>
      </c>
      <c r="AA155" s="6">
        <v>40</v>
      </c>
      <c r="AB155" s="6" t="s">
        <v>146</v>
      </c>
      <c r="AC155" s="12">
        <v>28.799999999999997</v>
      </c>
      <c r="AD155" s="7" t="s">
        <v>39</v>
      </c>
      <c r="AE155" s="6"/>
      <c r="AF155" s="6"/>
      <c r="AG155" s="12">
        <v>19.5</v>
      </c>
      <c r="AH155" s="6" t="s">
        <v>134</v>
      </c>
      <c r="AI155" s="6"/>
      <c r="AJ155" s="6"/>
      <c r="AK155" s="12">
        <v>155</v>
      </c>
      <c r="AL155" s="6" t="s">
        <v>143</v>
      </c>
      <c r="AM155" s="6"/>
      <c r="AN155" s="6"/>
      <c r="AO155" s="12">
        <f t="shared" si="16"/>
        <v>17149.305555555558</v>
      </c>
      <c r="AP155" s="6" t="s">
        <v>54</v>
      </c>
      <c r="AQ155" s="6"/>
      <c r="AR155" s="6"/>
      <c r="AS155" s="6"/>
      <c r="AT155" s="6"/>
      <c r="AU155" s="6"/>
      <c r="AV155" s="6"/>
      <c r="AW155" s="6">
        <v>3042</v>
      </c>
      <c r="AX155" s="6" t="s">
        <v>135</v>
      </c>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row>
    <row r="156" spans="1:96" ht="15.6" x14ac:dyDescent="0.3">
      <c r="A156" s="6">
        <v>1</v>
      </c>
      <c r="B156" s="6"/>
      <c r="C156" s="6"/>
      <c r="D156" s="6" t="s">
        <v>139</v>
      </c>
      <c r="E156" s="9" t="s">
        <v>140</v>
      </c>
      <c r="F156" s="9" t="str">
        <f t="shared" si="14"/>
        <v>1985-215Arthur-711983OTC</v>
      </c>
      <c r="G156" s="6" t="s">
        <v>141</v>
      </c>
      <c r="H156" s="6" t="s">
        <v>130</v>
      </c>
      <c r="I156" s="6" t="s">
        <v>131</v>
      </c>
      <c r="J156" s="6" t="s">
        <v>96</v>
      </c>
      <c r="K156" s="6" t="s">
        <v>144</v>
      </c>
      <c r="L156" s="6">
        <v>1983</v>
      </c>
      <c r="M156" s="6" t="s">
        <v>36</v>
      </c>
      <c r="N156" s="6" t="s">
        <v>51</v>
      </c>
      <c r="O156" s="6" t="s">
        <v>132</v>
      </c>
      <c r="P156" s="6">
        <f>(7*R156+5*0.976*R156)/12*T156*12/1000+R157/1.01*(90-T156)*12/1000</f>
        <v>30.36716198019802</v>
      </c>
      <c r="Q156" s="6"/>
      <c r="R156" s="6">
        <v>18</v>
      </c>
      <c r="S156" s="6">
        <v>7</v>
      </c>
      <c r="T156" s="6">
        <f t="shared" si="15"/>
        <v>54</v>
      </c>
      <c r="U156" s="6">
        <v>4</v>
      </c>
      <c r="V156" s="13">
        <v>0.92844217674115304</v>
      </c>
      <c r="W156" s="10">
        <v>30444</v>
      </c>
      <c r="X156" s="10">
        <v>30497</v>
      </c>
      <c r="Y156" s="12">
        <v>515.1</v>
      </c>
      <c r="Z156" s="6" t="s">
        <v>53</v>
      </c>
      <c r="AA156" s="6">
        <v>40</v>
      </c>
      <c r="AB156" s="6" t="s">
        <v>146</v>
      </c>
      <c r="AC156" s="12">
        <v>31</v>
      </c>
      <c r="AD156" s="7" t="s">
        <v>39</v>
      </c>
      <c r="AE156" s="6"/>
      <c r="AF156" s="6"/>
      <c r="AG156" s="12">
        <v>20.2</v>
      </c>
      <c r="AH156" s="6" t="s">
        <v>134</v>
      </c>
      <c r="AI156" s="6"/>
      <c r="AJ156" s="6"/>
      <c r="AK156" s="12">
        <v>160</v>
      </c>
      <c r="AL156" s="6" t="s">
        <v>143</v>
      </c>
      <c r="AM156" s="6"/>
      <c r="AN156" s="6"/>
      <c r="AO156" s="12">
        <f t="shared" si="16"/>
        <v>16616.129032258064</v>
      </c>
      <c r="AP156" s="6" t="s">
        <v>54</v>
      </c>
      <c r="AQ156" s="6"/>
      <c r="AR156" s="6"/>
      <c r="AS156" s="6"/>
      <c r="AT156" s="6"/>
      <c r="AU156" s="6"/>
      <c r="AV156" s="6"/>
      <c r="AW156" s="6">
        <v>2995</v>
      </c>
      <c r="AX156" s="6" t="s">
        <v>135</v>
      </c>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row>
    <row r="157" spans="1:96" ht="15.6" x14ac:dyDescent="0.3">
      <c r="A157" s="6">
        <v>1</v>
      </c>
      <c r="B157" s="6"/>
      <c r="C157" s="6"/>
      <c r="D157" s="6" t="s">
        <v>139</v>
      </c>
      <c r="E157" s="9" t="s">
        <v>140</v>
      </c>
      <c r="F157" s="9" t="str">
        <f t="shared" si="14"/>
        <v>1985-215Arthur-711983OTC</v>
      </c>
      <c r="G157" s="6" t="s">
        <v>141</v>
      </c>
      <c r="H157" s="6" t="s">
        <v>130</v>
      </c>
      <c r="I157" s="6" t="s">
        <v>131</v>
      </c>
      <c r="J157" s="6" t="s">
        <v>96</v>
      </c>
      <c r="K157" s="6" t="s">
        <v>144</v>
      </c>
      <c r="L157" s="6">
        <v>1983</v>
      </c>
      <c r="M157" s="6" t="s">
        <v>36</v>
      </c>
      <c r="N157" s="6" t="s">
        <v>51</v>
      </c>
      <c r="O157" s="6" t="s">
        <v>103</v>
      </c>
      <c r="P157" s="7">
        <f>R157/1.01*1.08</f>
        <v>47.049504950495056</v>
      </c>
      <c r="Q157" s="6"/>
      <c r="R157" s="6">
        <v>44</v>
      </c>
      <c r="S157" s="6">
        <v>7</v>
      </c>
      <c r="T157" s="6">
        <f t="shared" si="15"/>
        <v>54</v>
      </c>
      <c r="U157" s="6">
        <v>4</v>
      </c>
      <c r="V157" s="13">
        <v>7.6334510419664303</v>
      </c>
      <c r="W157" s="10">
        <v>30444</v>
      </c>
      <c r="X157" s="10">
        <v>30497</v>
      </c>
      <c r="Y157" s="12">
        <v>562.20000000000005</v>
      </c>
      <c r="Z157" s="6" t="s">
        <v>53</v>
      </c>
      <c r="AA157" s="6">
        <v>40</v>
      </c>
      <c r="AB157" s="6" t="s">
        <v>146</v>
      </c>
      <c r="AC157" s="12">
        <v>31.299999999999997</v>
      </c>
      <c r="AD157" s="7" t="s">
        <v>39</v>
      </c>
      <c r="AE157" s="6"/>
      <c r="AF157" s="6"/>
      <c r="AG157" s="12">
        <v>22.6</v>
      </c>
      <c r="AH157" s="6" t="s">
        <v>134</v>
      </c>
      <c r="AI157" s="6"/>
      <c r="AJ157" s="6"/>
      <c r="AK157" s="12">
        <v>143</v>
      </c>
      <c r="AL157" s="6" t="s">
        <v>143</v>
      </c>
      <c r="AM157" s="6"/>
      <c r="AN157" s="6"/>
      <c r="AO157" s="12">
        <f t="shared" si="16"/>
        <v>17961.661341853036</v>
      </c>
      <c r="AP157" s="6" t="s">
        <v>54</v>
      </c>
      <c r="AQ157" s="6"/>
      <c r="AR157" s="6"/>
      <c r="AS157" s="6"/>
      <c r="AT157" s="6"/>
      <c r="AU157" s="6"/>
      <c r="AV157" s="6"/>
      <c r="AW157" s="6">
        <v>3271</v>
      </c>
      <c r="AX157" s="6" t="s">
        <v>135</v>
      </c>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row>
    <row r="158" spans="1:96" ht="15.6" x14ac:dyDescent="0.3">
      <c r="A158" s="6">
        <v>1</v>
      </c>
      <c r="B158" s="6"/>
      <c r="C158" s="6"/>
      <c r="D158" s="6" t="s">
        <v>139</v>
      </c>
      <c r="E158" s="9" t="s">
        <v>140</v>
      </c>
      <c r="F158" s="9" t="str">
        <f t="shared" si="14"/>
        <v>1985-215Arthur-711983OTC</v>
      </c>
      <c r="G158" s="6" t="s">
        <v>141</v>
      </c>
      <c r="H158" s="6" t="s">
        <v>130</v>
      </c>
      <c r="I158" s="6" t="s">
        <v>131</v>
      </c>
      <c r="J158" s="6" t="s">
        <v>96</v>
      </c>
      <c r="K158" s="6" t="s">
        <v>144</v>
      </c>
      <c r="L158" s="6">
        <v>1983</v>
      </c>
      <c r="M158" s="6" t="s">
        <v>36</v>
      </c>
      <c r="N158" s="6" t="s">
        <v>51</v>
      </c>
      <c r="O158" s="6" t="s">
        <v>136</v>
      </c>
      <c r="P158" s="6">
        <f>(7*R158+5*0.976*R157)/12*T158*12/1000+R157/1.01*(90-T158)*12/1000</f>
        <v>53.850681980198019</v>
      </c>
      <c r="Q158" s="6"/>
      <c r="R158" s="6">
        <v>62</v>
      </c>
      <c r="S158" s="6">
        <v>7</v>
      </c>
      <c r="T158" s="6">
        <f t="shared" si="15"/>
        <v>54</v>
      </c>
      <c r="U158" s="6">
        <v>4</v>
      </c>
      <c r="V158" s="13">
        <v>13.0387932804637</v>
      </c>
      <c r="W158" s="10">
        <v>30444</v>
      </c>
      <c r="X158" s="10">
        <v>30497</v>
      </c>
      <c r="Y158" s="12">
        <v>521.4</v>
      </c>
      <c r="Z158" s="6" t="s">
        <v>53</v>
      </c>
      <c r="AA158" s="6">
        <v>40</v>
      </c>
      <c r="AB158" s="6" t="s">
        <v>146</v>
      </c>
      <c r="AC158" s="12">
        <v>30.4</v>
      </c>
      <c r="AD158" s="7" t="s">
        <v>39</v>
      </c>
      <c r="AE158" s="6"/>
      <c r="AF158" s="6"/>
      <c r="AG158" s="12">
        <v>21.7</v>
      </c>
      <c r="AH158" s="6" t="s">
        <v>134</v>
      </c>
      <c r="AI158" s="6"/>
      <c r="AJ158" s="6"/>
      <c r="AK158" s="12">
        <v>137</v>
      </c>
      <c r="AL158" s="6" t="s">
        <v>143</v>
      </c>
      <c r="AM158" s="6"/>
      <c r="AN158" s="6"/>
      <c r="AO158" s="12">
        <f t="shared" si="16"/>
        <v>17151.315789473683</v>
      </c>
      <c r="AP158" s="6" t="s">
        <v>54</v>
      </c>
      <c r="AQ158" s="6"/>
      <c r="AR158" s="6"/>
      <c r="AS158" s="6"/>
      <c r="AT158" s="6"/>
      <c r="AU158" s="6"/>
      <c r="AV158" s="6"/>
      <c r="AW158" s="6">
        <v>3125</v>
      </c>
      <c r="AX158" s="6" t="s">
        <v>135</v>
      </c>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row>
    <row r="159" spans="1:96" ht="15.6" x14ac:dyDescent="0.3">
      <c r="A159" s="6">
        <v>1</v>
      </c>
      <c r="B159" s="6"/>
      <c r="C159" s="6"/>
      <c r="D159" s="6" t="s">
        <v>139</v>
      </c>
      <c r="E159" s="9" t="s">
        <v>140</v>
      </c>
      <c r="F159" s="9" t="str">
        <f t="shared" si="14"/>
        <v>1985-215Arthur-711983OTC</v>
      </c>
      <c r="G159" s="6" t="s">
        <v>141</v>
      </c>
      <c r="H159" s="6" t="s">
        <v>130</v>
      </c>
      <c r="I159" s="6" t="s">
        <v>131</v>
      </c>
      <c r="J159" s="6" t="s">
        <v>96</v>
      </c>
      <c r="K159" s="6" t="s">
        <v>144</v>
      </c>
      <c r="L159" s="6">
        <v>1983</v>
      </c>
      <c r="M159" s="6" t="s">
        <v>36</v>
      </c>
      <c r="N159" s="6" t="s">
        <v>51</v>
      </c>
      <c r="O159" s="6" t="s">
        <v>137</v>
      </c>
      <c r="P159" s="6">
        <f>(7*R159+5*0.976*R157)/12*T159*12/1000+R157/1.01*(90-T159)*12/1000</f>
        <v>59.89868198019802</v>
      </c>
      <c r="Q159" s="6"/>
      <c r="R159" s="6">
        <v>78</v>
      </c>
      <c r="S159" s="6">
        <v>7</v>
      </c>
      <c r="T159" s="6">
        <f t="shared" si="15"/>
        <v>54</v>
      </c>
      <c r="U159" s="6">
        <v>4</v>
      </c>
      <c r="V159" s="13">
        <v>18.443321520960399</v>
      </c>
      <c r="W159" s="10">
        <v>30444</v>
      </c>
      <c r="X159" s="10">
        <v>30497</v>
      </c>
      <c r="Y159" s="12">
        <v>494.3</v>
      </c>
      <c r="Z159" s="6" t="s">
        <v>53</v>
      </c>
      <c r="AA159" s="6">
        <v>40</v>
      </c>
      <c r="AB159" s="6" t="s">
        <v>146</v>
      </c>
      <c r="AC159" s="12">
        <v>27.3</v>
      </c>
      <c r="AD159" s="7" t="s">
        <v>39</v>
      </c>
      <c r="AE159" s="6"/>
      <c r="AF159" s="6"/>
      <c r="AG159" s="12">
        <v>21.4</v>
      </c>
      <c r="AH159" s="6" t="s">
        <v>134</v>
      </c>
      <c r="AI159" s="6"/>
      <c r="AJ159" s="6"/>
      <c r="AK159" s="12">
        <v>157</v>
      </c>
      <c r="AL159" s="6" t="s">
        <v>143</v>
      </c>
      <c r="AM159" s="6"/>
      <c r="AN159" s="6"/>
      <c r="AO159" s="12">
        <f t="shared" si="16"/>
        <v>18106.227106227107</v>
      </c>
      <c r="AP159" s="6" t="s">
        <v>54</v>
      </c>
      <c r="AQ159" s="6"/>
      <c r="AR159" s="6"/>
      <c r="AS159" s="6"/>
      <c r="AT159" s="6"/>
      <c r="AU159" s="6"/>
      <c r="AV159" s="6"/>
      <c r="AW159" s="6">
        <v>3252</v>
      </c>
      <c r="AX159" s="6" t="s">
        <v>135</v>
      </c>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row>
    <row r="160" spans="1:96" ht="15.6" x14ac:dyDescent="0.3">
      <c r="A160" s="6">
        <v>1</v>
      </c>
      <c r="B160" s="6"/>
      <c r="C160" s="6"/>
      <c r="D160" s="6" t="s">
        <v>139</v>
      </c>
      <c r="E160" s="9" t="s">
        <v>140</v>
      </c>
      <c r="F160" s="9" t="str">
        <f t="shared" si="14"/>
        <v>1985-215Arthur-711983OTC</v>
      </c>
      <c r="G160" s="6" t="s">
        <v>141</v>
      </c>
      <c r="H160" s="6" t="s">
        <v>130</v>
      </c>
      <c r="I160" s="6" t="s">
        <v>131</v>
      </c>
      <c r="J160" s="6" t="s">
        <v>96</v>
      </c>
      <c r="K160" s="6" t="s">
        <v>144</v>
      </c>
      <c r="L160" s="6">
        <v>1983</v>
      </c>
      <c r="M160" s="6" t="s">
        <v>36</v>
      </c>
      <c r="N160" s="6" t="s">
        <v>51</v>
      </c>
      <c r="O160" s="6" t="s">
        <v>138</v>
      </c>
      <c r="P160" s="6">
        <f>(7*R160+5*0.976*R157)/12*T160*12/1000+R157/1.01*(90-T160)*12/1000</f>
        <v>66.324681980198022</v>
      </c>
      <c r="Q160" s="6"/>
      <c r="R160" s="6">
        <v>95</v>
      </c>
      <c r="S160" s="6">
        <v>7</v>
      </c>
      <c r="T160" s="6">
        <f t="shared" si="15"/>
        <v>54</v>
      </c>
      <c r="U160" s="6">
        <v>4</v>
      </c>
      <c r="V160" s="13">
        <v>24.466415950252401</v>
      </c>
      <c r="W160" s="10">
        <v>30444</v>
      </c>
      <c r="X160" s="10">
        <v>30497</v>
      </c>
      <c r="Y160" s="12">
        <v>439.7</v>
      </c>
      <c r="Z160" s="6" t="s">
        <v>53</v>
      </c>
      <c r="AA160" s="6">
        <v>40</v>
      </c>
      <c r="AB160" s="6" t="s">
        <v>146</v>
      </c>
      <c r="AC160" s="12">
        <v>25.9</v>
      </c>
      <c r="AD160" s="7" t="s">
        <v>39</v>
      </c>
      <c r="AE160" s="6"/>
      <c r="AF160" s="6"/>
      <c r="AG160" s="12">
        <v>21.9</v>
      </c>
      <c r="AH160" s="6" t="s">
        <v>134</v>
      </c>
      <c r="AI160" s="6"/>
      <c r="AJ160" s="6"/>
      <c r="AK160" s="12">
        <v>136</v>
      </c>
      <c r="AL160" s="6" t="s">
        <v>143</v>
      </c>
      <c r="AM160" s="6"/>
      <c r="AN160" s="6"/>
      <c r="AO160" s="12">
        <f t="shared" si="16"/>
        <v>16976.833976833976</v>
      </c>
      <c r="AP160" s="6" t="s">
        <v>54</v>
      </c>
      <c r="AQ160" s="6"/>
      <c r="AR160" s="6"/>
      <c r="AS160" s="6"/>
      <c r="AT160" s="6"/>
      <c r="AU160" s="6"/>
      <c r="AV160" s="6"/>
      <c r="AW160" s="6">
        <v>3098</v>
      </c>
      <c r="AX160" s="6" t="s">
        <v>135</v>
      </c>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row>
    <row r="161" spans="1:96" ht="15.6" x14ac:dyDescent="0.3">
      <c r="A161" s="6">
        <v>1</v>
      </c>
      <c r="B161" s="6"/>
      <c r="C161" s="6"/>
      <c r="D161" s="6" t="s">
        <v>147</v>
      </c>
      <c r="E161" s="9" t="s">
        <v>148</v>
      </c>
      <c r="F161" s="9" t="str">
        <f t="shared" si="14"/>
        <v>1996-89/91Massey1991OTC</v>
      </c>
      <c r="G161" s="6" t="s">
        <v>149</v>
      </c>
      <c r="H161" s="6" t="s">
        <v>130</v>
      </c>
      <c r="I161" s="6" t="s">
        <v>131</v>
      </c>
      <c r="J161" s="6" t="s">
        <v>96</v>
      </c>
      <c r="K161" s="6" t="s">
        <v>150</v>
      </c>
      <c r="L161" s="6">
        <v>1991</v>
      </c>
      <c r="M161" s="6" t="s">
        <v>97</v>
      </c>
      <c r="N161" s="6" t="s">
        <v>37</v>
      </c>
      <c r="O161" s="6" t="s">
        <v>74</v>
      </c>
      <c r="P161" s="7">
        <f>R161/1.01*1.08</f>
        <v>48.653465346534652</v>
      </c>
      <c r="Q161" s="6"/>
      <c r="R161" s="6">
        <v>45.5</v>
      </c>
      <c r="S161" s="6">
        <v>7</v>
      </c>
      <c r="T161" s="6">
        <f t="shared" si="15"/>
        <v>61</v>
      </c>
      <c r="U161" s="6">
        <v>4</v>
      </c>
      <c r="V161" s="13">
        <v>8.8102571203145104</v>
      </c>
      <c r="W161" s="10">
        <v>33329</v>
      </c>
      <c r="X161" s="10">
        <v>33389</v>
      </c>
      <c r="Y161" s="12"/>
      <c r="Z161" s="6" t="s">
        <v>80</v>
      </c>
      <c r="AA161" s="6"/>
      <c r="AB161" s="6"/>
      <c r="AC161" s="12">
        <v>30.4</v>
      </c>
      <c r="AD161" s="7" t="s">
        <v>39</v>
      </c>
      <c r="AE161" s="6"/>
      <c r="AF161" s="6"/>
      <c r="AG161" s="12"/>
      <c r="AH161" s="6"/>
      <c r="AI161" s="6"/>
      <c r="AJ161" s="6"/>
      <c r="AK161" s="12"/>
      <c r="AL161" s="6"/>
      <c r="AM161" s="6"/>
      <c r="AN161" s="6"/>
      <c r="AO161" s="12"/>
      <c r="AP161" s="6"/>
      <c r="AQ161" s="6"/>
      <c r="AR161" s="6"/>
      <c r="AS161" s="6"/>
      <c r="AT161" s="6"/>
      <c r="AU161" s="6"/>
      <c r="AV161" s="6"/>
      <c r="AW161" s="6">
        <v>15600</v>
      </c>
      <c r="AX161" s="6" t="s">
        <v>54</v>
      </c>
      <c r="AY161" s="6"/>
      <c r="AZ161" s="6"/>
      <c r="BA161" s="6">
        <v>0.34195402298850575</v>
      </c>
      <c r="BB161" s="6" t="s">
        <v>229</v>
      </c>
      <c r="BC161" s="6" t="s">
        <v>250</v>
      </c>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row>
    <row r="162" spans="1:96" ht="15.6" x14ac:dyDescent="0.3">
      <c r="A162" s="6">
        <v>1</v>
      </c>
      <c r="B162" s="6"/>
      <c r="C162" s="6"/>
      <c r="D162" s="6" t="s">
        <v>147</v>
      </c>
      <c r="E162" s="9" t="s">
        <v>148</v>
      </c>
      <c r="F162" s="9" t="str">
        <f t="shared" si="14"/>
        <v>1996-89/91Massey1991OTC</v>
      </c>
      <c r="G162" s="6" t="s">
        <v>149</v>
      </c>
      <c r="H162" s="6" t="s">
        <v>130</v>
      </c>
      <c r="I162" s="6" t="s">
        <v>131</v>
      </c>
      <c r="J162" s="6" t="s">
        <v>96</v>
      </c>
      <c r="K162" s="6" t="s">
        <v>150</v>
      </c>
      <c r="L162" s="6">
        <v>1991</v>
      </c>
      <c r="M162" s="6" t="s">
        <v>97</v>
      </c>
      <c r="N162" s="6" t="s">
        <v>37</v>
      </c>
      <c r="O162" s="6" t="s">
        <v>132</v>
      </c>
      <c r="P162" s="6">
        <f>R162/1.01*T162*12/1000+R161/1.01*(90-T162)*12/1000</f>
        <v>29.15762376237624</v>
      </c>
      <c r="Q162" s="6"/>
      <c r="R162" s="6">
        <v>18.600000000000001</v>
      </c>
      <c r="S162" s="6">
        <v>7</v>
      </c>
      <c r="T162" s="6">
        <f t="shared" si="15"/>
        <v>61</v>
      </c>
      <c r="U162" s="6">
        <v>4</v>
      </c>
      <c r="V162" s="13">
        <v>0.75102620657091901</v>
      </c>
      <c r="W162" s="10">
        <v>33329</v>
      </c>
      <c r="X162" s="10">
        <v>33389</v>
      </c>
      <c r="Y162" s="12">
        <v>538</v>
      </c>
      <c r="Z162" s="6" t="s">
        <v>80</v>
      </c>
      <c r="AA162" s="6"/>
      <c r="AB162" s="6"/>
      <c r="AC162" s="12">
        <v>33.700000000000003</v>
      </c>
      <c r="AD162" s="7" t="s">
        <v>39</v>
      </c>
      <c r="AE162" s="6"/>
      <c r="AF162" s="6"/>
      <c r="AG162" s="12"/>
      <c r="AH162" s="6"/>
      <c r="AI162" s="6"/>
      <c r="AJ162" s="6"/>
      <c r="AK162" s="12"/>
      <c r="AL162" s="6"/>
      <c r="AM162" s="6"/>
      <c r="AN162" s="6"/>
      <c r="AO162" s="12">
        <f t="shared" si="16"/>
        <v>15964.391691394658</v>
      </c>
      <c r="AP162" s="6" t="s">
        <v>54</v>
      </c>
      <c r="AQ162" s="6"/>
      <c r="AR162" s="6"/>
      <c r="AS162" s="6"/>
      <c r="AT162" s="6"/>
      <c r="AU162" s="6"/>
      <c r="AV162" s="6"/>
      <c r="AW162" s="6">
        <v>17300</v>
      </c>
      <c r="AX162" s="6" t="s">
        <v>54</v>
      </c>
      <c r="AY162" s="6"/>
      <c r="AZ162" s="6"/>
      <c r="BA162" s="6">
        <v>0.36765634870499053</v>
      </c>
      <c r="BB162" s="6" t="s">
        <v>229</v>
      </c>
      <c r="BC162" s="6" t="s">
        <v>250</v>
      </c>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row>
    <row r="163" spans="1:96" ht="15.6" x14ac:dyDescent="0.3">
      <c r="A163" s="6">
        <v>1</v>
      </c>
      <c r="B163" s="6"/>
      <c r="C163" s="6"/>
      <c r="D163" s="6" t="s">
        <v>147</v>
      </c>
      <c r="E163" s="9" t="s">
        <v>148</v>
      </c>
      <c r="F163" s="9" t="str">
        <f t="shared" si="14"/>
        <v>1996-89/91Massey1991OTC</v>
      </c>
      <c r="G163" s="6" t="s">
        <v>149</v>
      </c>
      <c r="H163" s="6" t="s">
        <v>130</v>
      </c>
      <c r="I163" s="6" t="s">
        <v>131</v>
      </c>
      <c r="J163" s="6" t="s">
        <v>96</v>
      </c>
      <c r="K163" s="6" t="s">
        <v>150</v>
      </c>
      <c r="L163" s="6">
        <v>1991</v>
      </c>
      <c r="M163" s="6" t="s">
        <v>97</v>
      </c>
      <c r="N163" s="6" t="s">
        <v>37</v>
      </c>
      <c r="O163" s="6" t="s">
        <v>151</v>
      </c>
      <c r="P163" s="6">
        <f>(7*R163+5*0.976*R162)/12*T163*12/1000+R161/1.01*(90-T163)*12/1000</f>
        <v>47.132975722772279</v>
      </c>
      <c r="Q163" s="6"/>
      <c r="R163" s="6">
        <v>60.7</v>
      </c>
      <c r="S163" s="6">
        <v>7</v>
      </c>
      <c r="T163" s="6">
        <f t="shared" si="15"/>
        <v>61</v>
      </c>
      <c r="U163" s="6">
        <v>4</v>
      </c>
      <c r="V163" s="13">
        <v>7.6927950240969301</v>
      </c>
      <c r="W163" s="10">
        <v>33329</v>
      </c>
      <c r="X163" s="10">
        <v>33389</v>
      </c>
      <c r="Y163" s="12">
        <v>414</v>
      </c>
      <c r="Z163" s="6" t="s">
        <v>80</v>
      </c>
      <c r="AA163" s="6"/>
      <c r="AB163" s="6"/>
      <c r="AC163" s="12">
        <v>29.9</v>
      </c>
      <c r="AD163" s="7" t="s">
        <v>39</v>
      </c>
      <c r="AE163" s="6"/>
      <c r="AF163" s="6"/>
      <c r="AG163" s="12"/>
      <c r="AH163" s="6"/>
      <c r="AI163" s="6"/>
      <c r="AJ163" s="6"/>
      <c r="AK163" s="12"/>
      <c r="AL163" s="6"/>
      <c r="AM163" s="6"/>
      <c r="AN163" s="6"/>
      <c r="AO163" s="12">
        <f t="shared" si="16"/>
        <v>13846.153846153848</v>
      </c>
      <c r="AP163" s="6" t="s">
        <v>54</v>
      </c>
      <c r="AQ163" s="6"/>
      <c r="AR163" s="6"/>
      <c r="AS163" s="6"/>
      <c r="AT163" s="6"/>
      <c r="AU163" s="6"/>
      <c r="AV163" s="6"/>
      <c r="AW163" s="6">
        <v>16500</v>
      </c>
      <c r="AX163" s="6" t="s">
        <v>54</v>
      </c>
      <c r="AY163" s="6"/>
      <c r="AZ163" s="6"/>
      <c r="BA163" s="6">
        <v>0.34887005649717512</v>
      </c>
      <c r="BB163" s="6" t="s">
        <v>229</v>
      </c>
      <c r="BC163" s="6" t="s">
        <v>250</v>
      </c>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row>
    <row r="164" spans="1:96" ht="15.6" x14ac:dyDescent="0.3">
      <c r="A164" s="6">
        <v>1</v>
      </c>
      <c r="B164" s="6"/>
      <c r="C164" s="6"/>
      <c r="D164" s="6" t="s">
        <v>147</v>
      </c>
      <c r="E164" s="9" t="s">
        <v>152</v>
      </c>
      <c r="F164" s="9" t="str">
        <f t="shared" si="14"/>
        <v>1996-89/91Saluda1992OTC</v>
      </c>
      <c r="G164" s="6" t="s">
        <v>149</v>
      </c>
      <c r="H164" s="6" t="s">
        <v>130</v>
      </c>
      <c r="I164" s="6" t="s">
        <v>131</v>
      </c>
      <c r="J164" s="6" t="s">
        <v>96</v>
      </c>
      <c r="K164" s="6" t="s">
        <v>153</v>
      </c>
      <c r="L164" s="6">
        <v>1992</v>
      </c>
      <c r="M164" s="6" t="s">
        <v>97</v>
      </c>
      <c r="N164" s="6" t="s">
        <v>37</v>
      </c>
      <c r="O164" s="6" t="s">
        <v>74</v>
      </c>
      <c r="P164" s="7">
        <f>R164/1.01*1.08</f>
        <v>43.520792079207929</v>
      </c>
      <c r="Q164" s="6"/>
      <c r="R164" s="6">
        <v>40.700000000000003</v>
      </c>
      <c r="S164" s="6">
        <v>7</v>
      </c>
      <c r="T164" s="6">
        <f t="shared" si="15"/>
        <v>71</v>
      </c>
      <c r="U164" s="6">
        <v>4</v>
      </c>
      <c r="V164" s="13">
        <v>5.3473211011920796</v>
      </c>
      <c r="W164" s="10">
        <v>33708</v>
      </c>
      <c r="X164" s="10">
        <v>33778</v>
      </c>
      <c r="Y164" s="12"/>
      <c r="Z164" s="6" t="s">
        <v>80</v>
      </c>
      <c r="AA164" s="6"/>
      <c r="AB164" s="6"/>
      <c r="AC164" s="12">
        <v>31.5</v>
      </c>
      <c r="AD164" s="7" t="s">
        <v>39</v>
      </c>
      <c r="AE164" s="6"/>
      <c r="AF164" s="6"/>
      <c r="AG164" s="12"/>
      <c r="AH164" s="6"/>
      <c r="AI164" s="6"/>
      <c r="AJ164" s="6"/>
      <c r="AK164" s="12"/>
      <c r="AL164" s="6"/>
      <c r="AM164" s="6"/>
      <c r="AN164" s="6"/>
      <c r="AO164" s="12"/>
      <c r="AP164" s="6"/>
      <c r="AQ164" s="6"/>
      <c r="AR164" s="6"/>
      <c r="AS164" s="6"/>
      <c r="AT164" s="6"/>
      <c r="AU164" s="6"/>
      <c r="AV164" s="6"/>
      <c r="AW164" s="6">
        <v>15100</v>
      </c>
      <c r="AX164" s="6" t="s">
        <v>54</v>
      </c>
      <c r="AY164" s="6"/>
      <c r="AZ164" s="6"/>
      <c r="BA164" s="6">
        <v>0.33926031294452347</v>
      </c>
      <c r="BB164" s="6" t="s">
        <v>229</v>
      </c>
      <c r="BC164" s="6" t="s">
        <v>250</v>
      </c>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row>
    <row r="165" spans="1:96" ht="15.6" x14ac:dyDescent="0.3">
      <c r="A165" s="6">
        <v>1</v>
      </c>
      <c r="B165" s="6"/>
      <c r="C165" s="6"/>
      <c r="D165" s="6" t="s">
        <v>147</v>
      </c>
      <c r="E165" s="9" t="s">
        <v>148</v>
      </c>
      <c r="F165" s="9" t="str">
        <f t="shared" si="14"/>
        <v>1996-89/91Saluda1992OTC</v>
      </c>
      <c r="G165" s="6" t="s">
        <v>149</v>
      </c>
      <c r="H165" s="6" t="s">
        <v>130</v>
      </c>
      <c r="I165" s="6" t="s">
        <v>131</v>
      </c>
      <c r="J165" s="6" t="s">
        <v>96</v>
      </c>
      <c r="K165" s="6" t="s">
        <v>153</v>
      </c>
      <c r="L165" s="6">
        <v>1992</v>
      </c>
      <c r="M165" s="6" t="s">
        <v>97</v>
      </c>
      <c r="N165" s="6" t="s">
        <v>37</v>
      </c>
      <c r="O165" s="6" t="s">
        <v>132</v>
      </c>
      <c r="P165" s="6">
        <f>R165/1.01*T165*12/1000+R164/1.01*(90-T165)*12/1000</f>
        <v>26.227722772277229</v>
      </c>
      <c r="Q165" s="6"/>
      <c r="R165" s="6">
        <v>20.2</v>
      </c>
      <c r="S165" s="6">
        <v>7</v>
      </c>
      <c r="T165" s="6">
        <f t="shared" si="15"/>
        <v>71</v>
      </c>
      <c r="U165" s="6">
        <v>4</v>
      </c>
      <c r="V165" s="13">
        <v>0.39988967535184999</v>
      </c>
      <c r="W165" s="10">
        <v>33708</v>
      </c>
      <c r="X165" s="10">
        <v>33778</v>
      </c>
      <c r="Y165" s="12">
        <v>520</v>
      </c>
      <c r="Z165" s="6" t="s">
        <v>80</v>
      </c>
      <c r="AA165" s="6"/>
      <c r="AB165" s="6"/>
      <c r="AC165" s="12">
        <v>33.9</v>
      </c>
      <c r="AD165" s="7" t="s">
        <v>39</v>
      </c>
      <c r="AE165" s="6"/>
      <c r="AF165" s="6"/>
      <c r="AG165" s="12"/>
      <c r="AH165" s="6"/>
      <c r="AI165" s="6"/>
      <c r="AJ165" s="6"/>
      <c r="AK165" s="12"/>
      <c r="AL165" s="6"/>
      <c r="AM165" s="6"/>
      <c r="AN165" s="6"/>
      <c r="AO165" s="12">
        <f t="shared" si="16"/>
        <v>15339.233038348084</v>
      </c>
      <c r="AP165" s="6" t="s">
        <v>54</v>
      </c>
      <c r="AQ165" s="6"/>
      <c r="AR165" s="6"/>
      <c r="AS165" s="6"/>
      <c r="AT165" s="6"/>
      <c r="AU165" s="6"/>
      <c r="AV165" s="6"/>
      <c r="AW165" s="6">
        <v>16000</v>
      </c>
      <c r="AX165" s="6" t="s">
        <v>54</v>
      </c>
      <c r="AY165" s="6"/>
      <c r="AZ165" s="6"/>
      <c r="BA165" s="6">
        <v>0.35107073329007138</v>
      </c>
      <c r="BB165" s="6" t="s">
        <v>229</v>
      </c>
      <c r="BC165" s="6" t="s">
        <v>250</v>
      </c>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row>
    <row r="166" spans="1:96" ht="15.6" x14ac:dyDescent="0.3">
      <c r="A166" s="6">
        <v>1</v>
      </c>
      <c r="B166" s="6"/>
      <c r="C166" s="6"/>
      <c r="D166" s="6" t="s">
        <v>147</v>
      </c>
      <c r="E166" s="9" t="s">
        <v>148</v>
      </c>
      <c r="F166" s="9" t="str">
        <f t="shared" si="14"/>
        <v>1996-89/91Saluda1992OTC</v>
      </c>
      <c r="G166" s="6" t="s">
        <v>149</v>
      </c>
      <c r="H166" s="6" t="s">
        <v>130</v>
      </c>
      <c r="I166" s="6" t="s">
        <v>131</v>
      </c>
      <c r="J166" s="6" t="s">
        <v>96</v>
      </c>
      <c r="K166" s="6" t="s">
        <v>153</v>
      </c>
      <c r="L166" s="6">
        <v>1992</v>
      </c>
      <c r="M166" s="6" t="s">
        <v>97</v>
      </c>
      <c r="N166" s="6" t="s">
        <v>37</v>
      </c>
      <c r="O166" s="6" t="s">
        <v>75</v>
      </c>
      <c r="P166" s="6">
        <f>(7*R166+5*0.976*R164)/12*T166*12/1000+R164/1.01*(90-T166)*12/1000</f>
        <v>55.495058772277233</v>
      </c>
      <c r="Q166" s="6"/>
      <c r="R166" s="6">
        <v>64.8</v>
      </c>
      <c r="S166" s="6">
        <v>7</v>
      </c>
      <c r="T166" s="6">
        <f t="shared" si="15"/>
        <v>71</v>
      </c>
      <c r="U166" s="6">
        <v>4</v>
      </c>
      <c r="V166" s="13">
        <v>14.4705939061522</v>
      </c>
      <c r="W166" s="10">
        <v>33708</v>
      </c>
      <c r="X166" s="10">
        <v>33778</v>
      </c>
      <c r="Y166" s="12">
        <v>434</v>
      </c>
      <c r="Z166" s="6" t="s">
        <v>80</v>
      </c>
      <c r="AA166" s="6"/>
      <c r="AB166" s="6"/>
      <c r="AC166" s="12">
        <v>31.8</v>
      </c>
      <c r="AD166" s="7" t="s">
        <v>39</v>
      </c>
      <c r="AE166" s="6"/>
      <c r="AF166" s="6"/>
      <c r="AG166" s="12"/>
      <c r="AH166" s="6"/>
      <c r="AI166" s="6"/>
      <c r="AJ166" s="6"/>
      <c r="AK166" s="12"/>
      <c r="AL166" s="6"/>
      <c r="AM166" s="6"/>
      <c r="AN166" s="6"/>
      <c r="AO166" s="12">
        <f t="shared" si="16"/>
        <v>13647.798742138364</v>
      </c>
      <c r="AP166" s="6" t="s">
        <v>54</v>
      </c>
      <c r="AQ166" s="6"/>
      <c r="AR166" s="6"/>
      <c r="AS166" s="6"/>
      <c r="AT166" s="6"/>
      <c r="AU166" s="6"/>
      <c r="AV166" s="6"/>
      <c r="AW166" s="6">
        <v>15100</v>
      </c>
      <c r="AX166" s="6" t="s">
        <v>54</v>
      </c>
      <c r="AY166" s="6"/>
      <c r="AZ166" s="6"/>
      <c r="BA166" s="6">
        <v>0.34524660471765545</v>
      </c>
      <c r="BB166" s="6" t="s">
        <v>229</v>
      </c>
      <c r="BC166" s="6" t="s">
        <v>250</v>
      </c>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row>
    <row r="167" spans="1:96" ht="15.6" x14ac:dyDescent="0.3">
      <c r="A167" s="6">
        <v>1</v>
      </c>
      <c r="B167" s="6"/>
      <c r="C167" s="6"/>
      <c r="D167" s="6" t="s">
        <v>154</v>
      </c>
      <c r="E167" s="6" t="s">
        <v>155</v>
      </c>
      <c r="F167" s="9" t="str">
        <f t="shared" si="14"/>
        <v>1985-119Albis1986OTC</v>
      </c>
      <c r="G167" s="6" t="s">
        <v>156</v>
      </c>
      <c r="H167" s="6" t="s">
        <v>157</v>
      </c>
      <c r="I167" s="6" t="s">
        <v>158</v>
      </c>
      <c r="J167" s="6" t="s">
        <v>96</v>
      </c>
      <c r="K167" s="6" t="s">
        <v>159</v>
      </c>
      <c r="L167" s="6">
        <v>1986</v>
      </c>
      <c r="M167" s="6" t="s">
        <v>36</v>
      </c>
      <c r="N167" s="6" t="s">
        <v>51</v>
      </c>
      <c r="O167" s="6" t="s">
        <v>132</v>
      </c>
      <c r="P167" s="6">
        <f>(8 * R167+ 4 * 0.97*R167) / 12*T167*12/1000+R168/1.01*(90-T167)*12/1000</f>
        <v>24.592348514851487</v>
      </c>
      <c r="Q167" s="6"/>
      <c r="R167" s="6">
        <v>20</v>
      </c>
      <c r="S167" s="6">
        <v>8</v>
      </c>
      <c r="T167" s="6">
        <f t="shared" si="15"/>
        <v>72</v>
      </c>
      <c r="U167" s="9">
        <v>4</v>
      </c>
      <c r="V167" s="13">
        <v>0.13472763978990401</v>
      </c>
      <c r="W167" s="10">
        <v>31553</v>
      </c>
      <c r="X167" s="10">
        <v>31624</v>
      </c>
      <c r="Y167" s="12">
        <v>664</v>
      </c>
      <c r="Z167" s="6" t="s">
        <v>53</v>
      </c>
      <c r="AA167" s="6"/>
      <c r="AB167" s="6"/>
      <c r="AC167" s="12">
        <v>33.5</v>
      </c>
      <c r="AD167" s="7" t="s">
        <v>39</v>
      </c>
      <c r="AE167" s="6"/>
      <c r="AF167" s="6"/>
      <c r="AG167" s="12">
        <v>41.1</v>
      </c>
      <c r="AH167" s="6" t="s">
        <v>134</v>
      </c>
      <c r="AI167" s="6"/>
      <c r="AJ167" s="6"/>
      <c r="AK167" s="12">
        <v>501.3</v>
      </c>
      <c r="AL167" s="6" t="s">
        <v>54</v>
      </c>
      <c r="AM167" s="6"/>
      <c r="AN167" s="6"/>
      <c r="AO167" s="12">
        <f t="shared" si="16"/>
        <v>19820.895522388058</v>
      </c>
      <c r="AP167" s="6" t="s">
        <v>54</v>
      </c>
      <c r="AQ167" s="6"/>
      <c r="AR167" s="6"/>
      <c r="AS167" s="6"/>
      <c r="AT167" s="6"/>
      <c r="AU167" s="6"/>
      <c r="AV167" s="6"/>
      <c r="AW167" s="6"/>
      <c r="AX167" s="6"/>
      <c r="AY167" s="6"/>
      <c r="AZ167" s="6"/>
      <c r="BA167" s="6">
        <v>48</v>
      </c>
      <c r="BB167" s="6" t="s">
        <v>229</v>
      </c>
      <c r="BC167" s="6"/>
      <c r="BD167" s="6"/>
      <c r="BE167" s="6"/>
      <c r="BF167" s="6"/>
      <c r="BG167" s="6"/>
      <c r="BH167" s="6"/>
      <c r="BI167" s="6"/>
      <c r="BJ167" s="6"/>
      <c r="BK167" s="6"/>
      <c r="BL167" s="6"/>
      <c r="BM167" s="6"/>
      <c r="BN167" s="6"/>
      <c r="BO167" s="6"/>
      <c r="BP167" s="6"/>
      <c r="BQ167" s="6"/>
      <c r="BR167" s="6"/>
      <c r="BS167" s="6"/>
      <c r="BT167" s="6"/>
      <c r="BU167" s="6"/>
      <c r="BV167" s="6"/>
      <c r="BW167" s="6"/>
      <c r="BX167" s="6"/>
      <c r="BY167" s="6">
        <v>14.9</v>
      </c>
      <c r="BZ167" s="6" t="s">
        <v>229</v>
      </c>
      <c r="CA167" s="6"/>
      <c r="CB167" s="6"/>
      <c r="CC167" s="6"/>
      <c r="CD167" s="6"/>
      <c r="CE167" s="6"/>
      <c r="CF167" s="6"/>
      <c r="CG167" s="6"/>
      <c r="CH167" s="6"/>
      <c r="CI167" s="6"/>
      <c r="CJ167" s="6"/>
      <c r="CK167" s="6"/>
      <c r="CL167" s="6"/>
      <c r="CM167" s="6"/>
      <c r="CN167" s="6"/>
      <c r="CO167" s="6"/>
      <c r="CP167" s="6"/>
      <c r="CQ167" s="6"/>
      <c r="CR167" s="6"/>
    </row>
    <row r="168" spans="1:96" ht="15.6" x14ac:dyDescent="0.3">
      <c r="A168" s="6">
        <v>1</v>
      </c>
      <c r="B168" s="6"/>
      <c r="C168" s="6"/>
      <c r="D168" s="6" t="s">
        <v>154</v>
      </c>
      <c r="E168" s="6" t="s">
        <v>155</v>
      </c>
      <c r="F168" s="9" t="str">
        <f t="shared" si="14"/>
        <v>1985-119Albis1986OTC</v>
      </c>
      <c r="G168" s="6" t="s">
        <v>156</v>
      </c>
      <c r="H168" s="6" t="s">
        <v>157</v>
      </c>
      <c r="I168" s="6" t="s">
        <v>158</v>
      </c>
      <c r="J168" s="6" t="s">
        <v>96</v>
      </c>
      <c r="K168" s="6" t="s">
        <v>159</v>
      </c>
      <c r="L168" s="6">
        <v>1986</v>
      </c>
      <c r="M168" s="6" t="s">
        <v>36</v>
      </c>
      <c r="N168" s="6" t="s">
        <v>51</v>
      </c>
      <c r="O168" s="6" t="s">
        <v>103</v>
      </c>
      <c r="P168" s="6">
        <f>R168/1.01*T168*12/1000+R168/1.01*(90-T168)*12/1000</f>
        <v>37.42574257425742</v>
      </c>
      <c r="Q168" s="6"/>
      <c r="R168" s="6">
        <v>35</v>
      </c>
      <c r="S168" s="6">
        <v>8</v>
      </c>
      <c r="T168" s="6">
        <f t="shared" si="15"/>
        <v>72</v>
      </c>
      <c r="U168" s="9">
        <v>4</v>
      </c>
      <c r="V168" s="13">
        <v>2.7820454495208602</v>
      </c>
      <c r="W168" s="10">
        <v>31553</v>
      </c>
      <c r="X168" s="10">
        <v>31624</v>
      </c>
      <c r="Y168" s="12">
        <v>611</v>
      </c>
      <c r="Z168" s="6" t="s">
        <v>53</v>
      </c>
      <c r="AA168" s="6"/>
      <c r="AB168" s="6"/>
      <c r="AC168" s="12">
        <v>30.7</v>
      </c>
      <c r="AD168" s="7" t="s">
        <v>39</v>
      </c>
      <c r="AE168" s="6"/>
      <c r="AF168" s="6"/>
      <c r="AG168" s="12">
        <v>39</v>
      </c>
      <c r="AH168" s="6" t="s">
        <v>134</v>
      </c>
      <c r="AI168" s="6"/>
      <c r="AJ168" s="6"/>
      <c r="AK168" s="12">
        <v>522</v>
      </c>
      <c r="AL168" s="6" t="s">
        <v>54</v>
      </c>
      <c r="AM168" s="6"/>
      <c r="AN168" s="6"/>
      <c r="AO168" s="12">
        <f t="shared" si="16"/>
        <v>19902.280130293162</v>
      </c>
      <c r="AP168" s="6" t="s">
        <v>54</v>
      </c>
      <c r="AQ168" s="6"/>
      <c r="AR168" s="6"/>
      <c r="AS168" s="6"/>
      <c r="AT168" s="6"/>
      <c r="AU168" s="6"/>
      <c r="AV168" s="6"/>
      <c r="AW168" s="6"/>
      <c r="AX168" s="6"/>
      <c r="AY168" s="6"/>
      <c r="AZ168" s="6"/>
      <c r="BA168" s="6">
        <v>45.9</v>
      </c>
      <c r="BB168" s="6" t="s">
        <v>229</v>
      </c>
      <c r="BC168" s="6"/>
      <c r="BD168" s="6"/>
      <c r="BE168" s="6"/>
      <c r="BF168" s="6"/>
      <c r="BG168" s="6"/>
      <c r="BH168" s="6"/>
      <c r="BI168" s="6"/>
      <c r="BJ168" s="6"/>
      <c r="BK168" s="6"/>
      <c r="BL168" s="6"/>
      <c r="BM168" s="6"/>
      <c r="BN168" s="6"/>
      <c r="BO168" s="6"/>
      <c r="BP168" s="6"/>
      <c r="BQ168" s="6"/>
      <c r="BR168" s="6"/>
      <c r="BS168" s="6"/>
      <c r="BT168" s="6"/>
      <c r="BU168" s="6"/>
      <c r="BV168" s="6"/>
      <c r="BW168" s="6"/>
      <c r="BX168" s="6"/>
      <c r="BY168" s="6">
        <v>15.5</v>
      </c>
      <c r="BZ168" s="6" t="s">
        <v>229</v>
      </c>
      <c r="CA168" s="6"/>
      <c r="CB168" s="6"/>
      <c r="CC168" s="6"/>
      <c r="CD168" s="6"/>
      <c r="CE168" s="6"/>
      <c r="CF168" s="6"/>
      <c r="CG168" s="6"/>
      <c r="CH168" s="6"/>
      <c r="CI168" s="6"/>
      <c r="CJ168" s="6"/>
      <c r="CK168" s="6"/>
      <c r="CL168" s="6"/>
      <c r="CM168" s="6"/>
      <c r="CN168" s="6"/>
      <c r="CO168" s="6"/>
      <c r="CP168" s="6"/>
      <c r="CQ168" s="6"/>
      <c r="CR168" s="6"/>
    </row>
    <row r="169" spans="1:96" ht="15.6" x14ac:dyDescent="0.3">
      <c r="A169" s="6">
        <v>1</v>
      </c>
      <c r="B169" s="6"/>
      <c r="C169" s="6"/>
      <c r="D169" s="6" t="s">
        <v>154</v>
      </c>
      <c r="E169" s="6" t="s">
        <v>155</v>
      </c>
      <c r="F169" s="9" t="str">
        <f t="shared" si="14"/>
        <v>1985-119Albis1986OTC</v>
      </c>
      <c r="G169" s="6" t="s">
        <v>156</v>
      </c>
      <c r="H169" s="6" t="s">
        <v>157</v>
      </c>
      <c r="I169" s="6" t="s">
        <v>158</v>
      </c>
      <c r="J169" s="6" t="s">
        <v>96</v>
      </c>
      <c r="K169" s="6" t="s">
        <v>159</v>
      </c>
      <c r="L169" s="6">
        <v>1986</v>
      </c>
      <c r="M169" s="6" t="s">
        <v>36</v>
      </c>
      <c r="N169" s="6" t="s">
        <v>51</v>
      </c>
      <c r="O169" s="6" t="s">
        <v>137</v>
      </c>
      <c r="P169" s="6">
        <f>(8 * R169+ 4 * 0.97*R168) / 12*T169*12/1000+R168/1.01*(90-T169)*12/1000</f>
        <v>76.590748514851498</v>
      </c>
      <c r="Q169" s="6"/>
      <c r="R169" s="6">
        <v>103</v>
      </c>
      <c r="S169" s="6">
        <v>8</v>
      </c>
      <c r="T169" s="6">
        <f t="shared" si="15"/>
        <v>72</v>
      </c>
      <c r="U169" s="9">
        <v>4</v>
      </c>
      <c r="V169" s="13">
        <v>34.528958228277801</v>
      </c>
      <c r="W169" s="10">
        <v>31553</v>
      </c>
      <c r="X169" s="10">
        <v>31624</v>
      </c>
      <c r="Y169" s="12">
        <v>256</v>
      </c>
      <c r="Z169" s="6" t="s">
        <v>53</v>
      </c>
      <c r="AA169" s="6"/>
      <c r="AB169" s="6"/>
      <c r="AC169" s="12">
        <v>20.3</v>
      </c>
      <c r="AD169" s="7" t="s">
        <v>39</v>
      </c>
      <c r="AE169" s="6"/>
      <c r="AF169" s="6"/>
      <c r="AG169" s="12">
        <v>29.1</v>
      </c>
      <c r="AH169" s="6" t="s">
        <v>134</v>
      </c>
      <c r="AI169" s="6"/>
      <c r="AJ169" s="6"/>
      <c r="AK169" s="12">
        <v>491.3</v>
      </c>
      <c r="AL169" s="6" t="s">
        <v>54</v>
      </c>
      <c r="AM169" s="6"/>
      <c r="AN169" s="6"/>
      <c r="AO169" s="12">
        <f t="shared" si="16"/>
        <v>12610.837438423645</v>
      </c>
      <c r="AP169" s="6" t="s">
        <v>54</v>
      </c>
      <c r="AQ169" s="6"/>
      <c r="AR169" s="6"/>
      <c r="AS169" s="6"/>
      <c r="AT169" s="6"/>
      <c r="AU169" s="6"/>
      <c r="AV169" s="6"/>
      <c r="AW169" s="6"/>
      <c r="AX169" s="6"/>
      <c r="AY169" s="6"/>
      <c r="AZ169" s="6"/>
      <c r="BA169" s="6">
        <v>33.799999999999997</v>
      </c>
      <c r="BB169" s="6" t="s">
        <v>229</v>
      </c>
      <c r="BC169" s="6"/>
      <c r="BD169" s="6"/>
      <c r="BE169" s="6"/>
      <c r="BF169" s="6"/>
      <c r="BG169" s="6"/>
      <c r="BH169" s="6"/>
      <c r="BI169" s="6"/>
      <c r="BJ169" s="6"/>
      <c r="BK169" s="6"/>
      <c r="BL169" s="6"/>
      <c r="BM169" s="6"/>
      <c r="BN169" s="6"/>
      <c r="BO169" s="6"/>
      <c r="BP169" s="6"/>
      <c r="BQ169" s="6"/>
      <c r="BR169" s="6"/>
      <c r="BS169" s="6"/>
      <c r="BT169" s="6"/>
      <c r="BU169" s="6"/>
      <c r="BV169" s="6"/>
      <c r="BW169" s="6"/>
      <c r="BX169" s="6"/>
      <c r="BY169" s="6">
        <v>19.3</v>
      </c>
      <c r="BZ169" s="6" t="s">
        <v>229</v>
      </c>
      <c r="CA169" s="6"/>
      <c r="CB169" s="6"/>
      <c r="CC169" s="6"/>
      <c r="CD169" s="6"/>
      <c r="CE169" s="6"/>
      <c r="CF169" s="6"/>
      <c r="CG169" s="6"/>
      <c r="CH169" s="6"/>
      <c r="CI169" s="6"/>
      <c r="CJ169" s="6"/>
      <c r="CK169" s="6"/>
      <c r="CL169" s="6"/>
      <c r="CM169" s="6"/>
      <c r="CN169" s="6"/>
      <c r="CO169" s="6"/>
      <c r="CP169" s="6"/>
      <c r="CQ169" s="6"/>
      <c r="CR169" s="6"/>
    </row>
    <row r="170" spans="1:96" ht="15.6" x14ac:dyDescent="0.3">
      <c r="A170" s="6">
        <v>1</v>
      </c>
      <c r="B170" s="6"/>
      <c r="C170" s="6"/>
      <c r="D170" s="6" t="s">
        <v>154</v>
      </c>
      <c r="E170" s="6" t="s">
        <v>155</v>
      </c>
      <c r="F170" s="9" t="str">
        <f t="shared" si="14"/>
        <v>1985-119Albis1987OTC</v>
      </c>
      <c r="G170" s="6" t="s">
        <v>156</v>
      </c>
      <c r="H170" s="6" t="s">
        <v>157</v>
      </c>
      <c r="I170" s="6" t="s">
        <v>158</v>
      </c>
      <c r="J170" s="6" t="s">
        <v>96</v>
      </c>
      <c r="K170" s="6" t="s">
        <v>159</v>
      </c>
      <c r="L170" s="6">
        <v>1987</v>
      </c>
      <c r="M170" s="6" t="s">
        <v>36</v>
      </c>
      <c r="N170" s="6" t="s">
        <v>51</v>
      </c>
      <c r="O170" s="6" t="s">
        <v>132</v>
      </c>
      <c r="P170" s="7">
        <f>(8 * R170+ 4 * 0.97*R170) / 12*1.08</f>
        <v>17.107199999999999</v>
      </c>
      <c r="Q170" s="6"/>
      <c r="R170" s="6">
        <v>16</v>
      </c>
      <c r="S170" s="6">
        <v>8</v>
      </c>
      <c r="T170" s="6">
        <f t="shared" si="15"/>
        <v>90</v>
      </c>
      <c r="U170" s="9">
        <v>4</v>
      </c>
      <c r="V170" s="13">
        <v>0</v>
      </c>
      <c r="W170" s="10">
        <v>31910</v>
      </c>
      <c r="X170" s="10">
        <v>31999</v>
      </c>
      <c r="Y170" s="12">
        <v>617</v>
      </c>
      <c r="Z170" s="6" t="s">
        <v>53</v>
      </c>
      <c r="AA170" s="6"/>
      <c r="AB170" s="6"/>
      <c r="AC170" s="12">
        <v>33.700000000000003</v>
      </c>
      <c r="AD170" s="7" t="s">
        <v>39</v>
      </c>
      <c r="AE170" s="6"/>
      <c r="AF170" s="6"/>
      <c r="AG170" s="12">
        <v>34.6</v>
      </c>
      <c r="AH170" s="6" t="s">
        <v>134</v>
      </c>
      <c r="AI170" s="6"/>
      <c r="AJ170" s="6"/>
      <c r="AK170" s="12">
        <v>530</v>
      </c>
      <c r="AL170" s="6" t="s">
        <v>54</v>
      </c>
      <c r="AM170" s="6"/>
      <c r="AN170" s="6"/>
      <c r="AO170" s="12">
        <f t="shared" si="16"/>
        <v>18308.60534124629</v>
      </c>
      <c r="AP170" s="6" t="s">
        <v>54</v>
      </c>
      <c r="AQ170" s="6"/>
      <c r="AR170" s="6"/>
      <c r="AS170" s="6"/>
      <c r="AT170" s="6"/>
      <c r="AU170" s="6"/>
      <c r="AV170" s="6"/>
      <c r="AW170" s="6"/>
      <c r="AX170" s="6"/>
      <c r="AY170" s="6"/>
      <c r="AZ170" s="6"/>
      <c r="BA170" s="6">
        <v>43.7</v>
      </c>
      <c r="BB170" s="6" t="s">
        <v>229</v>
      </c>
      <c r="BC170" s="6"/>
      <c r="BD170" s="6"/>
      <c r="BE170" s="6"/>
      <c r="BF170" s="6"/>
      <c r="BG170" s="6"/>
      <c r="BH170" s="6"/>
      <c r="BI170" s="6"/>
      <c r="BJ170" s="6"/>
      <c r="BK170" s="6"/>
      <c r="BL170" s="6"/>
      <c r="BM170" s="6"/>
      <c r="BN170" s="6"/>
      <c r="BO170" s="6"/>
      <c r="BP170" s="6"/>
      <c r="BQ170" s="6"/>
      <c r="BR170" s="6"/>
      <c r="BS170" s="6"/>
      <c r="BT170" s="6"/>
      <c r="BU170" s="6"/>
      <c r="BV170" s="6"/>
      <c r="BW170" s="6"/>
      <c r="BX170" s="6"/>
      <c r="BY170" s="6">
        <v>14.6</v>
      </c>
      <c r="BZ170" s="6" t="s">
        <v>229</v>
      </c>
      <c r="CA170" s="6"/>
      <c r="CB170" s="6"/>
      <c r="CC170" s="6"/>
      <c r="CD170" s="6"/>
      <c r="CE170" s="6"/>
      <c r="CF170" s="6"/>
      <c r="CG170" s="6"/>
      <c r="CH170" s="6"/>
      <c r="CI170" s="6"/>
      <c r="CJ170" s="6"/>
      <c r="CK170" s="6"/>
      <c r="CL170" s="6"/>
      <c r="CM170" s="6"/>
      <c r="CN170" s="6"/>
      <c r="CO170" s="6"/>
      <c r="CP170" s="6"/>
      <c r="CQ170" s="6"/>
      <c r="CR170" s="6"/>
    </row>
    <row r="171" spans="1:96" ht="15.6" x14ac:dyDescent="0.3">
      <c r="A171" s="6">
        <v>1</v>
      </c>
      <c r="B171" s="6"/>
      <c r="C171" s="6"/>
      <c r="D171" s="6" t="s">
        <v>154</v>
      </c>
      <c r="E171" s="6" t="s">
        <v>155</v>
      </c>
      <c r="F171" s="9" t="str">
        <f t="shared" si="14"/>
        <v>1985-119Albis1987OTC</v>
      </c>
      <c r="G171" s="6" t="s">
        <v>156</v>
      </c>
      <c r="H171" s="6" t="s">
        <v>157</v>
      </c>
      <c r="I171" s="6" t="s">
        <v>158</v>
      </c>
      <c r="J171" s="6" t="s">
        <v>96</v>
      </c>
      <c r="K171" s="6" t="s">
        <v>159</v>
      </c>
      <c r="L171" s="6">
        <v>1987</v>
      </c>
      <c r="M171" s="6" t="s">
        <v>36</v>
      </c>
      <c r="N171" s="6" t="s">
        <v>51</v>
      </c>
      <c r="O171" s="6" t="s">
        <v>103</v>
      </c>
      <c r="P171" s="7">
        <f>R171/1.01*1.08</f>
        <v>35.287128712871286</v>
      </c>
      <c r="Q171" s="6"/>
      <c r="R171" s="6">
        <v>33</v>
      </c>
      <c r="S171" s="6">
        <v>8</v>
      </c>
      <c r="T171" s="6">
        <f t="shared" si="15"/>
        <v>90</v>
      </c>
      <c r="U171" s="9">
        <v>4</v>
      </c>
      <c r="V171" s="13">
        <v>2.0812598193567</v>
      </c>
      <c r="W171" s="10">
        <v>31910</v>
      </c>
      <c r="X171" s="10">
        <v>31999</v>
      </c>
      <c r="Y171" s="12">
        <v>554</v>
      </c>
      <c r="Z171" s="6" t="s">
        <v>53</v>
      </c>
      <c r="AA171" s="6"/>
      <c r="AB171" s="6"/>
      <c r="AC171" s="12">
        <v>32.1</v>
      </c>
      <c r="AD171" s="7" t="s">
        <v>39</v>
      </c>
      <c r="AE171" s="6"/>
      <c r="AF171" s="6"/>
      <c r="AG171" s="12">
        <v>33.299999999999997</v>
      </c>
      <c r="AH171" s="6" t="s">
        <v>134</v>
      </c>
      <c r="AI171" s="6"/>
      <c r="AJ171" s="6"/>
      <c r="AK171" s="12">
        <v>512.5</v>
      </c>
      <c r="AL171" s="6" t="s">
        <v>54</v>
      </c>
      <c r="AM171" s="6"/>
      <c r="AN171" s="6"/>
      <c r="AO171" s="12">
        <f t="shared" si="16"/>
        <v>17258.566978193143</v>
      </c>
      <c r="AP171" s="6" t="s">
        <v>54</v>
      </c>
      <c r="AQ171" s="6"/>
      <c r="AR171" s="6"/>
      <c r="AS171" s="6"/>
      <c r="AT171" s="6"/>
      <c r="AU171" s="6"/>
      <c r="AV171" s="6"/>
      <c r="AW171" s="6"/>
      <c r="AX171" s="6"/>
      <c r="AY171" s="6"/>
      <c r="AZ171" s="6"/>
      <c r="BA171" s="6">
        <v>41.5</v>
      </c>
      <c r="BB171" s="6" t="s">
        <v>229</v>
      </c>
      <c r="BC171" s="6"/>
      <c r="BD171" s="6"/>
      <c r="BE171" s="6"/>
      <c r="BF171" s="6"/>
      <c r="BG171" s="6"/>
      <c r="BH171" s="6"/>
      <c r="BI171" s="6"/>
      <c r="BJ171" s="6"/>
      <c r="BK171" s="6"/>
      <c r="BL171" s="6"/>
      <c r="BM171" s="6"/>
      <c r="BN171" s="6"/>
      <c r="BO171" s="6"/>
      <c r="BP171" s="6"/>
      <c r="BQ171" s="6"/>
      <c r="BR171" s="6"/>
      <c r="BS171" s="6"/>
      <c r="BT171" s="6"/>
      <c r="BU171" s="6"/>
      <c r="BV171" s="6"/>
      <c r="BW171" s="6"/>
      <c r="BX171" s="6"/>
      <c r="BY171" s="6">
        <v>15.3</v>
      </c>
      <c r="BZ171" s="6" t="s">
        <v>229</v>
      </c>
      <c r="CA171" s="6"/>
      <c r="CB171" s="6"/>
      <c r="CC171" s="6"/>
      <c r="CD171" s="6"/>
      <c r="CE171" s="6"/>
      <c r="CF171" s="6"/>
      <c r="CG171" s="6"/>
      <c r="CH171" s="6"/>
      <c r="CI171" s="6"/>
      <c r="CJ171" s="6"/>
      <c r="CK171" s="6"/>
      <c r="CL171" s="6"/>
      <c r="CM171" s="6"/>
      <c r="CN171" s="6"/>
      <c r="CO171" s="6"/>
      <c r="CP171" s="6"/>
      <c r="CQ171" s="6"/>
      <c r="CR171" s="6"/>
    </row>
    <row r="172" spans="1:96" ht="15.6" x14ac:dyDescent="0.3">
      <c r="A172" s="6">
        <v>1</v>
      </c>
      <c r="B172" s="6"/>
      <c r="C172" s="6"/>
      <c r="D172" s="6" t="s">
        <v>154</v>
      </c>
      <c r="E172" s="6" t="s">
        <v>155</v>
      </c>
      <c r="F172" s="9" t="str">
        <f t="shared" si="14"/>
        <v>1985-119Albis1987OTC</v>
      </c>
      <c r="G172" s="6" t="s">
        <v>156</v>
      </c>
      <c r="H172" s="6" t="s">
        <v>157</v>
      </c>
      <c r="I172" s="6" t="s">
        <v>158</v>
      </c>
      <c r="J172" s="6" t="s">
        <v>96</v>
      </c>
      <c r="K172" s="6" t="s">
        <v>159</v>
      </c>
      <c r="L172" s="6">
        <v>1987</v>
      </c>
      <c r="M172" s="6" t="s">
        <v>36</v>
      </c>
      <c r="N172" s="6" t="s">
        <v>51</v>
      </c>
      <c r="O172" s="6" t="s">
        <v>136</v>
      </c>
      <c r="P172" s="7">
        <f>(8 * R172+ 4 * 0.97*R171) / 12*1.08</f>
        <v>58.323599999999999</v>
      </c>
      <c r="Q172" s="6"/>
      <c r="R172" s="6">
        <v>65</v>
      </c>
      <c r="S172" s="6">
        <v>8</v>
      </c>
      <c r="T172" s="6">
        <f t="shared" si="15"/>
        <v>90</v>
      </c>
      <c r="U172" s="9">
        <v>4</v>
      </c>
      <c r="V172" s="13">
        <v>17.275867995722599</v>
      </c>
      <c r="W172" s="10">
        <v>31910</v>
      </c>
      <c r="X172" s="10">
        <v>31999</v>
      </c>
      <c r="Y172" s="12">
        <v>386</v>
      </c>
      <c r="Z172" s="6" t="s">
        <v>53</v>
      </c>
      <c r="AA172" s="6"/>
      <c r="AB172" s="6"/>
      <c r="AC172" s="12">
        <v>24.3</v>
      </c>
      <c r="AD172" s="7" t="s">
        <v>39</v>
      </c>
      <c r="AE172" s="6"/>
      <c r="AF172" s="6"/>
      <c r="AG172" s="12">
        <v>30.5</v>
      </c>
      <c r="AH172" s="6" t="s">
        <v>134</v>
      </c>
      <c r="AI172" s="6"/>
      <c r="AJ172" s="6"/>
      <c r="AK172" s="12">
        <v>522.5</v>
      </c>
      <c r="AL172" s="6" t="s">
        <v>54</v>
      </c>
      <c r="AM172" s="6"/>
      <c r="AN172" s="6"/>
      <c r="AO172" s="12">
        <f t="shared" si="16"/>
        <v>15884.773662551441</v>
      </c>
      <c r="AP172" s="6" t="s">
        <v>54</v>
      </c>
      <c r="AQ172" s="6"/>
      <c r="AR172" s="6"/>
      <c r="AS172" s="6"/>
      <c r="AT172" s="6"/>
      <c r="AU172" s="6"/>
      <c r="AV172" s="6"/>
      <c r="AW172" s="6"/>
      <c r="AX172" s="6"/>
      <c r="AY172" s="6"/>
      <c r="AZ172" s="6"/>
      <c r="BA172" s="6">
        <v>35.700000000000003</v>
      </c>
      <c r="BB172" s="6" t="s">
        <v>229</v>
      </c>
      <c r="BC172" s="6"/>
      <c r="BD172" s="6"/>
      <c r="BE172" s="6"/>
      <c r="BF172" s="6"/>
      <c r="BG172" s="6"/>
      <c r="BH172" s="6"/>
      <c r="BI172" s="6"/>
      <c r="BJ172" s="6"/>
      <c r="BK172" s="6"/>
      <c r="BL172" s="6"/>
      <c r="BM172" s="6"/>
      <c r="BN172" s="6"/>
      <c r="BO172" s="6"/>
      <c r="BP172" s="6"/>
      <c r="BQ172" s="6"/>
      <c r="BR172" s="6"/>
      <c r="BS172" s="6"/>
      <c r="BT172" s="6"/>
      <c r="BU172" s="6"/>
      <c r="BV172" s="6"/>
      <c r="BW172" s="6"/>
      <c r="BX172" s="6"/>
      <c r="BY172" s="6">
        <v>15</v>
      </c>
      <c r="BZ172" s="6" t="s">
        <v>229</v>
      </c>
      <c r="CA172" s="6"/>
      <c r="CB172" s="6"/>
      <c r="CC172" s="6"/>
      <c r="CD172" s="6"/>
      <c r="CE172" s="6"/>
      <c r="CF172" s="6"/>
      <c r="CG172" s="6"/>
      <c r="CH172" s="6"/>
      <c r="CI172" s="6"/>
      <c r="CJ172" s="6"/>
      <c r="CK172" s="6"/>
      <c r="CL172" s="6"/>
      <c r="CM172" s="6"/>
      <c r="CN172" s="6"/>
      <c r="CO172" s="6"/>
      <c r="CP172" s="6"/>
      <c r="CQ172" s="6"/>
      <c r="CR172" s="6"/>
    </row>
    <row r="173" spans="1:96" ht="15.6" x14ac:dyDescent="0.3">
      <c r="A173" s="6">
        <v>1</v>
      </c>
      <c r="B173" s="6"/>
      <c r="C173" s="6"/>
      <c r="D173" s="6" t="s">
        <v>154</v>
      </c>
      <c r="E173" s="6" t="s">
        <v>155</v>
      </c>
      <c r="F173" s="9" t="str">
        <f t="shared" si="14"/>
        <v>1985-119Albis1987OTC</v>
      </c>
      <c r="G173" s="6" t="s">
        <v>156</v>
      </c>
      <c r="H173" s="6" t="s">
        <v>157</v>
      </c>
      <c r="I173" s="6" t="s">
        <v>158</v>
      </c>
      <c r="J173" s="6" t="s">
        <v>96</v>
      </c>
      <c r="K173" s="6" t="s">
        <v>159</v>
      </c>
      <c r="L173" s="6">
        <v>1987</v>
      </c>
      <c r="M173" s="6" t="s">
        <v>36</v>
      </c>
      <c r="N173" s="6" t="s">
        <v>51</v>
      </c>
      <c r="O173" s="6" t="s">
        <v>137</v>
      </c>
      <c r="P173" s="7">
        <f>(8 * R173+ 4 * 0.97*R171) / 12*1.08</f>
        <v>79.923600000000008</v>
      </c>
      <c r="Q173" s="6"/>
      <c r="R173" s="6">
        <v>95</v>
      </c>
      <c r="S173" s="6">
        <v>8</v>
      </c>
      <c r="T173" s="6">
        <f t="shared" si="15"/>
        <v>90</v>
      </c>
      <c r="U173" s="9">
        <v>4</v>
      </c>
      <c r="V173" s="13">
        <v>37.769273886058301</v>
      </c>
      <c r="W173" s="10">
        <v>31910</v>
      </c>
      <c r="X173" s="10">
        <v>31999</v>
      </c>
      <c r="Y173" s="12">
        <v>213</v>
      </c>
      <c r="Z173" s="6" t="s">
        <v>53</v>
      </c>
      <c r="AA173" s="6"/>
      <c r="AB173" s="6"/>
      <c r="AC173" s="12">
        <v>17.100000000000001</v>
      </c>
      <c r="AD173" s="7" t="s">
        <v>39</v>
      </c>
      <c r="AE173" s="6"/>
      <c r="AF173" s="6"/>
      <c r="AG173" s="12">
        <v>24.1</v>
      </c>
      <c r="AH173" s="6" t="s">
        <v>134</v>
      </c>
      <c r="AI173" s="6"/>
      <c r="AJ173" s="6"/>
      <c r="AK173" s="12">
        <v>510</v>
      </c>
      <c r="AL173" s="6" t="s">
        <v>54</v>
      </c>
      <c r="AM173" s="6"/>
      <c r="AN173" s="6"/>
      <c r="AO173" s="12">
        <f t="shared" si="16"/>
        <v>12456.140350877191</v>
      </c>
      <c r="AP173" s="6" t="s">
        <v>54</v>
      </c>
      <c r="AQ173" s="6"/>
      <c r="AR173" s="6"/>
      <c r="AS173" s="6"/>
      <c r="AT173" s="6"/>
      <c r="AU173" s="6"/>
      <c r="AV173" s="6"/>
      <c r="AW173" s="6"/>
      <c r="AX173" s="6"/>
      <c r="AY173" s="6"/>
      <c r="AZ173" s="6"/>
      <c r="BA173" s="6">
        <v>26</v>
      </c>
      <c r="BB173" s="6" t="s">
        <v>229</v>
      </c>
      <c r="BC173" s="6"/>
      <c r="BD173" s="6"/>
      <c r="BE173" s="6"/>
      <c r="BF173" s="6"/>
      <c r="BG173" s="6"/>
      <c r="BH173" s="6"/>
      <c r="BI173" s="6"/>
      <c r="BJ173" s="6"/>
      <c r="BK173" s="6"/>
      <c r="BL173" s="6"/>
      <c r="BM173" s="6"/>
      <c r="BN173" s="6"/>
      <c r="BO173" s="6"/>
      <c r="BP173" s="6"/>
      <c r="BQ173" s="6"/>
      <c r="BR173" s="6"/>
      <c r="BS173" s="6"/>
      <c r="BT173" s="6"/>
      <c r="BU173" s="6"/>
      <c r="BV173" s="6"/>
      <c r="BW173" s="6"/>
      <c r="BX173" s="6"/>
      <c r="BY173" s="6">
        <v>19.7</v>
      </c>
      <c r="BZ173" s="6" t="s">
        <v>229</v>
      </c>
      <c r="CA173" s="6"/>
      <c r="CB173" s="6"/>
      <c r="CC173" s="6"/>
      <c r="CD173" s="6"/>
      <c r="CE173" s="6"/>
      <c r="CF173" s="6"/>
      <c r="CG173" s="6"/>
      <c r="CH173" s="6"/>
      <c r="CI173" s="6"/>
      <c r="CJ173" s="6"/>
      <c r="CK173" s="6"/>
      <c r="CL173" s="6"/>
      <c r="CM173" s="6"/>
      <c r="CN173" s="6"/>
      <c r="CO173" s="6"/>
      <c r="CP173" s="6"/>
      <c r="CQ173" s="6"/>
      <c r="CR173" s="6"/>
    </row>
    <row r="174" spans="1:96" ht="15.6" x14ac:dyDescent="0.3">
      <c r="A174" s="6">
        <v>1</v>
      </c>
      <c r="B174" s="6"/>
      <c r="C174" s="6"/>
      <c r="D174" s="6" t="s">
        <v>154</v>
      </c>
      <c r="E174" s="6" t="s">
        <v>155</v>
      </c>
      <c r="F174" s="9" t="str">
        <f t="shared" si="14"/>
        <v>1985-119Albis1988OTC</v>
      </c>
      <c r="G174" s="6" t="s">
        <v>156</v>
      </c>
      <c r="H174" s="6" t="s">
        <v>157</v>
      </c>
      <c r="I174" s="6" t="s">
        <v>158</v>
      </c>
      <c r="J174" s="6" t="s">
        <v>96</v>
      </c>
      <c r="K174" s="6" t="s">
        <v>159</v>
      </c>
      <c r="L174" s="6">
        <v>1988</v>
      </c>
      <c r="M174" s="6" t="s">
        <v>36</v>
      </c>
      <c r="N174" s="6" t="s">
        <v>51</v>
      </c>
      <c r="O174" s="6" t="s">
        <v>132</v>
      </c>
      <c r="P174" s="6">
        <f>(8 * R174+ 4 * 0.97*R174) / 12*T174*12/1000+R175/1.01*(90-T174)*12/1000</f>
        <v>24.91273425742574</v>
      </c>
      <c r="Q174" s="6"/>
      <c r="R174" s="6">
        <v>22</v>
      </c>
      <c r="S174" s="6">
        <v>8</v>
      </c>
      <c r="T174" s="6">
        <f t="shared" si="15"/>
        <v>81</v>
      </c>
      <c r="U174" s="9">
        <v>4</v>
      </c>
      <c r="V174" s="13">
        <v>0.16916951417220799</v>
      </c>
      <c r="W174" s="10">
        <v>32276</v>
      </c>
      <c r="X174" s="10">
        <v>32356</v>
      </c>
      <c r="Y174" s="12">
        <v>668</v>
      </c>
      <c r="Z174" s="6" t="s">
        <v>53</v>
      </c>
      <c r="AA174" s="6"/>
      <c r="AB174" s="6"/>
      <c r="AC174" s="12">
        <v>36.1</v>
      </c>
      <c r="AD174" s="7" t="s">
        <v>39</v>
      </c>
      <c r="AE174" s="6"/>
      <c r="AF174" s="6"/>
      <c r="AG174" s="12">
        <v>34.799999999999997</v>
      </c>
      <c r="AH174" s="6" t="s">
        <v>134</v>
      </c>
      <c r="AI174" s="6"/>
      <c r="AJ174" s="6"/>
      <c r="AK174" s="12">
        <v>528</v>
      </c>
      <c r="AL174" s="6" t="s">
        <v>54</v>
      </c>
      <c r="AM174" s="6"/>
      <c r="AN174" s="6"/>
      <c r="AO174" s="12">
        <f t="shared" si="16"/>
        <v>18504.155124653738</v>
      </c>
      <c r="AP174" s="6" t="s">
        <v>54</v>
      </c>
      <c r="AQ174" s="6"/>
      <c r="AR174" s="6"/>
      <c r="AS174" s="6"/>
      <c r="AT174" s="6"/>
      <c r="AU174" s="6"/>
      <c r="AV174" s="6"/>
      <c r="AW174" s="6"/>
      <c r="AX174" s="6"/>
      <c r="AY174" s="6"/>
      <c r="AZ174" s="6"/>
      <c r="BA174" s="6">
        <v>41.3</v>
      </c>
      <c r="BB174" s="6" t="s">
        <v>229</v>
      </c>
      <c r="BC174" s="6"/>
      <c r="BD174" s="6"/>
      <c r="BE174" s="6"/>
      <c r="BF174" s="6"/>
      <c r="BG174" s="6"/>
      <c r="BH174" s="6"/>
      <c r="BI174" s="6"/>
      <c r="BJ174" s="6"/>
      <c r="BK174" s="6"/>
      <c r="BL174" s="6"/>
      <c r="BM174" s="6"/>
      <c r="BN174" s="6"/>
      <c r="BO174" s="6"/>
      <c r="BP174" s="6"/>
      <c r="BQ174" s="6"/>
      <c r="BR174" s="6"/>
      <c r="BS174" s="6"/>
      <c r="BT174" s="6"/>
      <c r="BU174" s="6"/>
      <c r="BV174" s="6"/>
      <c r="BW174" s="6"/>
      <c r="BX174" s="6"/>
      <c r="BY174" s="6">
        <v>14.5</v>
      </c>
      <c r="BZ174" s="6" t="s">
        <v>229</v>
      </c>
      <c r="CA174" s="6"/>
      <c r="CB174" s="6"/>
      <c r="CC174" s="6"/>
      <c r="CD174" s="6"/>
      <c r="CE174" s="6"/>
      <c r="CF174" s="6"/>
      <c r="CG174" s="6"/>
      <c r="CH174" s="6"/>
      <c r="CI174" s="6"/>
      <c r="CJ174" s="6"/>
      <c r="CK174" s="6"/>
      <c r="CL174" s="6"/>
      <c r="CM174" s="6"/>
      <c r="CN174" s="6"/>
      <c r="CO174" s="6"/>
      <c r="CP174" s="6"/>
      <c r="CQ174" s="6"/>
      <c r="CR174" s="6"/>
    </row>
    <row r="175" spans="1:96" ht="15.6" x14ac:dyDescent="0.3">
      <c r="A175" s="6">
        <v>1</v>
      </c>
      <c r="B175" s="6"/>
      <c r="C175" s="6"/>
      <c r="D175" s="6" t="s">
        <v>154</v>
      </c>
      <c r="E175" s="6" t="s">
        <v>155</v>
      </c>
      <c r="F175" s="9" t="str">
        <f t="shared" si="14"/>
        <v>1985-119Albis1988OTC</v>
      </c>
      <c r="G175" s="6" t="s">
        <v>156</v>
      </c>
      <c r="H175" s="6" t="s">
        <v>157</v>
      </c>
      <c r="I175" s="6" t="s">
        <v>158</v>
      </c>
      <c r="J175" s="6" t="s">
        <v>96</v>
      </c>
      <c r="K175" s="6" t="s">
        <v>159</v>
      </c>
      <c r="L175" s="6">
        <v>1988</v>
      </c>
      <c r="M175" s="6" t="s">
        <v>36</v>
      </c>
      <c r="N175" s="6" t="s">
        <v>51</v>
      </c>
      <c r="O175" s="6" t="s">
        <v>103</v>
      </c>
      <c r="P175" s="6">
        <f>R175/1.01*T175*12/1000+R175/1.01*(90-T175)*12/1000</f>
        <v>37.425742574257427</v>
      </c>
      <c r="Q175" s="6"/>
      <c r="R175" s="6">
        <v>35</v>
      </c>
      <c r="S175" s="6">
        <v>8</v>
      </c>
      <c r="T175" s="6">
        <f t="shared" si="15"/>
        <v>81</v>
      </c>
      <c r="U175" s="9">
        <v>4</v>
      </c>
      <c r="V175" s="13">
        <v>2.7820454495208602</v>
      </c>
      <c r="W175" s="10">
        <v>32276</v>
      </c>
      <c r="X175" s="10">
        <v>32356</v>
      </c>
      <c r="Y175" s="12">
        <v>611</v>
      </c>
      <c r="Z175" s="6" t="s">
        <v>53</v>
      </c>
      <c r="AA175" s="6"/>
      <c r="AB175" s="6"/>
      <c r="AC175" s="12">
        <v>35.700000000000003</v>
      </c>
      <c r="AD175" s="7" t="s">
        <v>39</v>
      </c>
      <c r="AE175" s="6"/>
      <c r="AF175" s="6"/>
      <c r="AG175" s="12">
        <v>36</v>
      </c>
      <c r="AH175" s="6" t="s">
        <v>134</v>
      </c>
      <c r="AI175" s="6"/>
      <c r="AJ175" s="6"/>
      <c r="AK175" s="12">
        <v>475.5</v>
      </c>
      <c r="AL175" s="6" t="s">
        <v>54</v>
      </c>
      <c r="AM175" s="6"/>
      <c r="AN175" s="6"/>
      <c r="AO175" s="12">
        <f t="shared" si="16"/>
        <v>17114.845938375351</v>
      </c>
      <c r="AP175" s="6" t="s">
        <v>54</v>
      </c>
      <c r="AQ175" s="6"/>
      <c r="AR175" s="6"/>
      <c r="AS175" s="6"/>
      <c r="AT175" s="6"/>
      <c r="AU175" s="6"/>
      <c r="AV175" s="6"/>
      <c r="AW175" s="6"/>
      <c r="AX175" s="6"/>
      <c r="AY175" s="6"/>
      <c r="AZ175" s="6"/>
      <c r="BA175" s="6">
        <v>42.8</v>
      </c>
      <c r="BB175" s="6" t="s">
        <v>229</v>
      </c>
      <c r="BC175" s="6"/>
      <c r="BD175" s="6"/>
      <c r="BE175" s="6"/>
      <c r="BF175" s="6"/>
      <c r="BG175" s="6"/>
      <c r="BH175" s="6"/>
      <c r="BI175" s="6"/>
      <c r="BJ175" s="6"/>
      <c r="BK175" s="6"/>
      <c r="BL175" s="6"/>
      <c r="BM175" s="6"/>
      <c r="BN175" s="6"/>
      <c r="BO175" s="6"/>
      <c r="BP175" s="6"/>
      <c r="BQ175" s="6"/>
      <c r="BR175" s="6"/>
      <c r="BS175" s="6"/>
      <c r="BT175" s="6"/>
      <c r="BU175" s="6"/>
      <c r="BV175" s="6"/>
      <c r="BW175" s="6"/>
      <c r="BX175" s="6"/>
      <c r="BY175" s="6">
        <v>14.3</v>
      </c>
      <c r="BZ175" s="6" t="s">
        <v>229</v>
      </c>
      <c r="CA175" s="6"/>
      <c r="CB175" s="6"/>
      <c r="CC175" s="6"/>
      <c r="CD175" s="6"/>
      <c r="CE175" s="6"/>
      <c r="CF175" s="6"/>
      <c r="CG175" s="6"/>
      <c r="CH175" s="6"/>
      <c r="CI175" s="6"/>
      <c r="CJ175" s="6"/>
      <c r="CK175" s="6"/>
      <c r="CL175" s="6"/>
      <c r="CM175" s="6"/>
      <c r="CN175" s="6"/>
      <c r="CO175" s="6"/>
      <c r="CP175" s="6"/>
      <c r="CQ175" s="6"/>
      <c r="CR175" s="6"/>
    </row>
    <row r="176" spans="1:96" ht="15.6" x14ac:dyDescent="0.3">
      <c r="A176" s="6">
        <v>1</v>
      </c>
      <c r="B176" s="6"/>
      <c r="C176" s="6"/>
      <c r="D176" s="6" t="s">
        <v>154</v>
      </c>
      <c r="E176" s="6" t="s">
        <v>155</v>
      </c>
      <c r="F176" s="9" t="str">
        <f t="shared" si="14"/>
        <v>1985-119Albis1988OTC</v>
      </c>
      <c r="G176" s="6" t="s">
        <v>156</v>
      </c>
      <c r="H176" s="6" t="s">
        <v>157</v>
      </c>
      <c r="I176" s="6" t="s">
        <v>158</v>
      </c>
      <c r="J176" s="6" t="s">
        <v>96</v>
      </c>
      <c r="K176" s="6" t="s">
        <v>159</v>
      </c>
      <c r="L176" s="6">
        <v>1988</v>
      </c>
      <c r="M176" s="6" t="s">
        <v>36</v>
      </c>
      <c r="N176" s="6" t="s">
        <v>51</v>
      </c>
      <c r="O176" s="6" t="s">
        <v>136</v>
      </c>
      <c r="P176" s="6">
        <f>(8 * R176+ 4 * 0.97*R175) / 12*T176*12/1000+R175/1.01*(90-T176)*12/1000</f>
        <v>55.566374257425743</v>
      </c>
      <c r="Q176" s="6"/>
      <c r="R176" s="6">
        <v>63</v>
      </c>
      <c r="S176" s="6">
        <v>8</v>
      </c>
      <c r="T176" s="6">
        <f t="shared" si="15"/>
        <v>81</v>
      </c>
      <c r="U176" s="9">
        <v>4</v>
      </c>
      <c r="V176" s="13">
        <v>14.829808857695401</v>
      </c>
      <c r="W176" s="10">
        <v>32276</v>
      </c>
      <c r="X176" s="10">
        <v>32356</v>
      </c>
      <c r="Y176" s="12">
        <v>461.00000000000006</v>
      </c>
      <c r="Z176" s="6" t="s">
        <v>53</v>
      </c>
      <c r="AA176" s="6"/>
      <c r="AB176" s="6"/>
      <c r="AC176" s="12">
        <v>27.6</v>
      </c>
      <c r="AD176" s="7" t="s">
        <v>39</v>
      </c>
      <c r="AE176" s="6"/>
      <c r="AF176" s="6"/>
      <c r="AG176" s="12">
        <v>32.1</v>
      </c>
      <c r="AH176" s="6" t="s">
        <v>134</v>
      </c>
      <c r="AI176" s="6"/>
      <c r="AJ176" s="6"/>
      <c r="AK176" s="12">
        <v>509</v>
      </c>
      <c r="AL176" s="6" t="s">
        <v>54</v>
      </c>
      <c r="AM176" s="6"/>
      <c r="AN176" s="6"/>
      <c r="AO176" s="12">
        <f t="shared" si="16"/>
        <v>16702.89855072464</v>
      </c>
      <c r="AP176" s="6" t="s">
        <v>54</v>
      </c>
      <c r="AQ176" s="6"/>
      <c r="AR176" s="6"/>
      <c r="AS176" s="6"/>
      <c r="AT176" s="6"/>
      <c r="AU176" s="6"/>
      <c r="AV176" s="6"/>
      <c r="AW176" s="6"/>
      <c r="AX176" s="6"/>
      <c r="AY176" s="6"/>
      <c r="AZ176" s="6"/>
      <c r="BA176" s="6">
        <v>38.700000000000003</v>
      </c>
      <c r="BB176" s="6" t="s">
        <v>229</v>
      </c>
      <c r="BC176" s="6"/>
      <c r="BD176" s="6"/>
      <c r="BE176" s="6"/>
      <c r="BF176" s="6"/>
      <c r="BG176" s="6"/>
      <c r="BH176" s="6"/>
      <c r="BI176" s="6"/>
      <c r="BJ176" s="6"/>
      <c r="BK176" s="6"/>
      <c r="BL176" s="6"/>
      <c r="BM176" s="6"/>
      <c r="BN176" s="6"/>
      <c r="BO176" s="6"/>
      <c r="BP176" s="6"/>
      <c r="BQ176" s="6"/>
      <c r="BR176" s="6"/>
      <c r="BS176" s="6"/>
      <c r="BT176" s="6"/>
      <c r="BU176" s="6"/>
      <c r="BV176" s="6"/>
      <c r="BW176" s="6"/>
      <c r="BX176" s="6"/>
      <c r="BY176" s="6">
        <v>16.2</v>
      </c>
      <c r="BZ176" s="6" t="s">
        <v>229</v>
      </c>
      <c r="CA176" s="6"/>
      <c r="CB176" s="6"/>
      <c r="CC176" s="6"/>
      <c r="CD176" s="6"/>
      <c r="CE176" s="6"/>
      <c r="CF176" s="6"/>
      <c r="CG176" s="6"/>
      <c r="CH176" s="6"/>
      <c r="CI176" s="6"/>
      <c r="CJ176" s="6"/>
      <c r="CK176" s="6"/>
      <c r="CL176" s="6"/>
      <c r="CM176" s="6"/>
      <c r="CN176" s="6"/>
      <c r="CO176" s="6"/>
      <c r="CP176" s="6"/>
      <c r="CQ176" s="6"/>
      <c r="CR176" s="6"/>
    </row>
    <row r="177" spans="1:96" ht="15.6" x14ac:dyDescent="0.3">
      <c r="A177" s="6">
        <v>1</v>
      </c>
      <c r="B177" s="6"/>
      <c r="C177" s="6"/>
      <c r="D177" s="6" t="s">
        <v>154</v>
      </c>
      <c r="E177" s="6" t="s">
        <v>155</v>
      </c>
      <c r="F177" s="9" t="str">
        <f t="shared" si="14"/>
        <v>1985-119Albis1988OTC</v>
      </c>
      <c r="G177" s="6" t="s">
        <v>156</v>
      </c>
      <c r="H177" s="6" t="s">
        <v>157</v>
      </c>
      <c r="I177" s="6" t="s">
        <v>158</v>
      </c>
      <c r="J177" s="6" t="s">
        <v>96</v>
      </c>
      <c r="K177" s="6" t="s">
        <v>159</v>
      </c>
      <c r="L177" s="6">
        <v>1988</v>
      </c>
      <c r="M177" s="6" t="s">
        <v>36</v>
      </c>
      <c r="N177" s="6" t="s">
        <v>51</v>
      </c>
      <c r="O177" s="6" t="s">
        <v>137</v>
      </c>
      <c r="P177" s="6">
        <f>(8 * R177+ 4 * 0.97*R175) / 12*T177*12/1000+R175/1.01*(90-T177)*12/1000</f>
        <v>72.414374257425735</v>
      </c>
      <c r="Q177" s="6"/>
      <c r="R177" s="6">
        <v>89</v>
      </c>
      <c r="S177" s="6">
        <v>8</v>
      </c>
      <c r="T177" s="6">
        <f t="shared" si="15"/>
        <v>81</v>
      </c>
      <c r="U177" s="9">
        <v>4</v>
      </c>
      <c r="V177" s="13">
        <v>30.493562298089302</v>
      </c>
      <c r="W177" s="10">
        <v>32276</v>
      </c>
      <c r="X177" s="10">
        <v>32356</v>
      </c>
      <c r="Y177" s="12">
        <v>231</v>
      </c>
      <c r="Z177" s="6" t="s">
        <v>53</v>
      </c>
      <c r="AA177" s="6"/>
      <c r="AB177" s="6"/>
      <c r="AC177" s="12">
        <v>21.2</v>
      </c>
      <c r="AD177" s="7" t="s">
        <v>39</v>
      </c>
      <c r="AE177" s="6"/>
      <c r="AF177" s="6"/>
      <c r="AG177" s="12">
        <v>25.3</v>
      </c>
      <c r="AH177" s="6" t="s">
        <v>134</v>
      </c>
      <c r="AI177" s="6"/>
      <c r="AJ177" s="6"/>
      <c r="AK177" s="12">
        <v>431</v>
      </c>
      <c r="AL177" s="6" t="s">
        <v>54</v>
      </c>
      <c r="AM177" s="6"/>
      <c r="AN177" s="6"/>
      <c r="AO177" s="12">
        <f t="shared" si="16"/>
        <v>10896.226415094339</v>
      </c>
      <c r="AP177" s="6" t="s">
        <v>54</v>
      </c>
      <c r="AQ177" s="6"/>
      <c r="AR177" s="6"/>
      <c r="AS177" s="6"/>
      <c r="AT177" s="6"/>
      <c r="AU177" s="6"/>
      <c r="AV177" s="6"/>
      <c r="AW177" s="6"/>
      <c r="AX177" s="6"/>
      <c r="AY177" s="6"/>
      <c r="AZ177" s="6"/>
      <c r="BA177" s="6">
        <v>31.7</v>
      </c>
      <c r="BB177" s="6" t="s">
        <v>229</v>
      </c>
      <c r="BC177" s="6"/>
      <c r="BD177" s="6"/>
      <c r="BE177" s="6"/>
      <c r="BF177" s="6"/>
      <c r="BG177" s="6"/>
      <c r="BH177" s="6"/>
      <c r="BI177" s="6"/>
      <c r="BJ177" s="6"/>
      <c r="BK177" s="6"/>
      <c r="BL177" s="6"/>
      <c r="BM177" s="6"/>
      <c r="BN177" s="6"/>
      <c r="BO177" s="6"/>
      <c r="BP177" s="6"/>
      <c r="BQ177" s="6"/>
      <c r="BR177" s="6"/>
      <c r="BS177" s="6"/>
      <c r="BT177" s="6"/>
      <c r="BU177" s="6"/>
      <c r="BV177" s="6"/>
      <c r="BW177" s="6"/>
      <c r="BX177" s="6"/>
      <c r="BY177" s="6">
        <v>19.2</v>
      </c>
      <c r="BZ177" s="6" t="s">
        <v>229</v>
      </c>
      <c r="CA177" s="6"/>
      <c r="CB177" s="6"/>
      <c r="CC177" s="6"/>
      <c r="CD177" s="6"/>
      <c r="CE177" s="6"/>
      <c r="CF177" s="6"/>
      <c r="CG177" s="6"/>
      <c r="CH177" s="6"/>
      <c r="CI177" s="6"/>
      <c r="CJ177" s="6"/>
      <c r="CK177" s="6"/>
      <c r="CL177" s="6"/>
      <c r="CM177" s="6"/>
      <c r="CN177" s="6"/>
      <c r="CO177" s="6"/>
      <c r="CP177" s="6"/>
      <c r="CQ177" s="6"/>
      <c r="CR177" s="6"/>
    </row>
    <row r="178" spans="1:96" ht="15.6" x14ac:dyDescent="0.3">
      <c r="A178" s="6">
        <v>1</v>
      </c>
      <c r="B178" s="6"/>
      <c r="C178" s="6"/>
      <c r="D178" s="6" t="s">
        <v>160</v>
      </c>
      <c r="E178" s="9" t="s">
        <v>161</v>
      </c>
      <c r="F178" s="9" t="str">
        <f t="shared" si="14"/>
        <v>1991-89Drabant1987OTC</v>
      </c>
      <c r="G178" s="6" t="s">
        <v>162</v>
      </c>
      <c r="H178" s="6" t="s">
        <v>157</v>
      </c>
      <c r="I178" s="9" t="s">
        <v>163</v>
      </c>
      <c r="J178" s="6" t="s">
        <v>96</v>
      </c>
      <c r="K178" s="9" t="s">
        <v>164</v>
      </c>
      <c r="L178" s="9">
        <v>1987</v>
      </c>
      <c r="M178" s="9" t="s">
        <v>36</v>
      </c>
      <c r="N178" s="9" t="s">
        <v>51</v>
      </c>
      <c r="O178" s="9" t="s">
        <v>38</v>
      </c>
      <c r="P178" s="6">
        <f>(7*R178+5*0.976*R178)/12*T178*12/1000+R179/1.01*(90-T178)*12/1000</f>
        <v>7.1997790099009897</v>
      </c>
      <c r="Q178" s="6"/>
      <c r="R178" s="9">
        <v>3</v>
      </c>
      <c r="S178" s="6">
        <v>7</v>
      </c>
      <c r="T178" s="6">
        <f t="shared" si="15"/>
        <v>62</v>
      </c>
      <c r="U178" s="9">
        <v>7</v>
      </c>
      <c r="V178" s="13">
        <v>0</v>
      </c>
      <c r="W178" s="10">
        <v>31974</v>
      </c>
      <c r="X178" s="10">
        <v>32035</v>
      </c>
      <c r="Y178" s="12">
        <v>423</v>
      </c>
      <c r="Z178" s="6" t="s">
        <v>53</v>
      </c>
      <c r="AA178" s="6" t="s">
        <v>165</v>
      </c>
      <c r="AB178" s="6">
        <v>17</v>
      </c>
      <c r="AC178" s="12">
        <v>39</v>
      </c>
      <c r="AD178" s="7" t="s">
        <v>39</v>
      </c>
      <c r="AE178" s="6"/>
      <c r="AF178" s="6"/>
      <c r="AG178" s="12">
        <f t="shared" ref="AG178:AG184" si="17">Y178/AC178*1000/AK178</f>
        <v>22.363203806502778</v>
      </c>
      <c r="AH178" s="6" t="s">
        <v>134</v>
      </c>
      <c r="AI178" s="6"/>
      <c r="AJ178" s="6"/>
      <c r="AK178" s="12">
        <v>485</v>
      </c>
      <c r="AL178" s="6" t="s">
        <v>166</v>
      </c>
      <c r="AM178" s="6"/>
      <c r="AN178" s="6">
        <v>36</v>
      </c>
      <c r="AO178" s="12">
        <f t="shared" si="16"/>
        <v>10846.153846153848</v>
      </c>
      <c r="AP178" s="6" t="s">
        <v>54</v>
      </c>
      <c r="AQ178" s="6"/>
      <c r="AR178" s="6"/>
      <c r="AS178" s="6"/>
      <c r="AT178" s="6"/>
      <c r="AU178" s="6"/>
      <c r="AV178" s="6"/>
      <c r="AW178" s="6"/>
      <c r="AX178" s="6"/>
      <c r="AY178" s="6"/>
      <c r="AZ178" s="6"/>
      <c r="BA178" s="6">
        <v>43</v>
      </c>
      <c r="BB178" s="6" t="s">
        <v>229</v>
      </c>
      <c r="BC178" s="6"/>
      <c r="BD178" s="6">
        <v>3</v>
      </c>
      <c r="BE178" s="6"/>
      <c r="BF178" s="6"/>
      <c r="BG178" s="6"/>
      <c r="BH178" s="6"/>
      <c r="BI178" s="6"/>
      <c r="BJ178" s="6"/>
      <c r="BK178" s="6"/>
      <c r="BL178" s="6"/>
      <c r="BM178" s="6"/>
      <c r="BN178" s="6"/>
      <c r="BO178" s="6"/>
      <c r="BP178" s="6"/>
      <c r="BQ178" s="6"/>
      <c r="BR178" s="6"/>
      <c r="BS178" s="6"/>
      <c r="BT178" s="6"/>
      <c r="BU178" s="6"/>
      <c r="BV178" s="6"/>
      <c r="BW178" s="6"/>
      <c r="BX178" s="6"/>
      <c r="BY178" s="6">
        <v>12.6</v>
      </c>
      <c r="BZ178" s="6" t="s">
        <v>229</v>
      </c>
      <c r="CA178" s="6"/>
      <c r="CB178" s="6">
        <v>0.5</v>
      </c>
      <c r="CC178" s="6"/>
      <c r="CD178" s="6"/>
      <c r="CE178" s="6"/>
      <c r="CF178" s="6"/>
      <c r="CG178" s="6"/>
      <c r="CH178" s="6"/>
      <c r="CI178" s="6"/>
      <c r="CJ178" s="6"/>
      <c r="CK178" s="6"/>
      <c r="CL178" s="6"/>
      <c r="CM178" s="6"/>
      <c r="CN178" s="6"/>
      <c r="CO178" s="6"/>
      <c r="CP178" s="6"/>
      <c r="CQ178" s="6"/>
      <c r="CR178" s="6"/>
    </row>
    <row r="179" spans="1:96" ht="15.6" x14ac:dyDescent="0.3">
      <c r="A179" s="6">
        <v>1</v>
      </c>
      <c r="B179" s="6"/>
      <c r="C179" s="6"/>
      <c r="D179" s="6" t="s">
        <v>160</v>
      </c>
      <c r="E179" s="9" t="s">
        <v>161</v>
      </c>
      <c r="F179" s="9" t="str">
        <f t="shared" si="14"/>
        <v>1991-89Drabant1987OTC</v>
      </c>
      <c r="G179" s="6" t="s">
        <v>162</v>
      </c>
      <c r="H179" s="6" t="s">
        <v>157</v>
      </c>
      <c r="I179" s="9" t="s">
        <v>163</v>
      </c>
      <c r="J179" s="6" t="s">
        <v>96</v>
      </c>
      <c r="K179" s="17" t="s">
        <v>164</v>
      </c>
      <c r="L179" s="17">
        <v>1987</v>
      </c>
      <c r="M179" s="9" t="s">
        <v>36</v>
      </c>
      <c r="N179" s="9" t="s">
        <v>51</v>
      </c>
      <c r="O179" s="17" t="s">
        <v>42</v>
      </c>
      <c r="P179" s="7">
        <f>R179/1.01*1.08</f>
        <v>16.039603960396043</v>
      </c>
      <c r="Q179" s="6"/>
      <c r="R179" s="17">
        <v>15</v>
      </c>
      <c r="S179" s="6">
        <v>7</v>
      </c>
      <c r="T179" s="6">
        <f t="shared" si="15"/>
        <v>62</v>
      </c>
      <c r="U179" s="17">
        <v>7</v>
      </c>
      <c r="V179" s="13">
        <v>0</v>
      </c>
      <c r="W179" s="10">
        <v>31974</v>
      </c>
      <c r="X179" s="10">
        <v>32035</v>
      </c>
      <c r="Y179" s="12">
        <v>396</v>
      </c>
      <c r="Z179" s="6" t="s">
        <v>53</v>
      </c>
      <c r="AA179" s="6" t="s">
        <v>165</v>
      </c>
      <c r="AB179" s="6">
        <v>34</v>
      </c>
      <c r="AC179" s="12">
        <v>36.799999999999997</v>
      </c>
      <c r="AD179" s="7" t="s">
        <v>39</v>
      </c>
      <c r="AE179" s="6"/>
      <c r="AF179" s="6"/>
      <c r="AG179" s="12">
        <f t="shared" si="17"/>
        <v>22.559474979491387</v>
      </c>
      <c r="AH179" s="6" t="s">
        <v>134</v>
      </c>
      <c r="AI179" s="6"/>
      <c r="AJ179" s="6"/>
      <c r="AK179" s="12">
        <v>477</v>
      </c>
      <c r="AL179" s="6" t="s">
        <v>166</v>
      </c>
      <c r="AM179" s="6"/>
      <c r="AN179" s="6">
        <v>33</v>
      </c>
      <c r="AO179" s="12">
        <f t="shared" si="16"/>
        <v>10760.869565217392</v>
      </c>
      <c r="AP179" s="6" t="s">
        <v>54</v>
      </c>
      <c r="AQ179" s="6"/>
      <c r="AR179" s="6"/>
      <c r="AS179" s="6"/>
      <c r="AT179" s="6"/>
      <c r="AU179" s="6"/>
      <c r="AV179" s="6"/>
      <c r="AW179" s="6"/>
      <c r="AX179" s="6"/>
      <c r="AY179" s="6"/>
      <c r="AZ179" s="6"/>
      <c r="BA179" s="6">
        <v>42</v>
      </c>
      <c r="BB179" s="6" t="s">
        <v>229</v>
      </c>
      <c r="BC179" s="6"/>
      <c r="BD179" s="6">
        <v>2</v>
      </c>
      <c r="BE179" s="6"/>
      <c r="BF179" s="6"/>
      <c r="BG179" s="6"/>
      <c r="BH179" s="6"/>
      <c r="BI179" s="6"/>
      <c r="BJ179" s="6"/>
      <c r="BK179" s="6"/>
      <c r="BL179" s="6"/>
      <c r="BM179" s="6"/>
      <c r="BN179" s="6"/>
      <c r="BO179" s="6"/>
      <c r="BP179" s="6"/>
      <c r="BQ179" s="6"/>
      <c r="BR179" s="6"/>
      <c r="BS179" s="6"/>
      <c r="BT179" s="6"/>
      <c r="BU179" s="6"/>
      <c r="BV179" s="6"/>
      <c r="BW179" s="6"/>
      <c r="BX179" s="6"/>
      <c r="BY179" s="6">
        <v>12.2</v>
      </c>
      <c r="BZ179" s="6" t="s">
        <v>229</v>
      </c>
      <c r="CA179" s="6"/>
      <c r="CB179" s="6">
        <v>0.2</v>
      </c>
      <c r="CC179" s="6"/>
      <c r="CD179" s="6"/>
      <c r="CE179" s="6"/>
      <c r="CF179" s="6"/>
      <c r="CG179" s="6"/>
      <c r="CH179" s="6"/>
      <c r="CI179" s="6"/>
      <c r="CJ179" s="6"/>
      <c r="CK179" s="6"/>
      <c r="CL179" s="6"/>
      <c r="CM179" s="6"/>
      <c r="CN179" s="6"/>
      <c r="CO179" s="6"/>
      <c r="CP179" s="6"/>
      <c r="CQ179" s="6"/>
      <c r="CR179" s="6"/>
    </row>
    <row r="180" spans="1:96" ht="15.6" x14ac:dyDescent="0.3">
      <c r="A180" s="6">
        <v>1</v>
      </c>
      <c r="B180" s="6"/>
      <c r="C180" s="6"/>
      <c r="D180" s="6" t="s">
        <v>160</v>
      </c>
      <c r="E180" s="9" t="s">
        <v>161</v>
      </c>
      <c r="F180" s="9" t="str">
        <f t="shared" si="14"/>
        <v>1991-89Drabant1987OTC</v>
      </c>
      <c r="G180" s="6" t="s">
        <v>162</v>
      </c>
      <c r="H180" s="6" t="s">
        <v>157</v>
      </c>
      <c r="I180" s="9" t="s">
        <v>163</v>
      </c>
      <c r="J180" s="6" t="s">
        <v>96</v>
      </c>
      <c r="K180" s="17" t="s">
        <v>164</v>
      </c>
      <c r="L180" s="17">
        <v>1987</v>
      </c>
      <c r="M180" s="9" t="s">
        <v>36</v>
      </c>
      <c r="N180" s="9" t="s">
        <v>51</v>
      </c>
      <c r="O180" s="6" t="s">
        <v>75</v>
      </c>
      <c r="P180" s="6">
        <f>(7*R180+5*0.976*R179)/12*T180*12/1000+R179/1.01*(90-T180)*12/1000</f>
        <v>27.756499009900988</v>
      </c>
      <c r="Q180" s="6"/>
      <c r="R180" s="17">
        <v>42</v>
      </c>
      <c r="S180" s="6">
        <v>7</v>
      </c>
      <c r="T180" s="6">
        <f t="shared" si="15"/>
        <v>62</v>
      </c>
      <c r="U180" s="17">
        <v>7</v>
      </c>
      <c r="V180" s="13">
        <v>0.52157833216543703</v>
      </c>
      <c r="W180" s="10">
        <v>31974</v>
      </c>
      <c r="X180" s="10">
        <v>32035</v>
      </c>
      <c r="Y180" s="12">
        <v>368</v>
      </c>
      <c r="Z180" s="6" t="s">
        <v>53</v>
      </c>
      <c r="AA180" s="6" t="s">
        <v>165</v>
      </c>
      <c r="AB180" s="6">
        <v>7</v>
      </c>
      <c r="AC180" s="12">
        <v>32.6</v>
      </c>
      <c r="AD180" s="7" t="s">
        <v>39</v>
      </c>
      <c r="AE180" s="6"/>
      <c r="AF180" s="6"/>
      <c r="AG180" s="12">
        <f t="shared" si="17"/>
        <v>22.353155560954868</v>
      </c>
      <c r="AH180" s="6" t="s">
        <v>134</v>
      </c>
      <c r="AI180" s="6"/>
      <c r="AJ180" s="6"/>
      <c r="AK180" s="12">
        <v>505</v>
      </c>
      <c r="AL180" s="6" t="s">
        <v>166</v>
      </c>
      <c r="AM180" s="6"/>
      <c r="AN180" s="6">
        <v>25</v>
      </c>
      <c r="AO180" s="12">
        <f t="shared" si="16"/>
        <v>11288.343558282208</v>
      </c>
      <c r="AP180" s="6" t="s">
        <v>54</v>
      </c>
      <c r="AQ180" s="6"/>
      <c r="AR180" s="6"/>
      <c r="AS180" s="6"/>
      <c r="AT180" s="6"/>
      <c r="AU180" s="6"/>
      <c r="AV180" s="6"/>
      <c r="AW180" s="6"/>
      <c r="AX180" s="6"/>
      <c r="AY180" s="6"/>
      <c r="AZ180" s="6"/>
      <c r="BA180" s="6">
        <v>41</v>
      </c>
      <c r="BB180" s="6" t="s">
        <v>229</v>
      </c>
      <c r="BC180" s="6"/>
      <c r="BD180" s="6">
        <v>1</v>
      </c>
      <c r="BE180" s="6"/>
      <c r="BF180" s="6"/>
      <c r="BG180" s="6"/>
      <c r="BH180" s="6"/>
      <c r="BI180" s="6"/>
      <c r="BJ180" s="6"/>
      <c r="BK180" s="6"/>
      <c r="BL180" s="6"/>
      <c r="BM180" s="6"/>
      <c r="BN180" s="6"/>
      <c r="BO180" s="6"/>
      <c r="BP180" s="6"/>
      <c r="BQ180" s="6"/>
      <c r="BR180" s="6"/>
      <c r="BS180" s="6"/>
      <c r="BT180" s="6"/>
      <c r="BU180" s="6"/>
      <c r="BV180" s="6"/>
      <c r="BW180" s="6"/>
      <c r="BX180" s="6"/>
      <c r="BY180" s="6">
        <v>13.8</v>
      </c>
      <c r="BZ180" s="6" t="s">
        <v>229</v>
      </c>
      <c r="CA180" s="6"/>
      <c r="CB180" s="6">
        <v>0.4</v>
      </c>
      <c r="CC180" s="6"/>
      <c r="CD180" s="6"/>
      <c r="CE180" s="6"/>
      <c r="CF180" s="6"/>
      <c r="CG180" s="6"/>
      <c r="CH180" s="6"/>
      <c r="CI180" s="6"/>
      <c r="CJ180" s="6"/>
      <c r="CK180" s="6"/>
      <c r="CL180" s="6"/>
      <c r="CM180" s="6"/>
      <c r="CN180" s="6"/>
      <c r="CO180" s="6"/>
      <c r="CP180" s="6"/>
      <c r="CQ180" s="6"/>
      <c r="CR180" s="6"/>
    </row>
    <row r="181" spans="1:96" ht="15.6" x14ac:dyDescent="0.3">
      <c r="A181" s="6">
        <v>1</v>
      </c>
      <c r="B181" s="6"/>
      <c r="C181" s="6"/>
      <c r="D181" s="6" t="s">
        <v>160</v>
      </c>
      <c r="E181" s="9" t="s">
        <v>161</v>
      </c>
      <c r="F181" s="9" t="str">
        <f t="shared" si="14"/>
        <v>1991-89Drabant1988OTC</v>
      </c>
      <c r="G181" s="6" t="s">
        <v>162</v>
      </c>
      <c r="H181" s="6" t="s">
        <v>157</v>
      </c>
      <c r="I181" s="9" t="s">
        <v>163</v>
      </c>
      <c r="J181" s="6" t="s">
        <v>96</v>
      </c>
      <c r="K181" s="9" t="s">
        <v>164</v>
      </c>
      <c r="L181" s="9">
        <v>1988</v>
      </c>
      <c r="M181" s="9" t="s">
        <v>36</v>
      </c>
      <c r="N181" s="9" t="s">
        <v>51</v>
      </c>
      <c r="O181" s="9" t="s">
        <v>38</v>
      </c>
      <c r="P181" s="6">
        <f>(7*R181+5*0.976*R181)/12*T181*12/1000+R182/1.01*(90-T181)*12/1000</f>
        <v>12.878808712871288</v>
      </c>
      <c r="Q181" s="6"/>
      <c r="R181" s="9">
        <v>6</v>
      </c>
      <c r="S181" s="6">
        <v>7</v>
      </c>
      <c r="T181" s="6">
        <f t="shared" si="15"/>
        <v>56</v>
      </c>
      <c r="U181" s="9">
        <v>5</v>
      </c>
      <c r="V181" s="13">
        <v>0</v>
      </c>
      <c r="W181" s="10">
        <v>32330</v>
      </c>
      <c r="X181" s="10">
        <v>32385</v>
      </c>
      <c r="Y181" s="12">
        <v>615</v>
      </c>
      <c r="Z181" s="6" t="s">
        <v>53</v>
      </c>
      <c r="AA181" s="6" t="s">
        <v>165</v>
      </c>
      <c r="AB181" s="6">
        <v>58</v>
      </c>
      <c r="AC181" s="12">
        <v>41.2</v>
      </c>
      <c r="AD181" s="7" t="s">
        <v>39</v>
      </c>
      <c r="AE181" s="6"/>
      <c r="AF181" s="6"/>
      <c r="AG181" s="12">
        <f t="shared" si="17"/>
        <v>23.107096696624485</v>
      </c>
      <c r="AH181" s="6" t="s">
        <v>134</v>
      </c>
      <c r="AI181" s="6"/>
      <c r="AJ181" s="6"/>
      <c r="AK181" s="12">
        <v>646</v>
      </c>
      <c r="AL181" s="6" t="s">
        <v>166</v>
      </c>
      <c r="AM181" s="6"/>
      <c r="AN181" s="6">
        <v>52</v>
      </c>
      <c r="AO181" s="12">
        <f t="shared" si="16"/>
        <v>14927.184466019417</v>
      </c>
      <c r="AP181" s="6" t="s">
        <v>54</v>
      </c>
      <c r="AQ181" s="6"/>
      <c r="AR181" s="6"/>
      <c r="AS181" s="6"/>
      <c r="AT181" s="6"/>
      <c r="AU181" s="6"/>
      <c r="AV181" s="6"/>
      <c r="AW181" s="6"/>
      <c r="AX181" s="6"/>
      <c r="AY181" s="6"/>
      <c r="AZ181" s="6"/>
      <c r="BA181" s="6">
        <v>50</v>
      </c>
      <c r="BB181" s="6" t="s">
        <v>229</v>
      </c>
      <c r="BC181" s="6"/>
      <c r="BD181" s="6">
        <v>1</v>
      </c>
      <c r="BE181" s="6"/>
      <c r="BF181" s="6"/>
      <c r="BG181" s="6"/>
      <c r="BH181" s="6"/>
      <c r="BI181" s="6"/>
      <c r="BJ181" s="6"/>
      <c r="BK181" s="6"/>
      <c r="BL181" s="6"/>
      <c r="BM181" s="6"/>
      <c r="BN181" s="6"/>
      <c r="BO181" s="6"/>
      <c r="BP181" s="6"/>
      <c r="BQ181" s="6"/>
      <c r="BR181" s="6"/>
      <c r="BS181" s="6"/>
      <c r="BT181" s="6"/>
      <c r="BU181" s="6"/>
      <c r="BV181" s="6"/>
      <c r="BW181" s="6"/>
      <c r="BX181" s="6"/>
      <c r="BY181" s="6">
        <v>13.6</v>
      </c>
      <c r="BZ181" s="6" t="s">
        <v>229</v>
      </c>
      <c r="CA181" s="6"/>
      <c r="CB181" s="6">
        <v>0.5</v>
      </c>
      <c r="CC181" s="6"/>
      <c r="CD181" s="6"/>
      <c r="CE181" s="6"/>
      <c r="CF181" s="6"/>
      <c r="CG181" s="6"/>
      <c r="CH181" s="6"/>
      <c r="CI181" s="6"/>
      <c r="CJ181" s="6"/>
      <c r="CK181" s="6"/>
      <c r="CL181" s="6"/>
      <c r="CM181" s="6"/>
      <c r="CN181" s="6"/>
      <c r="CO181" s="6"/>
      <c r="CP181" s="6"/>
      <c r="CQ181" s="6"/>
      <c r="CR181" s="6"/>
    </row>
    <row r="182" spans="1:96" ht="15.6" x14ac:dyDescent="0.3">
      <c r="A182" s="6">
        <v>1</v>
      </c>
      <c r="B182" s="6"/>
      <c r="C182" s="6"/>
      <c r="D182" s="6" t="s">
        <v>160</v>
      </c>
      <c r="E182" s="9" t="s">
        <v>161</v>
      </c>
      <c r="F182" s="9" t="str">
        <f t="shared" si="14"/>
        <v>1991-89Drabant1988OTC</v>
      </c>
      <c r="G182" s="6" t="s">
        <v>162</v>
      </c>
      <c r="H182" s="6" t="s">
        <v>157</v>
      </c>
      <c r="I182" s="9" t="s">
        <v>163</v>
      </c>
      <c r="J182" s="6" t="s">
        <v>96</v>
      </c>
      <c r="K182" s="17" t="s">
        <v>164</v>
      </c>
      <c r="L182" s="17">
        <v>1988</v>
      </c>
      <c r="M182" s="9" t="s">
        <v>36</v>
      </c>
      <c r="N182" s="9" t="s">
        <v>51</v>
      </c>
      <c r="O182" s="17" t="s">
        <v>42</v>
      </c>
      <c r="P182" s="7">
        <f>R182/1.01*1.08</f>
        <v>23.524752475247528</v>
      </c>
      <c r="Q182" s="6"/>
      <c r="R182" s="17">
        <v>22</v>
      </c>
      <c r="S182" s="6">
        <v>7</v>
      </c>
      <c r="T182" s="6">
        <f t="shared" si="15"/>
        <v>56</v>
      </c>
      <c r="U182" s="17">
        <v>5</v>
      </c>
      <c r="V182" s="13">
        <v>2.6422220032823501E-2</v>
      </c>
      <c r="W182" s="10">
        <v>32330</v>
      </c>
      <c r="X182" s="10">
        <v>32385</v>
      </c>
      <c r="Y182" s="12">
        <v>577</v>
      </c>
      <c r="Z182" s="6" t="s">
        <v>53</v>
      </c>
      <c r="AA182" s="6" t="s">
        <v>165</v>
      </c>
      <c r="AB182" s="6">
        <v>73</v>
      </c>
      <c r="AC182" s="12">
        <v>39.6</v>
      </c>
      <c r="AD182" s="7" t="s">
        <v>39</v>
      </c>
      <c r="AE182" s="6"/>
      <c r="AF182" s="6"/>
      <c r="AG182" s="12">
        <f t="shared" si="17"/>
        <v>22.313487091435025</v>
      </c>
      <c r="AH182" s="6" t="s">
        <v>134</v>
      </c>
      <c r="AI182" s="6"/>
      <c r="AJ182" s="6"/>
      <c r="AK182" s="12">
        <v>653</v>
      </c>
      <c r="AL182" s="6" t="s">
        <v>166</v>
      </c>
      <c r="AM182" s="6"/>
      <c r="AN182" s="6">
        <v>45</v>
      </c>
      <c r="AO182" s="12">
        <f t="shared" si="16"/>
        <v>14570.707070707071</v>
      </c>
      <c r="AP182" s="6" t="s">
        <v>54</v>
      </c>
      <c r="AQ182" s="6"/>
      <c r="AR182" s="6"/>
      <c r="AS182" s="6"/>
      <c r="AT182" s="6"/>
      <c r="AU182" s="6"/>
      <c r="AV182" s="6"/>
      <c r="AW182" s="6"/>
      <c r="AX182" s="6"/>
      <c r="AY182" s="6"/>
      <c r="AZ182" s="6"/>
      <c r="BA182" s="6">
        <v>50</v>
      </c>
      <c r="BB182" s="6" t="s">
        <v>229</v>
      </c>
      <c r="BC182" s="6"/>
      <c r="BD182" s="6">
        <v>1</v>
      </c>
      <c r="BE182" s="6"/>
      <c r="BF182" s="6"/>
      <c r="BG182" s="6"/>
      <c r="BH182" s="6"/>
      <c r="BI182" s="6"/>
      <c r="BJ182" s="6"/>
      <c r="BK182" s="6"/>
      <c r="BL182" s="6"/>
      <c r="BM182" s="6"/>
      <c r="BN182" s="6"/>
      <c r="BO182" s="6"/>
      <c r="BP182" s="6"/>
      <c r="BQ182" s="6"/>
      <c r="BR182" s="6"/>
      <c r="BS182" s="6"/>
      <c r="BT182" s="6"/>
      <c r="BU182" s="6"/>
      <c r="BV182" s="6"/>
      <c r="BW182" s="6"/>
      <c r="BX182" s="6"/>
      <c r="BY182" s="6">
        <v>13.7</v>
      </c>
      <c r="BZ182" s="6" t="s">
        <v>229</v>
      </c>
      <c r="CA182" s="6"/>
      <c r="CB182" s="6">
        <v>0.2</v>
      </c>
      <c r="CC182" s="6"/>
      <c r="CD182" s="6"/>
      <c r="CE182" s="6"/>
      <c r="CF182" s="6"/>
      <c r="CG182" s="6"/>
      <c r="CH182" s="6"/>
      <c r="CI182" s="6"/>
      <c r="CJ182" s="6"/>
      <c r="CK182" s="6"/>
      <c r="CL182" s="6"/>
      <c r="CM182" s="6"/>
      <c r="CN182" s="6"/>
      <c r="CO182" s="6"/>
      <c r="CP182" s="6"/>
      <c r="CQ182" s="6"/>
      <c r="CR182" s="6"/>
    </row>
    <row r="183" spans="1:96" ht="15.6" x14ac:dyDescent="0.3">
      <c r="A183" s="6">
        <v>1</v>
      </c>
      <c r="B183" s="6"/>
      <c r="C183" s="6"/>
      <c r="D183" s="6" t="s">
        <v>160</v>
      </c>
      <c r="E183" s="9" t="s">
        <v>161</v>
      </c>
      <c r="F183" s="9" t="str">
        <f t="shared" si="14"/>
        <v>1991-89Drabant1988OTC</v>
      </c>
      <c r="G183" s="6" t="s">
        <v>162</v>
      </c>
      <c r="H183" s="6" t="s">
        <v>157</v>
      </c>
      <c r="I183" s="9" t="s">
        <v>163</v>
      </c>
      <c r="J183" s="6" t="s">
        <v>96</v>
      </c>
      <c r="K183" s="17" t="s">
        <v>164</v>
      </c>
      <c r="L183" s="17">
        <v>1988</v>
      </c>
      <c r="M183" s="9" t="s">
        <v>36</v>
      </c>
      <c r="N183" s="9" t="s">
        <v>51</v>
      </c>
      <c r="O183" s="6" t="s">
        <v>136</v>
      </c>
      <c r="P183" s="6">
        <f>(7*R183+5*0.976*R182)/12*T183*12/1000+R182/1.01*(90-T183)*12/1000</f>
        <v>32.147288712871287</v>
      </c>
      <c r="Q183" s="6"/>
      <c r="R183" s="17">
        <v>44</v>
      </c>
      <c r="S183" s="6">
        <v>7</v>
      </c>
      <c r="T183" s="6">
        <f t="shared" si="15"/>
        <v>56</v>
      </c>
      <c r="U183" s="17">
        <v>5</v>
      </c>
      <c r="V183" s="13">
        <v>1.28822803845163</v>
      </c>
      <c r="W183" s="10">
        <v>32330</v>
      </c>
      <c r="X183" s="10">
        <v>32385</v>
      </c>
      <c r="Y183" s="12">
        <v>535</v>
      </c>
      <c r="Z183" s="6" t="s">
        <v>53</v>
      </c>
      <c r="AA183" s="6" t="s">
        <v>165</v>
      </c>
      <c r="AB183" s="6">
        <v>60</v>
      </c>
      <c r="AC183" s="12">
        <v>37.299999999999997</v>
      </c>
      <c r="AD183" s="7" t="s">
        <v>39</v>
      </c>
      <c r="AE183" s="6"/>
      <c r="AF183" s="6"/>
      <c r="AG183" s="12">
        <f t="shared" si="17"/>
        <v>20.578426885041598</v>
      </c>
      <c r="AH183" s="6" t="s">
        <v>134</v>
      </c>
      <c r="AI183" s="6"/>
      <c r="AJ183" s="6"/>
      <c r="AK183" s="12">
        <v>697</v>
      </c>
      <c r="AL183" s="6" t="s">
        <v>166</v>
      </c>
      <c r="AM183" s="6"/>
      <c r="AN183" s="6">
        <v>60</v>
      </c>
      <c r="AO183" s="12">
        <f t="shared" si="16"/>
        <v>14343.163538873994</v>
      </c>
      <c r="AP183" s="6" t="s">
        <v>54</v>
      </c>
      <c r="AQ183" s="6"/>
      <c r="AR183" s="6"/>
      <c r="AS183" s="6"/>
      <c r="AT183" s="6"/>
      <c r="AU183" s="6"/>
      <c r="AV183" s="6"/>
      <c r="AW183" s="6"/>
      <c r="AX183" s="6"/>
      <c r="AY183" s="6"/>
      <c r="AZ183" s="6"/>
      <c r="BA183" s="6">
        <v>48</v>
      </c>
      <c r="BB183" s="6" t="s">
        <v>229</v>
      </c>
      <c r="BC183" s="6"/>
      <c r="BD183" s="6">
        <v>2</v>
      </c>
      <c r="BE183" s="6"/>
      <c r="BF183" s="6"/>
      <c r="BG183" s="6"/>
      <c r="BH183" s="6"/>
      <c r="BI183" s="6"/>
      <c r="BJ183" s="6"/>
      <c r="BK183" s="6"/>
      <c r="BL183" s="6"/>
      <c r="BM183" s="6"/>
      <c r="BN183" s="6"/>
      <c r="BO183" s="6"/>
      <c r="BP183" s="6"/>
      <c r="BQ183" s="6"/>
      <c r="BR183" s="6"/>
      <c r="BS183" s="6"/>
      <c r="BT183" s="6"/>
      <c r="BU183" s="6"/>
      <c r="BV183" s="6"/>
      <c r="BW183" s="6"/>
      <c r="BX183" s="6"/>
      <c r="BY183" s="6">
        <v>14.2</v>
      </c>
      <c r="BZ183" s="6" t="s">
        <v>229</v>
      </c>
      <c r="CA183" s="6"/>
      <c r="CB183" s="6">
        <v>0.8</v>
      </c>
      <c r="CC183" s="6"/>
      <c r="CD183" s="6"/>
      <c r="CE183" s="6"/>
      <c r="CF183" s="6"/>
      <c r="CG183" s="6"/>
      <c r="CH183" s="6"/>
      <c r="CI183" s="6"/>
      <c r="CJ183" s="6"/>
      <c r="CK183" s="6"/>
      <c r="CL183" s="6"/>
      <c r="CM183" s="6"/>
      <c r="CN183" s="6"/>
      <c r="CO183" s="6"/>
      <c r="CP183" s="6"/>
      <c r="CQ183" s="6"/>
      <c r="CR183" s="6"/>
    </row>
    <row r="184" spans="1:96" ht="15.6" x14ac:dyDescent="0.3">
      <c r="A184" s="6">
        <v>1</v>
      </c>
      <c r="B184" s="6"/>
      <c r="C184" s="6"/>
      <c r="D184" s="6" t="s">
        <v>160</v>
      </c>
      <c r="E184" s="9" t="s">
        <v>161</v>
      </c>
      <c r="F184" s="9" t="str">
        <f t="shared" si="14"/>
        <v>1991-89Drabant1988OTC</v>
      </c>
      <c r="G184" s="6" t="s">
        <v>162</v>
      </c>
      <c r="H184" s="6" t="s">
        <v>157</v>
      </c>
      <c r="I184" s="9" t="s">
        <v>163</v>
      </c>
      <c r="J184" s="6" t="s">
        <v>96</v>
      </c>
      <c r="K184" s="17" t="s">
        <v>164</v>
      </c>
      <c r="L184" s="17">
        <v>1988</v>
      </c>
      <c r="M184" s="9" t="s">
        <v>36</v>
      </c>
      <c r="N184" s="9" t="s">
        <v>51</v>
      </c>
      <c r="O184" s="6" t="s">
        <v>137</v>
      </c>
      <c r="P184" s="6">
        <f>(7*R184+5*0.976*R182)/12*T184*12/1000+R182/1.01*(90-T184)*12/1000</f>
        <v>36.851288712871295</v>
      </c>
      <c r="Q184" s="6"/>
      <c r="R184" s="17">
        <v>56</v>
      </c>
      <c r="S184" s="6">
        <v>7</v>
      </c>
      <c r="T184" s="6">
        <f t="shared" si="15"/>
        <v>56</v>
      </c>
      <c r="U184" s="17">
        <v>5</v>
      </c>
      <c r="V184" s="13">
        <v>2.5792630900391802</v>
      </c>
      <c r="W184" s="10">
        <v>32330</v>
      </c>
      <c r="X184" s="10">
        <v>32385</v>
      </c>
      <c r="Y184" s="12">
        <v>448</v>
      </c>
      <c r="Z184" s="6" t="s">
        <v>53</v>
      </c>
      <c r="AA184" s="6" t="s">
        <v>165</v>
      </c>
      <c r="AB184" s="6">
        <v>44</v>
      </c>
      <c r="AC184" s="12">
        <v>30</v>
      </c>
      <c r="AD184" s="7" t="s">
        <v>39</v>
      </c>
      <c r="AE184" s="6"/>
      <c r="AF184" s="6"/>
      <c r="AG184" s="12">
        <f t="shared" si="17"/>
        <v>21.425155428024869</v>
      </c>
      <c r="AH184" s="6" t="s">
        <v>134</v>
      </c>
      <c r="AI184" s="6"/>
      <c r="AJ184" s="6"/>
      <c r="AK184" s="12">
        <v>697</v>
      </c>
      <c r="AL184" s="6" t="s">
        <v>166</v>
      </c>
      <c r="AM184" s="6"/>
      <c r="AN184" s="6">
        <v>60</v>
      </c>
      <c r="AO184" s="12">
        <f t="shared" si="16"/>
        <v>14933.333333333334</v>
      </c>
      <c r="AP184" s="6" t="s">
        <v>54</v>
      </c>
      <c r="AQ184" s="6"/>
      <c r="AR184" s="6"/>
      <c r="AS184" s="6"/>
      <c r="AT184" s="6"/>
      <c r="AU184" s="6"/>
      <c r="AV184" s="6"/>
      <c r="AW184" s="6"/>
      <c r="AX184" s="6"/>
      <c r="AY184" s="6"/>
      <c r="AZ184" s="6"/>
      <c r="BA184" s="6">
        <v>43</v>
      </c>
      <c r="BB184" s="6" t="s">
        <v>229</v>
      </c>
      <c r="BC184" s="6"/>
      <c r="BD184" s="6">
        <v>2</v>
      </c>
      <c r="BE184" s="6"/>
      <c r="BF184" s="6"/>
      <c r="BG184" s="6"/>
      <c r="BH184" s="6"/>
      <c r="BI184" s="6"/>
      <c r="BJ184" s="6"/>
      <c r="BK184" s="6"/>
      <c r="BL184" s="6"/>
      <c r="BM184" s="6"/>
      <c r="BN184" s="6"/>
      <c r="BO184" s="6"/>
      <c r="BP184" s="6"/>
      <c r="BQ184" s="6"/>
      <c r="BR184" s="6"/>
      <c r="BS184" s="6"/>
      <c r="BT184" s="6"/>
      <c r="BU184" s="6"/>
      <c r="BV184" s="6"/>
      <c r="BW184" s="6"/>
      <c r="BX184" s="6"/>
      <c r="BY184" s="6">
        <v>15.2</v>
      </c>
      <c r="BZ184" s="6" t="s">
        <v>229</v>
      </c>
      <c r="CA184" s="6"/>
      <c r="CB184" s="6">
        <v>0.6</v>
      </c>
      <c r="CC184" s="6"/>
      <c r="CD184" s="6"/>
      <c r="CE184" s="6"/>
      <c r="CF184" s="6"/>
      <c r="CG184" s="6"/>
      <c r="CH184" s="6"/>
      <c r="CI184" s="6"/>
      <c r="CJ184" s="6"/>
      <c r="CK184" s="6"/>
      <c r="CL184" s="6"/>
      <c r="CM184" s="6"/>
      <c r="CN184" s="6"/>
      <c r="CO184" s="6"/>
      <c r="CP184" s="6"/>
      <c r="CQ184" s="6"/>
      <c r="CR184" s="6"/>
    </row>
    <row r="185" spans="1:96" ht="15.6" x14ac:dyDescent="0.3">
      <c r="A185" s="6">
        <v>1</v>
      </c>
      <c r="B185" s="6"/>
      <c r="C185" s="6"/>
      <c r="D185" s="6" t="s">
        <v>167</v>
      </c>
      <c r="E185" s="9" t="s">
        <v>168</v>
      </c>
      <c r="F185" s="9" t="str">
        <f t="shared" si="14"/>
        <v>1992-37Albis1989OTC</v>
      </c>
      <c r="G185" s="6" t="s">
        <v>156</v>
      </c>
      <c r="H185" s="6" t="s">
        <v>157</v>
      </c>
      <c r="I185" s="9" t="s">
        <v>169</v>
      </c>
      <c r="J185" s="6" t="s">
        <v>96</v>
      </c>
      <c r="K185" s="9" t="s">
        <v>159</v>
      </c>
      <c r="L185" s="9">
        <v>1989</v>
      </c>
      <c r="M185" s="9" t="s">
        <v>36</v>
      </c>
      <c r="N185" s="9" t="s">
        <v>51</v>
      </c>
      <c r="O185" s="9" t="s">
        <v>38</v>
      </c>
      <c r="P185" s="7">
        <f>(7*R185+5*0.976*R185)/12*1.08</f>
        <v>21.384587804962081</v>
      </c>
      <c r="Q185" s="6"/>
      <c r="R185" s="9">
        <v>20.000549761468459</v>
      </c>
      <c r="S185" s="6">
        <v>7</v>
      </c>
      <c r="T185" s="6">
        <f t="shared" si="15"/>
        <v>91</v>
      </c>
      <c r="U185" s="9">
        <v>3</v>
      </c>
      <c r="V185" s="13">
        <v>0</v>
      </c>
      <c r="W185" s="10">
        <v>32644</v>
      </c>
      <c r="X185" s="10">
        <v>32734</v>
      </c>
      <c r="Y185" s="19">
        <v>661</v>
      </c>
      <c r="Z185" s="9" t="s">
        <v>53</v>
      </c>
      <c r="AA185" s="6" t="s">
        <v>170</v>
      </c>
      <c r="AB185" s="6"/>
      <c r="AC185" s="19">
        <v>37.700000000000003</v>
      </c>
      <c r="AD185" s="7" t="s">
        <v>39</v>
      </c>
      <c r="AE185" s="6"/>
      <c r="AF185" s="6"/>
      <c r="AG185" s="12">
        <v>38.4</v>
      </c>
      <c r="AH185" s="6" t="s">
        <v>134</v>
      </c>
      <c r="AI185" s="6"/>
      <c r="AJ185" s="6"/>
      <c r="AK185" s="12">
        <v>456</v>
      </c>
      <c r="AL185" s="6" t="s">
        <v>166</v>
      </c>
      <c r="AM185" s="6"/>
      <c r="AN185" s="6"/>
      <c r="AO185" s="12">
        <f t="shared" si="16"/>
        <v>17533.156498673739</v>
      </c>
      <c r="AP185" s="6" t="s">
        <v>54</v>
      </c>
      <c r="AQ185" s="6"/>
      <c r="AR185" s="6"/>
      <c r="AS185" s="6"/>
      <c r="AT185" s="6"/>
      <c r="AU185" s="6"/>
      <c r="AV185" s="6"/>
      <c r="AW185" s="6"/>
      <c r="AX185" s="6"/>
      <c r="AY185" s="6"/>
      <c r="AZ185" s="6"/>
      <c r="BA185" s="6">
        <v>48.8</v>
      </c>
      <c r="BB185" s="6" t="s">
        <v>229</v>
      </c>
      <c r="BC185" s="6"/>
      <c r="BD185" s="6"/>
      <c r="BE185" s="6"/>
      <c r="BF185" s="6"/>
      <c r="BG185" s="6"/>
      <c r="BH185" s="6"/>
      <c r="BI185" s="6"/>
      <c r="BJ185" s="6"/>
      <c r="BK185" s="6"/>
      <c r="BL185" s="6"/>
      <c r="BM185" s="6"/>
      <c r="BN185" s="6"/>
      <c r="BO185" s="6"/>
      <c r="BP185" s="6"/>
      <c r="BQ185" s="6"/>
      <c r="BR185" s="6"/>
      <c r="BS185" s="6"/>
      <c r="BT185" s="6"/>
      <c r="BU185" s="6"/>
      <c r="BV185" s="6"/>
      <c r="BW185" s="6"/>
      <c r="BX185" s="6"/>
      <c r="BY185" s="6">
        <v>12.8</v>
      </c>
      <c r="BZ185" s="6" t="s">
        <v>229</v>
      </c>
      <c r="CA185" s="6"/>
      <c r="CB185" s="6"/>
      <c r="CC185" s="6">
        <v>64.5</v>
      </c>
      <c r="CD185" s="6" t="s">
        <v>229</v>
      </c>
      <c r="CE185" s="6"/>
      <c r="CF185" s="6"/>
      <c r="CG185" s="6"/>
      <c r="CH185" s="6"/>
      <c r="CI185" s="6"/>
      <c r="CJ185" s="6"/>
      <c r="CK185" s="6"/>
      <c r="CL185" s="6"/>
      <c r="CM185" s="6"/>
      <c r="CN185" s="6"/>
      <c r="CO185" s="6"/>
      <c r="CP185" s="6"/>
      <c r="CQ185" s="6"/>
      <c r="CR185" s="6"/>
    </row>
    <row r="186" spans="1:96" ht="15.6" x14ac:dyDescent="0.3">
      <c r="A186" s="6">
        <v>1</v>
      </c>
      <c r="B186" s="6"/>
      <c r="C186" s="6"/>
      <c r="D186" s="6" t="s">
        <v>167</v>
      </c>
      <c r="E186" s="9" t="s">
        <v>168</v>
      </c>
      <c r="F186" s="9" t="str">
        <f t="shared" si="14"/>
        <v>1992-37Albis1989OTC</v>
      </c>
      <c r="G186" s="6" t="s">
        <v>156</v>
      </c>
      <c r="H186" s="6" t="s">
        <v>157</v>
      </c>
      <c r="I186" s="9" t="s">
        <v>169</v>
      </c>
      <c r="J186" s="6" t="s">
        <v>96</v>
      </c>
      <c r="K186" s="9" t="s">
        <v>159</v>
      </c>
      <c r="L186" s="17">
        <v>1989</v>
      </c>
      <c r="M186" s="9" t="s">
        <v>36</v>
      </c>
      <c r="N186" s="9" t="s">
        <v>51</v>
      </c>
      <c r="O186" s="17" t="s">
        <v>42</v>
      </c>
      <c r="P186" s="7">
        <f>R186/1.01*1.08</f>
        <v>41.585301484241342</v>
      </c>
      <c r="Q186" s="6"/>
      <c r="R186" s="9">
        <v>38.889957869521993</v>
      </c>
      <c r="S186" s="6">
        <v>7</v>
      </c>
      <c r="T186" s="6">
        <f t="shared" si="15"/>
        <v>91</v>
      </c>
      <c r="U186" s="9">
        <v>3</v>
      </c>
      <c r="V186" s="13">
        <v>4.6083782087559699</v>
      </c>
      <c r="W186" s="10">
        <v>32644</v>
      </c>
      <c r="X186" s="10">
        <v>32734</v>
      </c>
      <c r="Y186" s="19">
        <v>630</v>
      </c>
      <c r="Z186" s="9" t="s">
        <v>53</v>
      </c>
      <c r="AA186" s="6" t="s">
        <v>170</v>
      </c>
      <c r="AB186" s="6"/>
      <c r="AC186" s="19">
        <v>38.4</v>
      </c>
      <c r="AD186" s="7" t="s">
        <v>39</v>
      </c>
      <c r="AE186" s="6"/>
      <c r="AF186" s="6"/>
      <c r="AG186" s="12">
        <v>36.200000000000003</v>
      </c>
      <c r="AH186" s="6" t="s">
        <v>134</v>
      </c>
      <c r="AI186" s="6"/>
      <c r="AJ186" s="6"/>
      <c r="AK186" s="12">
        <v>462</v>
      </c>
      <c r="AL186" s="6" t="s">
        <v>166</v>
      </c>
      <c r="AM186" s="6"/>
      <c r="AN186" s="6"/>
      <c r="AO186" s="12">
        <f t="shared" si="16"/>
        <v>16406.25</v>
      </c>
      <c r="AP186" s="6" t="s">
        <v>54</v>
      </c>
      <c r="AQ186" s="6"/>
      <c r="AR186" s="6"/>
      <c r="AS186" s="6"/>
      <c r="AT186" s="6"/>
      <c r="AU186" s="6"/>
      <c r="AV186" s="6"/>
      <c r="AW186" s="6"/>
      <c r="AX186" s="6"/>
      <c r="AY186" s="6"/>
      <c r="AZ186" s="6"/>
      <c r="BA186" s="6">
        <v>49.7</v>
      </c>
      <c r="BB186" s="6" t="s">
        <v>229</v>
      </c>
      <c r="BC186" s="6"/>
      <c r="BD186" s="6"/>
      <c r="BE186" s="6"/>
      <c r="BF186" s="6"/>
      <c r="BG186" s="6"/>
      <c r="BH186" s="6"/>
      <c r="BI186" s="6"/>
      <c r="BJ186" s="6"/>
      <c r="BK186" s="6"/>
      <c r="BL186" s="6"/>
      <c r="BM186" s="6"/>
      <c r="BN186" s="6"/>
      <c r="BO186" s="6"/>
      <c r="BP186" s="6"/>
      <c r="BQ186" s="6"/>
      <c r="BR186" s="6"/>
      <c r="BS186" s="6"/>
      <c r="BT186" s="6"/>
      <c r="BU186" s="6"/>
      <c r="BV186" s="6"/>
      <c r="BW186" s="6"/>
      <c r="BX186" s="6"/>
      <c r="BY186" s="6">
        <v>13.2</v>
      </c>
      <c r="BZ186" s="6" t="s">
        <v>229</v>
      </c>
      <c r="CA186" s="6"/>
      <c r="CB186" s="6"/>
      <c r="CC186" s="6">
        <v>63.9</v>
      </c>
      <c r="CD186" s="6" t="s">
        <v>229</v>
      </c>
      <c r="CE186" s="6"/>
      <c r="CF186" s="6"/>
      <c r="CG186" s="6"/>
      <c r="CH186" s="6"/>
      <c r="CI186" s="6"/>
      <c r="CJ186" s="6"/>
      <c r="CK186" s="6"/>
      <c r="CL186" s="6"/>
      <c r="CM186" s="6"/>
      <c r="CN186" s="6"/>
      <c r="CO186" s="6"/>
      <c r="CP186" s="6"/>
      <c r="CQ186" s="6"/>
      <c r="CR186" s="6"/>
    </row>
    <row r="187" spans="1:96" ht="15.6" x14ac:dyDescent="0.3">
      <c r="A187" s="6">
        <v>1</v>
      </c>
      <c r="B187" s="6"/>
      <c r="C187" s="6"/>
      <c r="D187" s="6" t="s">
        <v>167</v>
      </c>
      <c r="E187" s="9" t="s">
        <v>168</v>
      </c>
      <c r="F187" s="9" t="str">
        <f t="shared" si="14"/>
        <v>1992-37Albis1989OTC</v>
      </c>
      <c r="G187" s="6" t="s">
        <v>156</v>
      </c>
      <c r="H187" s="6" t="s">
        <v>157</v>
      </c>
      <c r="I187" s="9" t="s">
        <v>169</v>
      </c>
      <c r="J187" s="6" t="s">
        <v>96</v>
      </c>
      <c r="K187" s="9" t="s">
        <v>159</v>
      </c>
      <c r="L187" s="17">
        <v>1989</v>
      </c>
      <c r="M187" s="9" t="s">
        <v>36</v>
      </c>
      <c r="N187" s="9" t="s">
        <v>51</v>
      </c>
      <c r="O187" s="6" t="s">
        <v>136</v>
      </c>
      <c r="P187" s="7">
        <f>(7*R187+5*0.976*R186)/12*1.08</f>
        <v>51.031402716386772</v>
      </c>
      <c r="Q187" s="6"/>
      <c r="R187" s="9">
        <v>53.890370190623344</v>
      </c>
      <c r="S187" s="6">
        <v>7</v>
      </c>
      <c r="T187" s="6">
        <f t="shared" si="15"/>
        <v>91</v>
      </c>
      <c r="U187" s="9">
        <v>3</v>
      </c>
      <c r="V187" s="13">
        <v>11.012574761161099</v>
      </c>
      <c r="W187" s="10">
        <v>32644</v>
      </c>
      <c r="X187" s="10">
        <v>32734</v>
      </c>
      <c r="Y187" s="19">
        <v>536</v>
      </c>
      <c r="Z187" s="9" t="s">
        <v>53</v>
      </c>
      <c r="AA187" s="6" t="s">
        <v>170</v>
      </c>
      <c r="AB187" s="6"/>
      <c r="AC187" s="19">
        <v>34</v>
      </c>
      <c r="AD187" s="7" t="s">
        <v>39</v>
      </c>
      <c r="AE187" s="6"/>
      <c r="AF187" s="6"/>
      <c r="AG187" s="12">
        <v>36.1</v>
      </c>
      <c r="AH187" s="6" t="s">
        <v>134</v>
      </c>
      <c r="AI187" s="6"/>
      <c r="AJ187" s="6"/>
      <c r="AK187" s="12">
        <v>451</v>
      </c>
      <c r="AL187" s="6" t="s">
        <v>166</v>
      </c>
      <c r="AM187" s="6"/>
      <c r="AN187" s="6"/>
      <c r="AO187" s="12">
        <f t="shared" si="16"/>
        <v>15764.705882352942</v>
      </c>
      <c r="AP187" s="6" t="s">
        <v>54</v>
      </c>
      <c r="AQ187" s="6"/>
      <c r="AR187" s="6"/>
      <c r="AS187" s="6"/>
      <c r="AT187" s="6"/>
      <c r="AU187" s="6"/>
      <c r="AV187" s="6"/>
      <c r="AW187" s="6"/>
      <c r="AX187" s="6"/>
      <c r="AY187" s="6"/>
      <c r="AZ187" s="6"/>
      <c r="BA187" s="6">
        <v>47.1</v>
      </c>
      <c r="BB187" s="6" t="s">
        <v>229</v>
      </c>
      <c r="BC187" s="6"/>
      <c r="BD187" s="6"/>
      <c r="BE187" s="6"/>
      <c r="BF187" s="6"/>
      <c r="BG187" s="6"/>
      <c r="BH187" s="6"/>
      <c r="BI187" s="6"/>
      <c r="BJ187" s="6"/>
      <c r="BK187" s="6"/>
      <c r="BL187" s="6"/>
      <c r="BM187" s="6"/>
      <c r="BN187" s="6"/>
      <c r="BO187" s="6"/>
      <c r="BP187" s="6"/>
      <c r="BQ187" s="6"/>
      <c r="BR187" s="6"/>
      <c r="BS187" s="6"/>
      <c r="BT187" s="6"/>
      <c r="BU187" s="6"/>
      <c r="BV187" s="6"/>
      <c r="BW187" s="6"/>
      <c r="BX187" s="6"/>
      <c r="BY187" s="6">
        <v>13.1</v>
      </c>
      <c r="BZ187" s="6" t="s">
        <v>229</v>
      </c>
      <c r="CA187" s="6"/>
      <c r="CB187" s="6"/>
      <c r="CC187" s="6">
        <v>64.2</v>
      </c>
      <c r="CD187" s="6" t="s">
        <v>229</v>
      </c>
      <c r="CE187" s="6"/>
      <c r="CF187" s="6"/>
      <c r="CG187" s="6"/>
      <c r="CH187" s="6"/>
      <c r="CI187" s="6"/>
      <c r="CJ187" s="6"/>
      <c r="CK187" s="6"/>
      <c r="CL187" s="6"/>
      <c r="CM187" s="6"/>
      <c r="CN187" s="6"/>
      <c r="CO187" s="6"/>
      <c r="CP187" s="6"/>
      <c r="CQ187" s="6"/>
      <c r="CR187" s="6"/>
    </row>
    <row r="188" spans="1:96" ht="15.6" x14ac:dyDescent="0.3">
      <c r="A188" s="6">
        <v>1</v>
      </c>
      <c r="B188" s="6"/>
      <c r="C188" s="6"/>
      <c r="D188" s="6" t="s">
        <v>167</v>
      </c>
      <c r="E188" s="9" t="s">
        <v>168</v>
      </c>
      <c r="F188" s="9" t="str">
        <f t="shared" si="14"/>
        <v>1992-37Albis1989OTC</v>
      </c>
      <c r="G188" s="6" t="s">
        <v>156</v>
      </c>
      <c r="H188" s="6" t="s">
        <v>157</v>
      </c>
      <c r="I188" s="9" t="s">
        <v>169</v>
      </c>
      <c r="J188" s="6" t="s">
        <v>96</v>
      </c>
      <c r="K188" s="9" t="s">
        <v>159</v>
      </c>
      <c r="L188" s="17">
        <v>1989</v>
      </c>
      <c r="M188" s="9" t="s">
        <v>36</v>
      </c>
      <c r="N188" s="9" t="s">
        <v>51</v>
      </c>
      <c r="O188" s="6" t="s">
        <v>137</v>
      </c>
      <c r="P188" s="7">
        <f>(7*R188+5*0.976*R186)/12*1.08</f>
        <v>59.781643237029208</v>
      </c>
      <c r="Q188" s="6"/>
      <c r="R188" s="9">
        <v>67.779640858309762</v>
      </c>
      <c r="S188" s="6">
        <v>7</v>
      </c>
      <c r="T188" s="6">
        <f t="shared" si="15"/>
        <v>91</v>
      </c>
      <c r="U188" s="9">
        <v>3</v>
      </c>
      <c r="V188" s="13">
        <v>18.596503033997301</v>
      </c>
      <c r="W188" s="10">
        <v>32644</v>
      </c>
      <c r="X188" s="10">
        <v>32734</v>
      </c>
      <c r="Y188" s="19">
        <v>467</v>
      </c>
      <c r="Z188" s="9" t="s">
        <v>53</v>
      </c>
      <c r="AA188" s="6" t="s">
        <v>170</v>
      </c>
      <c r="AB188" s="6"/>
      <c r="AC188" s="19">
        <v>29.6</v>
      </c>
      <c r="AD188" s="7" t="s">
        <v>39</v>
      </c>
      <c r="AE188" s="6"/>
      <c r="AF188" s="6"/>
      <c r="AG188" s="12">
        <v>34.700000000000003</v>
      </c>
      <c r="AH188" s="6" t="s">
        <v>134</v>
      </c>
      <c r="AI188" s="6"/>
      <c r="AJ188" s="6"/>
      <c r="AK188" s="12">
        <v>438</v>
      </c>
      <c r="AL188" s="6" t="s">
        <v>166</v>
      </c>
      <c r="AM188" s="6"/>
      <c r="AN188" s="6"/>
      <c r="AO188" s="12">
        <f t="shared" si="16"/>
        <v>15777.027027027027</v>
      </c>
      <c r="AP188" s="6" t="s">
        <v>54</v>
      </c>
      <c r="AQ188" s="6"/>
      <c r="AR188" s="6"/>
      <c r="AS188" s="6"/>
      <c r="AT188" s="6"/>
      <c r="AU188" s="6"/>
      <c r="AV188" s="6"/>
      <c r="AW188" s="6"/>
      <c r="AX188" s="6"/>
      <c r="AY188" s="6"/>
      <c r="AZ188" s="6"/>
      <c r="BA188" s="6">
        <v>42.9</v>
      </c>
      <c r="BB188" s="6" t="s">
        <v>229</v>
      </c>
      <c r="BC188" s="6"/>
      <c r="BD188" s="6"/>
      <c r="BE188" s="6"/>
      <c r="BF188" s="6"/>
      <c r="BG188" s="6"/>
      <c r="BH188" s="6"/>
      <c r="BI188" s="6"/>
      <c r="BJ188" s="6"/>
      <c r="BK188" s="6"/>
      <c r="BL188" s="6"/>
      <c r="BM188" s="6"/>
      <c r="BN188" s="6"/>
      <c r="BO188" s="6"/>
      <c r="BP188" s="6"/>
      <c r="BQ188" s="6"/>
      <c r="BR188" s="6"/>
      <c r="BS188" s="6"/>
      <c r="BT188" s="6"/>
      <c r="BU188" s="6"/>
      <c r="BV188" s="6"/>
      <c r="BW188" s="6"/>
      <c r="BX188" s="6"/>
      <c r="BY188" s="6">
        <v>13.4</v>
      </c>
      <c r="BZ188" s="6" t="s">
        <v>229</v>
      </c>
      <c r="CA188" s="6"/>
      <c r="CB188" s="6"/>
      <c r="CC188" s="6">
        <v>62.9</v>
      </c>
      <c r="CD188" s="6" t="s">
        <v>229</v>
      </c>
      <c r="CE188" s="6"/>
      <c r="CF188" s="6"/>
      <c r="CG188" s="6"/>
      <c r="CH188" s="6"/>
      <c r="CI188" s="6"/>
      <c r="CJ188" s="6"/>
      <c r="CK188" s="6"/>
      <c r="CL188" s="6"/>
      <c r="CM188" s="6"/>
      <c r="CN188" s="6"/>
      <c r="CO188" s="6"/>
      <c r="CP188" s="6"/>
      <c r="CQ188" s="6"/>
      <c r="CR188" s="6"/>
    </row>
    <row r="189" spans="1:96" ht="15.6" x14ac:dyDescent="0.3">
      <c r="A189" s="6">
        <v>1</v>
      </c>
      <c r="B189" s="6"/>
      <c r="C189" s="6"/>
      <c r="D189" s="6" t="s">
        <v>167</v>
      </c>
      <c r="E189" s="9" t="s">
        <v>168</v>
      </c>
      <c r="F189" s="9" t="str">
        <f t="shared" si="14"/>
        <v>1992-37Albis1990OTC</v>
      </c>
      <c r="G189" s="6" t="s">
        <v>156</v>
      </c>
      <c r="H189" s="6" t="s">
        <v>157</v>
      </c>
      <c r="I189" s="9" t="s">
        <v>169</v>
      </c>
      <c r="J189" s="6" t="s">
        <v>96</v>
      </c>
      <c r="K189" s="9" t="s">
        <v>159</v>
      </c>
      <c r="L189" s="9">
        <v>1990</v>
      </c>
      <c r="M189" s="9" t="s">
        <v>36</v>
      </c>
      <c r="N189" s="9" t="s">
        <v>51</v>
      </c>
      <c r="O189" s="9" t="s">
        <v>38</v>
      </c>
      <c r="P189" s="6">
        <f>(7*R189+5*0.976*R189)/12*T189*12/1000+R190/1.01*(90-T189)*12/1000</f>
        <v>20.672845300495926</v>
      </c>
      <c r="Q189" s="6"/>
      <c r="R189" s="9">
        <v>18.81820060661811</v>
      </c>
      <c r="S189" s="6">
        <v>7</v>
      </c>
      <c r="T189" s="6">
        <f t="shared" si="15"/>
        <v>88</v>
      </c>
      <c r="U189" s="9">
        <v>3</v>
      </c>
      <c r="V189" s="13">
        <v>0</v>
      </c>
      <c r="W189" s="10">
        <v>33007</v>
      </c>
      <c r="X189" s="10">
        <v>33094</v>
      </c>
      <c r="Y189" s="19">
        <v>739</v>
      </c>
      <c r="Z189" s="9" t="s">
        <v>53</v>
      </c>
      <c r="AA189" s="6" t="s">
        <v>170</v>
      </c>
      <c r="AB189" s="6"/>
      <c r="AC189" s="19">
        <v>39.1</v>
      </c>
      <c r="AD189" s="7" t="s">
        <v>39</v>
      </c>
      <c r="AE189" s="6"/>
      <c r="AF189" s="6"/>
      <c r="AG189" s="12">
        <v>37.200000000000003</v>
      </c>
      <c r="AH189" s="6" t="s">
        <v>134</v>
      </c>
      <c r="AI189" s="6"/>
      <c r="AJ189" s="6"/>
      <c r="AK189" s="12">
        <v>515</v>
      </c>
      <c r="AL189" s="6" t="s">
        <v>166</v>
      </c>
      <c r="AM189" s="6"/>
      <c r="AN189" s="6"/>
      <c r="AO189" s="12">
        <f t="shared" si="16"/>
        <v>18900.2557544757</v>
      </c>
      <c r="AP189" s="6" t="s">
        <v>54</v>
      </c>
      <c r="AQ189" s="6"/>
      <c r="AR189" s="6"/>
      <c r="AS189" s="6"/>
      <c r="AT189" s="6"/>
      <c r="AU189" s="6"/>
      <c r="AV189" s="6"/>
      <c r="AW189" s="6"/>
      <c r="AX189" s="6"/>
      <c r="AY189" s="6"/>
      <c r="AZ189" s="6"/>
      <c r="BA189" s="6">
        <v>50.3</v>
      </c>
      <c r="BB189" s="6" t="s">
        <v>229</v>
      </c>
      <c r="BC189" s="6"/>
      <c r="BD189" s="6"/>
      <c r="BE189" s="6"/>
      <c r="BF189" s="6"/>
      <c r="BG189" s="6"/>
      <c r="BH189" s="6"/>
      <c r="BI189" s="6"/>
      <c r="BJ189" s="6"/>
      <c r="BK189" s="6"/>
      <c r="BL189" s="6"/>
      <c r="BM189" s="6"/>
      <c r="BN189" s="6"/>
      <c r="BO189" s="6"/>
      <c r="BP189" s="6"/>
      <c r="BQ189" s="6"/>
      <c r="BR189" s="6"/>
      <c r="BS189" s="6"/>
      <c r="BT189" s="6"/>
      <c r="BU189" s="6"/>
      <c r="BV189" s="6"/>
      <c r="BW189" s="6"/>
      <c r="BX189" s="6"/>
      <c r="BY189" s="6">
        <v>13.1</v>
      </c>
      <c r="BZ189" s="6" t="s">
        <v>229</v>
      </c>
      <c r="CA189" s="6"/>
      <c r="CB189" s="6"/>
      <c r="CC189" s="6">
        <v>61.3</v>
      </c>
      <c r="CD189" s="6" t="s">
        <v>229</v>
      </c>
      <c r="CE189" s="6"/>
      <c r="CF189" s="6"/>
      <c r="CG189" s="6"/>
      <c r="CH189" s="6"/>
      <c r="CI189" s="6"/>
      <c r="CJ189" s="6"/>
      <c r="CK189" s="6"/>
      <c r="CL189" s="6"/>
      <c r="CM189" s="6"/>
      <c r="CN189" s="6"/>
      <c r="CO189" s="6"/>
      <c r="CP189" s="6"/>
      <c r="CQ189" s="6"/>
      <c r="CR189" s="6"/>
    </row>
    <row r="190" spans="1:96" ht="15.6" x14ac:dyDescent="0.3">
      <c r="A190" s="6">
        <v>1</v>
      </c>
      <c r="B190" s="6"/>
      <c r="C190" s="6"/>
      <c r="D190" s="6" t="s">
        <v>167</v>
      </c>
      <c r="E190" s="9" t="s">
        <v>168</v>
      </c>
      <c r="F190" s="9" t="str">
        <f t="shared" si="14"/>
        <v>1992-37Albis1990OTC</v>
      </c>
      <c r="G190" s="6" t="s">
        <v>156</v>
      </c>
      <c r="H190" s="6" t="s">
        <v>157</v>
      </c>
      <c r="I190" s="9" t="s">
        <v>169</v>
      </c>
      <c r="J190" s="6" t="s">
        <v>96</v>
      </c>
      <c r="K190" s="9" t="s">
        <v>159</v>
      </c>
      <c r="L190" s="17">
        <v>1990</v>
      </c>
      <c r="M190" s="9" t="s">
        <v>36</v>
      </c>
      <c r="N190" s="9" t="s">
        <v>51</v>
      </c>
      <c r="O190" s="17" t="s">
        <v>42</v>
      </c>
      <c r="P190" s="7">
        <f>R190/1.01*1.08</f>
        <v>44.979554624088941</v>
      </c>
      <c r="Q190" s="6"/>
      <c r="R190" s="9">
        <v>42.064213120675767</v>
      </c>
      <c r="S190" s="6">
        <v>7</v>
      </c>
      <c r="T190" s="6">
        <f t="shared" si="15"/>
        <v>88</v>
      </c>
      <c r="U190" s="9">
        <v>3</v>
      </c>
      <c r="V190" s="13">
        <v>6.5846869894592803</v>
      </c>
      <c r="W190" s="10">
        <v>33007</v>
      </c>
      <c r="X190" s="10">
        <v>33094</v>
      </c>
      <c r="Y190" s="19">
        <v>688</v>
      </c>
      <c r="Z190" s="9" t="s">
        <v>53</v>
      </c>
      <c r="AA190" s="6" t="s">
        <v>170</v>
      </c>
      <c r="AB190" s="6"/>
      <c r="AC190" s="19">
        <v>38.6</v>
      </c>
      <c r="AD190" s="7" t="s">
        <v>39</v>
      </c>
      <c r="AE190" s="6"/>
      <c r="AF190" s="6"/>
      <c r="AG190" s="12">
        <v>35.200000000000003</v>
      </c>
      <c r="AH190" s="6" t="s">
        <v>134</v>
      </c>
      <c r="AI190" s="6"/>
      <c r="AJ190" s="6"/>
      <c r="AK190" s="12">
        <v>508</v>
      </c>
      <c r="AL190" s="6" t="s">
        <v>166</v>
      </c>
      <c r="AM190" s="6"/>
      <c r="AN190" s="6"/>
      <c r="AO190" s="12">
        <f t="shared" si="16"/>
        <v>17823.834196891192</v>
      </c>
      <c r="AP190" s="6" t="s">
        <v>54</v>
      </c>
      <c r="AQ190" s="6"/>
      <c r="AR190" s="6"/>
      <c r="AS190" s="6"/>
      <c r="AT190" s="6"/>
      <c r="AU190" s="6"/>
      <c r="AV190" s="6"/>
      <c r="AW190" s="6"/>
      <c r="AX190" s="6"/>
      <c r="AY190" s="6"/>
      <c r="AZ190" s="6"/>
      <c r="BA190" s="6">
        <v>50.9</v>
      </c>
      <c r="BB190" s="6" t="s">
        <v>229</v>
      </c>
      <c r="BC190" s="6"/>
      <c r="BD190" s="6"/>
      <c r="BE190" s="6"/>
      <c r="BF190" s="6"/>
      <c r="BG190" s="6"/>
      <c r="BH190" s="6"/>
      <c r="BI190" s="6"/>
      <c r="BJ190" s="6"/>
      <c r="BK190" s="6"/>
      <c r="BL190" s="6"/>
      <c r="BM190" s="6"/>
      <c r="BN190" s="6"/>
      <c r="BO190" s="6"/>
      <c r="BP190" s="6"/>
      <c r="BQ190" s="6"/>
      <c r="BR190" s="6"/>
      <c r="BS190" s="6"/>
      <c r="BT190" s="6"/>
      <c r="BU190" s="6"/>
      <c r="BV190" s="6"/>
      <c r="BW190" s="6"/>
      <c r="BX190" s="6"/>
      <c r="BY190" s="6">
        <v>13.1</v>
      </c>
      <c r="BZ190" s="6" t="s">
        <v>229</v>
      </c>
      <c r="CA190" s="6"/>
      <c r="CB190" s="6"/>
      <c r="CC190" s="6">
        <v>61.1</v>
      </c>
      <c r="CD190" s="6" t="s">
        <v>229</v>
      </c>
      <c r="CE190" s="6"/>
      <c r="CF190" s="6"/>
      <c r="CG190" s="6"/>
      <c r="CH190" s="6"/>
      <c r="CI190" s="6"/>
      <c r="CJ190" s="6"/>
      <c r="CK190" s="6"/>
      <c r="CL190" s="6"/>
      <c r="CM190" s="6"/>
      <c r="CN190" s="6"/>
      <c r="CO190" s="6"/>
      <c r="CP190" s="6"/>
      <c r="CQ190" s="6"/>
      <c r="CR190" s="6"/>
    </row>
    <row r="191" spans="1:96" ht="15.6" x14ac:dyDescent="0.3">
      <c r="A191" s="6">
        <v>1</v>
      </c>
      <c r="B191" s="6"/>
      <c r="C191" s="6"/>
      <c r="D191" s="6" t="s">
        <v>167</v>
      </c>
      <c r="E191" s="9" t="s">
        <v>168</v>
      </c>
      <c r="F191" s="9" t="str">
        <f t="shared" si="14"/>
        <v>1992-37Albis1990OTC</v>
      </c>
      <c r="G191" s="6" t="s">
        <v>156</v>
      </c>
      <c r="H191" s="6" t="s">
        <v>157</v>
      </c>
      <c r="I191" s="9" t="s">
        <v>169</v>
      </c>
      <c r="J191" s="6" t="s">
        <v>96</v>
      </c>
      <c r="K191" s="9" t="s">
        <v>159</v>
      </c>
      <c r="L191" s="17">
        <v>1990</v>
      </c>
      <c r="M191" s="9" t="s">
        <v>36</v>
      </c>
      <c r="N191" s="9" t="s">
        <v>51</v>
      </c>
      <c r="O191" s="6" t="s">
        <v>136</v>
      </c>
      <c r="P191" s="6">
        <f>(7*R191+5*0.976*R190)/12*T191*12/1000+R190/1.01*(90-T191)*12/1000</f>
        <v>56.226226679996273</v>
      </c>
      <c r="Q191" s="6"/>
      <c r="R191" s="9">
        <v>60.328937238863936</v>
      </c>
      <c r="S191" s="6">
        <v>7</v>
      </c>
      <c r="T191" s="6">
        <f t="shared" si="15"/>
        <v>88</v>
      </c>
      <c r="U191" s="9">
        <v>3</v>
      </c>
      <c r="V191" s="13">
        <v>15.4082260212028</v>
      </c>
      <c r="W191" s="10">
        <v>33007</v>
      </c>
      <c r="X191" s="10">
        <v>33094</v>
      </c>
      <c r="Y191" s="19">
        <v>630</v>
      </c>
      <c r="Z191" s="9" t="s">
        <v>53</v>
      </c>
      <c r="AA191" s="6" t="s">
        <v>170</v>
      </c>
      <c r="AB191" s="6"/>
      <c r="AC191" s="19">
        <v>36.4</v>
      </c>
      <c r="AD191" s="7" t="s">
        <v>39</v>
      </c>
      <c r="AE191" s="6"/>
      <c r="AF191" s="6"/>
      <c r="AG191" s="12">
        <v>36.1</v>
      </c>
      <c r="AH191" s="6" t="s">
        <v>134</v>
      </c>
      <c r="AI191" s="6"/>
      <c r="AJ191" s="6"/>
      <c r="AK191" s="12">
        <v>481</v>
      </c>
      <c r="AL191" s="6" t="s">
        <v>166</v>
      </c>
      <c r="AM191" s="6"/>
      <c r="AN191" s="6"/>
      <c r="AO191" s="12">
        <f t="shared" si="16"/>
        <v>17307.692307692305</v>
      </c>
      <c r="AP191" s="6" t="s">
        <v>54</v>
      </c>
      <c r="AQ191" s="6"/>
      <c r="AR191" s="6"/>
      <c r="AS191" s="6"/>
      <c r="AT191" s="6"/>
      <c r="AU191" s="6"/>
      <c r="AV191" s="6"/>
      <c r="AW191" s="6"/>
      <c r="AX191" s="6"/>
      <c r="AY191" s="6"/>
      <c r="AZ191" s="6"/>
      <c r="BA191" s="6">
        <v>49.5</v>
      </c>
      <c r="BB191" s="6" t="s">
        <v>229</v>
      </c>
      <c r="BC191" s="6"/>
      <c r="BD191" s="6"/>
      <c r="BE191" s="6"/>
      <c r="BF191" s="6"/>
      <c r="BG191" s="6"/>
      <c r="BH191" s="6"/>
      <c r="BI191" s="6"/>
      <c r="BJ191" s="6"/>
      <c r="BK191" s="6"/>
      <c r="BL191" s="6"/>
      <c r="BM191" s="6"/>
      <c r="BN191" s="6"/>
      <c r="BO191" s="6"/>
      <c r="BP191" s="6"/>
      <c r="BQ191" s="6"/>
      <c r="BR191" s="6"/>
      <c r="BS191" s="6"/>
      <c r="BT191" s="6"/>
      <c r="BU191" s="6"/>
      <c r="BV191" s="6"/>
      <c r="BW191" s="6"/>
      <c r="BX191" s="6"/>
      <c r="BY191" s="6">
        <v>13.7</v>
      </c>
      <c r="BZ191" s="6" t="s">
        <v>229</v>
      </c>
      <c r="CA191" s="6"/>
      <c r="CB191" s="6"/>
      <c r="CC191" s="6">
        <v>62.1</v>
      </c>
      <c r="CD191" s="6" t="s">
        <v>229</v>
      </c>
      <c r="CE191" s="6"/>
      <c r="CF191" s="6"/>
      <c r="CG191" s="6"/>
      <c r="CH191" s="6"/>
      <c r="CI191" s="6"/>
      <c r="CJ191" s="6"/>
      <c r="CK191" s="6"/>
      <c r="CL191" s="6"/>
      <c r="CM191" s="6"/>
      <c r="CN191" s="6"/>
      <c r="CO191" s="6"/>
      <c r="CP191" s="6"/>
      <c r="CQ191" s="6"/>
      <c r="CR191" s="6"/>
    </row>
    <row r="192" spans="1:96" ht="15.6" x14ac:dyDescent="0.3">
      <c r="A192" s="6">
        <v>1</v>
      </c>
      <c r="B192" s="6"/>
      <c r="C192" s="6"/>
      <c r="D192" s="6" t="s">
        <v>167</v>
      </c>
      <c r="E192" s="9" t="s">
        <v>168</v>
      </c>
      <c r="F192" s="9" t="str">
        <f t="shared" si="14"/>
        <v>1992-37Albis1990OTC</v>
      </c>
      <c r="G192" s="6" t="s">
        <v>156</v>
      </c>
      <c r="H192" s="6" t="s">
        <v>157</v>
      </c>
      <c r="I192" s="9" t="s">
        <v>169</v>
      </c>
      <c r="J192" s="6" t="s">
        <v>96</v>
      </c>
      <c r="K192" s="9" t="s">
        <v>159</v>
      </c>
      <c r="L192" s="17">
        <v>1990</v>
      </c>
      <c r="M192" s="9" t="s">
        <v>36</v>
      </c>
      <c r="N192" s="9" t="s">
        <v>51</v>
      </c>
      <c r="O192" s="6" t="s">
        <v>137</v>
      </c>
      <c r="P192" s="6">
        <f>(7*R192+5*0.976*R190)/12*T192*12/1000+R190/1.01*(90-T192)*12/1000</f>
        <v>66.795413703054479</v>
      </c>
      <c r="Q192" s="6"/>
      <c r="R192" s="9">
        <v>77.486708380192198</v>
      </c>
      <c r="S192" s="6">
        <v>7</v>
      </c>
      <c r="T192" s="6">
        <f t="shared" si="15"/>
        <v>88</v>
      </c>
      <c r="U192" s="9">
        <v>3</v>
      </c>
      <c r="V192" s="13">
        <v>25.126809126261598</v>
      </c>
      <c r="W192" s="10">
        <v>33007</v>
      </c>
      <c r="X192" s="10">
        <v>33094</v>
      </c>
      <c r="Y192" s="19">
        <v>501.99999999999994</v>
      </c>
      <c r="Z192" s="9" t="s">
        <v>53</v>
      </c>
      <c r="AA192" s="6" t="s">
        <v>170</v>
      </c>
      <c r="AB192" s="6"/>
      <c r="AC192" s="19">
        <v>31</v>
      </c>
      <c r="AD192" s="7" t="s">
        <v>39</v>
      </c>
      <c r="AE192" s="6"/>
      <c r="AF192" s="6"/>
      <c r="AG192" s="12">
        <v>33.6</v>
      </c>
      <c r="AH192" s="6" t="s">
        <v>134</v>
      </c>
      <c r="AI192" s="6"/>
      <c r="AJ192" s="6"/>
      <c r="AK192" s="12">
        <v>485</v>
      </c>
      <c r="AL192" s="6" t="s">
        <v>166</v>
      </c>
      <c r="AM192" s="6"/>
      <c r="AN192" s="6"/>
      <c r="AO192" s="12">
        <f t="shared" si="16"/>
        <v>16193.548387096773</v>
      </c>
      <c r="AP192" s="6" t="s">
        <v>54</v>
      </c>
      <c r="AQ192" s="6"/>
      <c r="AR192" s="6"/>
      <c r="AS192" s="6"/>
      <c r="AT192" s="6"/>
      <c r="AU192" s="6"/>
      <c r="AV192" s="6"/>
      <c r="AW192" s="6"/>
      <c r="AX192" s="6"/>
      <c r="AY192" s="6"/>
      <c r="AZ192" s="6"/>
      <c r="BA192" s="6">
        <v>46.3</v>
      </c>
      <c r="BB192" s="6" t="s">
        <v>229</v>
      </c>
      <c r="BC192" s="6"/>
      <c r="BD192" s="6"/>
      <c r="BE192" s="6"/>
      <c r="BF192" s="6"/>
      <c r="BG192" s="6"/>
      <c r="BH192" s="6"/>
      <c r="BI192" s="6"/>
      <c r="BJ192" s="6"/>
      <c r="BK192" s="6"/>
      <c r="BL192" s="6"/>
      <c r="BM192" s="6"/>
      <c r="BN192" s="6"/>
      <c r="BO192" s="6"/>
      <c r="BP192" s="6"/>
      <c r="BQ192" s="6"/>
      <c r="BR192" s="6"/>
      <c r="BS192" s="6"/>
      <c r="BT192" s="6"/>
      <c r="BU192" s="6"/>
      <c r="BV192" s="6"/>
      <c r="BW192" s="6"/>
      <c r="BX192" s="6"/>
      <c r="BY192" s="6">
        <v>14.4</v>
      </c>
      <c r="BZ192" s="6" t="s">
        <v>229</v>
      </c>
      <c r="CA192" s="6"/>
      <c r="CB192" s="6"/>
      <c r="CC192" s="6">
        <v>60.9</v>
      </c>
      <c r="CD192" s="6" t="s">
        <v>229</v>
      </c>
      <c r="CE192" s="6"/>
      <c r="CF192" s="6"/>
      <c r="CG192" s="6"/>
      <c r="CH192" s="6"/>
      <c r="CI192" s="6"/>
      <c r="CJ192" s="6"/>
      <c r="CK192" s="6"/>
      <c r="CL192" s="6"/>
      <c r="CM192" s="6"/>
      <c r="CN192" s="6"/>
      <c r="CO192" s="6"/>
      <c r="CP192" s="6"/>
      <c r="CQ192" s="6"/>
      <c r="CR192" s="6"/>
    </row>
    <row r="193" spans="1:96" ht="15.6" x14ac:dyDescent="0.3">
      <c r="A193" s="6">
        <v>1</v>
      </c>
      <c r="B193" s="6"/>
      <c r="C193" s="6"/>
      <c r="D193" s="6" t="s">
        <v>171</v>
      </c>
      <c r="E193" s="9" t="s">
        <v>172</v>
      </c>
      <c r="F193" s="9" t="str">
        <f t="shared" si="14"/>
        <v>1996-30Promessa1991OTC</v>
      </c>
      <c r="G193" s="6" t="s">
        <v>173</v>
      </c>
      <c r="H193" s="6" t="s">
        <v>157</v>
      </c>
      <c r="I193" s="6" t="s">
        <v>174</v>
      </c>
      <c r="J193" s="6" t="s">
        <v>96</v>
      </c>
      <c r="K193" s="6" t="s">
        <v>175</v>
      </c>
      <c r="L193" s="6">
        <v>1991</v>
      </c>
      <c r="M193" s="6" t="s">
        <v>97</v>
      </c>
      <c r="N193" s="6" t="s">
        <v>37</v>
      </c>
      <c r="O193" s="6" t="s">
        <v>132</v>
      </c>
      <c r="P193" s="6">
        <f t="shared" ref="P193:P202" si="18">R193/1.01*1.08</f>
        <v>5.9881188118811881</v>
      </c>
      <c r="Q193" s="6"/>
      <c r="R193" s="6">
        <v>5.6</v>
      </c>
      <c r="S193" s="6">
        <v>12</v>
      </c>
      <c r="T193" s="6">
        <f t="shared" si="15"/>
        <v>102</v>
      </c>
      <c r="U193" s="6">
        <v>3</v>
      </c>
      <c r="V193" s="13">
        <v>0</v>
      </c>
      <c r="W193" s="10">
        <v>33359</v>
      </c>
      <c r="X193" s="10">
        <v>33460</v>
      </c>
      <c r="Y193" s="12">
        <v>4.04</v>
      </c>
      <c r="Z193" s="6" t="s">
        <v>245</v>
      </c>
      <c r="AA193" s="6"/>
      <c r="AB193" s="6">
        <v>0.34</v>
      </c>
      <c r="AC193" s="12">
        <v>51.66</v>
      </c>
      <c r="AD193" s="7" t="s">
        <v>39</v>
      </c>
      <c r="AE193" s="6"/>
      <c r="AF193" s="6">
        <v>0.88</v>
      </c>
      <c r="AG193" s="12">
        <v>38.33</v>
      </c>
      <c r="AH193" s="6" t="s">
        <v>134</v>
      </c>
      <c r="AI193" s="6"/>
      <c r="AJ193" s="6">
        <v>0.56999999999999995</v>
      </c>
      <c r="AK193" s="12">
        <v>2.39</v>
      </c>
      <c r="AL193" s="6" t="s">
        <v>67</v>
      </c>
      <c r="AM193" s="6"/>
      <c r="AN193" s="6">
        <v>0.13</v>
      </c>
      <c r="AO193" s="12">
        <f t="shared" si="16"/>
        <v>78.203639179248938</v>
      </c>
      <c r="AP193" s="6" t="s">
        <v>67</v>
      </c>
      <c r="AQ193" s="6"/>
      <c r="AR193" s="6"/>
      <c r="AS193" s="6">
        <v>337.25</v>
      </c>
      <c r="AT193" s="6" t="s">
        <v>54</v>
      </c>
      <c r="AU193" s="6"/>
      <c r="AV193" s="6">
        <v>16.91</v>
      </c>
      <c r="AW193" s="6"/>
      <c r="AX193" s="6"/>
      <c r="AY193" s="6"/>
      <c r="AZ193" s="6"/>
      <c r="BA193" s="6">
        <v>63</v>
      </c>
      <c r="BB193" s="6" t="s">
        <v>229</v>
      </c>
      <c r="BC193" s="6"/>
      <c r="BD193" s="6">
        <v>0</v>
      </c>
      <c r="BE193" s="6"/>
      <c r="BF193" s="6"/>
      <c r="BG193" s="6"/>
      <c r="BH193" s="6"/>
      <c r="BI193" s="6"/>
      <c r="BJ193" s="6"/>
      <c r="BK193" s="6"/>
      <c r="BL193" s="6"/>
      <c r="BM193" s="6"/>
      <c r="BN193" s="6"/>
      <c r="BO193" s="6"/>
      <c r="BP193" s="6"/>
      <c r="BQ193" s="6"/>
      <c r="BR193" s="6"/>
      <c r="BS193" s="6"/>
      <c r="BT193" s="6"/>
      <c r="BU193" s="6"/>
      <c r="BV193" s="6"/>
      <c r="BW193" s="6"/>
      <c r="BX193" s="6"/>
      <c r="BY193" s="6">
        <v>9.68</v>
      </c>
      <c r="BZ193" s="6" t="s">
        <v>229</v>
      </c>
      <c r="CA193" s="6"/>
      <c r="CB193" s="6">
        <v>0.38</v>
      </c>
      <c r="CC193" s="6"/>
      <c r="CD193" s="6"/>
      <c r="CE193" s="6"/>
      <c r="CF193" s="6"/>
      <c r="CG193" s="6"/>
      <c r="CH193" s="6"/>
      <c r="CI193" s="6"/>
      <c r="CJ193" s="6"/>
      <c r="CK193" s="6"/>
      <c r="CL193" s="6"/>
      <c r="CM193" s="6"/>
      <c r="CN193" s="6"/>
      <c r="CO193" s="6"/>
      <c r="CP193" s="6"/>
      <c r="CQ193" s="6"/>
      <c r="CR193" s="6"/>
    </row>
    <row r="194" spans="1:96" ht="15.6" x14ac:dyDescent="0.3">
      <c r="A194" s="6">
        <v>1</v>
      </c>
      <c r="B194" s="6"/>
      <c r="C194" s="6"/>
      <c r="D194" s="6" t="s">
        <v>171</v>
      </c>
      <c r="E194" s="9" t="s">
        <v>172</v>
      </c>
      <c r="F194" s="9" t="str">
        <f t="shared" si="14"/>
        <v>1996-30Promessa1991OTC</v>
      </c>
      <c r="G194" s="6" t="s">
        <v>173</v>
      </c>
      <c r="H194" s="6" t="s">
        <v>157</v>
      </c>
      <c r="I194" s="6" t="s">
        <v>174</v>
      </c>
      <c r="J194" s="6" t="s">
        <v>96</v>
      </c>
      <c r="K194" s="6" t="s">
        <v>175</v>
      </c>
      <c r="L194" s="6">
        <v>1991</v>
      </c>
      <c r="M194" s="6" t="s">
        <v>97</v>
      </c>
      <c r="N194" s="6" t="s">
        <v>37</v>
      </c>
      <c r="O194" s="6" t="s">
        <v>103</v>
      </c>
      <c r="P194" s="6">
        <f t="shared" si="18"/>
        <v>26.636328712871286</v>
      </c>
      <c r="Q194" s="6"/>
      <c r="R194" s="6">
        <v>24.9099</v>
      </c>
      <c r="S194" s="6">
        <v>12</v>
      </c>
      <c r="T194" s="6">
        <f t="shared" si="15"/>
        <v>102</v>
      </c>
      <c r="U194" s="6">
        <v>3</v>
      </c>
      <c r="V194" s="13">
        <v>0.37197880276734202</v>
      </c>
      <c r="W194" s="10">
        <v>33359</v>
      </c>
      <c r="X194" s="10">
        <v>33460</v>
      </c>
      <c r="Y194" s="12">
        <v>4.1900000000000004</v>
      </c>
      <c r="Z194" s="6" t="s">
        <v>245</v>
      </c>
      <c r="AA194" s="6"/>
      <c r="AB194" s="6">
        <v>0.64</v>
      </c>
      <c r="AC194" s="12">
        <v>50.66</v>
      </c>
      <c r="AD194" s="7" t="s">
        <v>39</v>
      </c>
      <c r="AE194" s="6"/>
      <c r="AF194" s="6">
        <v>0.33</v>
      </c>
      <c r="AG194" s="12">
        <v>39.979999999999997</v>
      </c>
      <c r="AH194" s="6" t="s">
        <v>134</v>
      </c>
      <c r="AI194" s="6"/>
      <c r="AJ194" s="6">
        <v>1.39</v>
      </c>
      <c r="AK194" s="12">
        <v>2.41</v>
      </c>
      <c r="AL194" s="6" t="s">
        <v>67</v>
      </c>
      <c r="AM194" s="6"/>
      <c r="AN194" s="6">
        <v>0.27</v>
      </c>
      <c r="AO194" s="12">
        <f t="shared" si="16"/>
        <v>82.708251085669175</v>
      </c>
      <c r="AP194" s="6" t="s">
        <v>67</v>
      </c>
      <c r="AQ194" s="6"/>
      <c r="AR194" s="6"/>
      <c r="AS194" s="6">
        <v>312.61</v>
      </c>
      <c r="AT194" s="6" t="s">
        <v>54</v>
      </c>
      <c r="AU194" s="6"/>
      <c r="AV194" s="6">
        <v>21.83</v>
      </c>
      <c r="AW194" s="6"/>
      <c r="AX194" s="6"/>
      <c r="AY194" s="6"/>
      <c r="AZ194" s="6"/>
      <c r="BA194" s="6">
        <v>63</v>
      </c>
      <c r="BB194" s="6" t="s">
        <v>229</v>
      </c>
      <c r="BC194" s="6"/>
      <c r="BD194" s="6">
        <v>0</v>
      </c>
      <c r="BE194" s="6"/>
      <c r="BF194" s="6"/>
      <c r="BG194" s="6"/>
      <c r="BH194" s="6"/>
      <c r="BI194" s="6"/>
      <c r="BJ194" s="6"/>
      <c r="BK194" s="6"/>
      <c r="BL194" s="6"/>
      <c r="BM194" s="6"/>
      <c r="BN194" s="6"/>
      <c r="BO194" s="6"/>
      <c r="BP194" s="6"/>
      <c r="BQ194" s="6"/>
      <c r="BR194" s="6"/>
      <c r="BS194" s="6"/>
      <c r="BT194" s="6"/>
      <c r="BU194" s="6"/>
      <c r="BV194" s="6"/>
      <c r="BW194" s="6"/>
      <c r="BX194" s="6"/>
      <c r="BY194" s="6">
        <v>9.09</v>
      </c>
      <c r="BZ194" s="6" t="s">
        <v>229</v>
      </c>
      <c r="CA194" s="6"/>
      <c r="CB194" s="6">
        <v>0.39</v>
      </c>
      <c r="CC194" s="6"/>
      <c r="CD194" s="6"/>
      <c r="CE194" s="6"/>
      <c r="CF194" s="6"/>
      <c r="CG194" s="6"/>
      <c r="CH194" s="6"/>
      <c r="CI194" s="6"/>
      <c r="CJ194" s="6"/>
      <c r="CK194" s="6"/>
      <c r="CL194" s="6"/>
      <c r="CM194" s="6"/>
      <c r="CN194" s="6"/>
      <c r="CO194" s="6"/>
      <c r="CP194" s="6"/>
      <c r="CQ194" s="6"/>
      <c r="CR194" s="6"/>
    </row>
    <row r="195" spans="1:96" ht="15.6" x14ac:dyDescent="0.3">
      <c r="A195" s="6">
        <v>1</v>
      </c>
      <c r="B195" s="6"/>
      <c r="C195" s="6"/>
      <c r="D195" s="6" t="s">
        <v>171</v>
      </c>
      <c r="E195" s="9" t="s">
        <v>172</v>
      </c>
      <c r="F195" s="9" t="str">
        <f t="shared" ref="F195:F230" si="19">D195&amp;K195&amp;L195&amp;M195</f>
        <v>1996-30Promessa1991OTC</v>
      </c>
      <c r="G195" s="6" t="s">
        <v>173</v>
      </c>
      <c r="H195" s="6" t="s">
        <v>157</v>
      </c>
      <c r="I195" s="6" t="s">
        <v>174</v>
      </c>
      <c r="J195" s="6" t="s">
        <v>96</v>
      </c>
      <c r="K195" s="6" t="s">
        <v>175</v>
      </c>
      <c r="L195" s="6">
        <v>1991</v>
      </c>
      <c r="M195" s="6" t="s">
        <v>97</v>
      </c>
      <c r="N195" s="6" t="s">
        <v>37</v>
      </c>
      <c r="O195" s="6" t="s">
        <v>136</v>
      </c>
      <c r="P195" s="6">
        <f t="shared" si="18"/>
        <v>34.874483168316836</v>
      </c>
      <c r="Q195" s="6"/>
      <c r="R195" s="6">
        <v>32.614100000000001</v>
      </c>
      <c r="S195" s="6">
        <v>12</v>
      </c>
      <c r="T195" s="6">
        <f t="shared" ref="T195:T214" si="20">X195-W195+1</f>
        <v>102</v>
      </c>
      <c r="U195" s="6">
        <v>3</v>
      </c>
      <c r="V195" s="13">
        <v>1.9622365305235701</v>
      </c>
      <c r="W195" s="10">
        <v>33359</v>
      </c>
      <c r="X195" s="10">
        <v>33460</v>
      </c>
      <c r="Y195" s="12">
        <v>1.88</v>
      </c>
      <c r="Z195" s="6" t="s">
        <v>245</v>
      </c>
      <c r="AA195" s="6"/>
      <c r="AB195" s="6">
        <v>0.08</v>
      </c>
      <c r="AC195" s="12">
        <v>33.33</v>
      </c>
      <c r="AD195" s="7" t="s">
        <v>39</v>
      </c>
      <c r="AE195" s="6"/>
      <c r="AF195" s="6">
        <v>1.33</v>
      </c>
      <c r="AG195" s="12">
        <v>30.19</v>
      </c>
      <c r="AH195" s="6" t="s">
        <v>134</v>
      </c>
      <c r="AI195" s="6"/>
      <c r="AJ195" s="6">
        <v>0.94</v>
      </c>
      <c r="AK195" s="12">
        <v>2.17</v>
      </c>
      <c r="AL195" s="6" t="s">
        <v>67</v>
      </c>
      <c r="AM195" s="6"/>
      <c r="AN195" s="6">
        <v>0.16</v>
      </c>
      <c r="AO195" s="12">
        <f t="shared" ref="AO195:AO220" si="21">Y195/AC195*1000</f>
        <v>56.405640564056405</v>
      </c>
      <c r="AP195" s="6" t="s">
        <v>67</v>
      </c>
      <c r="AQ195" s="6"/>
      <c r="AR195" s="6"/>
      <c r="AS195" s="6">
        <v>309.95999999999998</v>
      </c>
      <c r="AT195" s="6" t="s">
        <v>54</v>
      </c>
      <c r="AU195" s="6"/>
      <c r="AV195" s="6">
        <v>9.81</v>
      </c>
      <c r="AW195" s="6"/>
      <c r="AX195" s="6"/>
      <c r="AY195" s="6"/>
      <c r="AZ195" s="6"/>
      <c r="BA195" s="6">
        <v>50</v>
      </c>
      <c r="BB195" s="6" t="s">
        <v>229</v>
      </c>
      <c r="BC195" s="6"/>
      <c r="BD195" s="6">
        <v>1</v>
      </c>
      <c r="BE195" s="6"/>
      <c r="BF195" s="6"/>
      <c r="BG195" s="6"/>
      <c r="BH195" s="6"/>
      <c r="BI195" s="6"/>
      <c r="BJ195" s="6"/>
      <c r="BK195" s="6"/>
      <c r="BL195" s="6"/>
      <c r="BM195" s="6"/>
      <c r="BN195" s="6"/>
      <c r="BO195" s="6"/>
      <c r="BP195" s="6"/>
      <c r="BQ195" s="6"/>
      <c r="BR195" s="6"/>
      <c r="BS195" s="6"/>
      <c r="BT195" s="6"/>
      <c r="BU195" s="6"/>
      <c r="BV195" s="6"/>
      <c r="BW195" s="6"/>
      <c r="BX195" s="6"/>
      <c r="BY195" s="6">
        <v>11.7</v>
      </c>
      <c r="BZ195" s="6" t="s">
        <v>229</v>
      </c>
      <c r="CA195" s="6"/>
      <c r="CB195" s="6">
        <v>0.34</v>
      </c>
      <c r="CC195" s="6"/>
      <c r="CD195" s="6"/>
      <c r="CE195" s="6"/>
      <c r="CF195" s="6"/>
      <c r="CG195" s="6"/>
      <c r="CH195" s="6"/>
      <c r="CI195" s="6"/>
      <c r="CJ195" s="6"/>
      <c r="CK195" s="6"/>
      <c r="CL195" s="6"/>
      <c r="CM195" s="6"/>
      <c r="CN195" s="6"/>
      <c r="CO195" s="6"/>
      <c r="CP195" s="6"/>
      <c r="CQ195" s="6"/>
      <c r="CR195" s="6"/>
    </row>
    <row r="196" spans="1:96" ht="15.6" x14ac:dyDescent="0.3">
      <c r="A196" s="6">
        <v>1</v>
      </c>
      <c r="B196" s="6"/>
      <c r="C196" s="6"/>
      <c r="D196" s="6" t="s">
        <v>171</v>
      </c>
      <c r="E196" s="9" t="s">
        <v>172</v>
      </c>
      <c r="F196" s="9" t="str">
        <f t="shared" si="19"/>
        <v>1996-30Promessa1992OTC</v>
      </c>
      <c r="G196" s="6" t="s">
        <v>173</v>
      </c>
      <c r="H196" s="6" t="s">
        <v>157</v>
      </c>
      <c r="I196" s="6" t="s">
        <v>174</v>
      </c>
      <c r="J196" s="6" t="s">
        <v>96</v>
      </c>
      <c r="K196" s="6" t="s">
        <v>175</v>
      </c>
      <c r="L196" s="6">
        <v>1992</v>
      </c>
      <c r="M196" s="6" t="s">
        <v>97</v>
      </c>
      <c r="N196" s="6" t="s">
        <v>37</v>
      </c>
      <c r="O196" s="6" t="s">
        <v>132</v>
      </c>
      <c r="P196" s="6">
        <f t="shared" si="18"/>
        <v>6.662744554455446</v>
      </c>
      <c r="Q196" s="6"/>
      <c r="R196" s="6">
        <v>6.2309000000000001</v>
      </c>
      <c r="S196" s="6">
        <v>12</v>
      </c>
      <c r="T196" s="6">
        <f t="shared" si="20"/>
        <v>102</v>
      </c>
      <c r="U196" s="6">
        <v>3</v>
      </c>
      <c r="V196" s="13">
        <v>0</v>
      </c>
      <c r="W196" s="10">
        <v>33725</v>
      </c>
      <c r="X196" s="10">
        <v>33826</v>
      </c>
      <c r="Y196" s="12">
        <v>3.22</v>
      </c>
      <c r="Z196" s="6" t="s">
        <v>245</v>
      </c>
      <c r="AA196" s="6"/>
      <c r="AB196" s="6">
        <v>0.25</v>
      </c>
      <c r="AC196" s="12">
        <v>47.33</v>
      </c>
      <c r="AD196" s="7" t="s">
        <v>39</v>
      </c>
      <c r="AE196" s="6"/>
      <c r="AF196" s="6">
        <v>2.33</v>
      </c>
      <c r="AG196" s="12">
        <v>38.33</v>
      </c>
      <c r="AH196" s="6" t="s">
        <v>134</v>
      </c>
      <c r="AI196" s="6"/>
      <c r="AJ196" s="6">
        <v>2.91</v>
      </c>
      <c r="AK196" s="12">
        <v>2.1</v>
      </c>
      <c r="AL196" s="6" t="s">
        <v>67</v>
      </c>
      <c r="AM196" s="6"/>
      <c r="AN196" s="6">
        <v>0.11</v>
      </c>
      <c r="AO196" s="12">
        <f t="shared" si="21"/>
        <v>68.032960067610404</v>
      </c>
      <c r="AP196" s="6" t="s">
        <v>67</v>
      </c>
      <c r="AQ196" s="6"/>
      <c r="AR196" s="6"/>
      <c r="AS196" s="6">
        <v>278.95999999999998</v>
      </c>
      <c r="AT196" s="6" t="s">
        <v>54</v>
      </c>
      <c r="AU196" s="6"/>
      <c r="AV196" s="6">
        <v>24.96</v>
      </c>
      <c r="AW196" s="6"/>
      <c r="AX196" s="6"/>
      <c r="AY196" s="6"/>
      <c r="AZ196" s="6"/>
      <c r="BA196" s="6">
        <v>63</v>
      </c>
      <c r="BB196" s="6" t="s">
        <v>229</v>
      </c>
      <c r="BC196" s="6"/>
      <c r="BD196" s="6">
        <v>0</v>
      </c>
      <c r="BE196" s="6"/>
      <c r="BF196" s="6"/>
      <c r="BG196" s="6"/>
      <c r="BH196" s="6"/>
      <c r="BI196" s="6"/>
      <c r="BJ196" s="6"/>
      <c r="BK196" s="6"/>
      <c r="BL196" s="6"/>
      <c r="BM196" s="6"/>
      <c r="BN196" s="6"/>
      <c r="BO196" s="6"/>
      <c r="BP196" s="6"/>
      <c r="BQ196" s="6"/>
      <c r="BR196" s="6"/>
      <c r="BS196" s="6"/>
      <c r="BT196" s="6"/>
      <c r="BU196" s="6"/>
      <c r="BV196" s="6"/>
      <c r="BW196" s="6"/>
      <c r="BX196" s="6"/>
      <c r="BY196" s="6">
        <v>9.41</v>
      </c>
      <c r="BZ196" s="6" t="s">
        <v>229</v>
      </c>
      <c r="CA196" s="6"/>
      <c r="CB196" s="6">
        <v>0.09</v>
      </c>
      <c r="CC196" s="6"/>
      <c r="CD196" s="6"/>
      <c r="CE196" s="6"/>
      <c r="CF196" s="6"/>
      <c r="CG196" s="6"/>
      <c r="CH196" s="6"/>
      <c r="CI196" s="6"/>
      <c r="CJ196" s="6"/>
      <c r="CK196" s="6"/>
      <c r="CL196" s="6"/>
      <c r="CM196" s="6"/>
      <c r="CN196" s="6"/>
      <c r="CO196" s="6"/>
      <c r="CP196" s="6"/>
      <c r="CQ196" s="6"/>
      <c r="CR196" s="6"/>
    </row>
    <row r="197" spans="1:96" ht="15.6" x14ac:dyDescent="0.3">
      <c r="A197" s="6">
        <v>1</v>
      </c>
      <c r="B197" s="6"/>
      <c r="C197" s="6"/>
      <c r="D197" s="6" t="s">
        <v>171</v>
      </c>
      <c r="E197" s="9" t="s">
        <v>172</v>
      </c>
      <c r="F197" s="9" t="str">
        <f t="shared" si="19"/>
        <v>1996-30Promessa1992OTC</v>
      </c>
      <c r="G197" s="6" t="s">
        <v>173</v>
      </c>
      <c r="H197" s="6" t="s">
        <v>157</v>
      </c>
      <c r="I197" s="6" t="s">
        <v>174</v>
      </c>
      <c r="J197" s="6" t="s">
        <v>96</v>
      </c>
      <c r="K197" s="6" t="s">
        <v>175</v>
      </c>
      <c r="L197" s="6">
        <v>1992</v>
      </c>
      <c r="M197" s="6" t="s">
        <v>97</v>
      </c>
      <c r="N197" s="6" t="s">
        <v>37</v>
      </c>
      <c r="O197" s="6" t="s">
        <v>103</v>
      </c>
      <c r="P197" s="6">
        <f t="shared" si="18"/>
        <v>26.838213861386141</v>
      </c>
      <c r="Q197" s="6"/>
      <c r="R197" s="6">
        <v>25.098700000000001</v>
      </c>
      <c r="S197" s="6">
        <v>12</v>
      </c>
      <c r="T197" s="6">
        <f t="shared" si="20"/>
        <v>102</v>
      </c>
      <c r="U197" s="6">
        <v>3</v>
      </c>
      <c r="V197" s="13">
        <v>0.39783406177585601</v>
      </c>
      <c r="W197" s="10">
        <v>33725</v>
      </c>
      <c r="X197" s="10">
        <v>33826</v>
      </c>
      <c r="Y197" s="12">
        <v>3.32</v>
      </c>
      <c r="Z197" s="6" t="s">
        <v>245</v>
      </c>
      <c r="AA197" s="6"/>
      <c r="AB197" s="6">
        <v>0.23</v>
      </c>
      <c r="AC197" s="12">
        <v>46.66</v>
      </c>
      <c r="AD197" s="7" t="s">
        <v>39</v>
      </c>
      <c r="AE197" s="6"/>
      <c r="AF197" s="6">
        <v>1.2</v>
      </c>
      <c r="AG197" s="12">
        <v>40.229999999999997</v>
      </c>
      <c r="AH197" s="6" t="s">
        <v>134</v>
      </c>
      <c r="AI197" s="6"/>
      <c r="AJ197" s="6">
        <v>1.46</v>
      </c>
      <c r="AK197" s="12">
        <v>2.1</v>
      </c>
      <c r="AL197" s="6" t="s">
        <v>67</v>
      </c>
      <c r="AM197" s="6"/>
      <c r="AN197" s="6">
        <v>0.17</v>
      </c>
      <c r="AO197" s="12">
        <f t="shared" si="21"/>
        <v>71.153021860265753</v>
      </c>
      <c r="AP197" s="6" t="s">
        <v>67</v>
      </c>
      <c r="AQ197" s="6"/>
      <c r="AR197" s="6"/>
      <c r="AS197" s="6">
        <v>275.63</v>
      </c>
      <c r="AT197" s="6" t="s">
        <v>54</v>
      </c>
      <c r="AU197" s="6"/>
      <c r="AV197" s="6">
        <v>23.38</v>
      </c>
      <c r="AW197" s="6"/>
      <c r="AX197" s="6"/>
      <c r="AY197" s="6"/>
      <c r="AZ197" s="6"/>
      <c r="BA197" s="6">
        <v>63</v>
      </c>
      <c r="BB197" s="6" t="s">
        <v>229</v>
      </c>
      <c r="BC197" s="6"/>
      <c r="BD197" s="6">
        <v>0</v>
      </c>
      <c r="BE197" s="6"/>
      <c r="BF197" s="6"/>
      <c r="BG197" s="6"/>
      <c r="BH197" s="6"/>
      <c r="BI197" s="6"/>
      <c r="BJ197" s="6"/>
      <c r="BK197" s="6"/>
      <c r="BL197" s="6"/>
      <c r="BM197" s="6"/>
      <c r="BN197" s="6"/>
      <c r="BO197" s="6"/>
      <c r="BP197" s="6"/>
      <c r="BQ197" s="6"/>
      <c r="BR197" s="6"/>
      <c r="BS197" s="6"/>
      <c r="BT197" s="6"/>
      <c r="BU197" s="6"/>
      <c r="BV197" s="6"/>
      <c r="BW197" s="6"/>
      <c r="BX197" s="6"/>
      <c r="BY197" s="6">
        <v>9.2899999999999991</v>
      </c>
      <c r="BZ197" s="6" t="s">
        <v>229</v>
      </c>
      <c r="CA197" s="6"/>
      <c r="CB197" s="6">
        <v>0.28000000000000003</v>
      </c>
      <c r="CC197" s="6"/>
      <c r="CD197" s="6"/>
      <c r="CE197" s="6"/>
      <c r="CF197" s="6"/>
      <c r="CG197" s="6"/>
      <c r="CH197" s="6"/>
      <c r="CI197" s="6"/>
      <c r="CJ197" s="6"/>
      <c r="CK197" s="6"/>
      <c r="CL197" s="6"/>
      <c r="CM197" s="6"/>
      <c r="CN197" s="6"/>
      <c r="CO197" s="6"/>
      <c r="CP197" s="6"/>
      <c r="CQ197" s="6"/>
      <c r="CR197" s="6"/>
    </row>
    <row r="198" spans="1:96" ht="15.6" x14ac:dyDescent="0.3">
      <c r="A198" s="6">
        <v>1</v>
      </c>
      <c r="B198" s="6"/>
      <c r="C198" s="6"/>
      <c r="D198" s="6" t="s">
        <v>171</v>
      </c>
      <c r="E198" s="9" t="s">
        <v>172</v>
      </c>
      <c r="F198" s="9" t="str">
        <f t="shared" si="19"/>
        <v>1996-30Promessa1992OTC</v>
      </c>
      <c r="G198" s="6" t="s">
        <v>173</v>
      </c>
      <c r="H198" s="6" t="s">
        <v>157</v>
      </c>
      <c r="I198" s="6" t="s">
        <v>174</v>
      </c>
      <c r="J198" s="6" t="s">
        <v>96</v>
      </c>
      <c r="K198" s="6" t="s">
        <v>175</v>
      </c>
      <c r="L198" s="6">
        <v>1992</v>
      </c>
      <c r="M198" s="6" t="s">
        <v>97</v>
      </c>
      <c r="N198" s="6" t="s">
        <v>37</v>
      </c>
      <c r="O198" s="6" t="s">
        <v>137</v>
      </c>
      <c r="P198" s="6">
        <f t="shared" si="18"/>
        <v>35.734740594059403</v>
      </c>
      <c r="Q198" s="6"/>
      <c r="R198" s="6">
        <v>33.418599999999998</v>
      </c>
      <c r="S198" s="6">
        <v>12</v>
      </c>
      <c r="T198" s="6">
        <f t="shared" si="20"/>
        <v>102</v>
      </c>
      <c r="U198" s="6">
        <v>3</v>
      </c>
      <c r="V198" s="13">
        <v>2.2160216957603098</v>
      </c>
      <c r="W198" s="10">
        <v>33725</v>
      </c>
      <c r="X198" s="10">
        <v>33826</v>
      </c>
      <c r="Y198" s="12">
        <v>3.78</v>
      </c>
      <c r="Z198" s="6" t="s">
        <v>245</v>
      </c>
      <c r="AA198" s="6"/>
      <c r="AB198" s="6">
        <v>0.3</v>
      </c>
      <c r="AC198" s="12">
        <v>52</v>
      </c>
      <c r="AD198" s="7" t="s">
        <v>39</v>
      </c>
      <c r="AE198" s="6"/>
      <c r="AF198" s="6">
        <v>0.57999999999999996</v>
      </c>
      <c r="AG198" s="12">
        <v>38.1</v>
      </c>
      <c r="AH198" s="6" t="s">
        <v>134</v>
      </c>
      <c r="AI198" s="6"/>
      <c r="AJ198" s="6">
        <v>0.56999999999999995</v>
      </c>
      <c r="AK198" s="12">
        <v>2.34</v>
      </c>
      <c r="AL198" s="6" t="s">
        <v>67</v>
      </c>
      <c r="AM198" s="6"/>
      <c r="AN198" s="6">
        <v>0.2</v>
      </c>
      <c r="AO198" s="12">
        <f t="shared" si="21"/>
        <v>72.692307692307693</v>
      </c>
      <c r="AP198" s="6" t="s">
        <v>67</v>
      </c>
      <c r="AQ198" s="6"/>
      <c r="AR198" s="6"/>
      <c r="AS198" s="6">
        <v>330.8</v>
      </c>
      <c r="AT198" s="6" t="s">
        <v>54</v>
      </c>
      <c r="AU198" s="6"/>
      <c r="AV198" s="6">
        <v>27.03</v>
      </c>
      <c r="AW198" s="6"/>
      <c r="AX198" s="6"/>
      <c r="AY198" s="6"/>
      <c r="AZ198" s="6"/>
      <c r="BA198" s="6">
        <v>61</v>
      </c>
      <c r="BB198" s="6" t="s">
        <v>229</v>
      </c>
      <c r="BC198" s="6"/>
      <c r="BD198" s="6">
        <v>0</v>
      </c>
      <c r="BE198" s="6"/>
      <c r="BF198" s="6"/>
      <c r="BG198" s="6"/>
      <c r="BH198" s="6"/>
      <c r="BI198" s="6"/>
      <c r="BJ198" s="6"/>
      <c r="BK198" s="6"/>
      <c r="BL198" s="6"/>
      <c r="BM198" s="6"/>
      <c r="BN198" s="6"/>
      <c r="BO198" s="6"/>
      <c r="BP198" s="6"/>
      <c r="BQ198" s="6"/>
      <c r="BR198" s="6"/>
      <c r="BS198" s="6"/>
      <c r="BT198" s="6"/>
      <c r="BU198" s="6"/>
      <c r="BV198" s="6"/>
      <c r="BW198" s="6"/>
      <c r="BX198" s="6"/>
      <c r="BY198" s="6">
        <v>8.8800000000000008</v>
      </c>
      <c r="BZ198" s="6" t="s">
        <v>229</v>
      </c>
      <c r="CA198" s="6"/>
      <c r="CB198" s="6">
        <v>0.17</v>
      </c>
      <c r="CC198" s="6"/>
      <c r="CD198" s="6"/>
      <c r="CE198" s="6"/>
      <c r="CF198" s="6"/>
      <c r="CG198" s="6"/>
      <c r="CH198" s="6"/>
      <c r="CI198" s="6"/>
      <c r="CJ198" s="6"/>
      <c r="CK198" s="6"/>
      <c r="CL198" s="6"/>
      <c r="CM198" s="6"/>
      <c r="CN198" s="6"/>
      <c r="CO198" s="6"/>
      <c r="CP198" s="6"/>
      <c r="CQ198" s="6"/>
      <c r="CR198" s="6"/>
    </row>
    <row r="199" spans="1:96" ht="15.6" x14ac:dyDescent="0.3">
      <c r="A199" s="6">
        <v>1</v>
      </c>
      <c r="B199" s="6"/>
      <c r="C199" s="6"/>
      <c r="D199" s="6" t="s">
        <v>171</v>
      </c>
      <c r="E199" s="9" t="s">
        <v>172</v>
      </c>
      <c r="F199" s="9" t="str">
        <f t="shared" si="19"/>
        <v>1996-30Promessa1993OTC</v>
      </c>
      <c r="G199" s="6" t="s">
        <v>173</v>
      </c>
      <c r="H199" s="6" t="s">
        <v>157</v>
      </c>
      <c r="I199" s="6" t="s">
        <v>174</v>
      </c>
      <c r="J199" s="6" t="s">
        <v>96</v>
      </c>
      <c r="K199" s="6" t="s">
        <v>175</v>
      </c>
      <c r="L199" s="6">
        <v>1993</v>
      </c>
      <c r="M199" s="6" t="s">
        <v>97</v>
      </c>
      <c r="N199" s="6" t="s">
        <v>37</v>
      </c>
      <c r="O199" s="6" t="s">
        <v>132</v>
      </c>
      <c r="P199" s="6">
        <f t="shared" si="18"/>
        <v>7.1645702970297025</v>
      </c>
      <c r="Q199" s="6"/>
      <c r="R199" s="6">
        <v>6.7001999999999997</v>
      </c>
      <c r="S199" s="6">
        <v>12</v>
      </c>
      <c r="T199" s="6">
        <f t="shared" si="20"/>
        <v>102</v>
      </c>
      <c r="U199" s="6">
        <v>3</v>
      </c>
      <c r="V199" s="13">
        <v>0</v>
      </c>
      <c r="W199" s="10">
        <v>34090</v>
      </c>
      <c r="X199" s="10">
        <v>34191</v>
      </c>
      <c r="Y199" s="12">
        <v>4.05</v>
      </c>
      <c r="Z199" s="6" t="s">
        <v>245</v>
      </c>
      <c r="AA199" s="6"/>
      <c r="AB199" s="6">
        <v>0.09</v>
      </c>
      <c r="AC199" s="12">
        <v>54.66</v>
      </c>
      <c r="AD199" s="7" t="s">
        <v>39</v>
      </c>
      <c r="AE199" s="6"/>
      <c r="AF199" s="6">
        <v>0.88</v>
      </c>
      <c r="AG199" s="12">
        <v>36.82</v>
      </c>
      <c r="AH199" s="6" t="s">
        <v>134</v>
      </c>
      <c r="AI199" s="6"/>
      <c r="AJ199" s="6">
        <v>1.38</v>
      </c>
      <c r="AK199" s="12">
        <v>2.38</v>
      </c>
      <c r="AL199" s="6" t="s">
        <v>67</v>
      </c>
      <c r="AM199" s="6"/>
      <c r="AN199" s="6">
        <v>0.08</v>
      </c>
      <c r="AO199" s="12">
        <f t="shared" si="21"/>
        <v>74.094401756311754</v>
      </c>
      <c r="AP199" s="6" t="s">
        <v>67</v>
      </c>
      <c r="AQ199" s="6"/>
      <c r="AR199" s="6"/>
      <c r="AS199" s="6">
        <v>423.06</v>
      </c>
      <c r="AT199" s="6" t="s">
        <v>54</v>
      </c>
      <c r="AU199" s="6"/>
      <c r="AV199" s="6">
        <v>20.55</v>
      </c>
      <c r="AW199" s="6"/>
      <c r="AX199" s="6"/>
      <c r="AY199" s="6"/>
      <c r="AZ199" s="6"/>
      <c r="BA199" s="6">
        <v>62</v>
      </c>
      <c r="BB199" s="6" t="s">
        <v>229</v>
      </c>
      <c r="BC199" s="6"/>
      <c r="BD199" s="6">
        <v>0</v>
      </c>
      <c r="BE199" s="6"/>
      <c r="BF199" s="6"/>
      <c r="BG199" s="6"/>
      <c r="BH199" s="6"/>
      <c r="BI199" s="6"/>
      <c r="BJ199" s="6"/>
      <c r="BK199" s="6"/>
      <c r="BL199" s="6"/>
      <c r="BM199" s="6"/>
      <c r="BN199" s="6"/>
      <c r="BO199" s="6"/>
      <c r="BP199" s="6"/>
      <c r="BQ199" s="6"/>
      <c r="BR199" s="6"/>
      <c r="BS199" s="6"/>
      <c r="BT199" s="6"/>
      <c r="BU199" s="6"/>
      <c r="BV199" s="6"/>
      <c r="BW199" s="6"/>
      <c r="BX199" s="6"/>
      <c r="BY199" s="6">
        <v>9.5399999999999991</v>
      </c>
      <c r="BZ199" s="6" t="s">
        <v>229</v>
      </c>
      <c r="CA199" s="6"/>
      <c r="CB199" s="6">
        <v>0.4</v>
      </c>
      <c r="CC199" s="6"/>
      <c r="CD199" s="6"/>
      <c r="CE199" s="6"/>
      <c r="CF199" s="6"/>
      <c r="CG199" s="6"/>
      <c r="CH199" s="6"/>
      <c r="CI199" s="6"/>
      <c r="CJ199" s="6"/>
      <c r="CK199" s="6"/>
      <c r="CL199" s="6"/>
      <c r="CM199" s="6"/>
      <c r="CN199" s="6"/>
      <c r="CO199" s="6"/>
      <c r="CP199" s="6"/>
      <c r="CQ199" s="6"/>
      <c r="CR199" s="6"/>
    </row>
    <row r="200" spans="1:96" ht="15.6" x14ac:dyDescent="0.3">
      <c r="A200" s="6">
        <v>1</v>
      </c>
      <c r="B200" s="6"/>
      <c r="C200" s="6"/>
      <c r="D200" s="6" t="s">
        <v>171</v>
      </c>
      <c r="E200" s="9" t="s">
        <v>172</v>
      </c>
      <c r="F200" s="9" t="str">
        <f t="shared" si="19"/>
        <v>1996-30Promessa1993OTC</v>
      </c>
      <c r="G200" s="6" t="s">
        <v>173</v>
      </c>
      <c r="H200" s="6" t="s">
        <v>157</v>
      </c>
      <c r="I200" s="6" t="s">
        <v>174</v>
      </c>
      <c r="J200" s="6" t="s">
        <v>96</v>
      </c>
      <c r="K200" s="6" t="s">
        <v>175</v>
      </c>
      <c r="L200" s="6">
        <v>1993</v>
      </c>
      <c r="M200" s="6" t="s">
        <v>97</v>
      </c>
      <c r="N200" s="6" t="s">
        <v>37</v>
      </c>
      <c r="O200" s="6" t="s">
        <v>137</v>
      </c>
      <c r="P200" s="6">
        <f t="shared" si="18"/>
        <v>36.343069306930687</v>
      </c>
      <c r="Q200" s="6"/>
      <c r="R200" s="6">
        <v>33.987499999999997</v>
      </c>
      <c r="S200" s="6">
        <v>12</v>
      </c>
      <c r="T200" s="6">
        <f t="shared" si="20"/>
        <v>102</v>
      </c>
      <c r="U200" s="6">
        <v>3</v>
      </c>
      <c r="V200" s="13">
        <v>2.4089980077313702</v>
      </c>
      <c r="W200" s="10">
        <v>34090</v>
      </c>
      <c r="X200" s="10">
        <v>34191</v>
      </c>
      <c r="Y200" s="12">
        <v>3.92</v>
      </c>
      <c r="Z200" s="6" t="s">
        <v>245</v>
      </c>
      <c r="AA200" s="6"/>
      <c r="AB200" s="6">
        <v>0.12</v>
      </c>
      <c r="AC200" s="12">
        <v>50.66</v>
      </c>
      <c r="AD200" s="7" t="s">
        <v>39</v>
      </c>
      <c r="AE200" s="6"/>
      <c r="AF200" s="6">
        <v>1.45</v>
      </c>
      <c r="AG200" s="12">
        <v>35.76</v>
      </c>
      <c r="AH200" s="6" t="s">
        <v>134</v>
      </c>
      <c r="AI200" s="6"/>
      <c r="AJ200" s="6">
        <v>0.88</v>
      </c>
      <c r="AK200" s="12">
        <v>2.48</v>
      </c>
      <c r="AL200" s="6" t="s">
        <v>67</v>
      </c>
      <c r="AM200" s="6"/>
      <c r="AN200" s="6">
        <v>0.14000000000000001</v>
      </c>
      <c r="AO200" s="12">
        <f t="shared" si="21"/>
        <v>77.378602447690483</v>
      </c>
      <c r="AP200" s="6" t="s">
        <v>67</v>
      </c>
      <c r="AQ200" s="6"/>
      <c r="AR200" s="6"/>
      <c r="AS200" s="6">
        <v>454.46</v>
      </c>
      <c r="AT200" s="6" t="s">
        <v>54</v>
      </c>
      <c r="AU200" s="6"/>
      <c r="AV200" s="6">
        <v>42.34</v>
      </c>
      <c r="AW200" s="6"/>
      <c r="AX200" s="6"/>
      <c r="AY200" s="6"/>
      <c r="AZ200" s="6"/>
      <c r="BA200" s="6">
        <v>61</v>
      </c>
      <c r="BB200" s="6" t="s">
        <v>229</v>
      </c>
      <c r="BC200" s="6"/>
      <c r="BD200" s="6">
        <v>1</v>
      </c>
      <c r="BE200" s="6"/>
      <c r="BF200" s="6"/>
      <c r="BG200" s="6"/>
      <c r="BH200" s="6"/>
      <c r="BI200" s="6"/>
      <c r="BJ200" s="6"/>
      <c r="BK200" s="6"/>
      <c r="BL200" s="6"/>
      <c r="BM200" s="6"/>
      <c r="BN200" s="6"/>
      <c r="BO200" s="6"/>
      <c r="BP200" s="6"/>
      <c r="BQ200" s="6"/>
      <c r="BR200" s="6"/>
      <c r="BS200" s="6"/>
      <c r="BT200" s="6"/>
      <c r="BU200" s="6"/>
      <c r="BV200" s="6"/>
      <c r="BW200" s="6"/>
      <c r="BX200" s="6"/>
      <c r="BY200" s="6">
        <v>9.92</v>
      </c>
      <c r="BZ200" s="6" t="s">
        <v>229</v>
      </c>
      <c r="CA200" s="6"/>
      <c r="CB200" s="6">
        <v>0.23</v>
      </c>
      <c r="CC200" s="6"/>
      <c r="CD200" s="6"/>
      <c r="CE200" s="6"/>
      <c r="CF200" s="6"/>
      <c r="CG200" s="6"/>
      <c r="CH200" s="6"/>
      <c r="CI200" s="6"/>
      <c r="CJ200" s="6"/>
      <c r="CK200" s="6"/>
      <c r="CL200" s="6"/>
      <c r="CM200" s="6"/>
      <c r="CN200" s="6"/>
      <c r="CO200" s="6"/>
      <c r="CP200" s="6"/>
      <c r="CQ200" s="6"/>
      <c r="CR200" s="6"/>
    </row>
    <row r="201" spans="1:96" ht="15.6" x14ac:dyDescent="0.3">
      <c r="A201" s="6">
        <v>1</v>
      </c>
      <c r="B201" s="6"/>
      <c r="C201" s="6"/>
      <c r="D201" s="6" t="s">
        <v>171</v>
      </c>
      <c r="E201" s="9" t="s">
        <v>172</v>
      </c>
      <c r="F201" s="9" t="str">
        <f t="shared" si="19"/>
        <v>1996-30Promessa1993OTC</v>
      </c>
      <c r="G201" s="6" t="s">
        <v>173</v>
      </c>
      <c r="H201" s="6" t="s">
        <v>157</v>
      </c>
      <c r="I201" s="6" t="s">
        <v>174</v>
      </c>
      <c r="J201" s="6" t="s">
        <v>96</v>
      </c>
      <c r="K201" s="6" t="s">
        <v>175</v>
      </c>
      <c r="L201" s="6">
        <v>1993</v>
      </c>
      <c r="M201" s="6" t="s">
        <v>97</v>
      </c>
      <c r="N201" s="6" t="s">
        <v>37</v>
      </c>
      <c r="O201" s="6" t="s">
        <v>136</v>
      </c>
      <c r="P201" s="6">
        <f t="shared" si="18"/>
        <v>36.360712871287127</v>
      </c>
      <c r="Q201" s="6"/>
      <c r="R201" s="6">
        <v>34.003999999999998</v>
      </c>
      <c r="S201" s="6">
        <v>12</v>
      </c>
      <c r="T201" s="6">
        <f t="shared" si="20"/>
        <v>102</v>
      </c>
      <c r="U201" s="6">
        <v>3</v>
      </c>
      <c r="V201" s="13">
        <v>2.4147688436996</v>
      </c>
      <c r="W201" s="10">
        <v>34090</v>
      </c>
      <c r="X201" s="10">
        <v>34191</v>
      </c>
      <c r="Y201" s="12">
        <v>3.37</v>
      </c>
      <c r="Z201" s="6" t="s">
        <v>245</v>
      </c>
      <c r="AA201" s="6"/>
      <c r="AB201" s="6">
        <v>0.28000000000000003</v>
      </c>
      <c r="AC201" s="12">
        <v>47.33</v>
      </c>
      <c r="AD201" s="7" t="s">
        <v>39</v>
      </c>
      <c r="AE201" s="6"/>
      <c r="AF201" s="6">
        <v>2.96</v>
      </c>
      <c r="AG201" s="12">
        <v>37.979999999999997</v>
      </c>
      <c r="AH201" s="6" t="s">
        <v>134</v>
      </c>
      <c r="AI201" s="6"/>
      <c r="AJ201" s="6">
        <v>0.42</v>
      </c>
      <c r="AK201" s="12">
        <v>2.2200000000000002</v>
      </c>
      <c r="AL201" s="6" t="s">
        <v>67</v>
      </c>
      <c r="AM201" s="6"/>
      <c r="AN201" s="6">
        <v>0.06</v>
      </c>
      <c r="AO201" s="12">
        <f t="shared" si="21"/>
        <v>71.202197337840701</v>
      </c>
      <c r="AP201" s="6" t="s">
        <v>67</v>
      </c>
      <c r="AQ201" s="6"/>
      <c r="AR201" s="6"/>
      <c r="AS201" s="6">
        <v>406.56</v>
      </c>
      <c r="AT201" s="6" t="s">
        <v>54</v>
      </c>
      <c r="AU201" s="6"/>
      <c r="AV201" s="6">
        <v>13.53</v>
      </c>
      <c r="AW201" s="6"/>
      <c r="AX201" s="6"/>
      <c r="AY201" s="6"/>
      <c r="AZ201" s="6"/>
      <c r="BA201" s="6">
        <v>60</v>
      </c>
      <c r="BB201" s="6" t="s">
        <v>229</v>
      </c>
      <c r="BC201" s="6"/>
      <c r="BD201" s="6">
        <v>1</v>
      </c>
      <c r="BE201" s="6"/>
      <c r="BF201" s="6"/>
      <c r="BG201" s="6"/>
      <c r="BH201" s="6"/>
      <c r="BI201" s="6"/>
      <c r="BJ201" s="6"/>
      <c r="BK201" s="6"/>
      <c r="BL201" s="6"/>
      <c r="BM201" s="6"/>
      <c r="BN201" s="6"/>
      <c r="BO201" s="6"/>
      <c r="BP201" s="6"/>
      <c r="BQ201" s="6"/>
      <c r="BR201" s="6"/>
      <c r="BS201" s="6"/>
      <c r="BT201" s="6"/>
      <c r="BU201" s="6"/>
      <c r="BV201" s="6"/>
      <c r="BW201" s="6"/>
      <c r="BX201" s="6"/>
      <c r="BY201" s="6">
        <v>9.42</v>
      </c>
      <c r="BZ201" s="6" t="s">
        <v>229</v>
      </c>
      <c r="CA201" s="6"/>
      <c r="CB201" s="6">
        <v>0.24</v>
      </c>
      <c r="CC201" s="6"/>
      <c r="CD201" s="6"/>
      <c r="CE201" s="6"/>
      <c r="CF201" s="6"/>
      <c r="CG201" s="6"/>
      <c r="CH201" s="6"/>
      <c r="CI201" s="6"/>
      <c r="CJ201" s="6"/>
      <c r="CK201" s="6"/>
      <c r="CL201" s="6"/>
      <c r="CM201" s="6"/>
      <c r="CN201" s="6"/>
      <c r="CO201" s="6"/>
      <c r="CP201" s="6"/>
      <c r="CQ201" s="6"/>
      <c r="CR201" s="6"/>
    </row>
    <row r="202" spans="1:96" ht="15.6" x14ac:dyDescent="0.3">
      <c r="A202" s="6">
        <v>1</v>
      </c>
      <c r="B202" s="6"/>
      <c r="C202" s="6"/>
      <c r="D202" s="6" t="s">
        <v>176</v>
      </c>
      <c r="E202" s="9" t="s">
        <v>177</v>
      </c>
      <c r="F202" s="9" t="str">
        <f t="shared" si="19"/>
        <v>1997-75Minaret1995OTC</v>
      </c>
      <c r="G202" s="6" t="s">
        <v>178</v>
      </c>
      <c r="H202" s="6" t="s">
        <v>157</v>
      </c>
      <c r="I202" s="6" t="s">
        <v>179</v>
      </c>
      <c r="J202" s="6" t="s">
        <v>96</v>
      </c>
      <c r="K202" s="6" t="s">
        <v>180</v>
      </c>
      <c r="L202" s="6">
        <v>1995</v>
      </c>
      <c r="M202" s="6" t="s">
        <v>97</v>
      </c>
      <c r="N202" s="6" t="s">
        <v>37</v>
      </c>
      <c r="O202" s="6" t="s">
        <v>74</v>
      </c>
      <c r="P202" s="7">
        <f t="shared" si="18"/>
        <v>27.801980198019805</v>
      </c>
      <c r="Q202" s="6">
        <v>1.357</v>
      </c>
      <c r="R202" s="6">
        <v>26</v>
      </c>
      <c r="S202" s="6">
        <v>7</v>
      </c>
      <c r="T202" s="6">
        <f t="shared" si="20"/>
        <v>104</v>
      </c>
      <c r="U202" s="6">
        <v>3</v>
      </c>
      <c r="V202" s="6">
        <f>IF(T202&lt;=90,Q202,Q202/T202*90)</f>
        <v>1.1743269230769231</v>
      </c>
      <c r="W202" s="10">
        <v>34809</v>
      </c>
      <c r="X202" s="10">
        <v>34912</v>
      </c>
      <c r="Y202" s="12">
        <v>627.4</v>
      </c>
      <c r="Z202" s="6" t="s">
        <v>80</v>
      </c>
      <c r="AA202" s="6" t="s">
        <v>181</v>
      </c>
      <c r="AB202" s="6"/>
      <c r="AC202" s="12">
        <v>39.200000000000003</v>
      </c>
      <c r="AD202" s="7" t="s">
        <v>39</v>
      </c>
      <c r="AE202" s="6"/>
      <c r="AF202" s="6"/>
      <c r="AG202" s="12">
        <v>35.299999999999997</v>
      </c>
      <c r="AH202" s="6" t="s">
        <v>134</v>
      </c>
      <c r="AI202" s="6"/>
      <c r="AJ202" s="6"/>
      <c r="AK202" s="12">
        <v>466</v>
      </c>
      <c r="AL202" s="6" t="s">
        <v>54</v>
      </c>
      <c r="AM202" s="6"/>
      <c r="AN202" s="6"/>
      <c r="AO202" s="12">
        <f t="shared" si="21"/>
        <v>16005.102040816326</v>
      </c>
      <c r="AP202" s="6" t="s">
        <v>54</v>
      </c>
      <c r="AQ202" s="6"/>
      <c r="AR202" s="6"/>
      <c r="AS202" s="6">
        <v>466</v>
      </c>
      <c r="AT202" s="6" t="s">
        <v>54</v>
      </c>
      <c r="AU202" s="6"/>
      <c r="AV202" s="6"/>
      <c r="AW202" s="6"/>
      <c r="AX202" s="6"/>
      <c r="AY202" s="6"/>
      <c r="AZ202" s="6"/>
      <c r="BA202" s="6">
        <v>46.1</v>
      </c>
      <c r="BB202" s="6" t="s">
        <v>229</v>
      </c>
      <c r="BC202" s="6"/>
      <c r="BD202" s="6"/>
      <c r="BE202" s="6">
        <v>1.8</v>
      </c>
      <c r="BF202" s="6" t="s">
        <v>252</v>
      </c>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row>
    <row r="203" spans="1:96" ht="15.6" x14ac:dyDescent="0.3">
      <c r="A203" s="6">
        <v>1</v>
      </c>
      <c r="B203" s="6"/>
      <c r="C203" s="6"/>
      <c r="D203" s="6" t="s">
        <v>176</v>
      </c>
      <c r="E203" s="9" t="s">
        <v>182</v>
      </c>
      <c r="F203" s="9" t="str">
        <f t="shared" si="19"/>
        <v>1997-75Minaret1995OTC</v>
      </c>
      <c r="G203" s="6" t="s">
        <v>178</v>
      </c>
      <c r="H203" s="6" t="s">
        <v>157</v>
      </c>
      <c r="I203" s="6" t="s">
        <v>179</v>
      </c>
      <c r="J203" s="6" t="s">
        <v>96</v>
      </c>
      <c r="K203" s="6" t="s">
        <v>180</v>
      </c>
      <c r="L203" s="6">
        <v>1995</v>
      </c>
      <c r="M203" s="6" t="s">
        <v>97</v>
      </c>
      <c r="N203" s="6" t="s">
        <v>37</v>
      </c>
      <c r="O203" s="10" t="s">
        <v>75</v>
      </c>
      <c r="P203" s="7">
        <f>(7*R203+5*0.976*R202)/12*1.08</f>
        <v>49.219200000000001</v>
      </c>
      <c r="Q203" s="6">
        <v>18.670999999999999</v>
      </c>
      <c r="R203" s="6">
        <v>60</v>
      </c>
      <c r="S203" s="6">
        <v>7</v>
      </c>
      <c r="T203" s="6">
        <f t="shared" si="20"/>
        <v>104</v>
      </c>
      <c r="U203" s="6">
        <v>3</v>
      </c>
      <c r="V203" s="6">
        <f>IF(T203&lt;=90,Q203,Q203/T203*90)</f>
        <v>16.157596153846153</v>
      </c>
      <c r="W203" s="10">
        <v>34809</v>
      </c>
      <c r="X203" s="10">
        <v>34912</v>
      </c>
      <c r="Y203" s="12">
        <v>613.1</v>
      </c>
      <c r="Z203" s="6" t="s">
        <v>80</v>
      </c>
      <c r="AA203" s="6"/>
      <c r="AB203" s="6"/>
      <c r="AC203" s="12">
        <v>40.299999999999997</v>
      </c>
      <c r="AD203" s="7" t="s">
        <v>39</v>
      </c>
      <c r="AE203" s="6"/>
      <c r="AF203" s="6"/>
      <c r="AG203" s="12">
        <v>39.700000000000003</v>
      </c>
      <c r="AH203" s="6" t="s">
        <v>134</v>
      </c>
      <c r="AI203" s="6"/>
      <c r="AJ203" s="6"/>
      <c r="AK203" s="12">
        <v>546</v>
      </c>
      <c r="AL203" s="6" t="s">
        <v>54</v>
      </c>
      <c r="AM203" s="6"/>
      <c r="AN203" s="6"/>
      <c r="AO203" s="12">
        <f t="shared" si="21"/>
        <v>15213.399503722085</v>
      </c>
      <c r="AP203" s="6" t="s">
        <v>54</v>
      </c>
      <c r="AQ203" s="6"/>
      <c r="AR203" s="6"/>
      <c r="AS203" s="6">
        <v>546</v>
      </c>
      <c r="AT203" s="6" t="s">
        <v>54</v>
      </c>
      <c r="AU203" s="6"/>
      <c r="AV203" s="6"/>
      <c r="AW203" s="6"/>
      <c r="AX203" s="6"/>
      <c r="AY203" s="6"/>
      <c r="AZ203" s="6"/>
      <c r="BA203" s="6">
        <v>45.5</v>
      </c>
      <c r="BB203" s="6" t="s">
        <v>229</v>
      </c>
      <c r="BC203" s="6"/>
      <c r="BD203" s="6"/>
      <c r="BE203" s="6">
        <v>2</v>
      </c>
      <c r="BF203" s="6" t="s">
        <v>252</v>
      </c>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row>
    <row r="204" spans="1:96" ht="15.6" x14ac:dyDescent="0.3">
      <c r="A204" s="6">
        <v>1</v>
      </c>
      <c r="B204" s="6"/>
      <c r="C204" s="6"/>
      <c r="D204" s="6" t="s">
        <v>183</v>
      </c>
      <c r="E204" s="9" t="s">
        <v>184</v>
      </c>
      <c r="F204" s="9" t="str">
        <f t="shared" si="19"/>
        <v>1998-73Minaret1996OTC</v>
      </c>
      <c r="G204" s="6" t="s">
        <v>178</v>
      </c>
      <c r="H204" s="6" t="s">
        <v>157</v>
      </c>
      <c r="I204" s="6" t="s">
        <v>179</v>
      </c>
      <c r="J204" s="6" t="s">
        <v>96</v>
      </c>
      <c r="K204" s="6" t="s">
        <v>180</v>
      </c>
      <c r="L204" s="6">
        <v>1996</v>
      </c>
      <c r="M204" s="6" t="s">
        <v>97</v>
      </c>
      <c r="N204" s="6" t="s">
        <v>37</v>
      </c>
      <c r="O204" s="6" t="s">
        <v>74</v>
      </c>
      <c r="P204" s="7">
        <f>R204/1.01*1.08</f>
        <v>27.801980198019805</v>
      </c>
      <c r="Q204" s="6">
        <v>1.887</v>
      </c>
      <c r="R204" s="6">
        <v>26</v>
      </c>
      <c r="S204" s="6">
        <v>7</v>
      </c>
      <c r="T204" s="6">
        <f t="shared" si="20"/>
        <v>115</v>
      </c>
      <c r="U204" s="6">
        <v>3</v>
      </c>
      <c r="V204" s="6">
        <f>IF(T204&lt;=90,Q204,Q204/T204*90)</f>
        <v>1.4767826086956521</v>
      </c>
      <c r="W204" s="10">
        <v>35171</v>
      </c>
      <c r="X204" s="10">
        <v>35285</v>
      </c>
      <c r="Y204" s="12">
        <v>918</v>
      </c>
      <c r="Z204" s="6" t="s">
        <v>80</v>
      </c>
      <c r="AA204" s="6" t="s">
        <v>185</v>
      </c>
      <c r="AB204" s="6"/>
      <c r="AC204" s="12">
        <v>38.200000000000003</v>
      </c>
      <c r="AD204" s="7" t="s">
        <v>39</v>
      </c>
      <c r="AE204" s="6"/>
      <c r="AF204" s="6"/>
      <c r="AG204" s="12">
        <v>46</v>
      </c>
      <c r="AH204" s="6" t="s">
        <v>134</v>
      </c>
      <c r="AI204" s="6"/>
      <c r="AJ204" s="6"/>
      <c r="AK204" s="12">
        <v>635</v>
      </c>
      <c r="AL204" s="6" t="s">
        <v>54</v>
      </c>
      <c r="AM204" s="6"/>
      <c r="AN204" s="6"/>
      <c r="AO204" s="12">
        <f t="shared" si="21"/>
        <v>24031.413612565444</v>
      </c>
      <c r="AP204" s="6" t="s">
        <v>54</v>
      </c>
      <c r="AQ204" s="6"/>
      <c r="AR204" s="6"/>
      <c r="AS204" s="6">
        <v>635</v>
      </c>
      <c r="AT204" s="6" t="s">
        <v>54</v>
      </c>
      <c r="AU204" s="6"/>
      <c r="AV204" s="6"/>
      <c r="AW204" s="6"/>
      <c r="AX204" s="6"/>
      <c r="AY204" s="6"/>
      <c r="AZ204" s="6"/>
      <c r="BA204" s="6">
        <v>48</v>
      </c>
      <c r="BB204" s="6" t="s">
        <v>229</v>
      </c>
      <c r="BC204" s="6"/>
      <c r="BD204" s="6"/>
      <c r="BE204" s="6">
        <v>2.2000000000000002</v>
      </c>
      <c r="BF204" s="6" t="s">
        <v>252</v>
      </c>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row>
    <row r="205" spans="1:96" ht="15.6" x14ac:dyDescent="0.3">
      <c r="A205" s="6">
        <v>1</v>
      </c>
      <c r="B205" s="6"/>
      <c r="C205" s="6"/>
      <c r="D205" s="6" t="s">
        <v>183</v>
      </c>
      <c r="E205" s="9" t="s">
        <v>186</v>
      </c>
      <c r="F205" s="9" t="str">
        <f t="shared" si="19"/>
        <v>1998-73Minaret1996OTC</v>
      </c>
      <c r="G205" s="6" t="s">
        <v>178</v>
      </c>
      <c r="H205" s="6" t="s">
        <v>157</v>
      </c>
      <c r="I205" s="6" t="s">
        <v>179</v>
      </c>
      <c r="J205" s="6" t="s">
        <v>96</v>
      </c>
      <c r="K205" s="6" t="s">
        <v>180</v>
      </c>
      <c r="L205" s="6">
        <v>1996</v>
      </c>
      <c r="M205" s="6" t="s">
        <v>97</v>
      </c>
      <c r="N205" s="6" t="s">
        <v>37</v>
      </c>
      <c r="O205" s="10" t="s">
        <v>75</v>
      </c>
      <c r="P205" s="7">
        <f>(7*R205+5*0.976*R204)/12*1.08</f>
        <v>64.339200000000005</v>
      </c>
      <c r="Q205" s="6">
        <v>35.497999999999998</v>
      </c>
      <c r="R205" s="6">
        <v>84</v>
      </c>
      <c r="S205" s="6">
        <v>7</v>
      </c>
      <c r="T205" s="6">
        <f t="shared" si="20"/>
        <v>115</v>
      </c>
      <c r="U205" s="6">
        <v>3</v>
      </c>
      <c r="V205" s="6">
        <f>IF(T205&lt;=90,Q205,Q205/T205*90)</f>
        <v>27.781043478260866</v>
      </c>
      <c r="W205" s="10">
        <v>35171</v>
      </c>
      <c r="X205" s="10">
        <v>35285</v>
      </c>
      <c r="Y205" s="12">
        <v>644</v>
      </c>
      <c r="Z205" s="6" t="s">
        <v>80</v>
      </c>
      <c r="AA205" s="6"/>
      <c r="AB205" s="6"/>
      <c r="AC205" s="12">
        <v>33.799999999999997</v>
      </c>
      <c r="AD205" s="7" t="s">
        <v>39</v>
      </c>
      <c r="AE205" s="6"/>
      <c r="AF205" s="6"/>
      <c r="AG205" s="12">
        <v>43.2</v>
      </c>
      <c r="AH205" s="6" t="s">
        <v>134</v>
      </c>
      <c r="AI205" s="6"/>
      <c r="AJ205" s="6"/>
      <c r="AK205" s="12">
        <v>582</v>
      </c>
      <c r="AL205" s="6" t="s">
        <v>54</v>
      </c>
      <c r="AM205" s="6"/>
      <c r="AN205" s="6"/>
      <c r="AO205" s="12">
        <f t="shared" si="21"/>
        <v>19053.254437869826</v>
      </c>
      <c r="AP205" s="6" t="s">
        <v>54</v>
      </c>
      <c r="AQ205" s="6"/>
      <c r="AR205" s="6"/>
      <c r="AS205" s="6">
        <v>582</v>
      </c>
      <c r="AT205" s="6" t="s">
        <v>54</v>
      </c>
      <c r="AU205" s="6"/>
      <c r="AV205" s="6"/>
      <c r="AW205" s="6"/>
      <c r="AX205" s="6"/>
      <c r="AY205" s="6"/>
      <c r="AZ205" s="6"/>
      <c r="BA205" s="6">
        <v>45</v>
      </c>
      <c r="BB205" s="6" t="s">
        <v>229</v>
      </c>
      <c r="BC205" s="6"/>
      <c r="BD205" s="6"/>
      <c r="BE205" s="6">
        <v>2</v>
      </c>
      <c r="BF205" s="6" t="s">
        <v>252</v>
      </c>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row>
    <row r="206" spans="1:96" ht="15.6" x14ac:dyDescent="0.3">
      <c r="A206" s="6">
        <v>1</v>
      </c>
      <c r="B206" s="6"/>
      <c r="C206" s="6"/>
      <c r="D206" s="6" t="s">
        <v>187</v>
      </c>
      <c r="E206" s="9" t="s">
        <v>188</v>
      </c>
      <c r="F206" s="9" t="str">
        <f t="shared" si="19"/>
        <v>1995-120Ralle1991OTC</v>
      </c>
      <c r="G206" s="6" t="s">
        <v>189</v>
      </c>
      <c r="H206" s="6" t="s">
        <v>157</v>
      </c>
      <c r="I206" s="6" t="s">
        <v>190</v>
      </c>
      <c r="J206" s="6" t="s">
        <v>96</v>
      </c>
      <c r="K206" s="6" t="s">
        <v>191</v>
      </c>
      <c r="L206" s="6">
        <v>1991</v>
      </c>
      <c r="M206" s="6" t="s">
        <v>97</v>
      </c>
      <c r="N206" s="6" t="s">
        <v>37</v>
      </c>
      <c r="O206" s="10" t="s">
        <v>132</v>
      </c>
      <c r="P206" s="6">
        <f>(8 * R206+ 4 * 0.97*R206) / 12*T206*12/1000+R207/1.01*(90-T206)*12/1000</f>
        <v>21.456072475247524</v>
      </c>
      <c r="Q206" s="6"/>
      <c r="R206" s="6">
        <v>17</v>
      </c>
      <c r="S206" s="6">
        <v>8</v>
      </c>
      <c r="T206" s="6">
        <f t="shared" si="20"/>
        <v>67</v>
      </c>
      <c r="U206" s="6">
        <v>5</v>
      </c>
      <c r="V206" s="13">
        <v>0</v>
      </c>
      <c r="W206" s="10">
        <v>33412</v>
      </c>
      <c r="X206" s="10">
        <v>33478</v>
      </c>
      <c r="Y206" s="12">
        <v>3.7</v>
      </c>
      <c r="Z206" s="6" t="s">
        <v>245</v>
      </c>
      <c r="AA206" s="6" t="s">
        <v>192</v>
      </c>
      <c r="AB206" s="6"/>
      <c r="AC206" s="12">
        <v>47.9</v>
      </c>
      <c r="AD206" s="7" t="s">
        <v>39</v>
      </c>
      <c r="AE206" s="6"/>
      <c r="AF206" s="6"/>
      <c r="AG206" s="12"/>
      <c r="AH206" s="6"/>
      <c r="AI206" s="6"/>
      <c r="AJ206" s="6"/>
      <c r="AK206" s="12"/>
      <c r="AL206" s="6"/>
      <c r="AM206" s="6"/>
      <c r="AN206" s="6"/>
      <c r="AO206" s="12">
        <f t="shared" si="21"/>
        <v>77.244258872651358</v>
      </c>
      <c r="AP206" s="6" t="s">
        <v>67</v>
      </c>
      <c r="AQ206" s="6"/>
      <c r="AR206" s="6"/>
      <c r="AS206" s="6"/>
      <c r="AT206" s="6"/>
      <c r="AU206" s="6"/>
      <c r="AV206" s="6"/>
      <c r="AW206" s="6"/>
      <c r="AX206" s="6"/>
      <c r="AY206" s="6"/>
      <c r="AZ206" s="6"/>
      <c r="BA206" s="6">
        <v>42.9</v>
      </c>
      <c r="BB206" s="6" t="s">
        <v>229</v>
      </c>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v>4.5999999999999996</v>
      </c>
      <c r="CH206" s="6" t="s">
        <v>245</v>
      </c>
      <c r="CI206" s="6"/>
      <c r="CJ206" s="6"/>
      <c r="CK206" s="6"/>
      <c r="CL206" s="6"/>
      <c r="CM206" s="6"/>
      <c r="CN206" s="6"/>
      <c r="CO206" s="6"/>
      <c r="CP206" s="6"/>
      <c r="CQ206" s="6"/>
      <c r="CR206" s="6"/>
    </row>
    <row r="207" spans="1:96" ht="15.6" x14ac:dyDescent="0.3">
      <c r="A207" s="6">
        <v>1</v>
      </c>
      <c r="B207" s="6"/>
      <c r="C207" s="6"/>
      <c r="D207" s="6" t="s">
        <v>187</v>
      </c>
      <c r="E207" s="9" t="s">
        <v>188</v>
      </c>
      <c r="F207" s="9" t="str">
        <f t="shared" si="19"/>
        <v>1995-120Ralle1991OTC</v>
      </c>
      <c r="G207" s="6" t="s">
        <v>189</v>
      </c>
      <c r="H207" s="6" t="s">
        <v>157</v>
      </c>
      <c r="I207" s="6" t="s">
        <v>190</v>
      </c>
      <c r="J207" s="6" t="s">
        <v>96</v>
      </c>
      <c r="K207" s="6" t="s">
        <v>191</v>
      </c>
      <c r="L207" s="6">
        <v>1991</v>
      </c>
      <c r="M207" s="6" t="s">
        <v>97</v>
      </c>
      <c r="N207" s="6" t="s">
        <v>37</v>
      </c>
      <c r="O207" s="6" t="s">
        <v>103</v>
      </c>
      <c r="P207" s="6">
        <f>R207/1.01*T207*12/1000+R207/1.01*(90-T207)*12/1000</f>
        <v>31.009900990099005</v>
      </c>
      <c r="Q207" s="6"/>
      <c r="R207" s="6">
        <v>29</v>
      </c>
      <c r="S207" s="6">
        <v>8</v>
      </c>
      <c r="T207" s="6">
        <f t="shared" si="20"/>
        <v>67</v>
      </c>
      <c r="U207" s="6">
        <v>5</v>
      </c>
      <c r="V207" s="13">
        <v>1.0571921133271101</v>
      </c>
      <c r="W207" s="10">
        <v>33412</v>
      </c>
      <c r="X207" s="10">
        <v>33478</v>
      </c>
      <c r="Y207" s="12">
        <v>3.3</v>
      </c>
      <c r="Z207" s="6" t="s">
        <v>245</v>
      </c>
      <c r="AA207" s="6"/>
      <c r="AB207" s="6"/>
      <c r="AC207" s="12">
        <v>44.9</v>
      </c>
      <c r="AD207" s="7" t="s">
        <v>39</v>
      </c>
      <c r="AE207" s="6"/>
      <c r="AF207" s="6"/>
      <c r="AG207" s="12"/>
      <c r="AH207" s="6"/>
      <c r="AI207" s="6"/>
      <c r="AJ207" s="6"/>
      <c r="AK207" s="12"/>
      <c r="AL207" s="6"/>
      <c r="AM207" s="6"/>
      <c r="AN207" s="6"/>
      <c r="AO207" s="12">
        <f t="shared" si="21"/>
        <v>73.496659242761694</v>
      </c>
      <c r="AP207" s="6" t="s">
        <v>67</v>
      </c>
      <c r="AQ207" s="6"/>
      <c r="AR207" s="6"/>
      <c r="AS207" s="6"/>
      <c r="AT207" s="6"/>
      <c r="AU207" s="6"/>
      <c r="AV207" s="6"/>
      <c r="AW207" s="6"/>
      <c r="AX207" s="6"/>
      <c r="AY207" s="6"/>
      <c r="AZ207" s="6"/>
      <c r="BA207" s="6">
        <v>41.5</v>
      </c>
      <c r="BB207" s="6" t="s">
        <v>229</v>
      </c>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v>4.0999999999999996</v>
      </c>
      <c r="CH207" s="6" t="s">
        <v>245</v>
      </c>
      <c r="CI207" s="6"/>
      <c r="CJ207" s="6"/>
      <c r="CK207" s="6"/>
      <c r="CL207" s="6"/>
      <c r="CM207" s="6"/>
      <c r="CN207" s="6"/>
      <c r="CO207" s="6"/>
      <c r="CP207" s="6"/>
      <c r="CQ207" s="6"/>
      <c r="CR207" s="6"/>
    </row>
    <row r="208" spans="1:96" ht="15.6" x14ac:dyDescent="0.3">
      <c r="A208" s="6">
        <v>1</v>
      </c>
      <c r="B208" s="6"/>
      <c r="C208" s="6"/>
      <c r="D208" s="6" t="s">
        <v>187</v>
      </c>
      <c r="E208" s="9" t="s">
        <v>188</v>
      </c>
      <c r="F208" s="9" t="str">
        <f t="shared" si="19"/>
        <v>1995-120Ralle1991OTC</v>
      </c>
      <c r="G208" s="6" t="s">
        <v>189</v>
      </c>
      <c r="H208" s="6" t="s">
        <v>157</v>
      </c>
      <c r="I208" s="6" t="s">
        <v>190</v>
      </c>
      <c r="J208" s="6" t="s">
        <v>96</v>
      </c>
      <c r="K208" s="6" t="s">
        <v>191</v>
      </c>
      <c r="L208" s="6">
        <v>1991</v>
      </c>
      <c r="M208" s="6" t="s">
        <v>97</v>
      </c>
      <c r="N208" s="6" t="s">
        <v>37</v>
      </c>
      <c r="O208" s="6" t="s">
        <v>75</v>
      </c>
      <c r="P208" s="6">
        <f>(8 * R208+ 4 * 0.97*R207) / 12*T208*12/1000+R207/1.01*(90-T208)*12/1000</f>
        <v>48.159592475247521</v>
      </c>
      <c r="Q208" s="6"/>
      <c r="R208" s="6">
        <v>61</v>
      </c>
      <c r="S208" s="6">
        <v>8</v>
      </c>
      <c r="T208" s="6">
        <f t="shared" si="20"/>
        <v>67</v>
      </c>
      <c r="U208" s="6">
        <v>5</v>
      </c>
      <c r="V208" s="13">
        <v>8.7904993566869791</v>
      </c>
      <c r="W208" s="10">
        <v>33412</v>
      </c>
      <c r="X208" s="10">
        <v>33478</v>
      </c>
      <c r="Y208" s="12">
        <v>2.7</v>
      </c>
      <c r="Z208" s="6" t="s">
        <v>245</v>
      </c>
      <c r="AA208" s="6"/>
      <c r="AB208" s="6"/>
      <c r="AC208" s="12">
        <v>40.200000000000003</v>
      </c>
      <c r="AD208" s="7" t="s">
        <v>39</v>
      </c>
      <c r="AE208" s="6"/>
      <c r="AF208" s="6"/>
      <c r="AG208" s="12"/>
      <c r="AH208" s="6"/>
      <c r="AI208" s="6"/>
      <c r="AJ208" s="6"/>
      <c r="AK208" s="12"/>
      <c r="AL208" s="6"/>
      <c r="AM208" s="6"/>
      <c r="AN208" s="6"/>
      <c r="AO208" s="12">
        <f t="shared" si="21"/>
        <v>67.164179104477611</v>
      </c>
      <c r="AP208" s="6" t="s">
        <v>67</v>
      </c>
      <c r="AQ208" s="6"/>
      <c r="AR208" s="6"/>
      <c r="AS208" s="6"/>
      <c r="AT208" s="6"/>
      <c r="AU208" s="6"/>
      <c r="AV208" s="6"/>
      <c r="AW208" s="6"/>
      <c r="AX208" s="6"/>
      <c r="AY208" s="6"/>
      <c r="AZ208" s="6"/>
      <c r="BA208" s="6">
        <v>39.6</v>
      </c>
      <c r="BB208" s="6" t="s">
        <v>229</v>
      </c>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v>3.4</v>
      </c>
      <c r="CH208" s="6" t="s">
        <v>245</v>
      </c>
      <c r="CI208" s="6"/>
      <c r="CJ208" s="6"/>
      <c r="CK208" s="6"/>
      <c r="CL208" s="6"/>
      <c r="CM208" s="6"/>
      <c r="CN208" s="6"/>
      <c r="CO208" s="6"/>
      <c r="CP208" s="6"/>
      <c r="CQ208" s="6"/>
      <c r="CR208" s="6"/>
    </row>
    <row r="209" spans="1:96" ht="15.6" x14ac:dyDescent="0.3">
      <c r="A209" s="6">
        <v>1</v>
      </c>
      <c r="B209" s="6"/>
      <c r="C209" s="6"/>
      <c r="D209" s="6" t="s">
        <v>193</v>
      </c>
      <c r="E209" s="9" t="s">
        <v>194</v>
      </c>
      <c r="F209" s="9" t="str">
        <f t="shared" si="19"/>
        <v>1998-75Satu1992OTC</v>
      </c>
      <c r="G209" s="9" t="s">
        <v>195</v>
      </c>
      <c r="H209" s="6" t="s">
        <v>157</v>
      </c>
      <c r="I209" s="9" t="s">
        <v>196</v>
      </c>
      <c r="J209" s="6" t="s">
        <v>96</v>
      </c>
      <c r="K209" s="17" t="s">
        <v>197</v>
      </c>
      <c r="L209" s="17">
        <v>1992</v>
      </c>
      <c r="M209" s="9" t="s">
        <v>36</v>
      </c>
      <c r="N209" s="9" t="s">
        <v>51</v>
      </c>
      <c r="O209" s="17" t="s">
        <v>132</v>
      </c>
      <c r="P209" s="6">
        <f>(8 * R209+ 4 * 0.97*R209) / 12*T209*12/1000+R210/1.01*(90-T209)*12/1000</f>
        <v>17.250187722772274</v>
      </c>
      <c r="Q209" s="6">
        <v>0</v>
      </c>
      <c r="R209" s="6">
        <v>14</v>
      </c>
      <c r="S209" s="6">
        <v>8</v>
      </c>
      <c r="T209" s="6">
        <f t="shared" si="20"/>
        <v>78</v>
      </c>
      <c r="U209" s="6">
        <v>5</v>
      </c>
      <c r="V209" s="6">
        <f t="shared" ref="V209:V230" si="22">IF(T209&lt;=90,Q209,Q209/T209*90)</f>
        <v>0</v>
      </c>
      <c r="W209" s="10">
        <v>33773</v>
      </c>
      <c r="X209" s="10">
        <v>33850</v>
      </c>
      <c r="Y209" s="12">
        <v>350</v>
      </c>
      <c r="Z209" s="9" t="s">
        <v>53</v>
      </c>
      <c r="AA209" s="6"/>
      <c r="AB209" s="6"/>
      <c r="AC209" s="12">
        <v>33.799999999999997</v>
      </c>
      <c r="AD209" s="7" t="s">
        <v>39</v>
      </c>
      <c r="AE209" s="6"/>
      <c r="AF209" s="6"/>
      <c r="AG209" s="12"/>
      <c r="AH209" s="6"/>
      <c r="AI209" s="6"/>
      <c r="AJ209" s="6"/>
      <c r="AK209" s="12"/>
      <c r="AL209" s="6"/>
      <c r="AM209" s="6"/>
      <c r="AN209" s="6"/>
      <c r="AO209" s="12">
        <f t="shared" si="21"/>
        <v>10355.029585798817</v>
      </c>
      <c r="AP209" s="6" t="s">
        <v>54</v>
      </c>
      <c r="AQ209" s="6"/>
      <c r="AR209" s="6"/>
      <c r="AS209" s="6"/>
      <c r="AT209" s="6"/>
      <c r="AU209" s="6"/>
      <c r="AV209" s="6"/>
      <c r="AW209" s="6"/>
      <c r="AX209" s="6"/>
      <c r="AY209" s="6"/>
      <c r="AZ209" s="6"/>
      <c r="BA209" s="6">
        <v>39</v>
      </c>
      <c r="BB209" s="6" t="s">
        <v>229</v>
      </c>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row>
    <row r="210" spans="1:96" ht="15.6" x14ac:dyDescent="0.3">
      <c r="A210" s="6">
        <v>1</v>
      </c>
      <c r="B210" s="6"/>
      <c r="C210" s="6"/>
      <c r="D210" s="6" t="s">
        <v>193</v>
      </c>
      <c r="E210" s="9" t="s">
        <v>194</v>
      </c>
      <c r="F210" s="9" t="str">
        <f t="shared" si="19"/>
        <v>1998-75Satu1992OTC</v>
      </c>
      <c r="G210" s="9" t="s">
        <v>195</v>
      </c>
      <c r="H210" s="6" t="s">
        <v>157</v>
      </c>
      <c r="I210" s="9" t="s">
        <v>196</v>
      </c>
      <c r="J210" s="6" t="s">
        <v>96</v>
      </c>
      <c r="K210" s="17" t="s">
        <v>197</v>
      </c>
      <c r="L210" s="17">
        <v>1992</v>
      </c>
      <c r="M210" s="9" t="s">
        <v>36</v>
      </c>
      <c r="N210" s="9" t="s">
        <v>51</v>
      </c>
      <c r="O210" s="17" t="s">
        <v>42</v>
      </c>
      <c r="P210" s="6">
        <f>R210/1.01*T210*12/1000+R210/1.01*(90-T210)*12/1000</f>
        <v>32.079207920792079</v>
      </c>
      <c r="Q210" s="6">
        <v>0.67100000000000004</v>
      </c>
      <c r="R210" s="6">
        <v>30</v>
      </c>
      <c r="S210" s="6">
        <v>8</v>
      </c>
      <c r="T210" s="6">
        <f t="shared" si="20"/>
        <v>78</v>
      </c>
      <c r="U210" s="6">
        <v>5</v>
      </c>
      <c r="V210" s="6">
        <f t="shared" si="22"/>
        <v>0.67100000000000004</v>
      </c>
      <c r="W210" s="10">
        <v>33773</v>
      </c>
      <c r="X210" s="10">
        <v>33850</v>
      </c>
      <c r="Y210" s="12">
        <v>370</v>
      </c>
      <c r="Z210" s="9" t="s">
        <v>53</v>
      </c>
      <c r="AA210" s="6"/>
      <c r="AB210" s="6"/>
      <c r="AC210" s="12">
        <v>34.4</v>
      </c>
      <c r="AD210" s="7" t="s">
        <v>39</v>
      </c>
      <c r="AE210" s="6"/>
      <c r="AF210" s="6"/>
      <c r="AG210" s="12"/>
      <c r="AH210" s="6"/>
      <c r="AI210" s="6"/>
      <c r="AJ210" s="6"/>
      <c r="AK210" s="12"/>
      <c r="AL210" s="6"/>
      <c r="AM210" s="6"/>
      <c r="AN210" s="6"/>
      <c r="AO210" s="12">
        <f t="shared" si="21"/>
        <v>10755.813953488372</v>
      </c>
      <c r="AP210" s="6" t="s">
        <v>54</v>
      </c>
      <c r="AQ210" s="6"/>
      <c r="AR210" s="6"/>
      <c r="AS210" s="6"/>
      <c r="AT210" s="6"/>
      <c r="AU210" s="6"/>
      <c r="AV210" s="6"/>
      <c r="AW210" s="6"/>
      <c r="AX210" s="6"/>
      <c r="AY210" s="6"/>
      <c r="AZ210" s="6"/>
      <c r="BA210" s="6">
        <v>38</v>
      </c>
      <c r="BB210" s="6" t="s">
        <v>229</v>
      </c>
      <c r="BC210" s="6"/>
      <c r="BD210" s="6"/>
      <c r="BE210" s="6"/>
      <c r="BF210" s="6"/>
      <c r="BG210" s="6"/>
      <c r="BH210" s="6"/>
      <c r="BI210" s="6"/>
      <c r="BJ210" s="6"/>
      <c r="BK210" s="6"/>
      <c r="BL210" s="6"/>
      <c r="BM210" s="6"/>
      <c r="BN210" s="6"/>
      <c r="BO210" s="6"/>
      <c r="BP210" s="6"/>
      <c r="BQ210" s="6"/>
      <c r="BR210" s="6"/>
      <c r="BS210" s="6"/>
      <c r="BT210" s="6"/>
      <c r="BU210" s="6"/>
      <c r="BV210" s="6"/>
      <c r="BW210" s="6"/>
      <c r="BX210" s="6"/>
      <c r="BY210" s="6">
        <v>12.1</v>
      </c>
      <c r="BZ210" s="6" t="s">
        <v>229</v>
      </c>
      <c r="CA210" s="6"/>
      <c r="CB210" s="6"/>
      <c r="CC210" s="6"/>
      <c r="CD210" s="6"/>
      <c r="CE210" s="6"/>
      <c r="CF210" s="6"/>
      <c r="CG210" s="6"/>
      <c r="CH210" s="6"/>
      <c r="CI210" s="6"/>
      <c r="CJ210" s="6"/>
      <c r="CK210" s="6"/>
      <c r="CL210" s="6"/>
      <c r="CM210" s="6"/>
      <c r="CN210" s="6"/>
      <c r="CO210" s="6"/>
      <c r="CP210" s="6"/>
      <c r="CQ210" s="6"/>
      <c r="CR210" s="6"/>
    </row>
    <row r="211" spans="1:96" ht="15.6" x14ac:dyDescent="0.3">
      <c r="A211" s="6">
        <v>1</v>
      </c>
      <c r="B211" s="6"/>
      <c r="C211" s="6"/>
      <c r="D211" s="6" t="s">
        <v>193</v>
      </c>
      <c r="E211" s="9" t="s">
        <v>194</v>
      </c>
      <c r="F211" s="9" t="str">
        <f t="shared" si="19"/>
        <v>1998-75Satu1992OTC</v>
      </c>
      <c r="G211" s="9" t="s">
        <v>195</v>
      </c>
      <c r="H211" s="6" t="s">
        <v>157</v>
      </c>
      <c r="I211" s="9" t="s">
        <v>196</v>
      </c>
      <c r="J211" s="6" t="s">
        <v>96</v>
      </c>
      <c r="K211" s="17" t="s">
        <v>197</v>
      </c>
      <c r="L211" s="17">
        <v>1992</v>
      </c>
      <c r="M211" s="9" t="s">
        <v>36</v>
      </c>
      <c r="N211" s="9" t="s">
        <v>51</v>
      </c>
      <c r="O211" s="6" t="s">
        <v>75</v>
      </c>
      <c r="P211" s="6">
        <f>(8 * R211+ 4 * 0.97*R210) / 12*T211*12/1000+R210/1.01*(90-T211)*12/1000</f>
        <v>51.420427722772274</v>
      </c>
      <c r="Q211" s="6">
        <v>13.744</v>
      </c>
      <c r="R211" s="6">
        <v>61</v>
      </c>
      <c r="S211" s="6">
        <v>8</v>
      </c>
      <c r="T211" s="6">
        <f t="shared" si="20"/>
        <v>78</v>
      </c>
      <c r="U211" s="6">
        <v>5</v>
      </c>
      <c r="V211" s="6">
        <f t="shared" si="22"/>
        <v>13.744</v>
      </c>
      <c r="W211" s="10">
        <v>33773</v>
      </c>
      <c r="X211" s="10">
        <v>33850</v>
      </c>
      <c r="Y211" s="12">
        <v>305</v>
      </c>
      <c r="Z211" s="9" t="s">
        <v>53</v>
      </c>
      <c r="AA211" s="6"/>
      <c r="AB211" s="6"/>
      <c r="AC211" s="12">
        <v>30.8</v>
      </c>
      <c r="AD211" s="7" t="s">
        <v>39</v>
      </c>
      <c r="AE211" s="6"/>
      <c r="AF211" s="6"/>
      <c r="AG211" s="12"/>
      <c r="AH211" s="6"/>
      <c r="AI211" s="6"/>
      <c r="AJ211" s="6"/>
      <c r="AK211" s="12"/>
      <c r="AL211" s="6"/>
      <c r="AM211" s="6"/>
      <c r="AN211" s="6"/>
      <c r="AO211" s="12">
        <f t="shared" si="21"/>
        <v>9902.5974025974028</v>
      </c>
      <c r="AP211" s="6" t="s">
        <v>54</v>
      </c>
      <c r="AQ211" s="6"/>
      <c r="AR211" s="6"/>
      <c r="AS211" s="6"/>
      <c r="AT211" s="6"/>
      <c r="AU211" s="6"/>
      <c r="AV211" s="6"/>
      <c r="AW211" s="6"/>
      <c r="AX211" s="6"/>
      <c r="AY211" s="6"/>
      <c r="AZ211" s="6"/>
      <c r="BA211" s="6">
        <v>36</v>
      </c>
      <c r="BB211" s="6" t="s">
        <v>229</v>
      </c>
      <c r="BC211" s="6"/>
      <c r="BD211" s="6"/>
      <c r="BE211" s="6"/>
      <c r="BF211" s="6"/>
      <c r="BG211" s="6"/>
      <c r="BH211" s="6"/>
      <c r="BI211" s="6"/>
      <c r="BJ211" s="6"/>
      <c r="BK211" s="6"/>
      <c r="BL211" s="6"/>
      <c r="BM211" s="6"/>
      <c r="BN211" s="6"/>
      <c r="BO211" s="6"/>
      <c r="BP211" s="6"/>
      <c r="BQ211" s="6"/>
      <c r="BR211" s="6"/>
      <c r="BS211" s="6"/>
      <c r="BT211" s="6"/>
      <c r="BU211" s="6"/>
      <c r="BV211" s="6"/>
      <c r="BW211" s="6"/>
      <c r="BX211" s="6"/>
      <c r="BY211" s="6">
        <v>12.7</v>
      </c>
      <c r="BZ211" s="6" t="s">
        <v>229</v>
      </c>
      <c r="CA211" s="6"/>
      <c r="CB211" s="6"/>
      <c r="CC211" s="6"/>
      <c r="CD211" s="6"/>
      <c r="CE211" s="6"/>
      <c r="CF211" s="6"/>
      <c r="CG211" s="6"/>
      <c r="CH211" s="6"/>
      <c r="CI211" s="6"/>
      <c r="CJ211" s="6"/>
      <c r="CK211" s="6"/>
      <c r="CL211" s="6"/>
      <c r="CM211" s="6"/>
      <c r="CN211" s="6"/>
      <c r="CO211" s="6"/>
      <c r="CP211" s="6"/>
      <c r="CQ211" s="6"/>
      <c r="CR211" s="6"/>
    </row>
    <row r="212" spans="1:96" ht="15.6" x14ac:dyDescent="0.3">
      <c r="A212" s="6">
        <v>1</v>
      </c>
      <c r="B212" s="6"/>
      <c r="C212" s="6"/>
      <c r="D212" s="6" t="s">
        <v>193</v>
      </c>
      <c r="E212" s="9" t="s">
        <v>194</v>
      </c>
      <c r="F212" s="9" t="str">
        <f t="shared" si="19"/>
        <v>1998-75Satu1993OTC</v>
      </c>
      <c r="G212" s="9" t="s">
        <v>195</v>
      </c>
      <c r="H212" s="6" t="s">
        <v>157</v>
      </c>
      <c r="I212" s="9" t="s">
        <v>196</v>
      </c>
      <c r="J212" s="6" t="s">
        <v>96</v>
      </c>
      <c r="K212" s="9" t="s">
        <v>197</v>
      </c>
      <c r="L212" s="9">
        <v>1993</v>
      </c>
      <c r="M212" s="9" t="s">
        <v>36</v>
      </c>
      <c r="N212" s="9" t="s">
        <v>51</v>
      </c>
      <c r="O212" s="9" t="s">
        <v>38</v>
      </c>
      <c r="P212" s="6">
        <f>(8 * R212+ 4 * 0.97*R212) / 12*T212*12/1000+R213/1.01*(90-T212)*12/1000</f>
        <v>10.763479603960397</v>
      </c>
      <c r="Q212" s="6">
        <v>0</v>
      </c>
      <c r="R212" s="6">
        <v>9</v>
      </c>
      <c r="S212" s="6">
        <v>8</v>
      </c>
      <c r="T212" s="6">
        <f t="shared" si="20"/>
        <v>82</v>
      </c>
      <c r="U212" s="6">
        <v>5</v>
      </c>
      <c r="V212" s="6">
        <f t="shared" si="22"/>
        <v>0</v>
      </c>
      <c r="W212" s="10">
        <v>34139</v>
      </c>
      <c r="X212" s="10">
        <v>34220</v>
      </c>
      <c r="Y212" s="12">
        <v>480</v>
      </c>
      <c r="Z212" s="9" t="s">
        <v>53</v>
      </c>
      <c r="AA212" s="6"/>
      <c r="AB212" s="6"/>
      <c r="AC212" s="12">
        <v>36.4</v>
      </c>
      <c r="AD212" s="7" t="s">
        <v>39</v>
      </c>
      <c r="AE212" s="6"/>
      <c r="AF212" s="6"/>
      <c r="AG212" s="12"/>
      <c r="AH212" s="6"/>
      <c r="AI212" s="6"/>
      <c r="AJ212" s="6"/>
      <c r="AK212" s="12"/>
      <c r="AL212" s="6"/>
      <c r="AM212" s="6"/>
      <c r="AN212" s="6"/>
      <c r="AO212" s="12">
        <f t="shared" si="21"/>
        <v>13186.813186813188</v>
      </c>
      <c r="AP212" s="6" t="s">
        <v>54</v>
      </c>
      <c r="AQ212" s="6"/>
      <c r="AR212" s="6"/>
      <c r="AS212" s="6"/>
      <c r="AT212" s="6"/>
      <c r="AU212" s="6"/>
      <c r="AV212" s="6"/>
      <c r="AW212" s="6"/>
      <c r="AX212" s="6"/>
      <c r="AY212" s="6"/>
      <c r="AZ212" s="6"/>
      <c r="BA212" s="6">
        <v>40</v>
      </c>
      <c r="BB212" s="6" t="s">
        <v>229</v>
      </c>
      <c r="BC212" s="6"/>
      <c r="BD212" s="6"/>
      <c r="BE212" s="6"/>
      <c r="BF212" s="6"/>
      <c r="BG212" s="6"/>
      <c r="BH212" s="6"/>
      <c r="BI212" s="6"/>
      <c r="BJ212" s="6"/>
      <c r="BK212" s="6"/>
      <c r="BL212" s="6"/>
      <c r="BM212" s="6"/>
      <c r="BN212" s="6"/>
      <c r="BO212" s="6"/>
      <c r="BP212" s="6"/>
      <c r="BQ212" s="6"/>
      <c r="BR212" s="6"/>
      <c r="BS212" s="6"/>
      <c r="BT212" s="6"/>
      <c r="BU212" s="6"/>
      <c r="BV212" s="6"/>
      <c r="BW212" s="6"/>
      <c r="BX212" s="6"/>
      <c r="BY212" s="6">
        <v>11.5</v>
      </c>
      <c r="BZ212" s="6" t="s">
        <v>229</v>
      </c>
      <c r="CA212" s="6"/>
      <c r="CB212" s="6"/>
      <c r="CC212" s="6"/>
      <c r="CD212" s="6"/>
      <c r="CE212" s="6"/>
      <c r="CF212" s="6"/>
      <c r="CG212" s="6"/>
      <c r="CH212" s="6"/>
      <c r="CI212" s="6"/>
      <c r="CJ212" s="6"/>
      <c r="CK212" s="6"/>
      <c r="CL212" s="6"/>
      <c r="CM212" s="6"/>
      <c r="CN212" s="6"/>
      <c r="CO212" s="6"/>
      <c r="CP212" s="6"/>
      <c r="CQ212" s="6"/>
      <c r="CR212" s="6"/>
    </row>
    <row r="213" spans="1:96" ht="15.6" x14ac:dyDescent="0.3">
      <c r="A213" s="6">
        <v>1</v>
      </c>
      <c r="B213" s="6"/>
      <c r="C213" s="6"/>
      <c r="D213" s="6" t="s">
        <v>193</v>
      </c>
      <c r="E213" s="9" t="s">
        <v>194</v>
      </c>
      <c r="F213" s="9" t="str">
        <f t="shared" si="19"/>
        <v>1998-75Satu1993OTC</v>
      </c>
      <c r="G213" s="9" t="s">
        <v>195</v>
      </c>
      <c r="H213" s="6" t="s">
        <v>157</v>
      </c>
      <c r="I213" s="9" t="s">
        <v>196</v>
      </c>
      <c r="J213" s="6" t="s">
        <v>96</v>
      </c>
      <c r="K213" s="17" t="s">
        <v>197</v>
      </c>
      <c r="L213" s="17">
        <v>1993</v>
      </c>
      <c r="M213" s="9" t="s">
        <v>36</v>
      </c>
      <c r="N213" s="9" t="s">
        <v>51</v>
      </c>
      <c r="O213" s="17" t="s">
        <v>42</v>
      </c>
      <c r="P213" s="6">
        <f>R213/1.01*T213*12/1000+R213/1.01*(90-T213)*12/1000</f>
        <v>22.455445544554458</v>
      </c>
      <c r="Q213" s="6">
        <v>0</v>
      </c>
      <c r="R213" s="6">
        <v>21</v>
      </c>
      <c r="S213" s="6">
        <v>8</v>
      </c>
      <c r="T213" s="6">
        <f t="shared" si="20"/>
        <v>82</v>
      </c>
      <c r="U213" s="6">
        <v>5</v>
      </c>
      <c r="V213" s="6">
        <f t="shared" si="22"/>
        <v>0</v>
      </c>
      <c r="W213" s="10">
        <v>34139</v>
      </c>
      <c r="X213" s="10">
        <v>34220</v>
      </c>
      <c r="Y213" s="12">
        <v>450</v>
      </c>
      <c r="Z213" s="9" t="s">
        <v>53</v>
      </c>
      <c r="AA213" s="6"/>
      <c r="AB213" s="6"/>
      <c r="AC213" s="12">
        <v>36.700000000000003</v>
      </c>
      <c r="AD213" s="7" t="s">
        <v>39</v>
      </c>
      <c r="AE213" s="6"/>
      <c r="AF213" s="6"/>
      <c r="AG213" s="12"/>
      <c r="AH213" s="6"/>
      <c r="AI213" s="6"/>
      <c r="AJ213" s="6"/>
      <c r="AK213" s="12"/>
      <c r="AL213" s="6"/>
      <c r="AM213" s="6"/>
      <c r="AN213" s="6"/>
      <c r="AO213" s="12">
        <f t="shared" si="21"/>
        <v>12261.580381471389</v>
      </c>
      <c r="AP213" s="6" t="s">
        <v>54</v>
      </c>
      <c r="AQ213" s="6"/>
      <c r="AR213" s="6"/>
      <c r="AS213" s="6"/>
      <c r="AT213" s="6"/>
      <c r="AU213" s="6"/>
      <c r="AV213" s="6"/>
      <c r="AW213" s="6"/>
      <c r="AX213" s="6"/>
      <c r="AY213" s="6"/>
      <c r="AZ213" s="6"/>
      <c r="BA213" s="6">
        <v>42</v>
      </c>
      <c r="BB213" s="6" t="s">
        <v>229</v>
      </c>
      <c r="BC213" s="6"/>
      <c r="BD213" s="6"/>
      <c r="BE213" s="6"/>
      <c r="BF213" s="6"/>
      <c r="BG213" s="6"/>
      <c r="BH213" s="6"/>
      <c r="BI213" s="6"/>
      <c r="BJ213" s="6"/>
      <c r="BK213" s="6"/>
      <c r="BL213" s="6"/>
      <c r="BM213" s="6"/>
      <c r="BN213" s="6"/>
      <c r="BO213" s="6"/>
      <c r="BP213" s="6"/>
      <c r="BQ213" s="6"/>
      <c r="BR213" s="6"/>
      <c r="BS213" s="6"/>
      <c r="BT213" s="6"/>
      <c r="BU213" s="6"/>
      <c r="BV213" s="6"/>
      <c r="BW213" s="6"/>
      <c r="BX213" s="6"/>
      <c r="BY213" s="6">
        <v>12</v>
      </c>
      <c r="BZ213" s="6" t="s">
        <v>229</v>
      </c>
      <c r="CA213" s="6"/>
      <c r="CB213" s="6"/>
      <c r="CC213" s="6"/>
      <c r="CD213" s="6"/>
      <c r="CE213" s="6"/>
      <c r="CF213" s="6"/>
      <c r="CG213" s="6"/>
      <c r="CH213" s="6"/>
      <c r="CI213" s="6"/>
      <c r="CJ213" s="6"/>
      <c r="CK213" s="6"/>
      <c r="CL213" s="6"/>
      <c r="CM213" s="6"/>
      <c r="CN213" s="6"/>
      <c r="CO213" s="6"/>
      <c r="CP213" s="6"/>
      <c r="CQ213" s="6"/>
      <c r="CR213" s="6"/>
    </row>
    <row r="214" spans="1:96" ht="15.6" x14ac:dyDescent="0.3">
      <c r="A214" s="6">
        <v>1</v>
      </c>
      <c r="B214" s="6"/>
      <c r="C214" s="6"/>
      <c r="D214" s="6" t="s">
        <v>193</v>
      </c>
      <c r="E214" s="9" t="s">
        <v>194</v>
      </c>
      <c r="F214" s="9" t="str">
        <f t="shared" si="19"/>
        <v>1998-75Satu1993OTC</v>
      </c>
      <c r="G214" s="9" t="s">
        <v>195</v>
      </c>
      <c r="H214" s="6" t="s">
        <v>157</v>
      </c>
      <c r="I214" s="9" t="s">
        <v>196</v>
      </c>
      <c r="J214" s="6" t="s">
        <v>96</v>
      </c>
      <c r="K214" s="17" t="s">
        <v>197</v>
      </c>
      <c r="L214" s="17">
        <v>1993</v>
      </c>
      <c r="M214" s="9" t="s">
        <v>36</v>
      </c>
      <c r="N214" s="9" t="s">
        <v>51</v>
      </c>
      <c r="O214" s="6" t="s">
        <v>75</v>
      </c>
      <c r="P214" s="6">
        <f>(8 * R214+ 4 * 0.97*R213) / 12*T214*12/1000+R213/1.01*(90-T214)*12/1000</f>
        <v>38.197399603960399</v>
      </c>
      <c r="Q214" s="6">
        <v>4.609</v>
      </c>
      <c r="R214" s="6">
        <v>45</v>
      </c>
      <c r="S214" s="6">
        <v>8</v>
      </c>
      <c r="T214" s="6">
        <f t="shared" si="20"/>
        <v>82</v>
      </c>
      <c r="U214" s="6">
        <v>5</v>
      </c>
      <c r="V214" s="6">
        <f t="shared" si="22"/>
        <v>4.609</v>
      </c>
      <c r="W214" s="10">
        <v>34139</v>
      </c>
      <c r="X214" s="10">
        <v>34220</v>
      </c>
      <c r="Y214" s="12">
        <v>420</v>
      </c>
      <c r="Z214" s="9" t="s">
        <v>53</v>
      </c>
      <c r="AA214" s="6"/>
      <c r="AB214" s="6"/>
      <c r="AC214" s="12">
        <v>32.1</v>
      </c>
      <c r="AD214" s="7" t="s">
        <v>39</v>
      </c>
      <c r="AE214" s="6"/>
      <c r="AF214" s="6"/>
      <c r="AG214" s="12"/>
      <c r="AH214" s="6"/>
      <c r="AI214" s="6"/>
      <c r="AJ214" s="6"/>
      <c r="AK214" s="12"/>
      <c r="AL214" s="6"/>
      <c r="AM214" s="6"/>
      <c r="AN214" s="6"/>
      <c r="AO214" s="12">
        <f t="shared" si="21"/>
        <v>13084.11214953271</v>
      </c>
      <c r="AP214" s="6" t="s">
        <v>54</v>
      </c>
      <c r="AQ214" s="6"/>
      <c r="AR214" s="6"/>
      <c r="AS214" s="6"/>
      <c r="AT214" s="6"/>
      <c r="AU214" s="6"/>
      <c r="AV214" s="6"/>
      <c r="AW214" s="6"/>
      <c r="AX214" s="6"/>
      <c r="AY214" s="6"/>
      <c r="AZ214" s="6"/>
      <c r="BA214" s="6">
        <v>41</v>
      </c>
      <c r="BB214" s="6" t="s">
        <v>229</v>
      </c>
      <c r="BC214" s="6"/>
      <c r="BD214" s="6"/>
      <c r="BE214" s="6"/>
      <c r="BF214" s="6"/>
      <c r="BG214" s="6"/>
      <c r="BH214" s="6"/>
      <c r="BI214" s="6"/>
      <c r="BJ214" s="6"/>
      <c r="BK214" s="6"/>
      <c r="BL214" s="6"/>
      <c r="BM214" s="6"/>
      <c r="BN214" s="6"/>
      <c r="BO214" s="6"/>
      <c r="BP214" s="6"/>
      <c r="BQ214" s="6"/>
      <c r="BR214" s="6"/>
      <c r="BS214" s="6"/>
      <c r="BT214" s="6"/>
      <c r="BU214" s="6"/>
      <c r="BV214" s="6"/>
      <c r="BW214" s="6"/>
      <c r="BX214" s="6"/>
      <c r="BY214" s="6">
        <v>13.2</v>
      </c>
      <c r="BZ214" s="6" t="s">
        <v>229</v>
      </c>
      <c r="CA214" s="6"/>
      <c r="CB214" s="6"/>
      <c r="CC214" s="6"/>
      <c r="CD214" s="6"/>
      <c r="CE214" s="6"/>
      <c r="CF214" s="6"/>
      <c r="CG214" s="6"/>
      <c r="CH214" s="6"/>
      <c r="CI214" s="6"/>
      <c r="CJ214" s="6"/>
      <c r="CK214" s="6"/>
      <c r="CL214" s="6"/>
      <c r="CM214" s="6"/>
      <c r="CN214" s="6"/>
      <c r="CO214" s="6"/>
      <c r="CP214" s="6"/>
      <c r="CQ214" s="6"/>
      <c r="CR214" s="6"/>
    </row>
    <row r="215" spans="1:96" ht="15.6" x14ac:dyDescent="0.3">
      <c r="A215" s="6">
        <v>1</v>
      </c>
      <c r="B215" s="6"/>
      <c r="C215" s="6"/>
      <c r="D215" s="6" t="s">
        <v>198</v>
      </c>
      <c r="E215" s="9" t="s">
        <v>199</v>
      </c>
      <c r="F215" s="9" t="str">
        <f t="shared" si="19"/>
        <v>1998-84Dragon1995OTC</v>
      </c>
      <c r="G215" s="9" t="s">
        <v>162</v>
      </c>
      <c r="H215" s="6" t="s">
        <v>157</v>
      </c>
      <c r="I215" s="9" t="s">
        <v>163</v>
      </c>
      <c r="J215" s="6" t="s">
        <v>96</v>
      </c>
      <c r="K215" s="9" t="s">
        <v>200</v>
      </c>
      <c r="L215" s="6">
        <v>1995</v>
      </c>
      <c r="M215" s="9" t="s">
        <v>36</v>
      </c>
      <c r="N215" s="9" t="s">
        <v>51</v>
      </c>
      <c r="O215" s="6" t="s">
        <v>103</v>
      </c>
      <c r="P215" s="7">
        <f>R215*1.08</f>
        <v>23.151818571428581</v>
      </c>
      <c r="Q215" s="20">
        <v>1.3093750000000003E-2</v>
      </c>
      <c r="R215" s="21">
        <v>21.436869047619055</v>
      </c>
      <c r="S215" s="6">
        <v>12</v>
      </c>
      <c r="T215" s="6">
        <v>98</v>
      </c>
      <c r="U215" s="6">
        <v>5</v>
      </c>
      <c r="V215" s="6">
        <f t="shared" si="22"/>
        <v>1.2024872448979594E-2</v>
      </c>
      <c r="W215" s="10"/>
      <c r="X215" s="10"/>
      <c r="Y215" s="22">
        <v>590</v>
      </c>
      <c r="Z215" s="9" t="s">
        <v>53</v>
      </c>
      <c r="AA215" s="6"/>
      <c r="AB215" s="6"/>
      <c r="AC215" s="12">
        <v>41.7</v>
      </c>
      <c r="AD215" s="7" t="s">
        <v>39</v>
      </c>
      <c r="AE215" s="6"/>
      <c r="AF215" s="6">
        <v>0.7</v>
      </c>
      <c r="AG215" s="12">
        <f t="shared" ref="AG215:AG220" si="23">Y215/AC215*1000/AK215</f>
        <v>23.043454487224551</v>
      </c>
      <c r="AH215" s="6" t="s">
        <v>134</v>
      </c>
      <c r="AI215" s="6"/>
      <c r="AJ215" s="6"/>
      <c r="AK215" s="12">
        <v>614</v>
      </c>
      <c r="AL215" s="6" t="s">
        <v>54</v>
      </c>
      <c r="AM215" s="6"/>
      <c r="AN215" s="6"/>
      <c r="AO215" s="12">
        <f t="shared" si="21"/>
        <v>14148.681055155874</v>
      </c>
      <c r="AP215" s="6" t="s">
        <v>54</v>
      </c>
      <c r="AQ215" s="6"/>
      <c r="AR215" s="6"/>
      <c r="AS215" s="6">
        <v>614</v>
      </c>
      <c r="AT215" s="6" t="s">
        <v>54</v>
      </c>
      <c r="AU215" s="6"/>
      <c r="AV215" s="6">
        <v>14</v>
      </c>
      <c r="AW215" s="6"/>
      <c r="AX215" s="6"/>
      <c r="AY215" s="6"/>
      <c r="AZ215" s="6"/>
      <c r="BA215" s="6">
        <v>53</v>
      </c>
      <c r="BB215" s="6" t="s">
        <v>229</v>
      </c>
      <c r="BC215" s="6"/>
      <c r="BD215" s="6">
        <v>1.3</v>
      </c>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row>
    <row r="216" spans="1:96" ht="15.6" x14ac:dyDescent="0.3">
      <c r="A216" s="6">
        <v>1</v>
      </c>
      <c r="B216" s="6"/>
      <c r="C216" s="6"/>
      <c r="D216" s="6" t="s">
        <v>198</v>
      </c>
      <c r="E216" s="9" t="s">
        <v>199</v>
      </c>
      <c r="F216" s="9" t="str">
        <f t="shared" si="19"/>
        <v>1998-84Dragon1995OTC</v>
      </c>
      <c r="G216" s="9" t="s">
        <v>162</v>
      </c>
      <c r="H216" s="6" t="s">
        <v>157</v>
      </c>
      <c r="I216" s="9" t="s">
        <v>163</v>
      </c>
      <c r="J216" s="6" t="s">
        <v>96</v>
      </c>
      <c r="K216" s="9" t="s">
        <v>200</v>
      </c>
      <c r="L216" s="6">
        <v>1995</v>
      </c>
      <c r="M216" s="9" t="s">
        <v>36</v>
      </c>
      <c r="N216" s="9" t="s">
        <v>51</v>
      </c>
      <c r="O216" s="6" t="s">
        <v>136</v>
      </c>
      <c r="P216" s="7">
        <f>R216*1.08</f>
        <v>31.967162142857145</v>
      </c>
      <c r="Q216" s="20">
        <v>0.89017187499999995</v>
      </c>
      <c r="R216" s="21">
        <v>29.599224206349206</v>
      </c>
      <c r="S216" s="6">
        <v>12</v>
      </c>
      <c r="T216" s="6">
        <v>98</v>
      </c>
      <c r="U216" s="6">
        <v>5</v>
      </c>
      <c r="V216" s="6">
        <f t="shared" si="22"/>
        <v>0.81750478316326525</v>
      </c>
      <c r="W216" s="6"/>
      <c r="X216" s="6"/>
      <c r="Y216" s="22">
        <v>606</v>
      </c>
      <c r="Z216" s="9" t="s">
        <v>53</v>
      </c>
      <c r="AA216" s="6"/>
      <c r="AB216" s="6"/>
      <c r="AC216" s="12">
        <v>41.5</v>
      </c>
      <c r="AD216" s="7" t="s">
        <v>39</v>
      </c>
      <c r="AE216" s="6"/>
      <c r="AF216" s="6">
        <v>0.52</v>
      </c>
      <c r="AG216" s="12">
        <f t="shared" si="23"/>
        <v>23.93837645664626</v>
      </c>
      <c r="AH216" s="6" t="s">
        <v>134</v>
      </c>
      <c r="AI216" s="6"/>
      <c r="AJ216" s="6"/>
      <c r="AK216" s="12">
        <v>610</v>
      </c>
      <c r="AL216" s="6" t="s">
        <v>54</v>
      </c>
      <c r="AM216" s="6"/>
      <c r="AN216" s="6"/>
      <c r="AO216" s="12">
        <f t="shared" si="21"/>
        <v>14602.409638554218</v>
      </c>
      <c r="AP216" s="6" t="s">
        <v>54</v>
      </c>
      <c r="AQ216" s="6"/>
      <c r="AR216" s="6"/>
      <c r="AS216" s="6">
        <v>610</v>
      </c>
      <c r="AT216" s="6" t="s">
        <v>54</v>
      </c>
      <c r="AU216" s="6"/>
      <c r="AV216" s="6">
        <v>36</v>
      </c>
      <c r="AW216" s="6"/>
      <c r="AX216" s="6"/>
      <c r="AY216" s="6"/>
      <c r="AZ216" s="6"/>
      <c r="BA216" s="6">
        <v>53</v>
      </c>
      <c r="BB216" s="6" t="s">
        <v>229</v>
      </c>
      <c r="BC216" s="6"/>
      <c r="BD216" s="6">
        <v>1.1000000000000001</v>
      </c>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row>
    <row r="217" spans="1:96" ht="15.6" x14ac:dyDescent="0.3">
      <c r="A217" s="6">
        <v>1</v>
      </c>
      <c r="B217" s="6"/>
      <c r="C217" s="6"/>
      <c r="D217" s="6" t="s">
        <v>198</v>
      </c>
      <c r="E217" s="9" t="s">
        <v>199</v>
      </c>
      <c r="F217" s="9" t="str">
        <f t="shared" si="19"/>
        <v>1998-84Dragon1995OTC</v>
      </c>
      <c r="G217" s="9" t="s">
        <v>162</v>
      </c>
      <c r="H217" s="6" t="s">
        <v>157</v>
      </c>
      <c r="I217" s="9" t="s">
        <v>163</v>
      </c>
      <c r="J217" s="6" t="s">
        <v>96</v>
      </c>
      <c r="K217" s="9" t="s">
        <v>200</v>
      </c>
      <c r="L217" s="6">
        <v>1995</v>
      </c>
      <c r="M217" s="9" t="s">
        <v>36</v>
      </c>
      <c r="N217" s="9" t="s">
        <v>51</v>
      </c>
      <c r="O217" s="6" t="s">
        <v>137</v>
      </c>
      <c r="P217" s="7">
        <f>R217*1.08</f>
        <v>38.80432285714285</v>
      </c>
      <c r="Q217" s="20">
        <v>2.3906512499999999</v>
      </c>
      <c r="R217" s="21">
        <v>35.929928571428562</v>
      </c>
      <c r="S217" s="6">
        <v>12</v>
      </c>
      <c r="T217" s="6">
        <v>98</v>
      </c>
      <c r="U217" s="6">
        <v>5</v>
      </c>
      <c r="V217" s="6">
        <f t="shared" si="22"/>
        <v>2.1954960459183672</v>
      </c>
      <c r="W217" s="6"/>
      <c r="X217" s="6"/>
      <c r="Y217" s="22">
        <v>527</v>
      </c>
      <c r="Z217" s="9" t="s">
        <v>53</v>
      </c>
      <c r="AA217" s="6"/>
      <c r="AB217" s="6"/>
      <c r="AC217" s="12">
        <v>38.1</v>
      </c>
      <c r="AD217" s="7" t="s">
        <v>39</v>
      </c>
      <c r="AE217" s="6"/>
      <c r="AF217" s="6">
        <v>1.1399999999999999</v>
      </c>
      <c r="AG217" s="12">
        <f t="shared" si="23"/>
        <v>25.058009053216175</v>
      </c>
      <c r="AH217" s="6" t="s">
        <v>134</v>
      </c>
      <c r="AI217" s="6"/>
      <c r="AJ217" s="6"/>
      <c r="AK217" s="12">
        <v>552</v>
      </c>
      <c r="AL217" s="6" t="s">
        <v>54</v>
      </c>
      <c r="AM217" s="6"/>
      <c r="AN217" s="6"/>
      <c r="AO217" s="12">
        <f t="shared" si="21"/>
        <v>13832.020997375328</v>
      </c>
      <c r="AP217" s="6" t="s">
        <v>54</v>
      </c>
      <c r="AQ217" s="6"/>
      <c r="AR217" s="6"/>
      <c r="AS217" s="6">
        <v>552</v>
      </c>
      <c r="AT217" s="6" t="s">
        <v>54</v>
      </c>
      <c r="AU217" s="6"/>
      <c r="AV217" s="6">
        <v>13</v>
      </c>
      <c r="AW217" s="6"/>
      <c r="AX217" s="6"/>
      <c r="AY217" s="6"/>
      <c r="AZ217" s="6"/>
      <c r="BA217" s="6">
        <v>52</v>
      </c>
      <c r="BB217" s="6" t="s">
        <v>229</v>
      </c>
      <c r="BC217" s="6"/>
      <c r="BD217" s="6">
        <v>0.8</v>
      </c>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row>
    <row r="218" spans="1:96" ht="15.6" x14ac:dyDescent="0.3">
      <c r="A218" s="6">
        <v>1</v>
      </c>
      <c r="B218" s="6"/>
      <c r="C218" s="6"/>
      <c r="D218" s="6" t="s">
        <v>201</v>
      </c>
      <c r="E218" s="9" t="s">
        <v>202</v>
      </c>
      <c r="F218" s="9" t="str">
        <f t="shared" si="19"/>
        <v>2000-X96Dragon1994OTC</v>
      </c>
      <c r="G218" s="6" t="s">
        <v>203</v>
      </c>
      <c r="H218" s="6" t="s">
        <v>157</v>
      </c>
      <c r="I218" s="9" t="s">
        <v>163</v>
      </c>
      <c r="J218" s="6" t="s">
        <v>96</v>
      </c>
      <c r="K218" s="17" t="s">
        <v>200</v>
      </c>
      <c r="L218" s="17">
        <v>1994</v>
      </c>
      <c r="M218" s="9" t="s">
        <v>36</v>
      </c>
      <c r="N218" s="9" t="s">
        <v>51</v>
      </c>
      <c r="O218" s="17" t="s">
        <v>42</v>
      </c>
      <c r="P218" s="6">
        <f>R218/1.01*T218*12/1000+R218/1.01*(90-T218)*12/1000</f>
        <v>35.287128712871286</v>
      </c>
      <c r="Q218" s="6">
        <v>2.2709999999999999</v>
      </c>
      <c r="R218" s="6">
        <v>33</v>
      </c>
      <c r="S218" s="6">
        <v>12</v>
      </c>
      <c r="T218" s="6">
        <f t="shared" ref="T218:T230" si="24">X218-W218+1</f>
        <v>71</v>
      </c>
      <c r="U218" s="17">
        <v>3</v>
      </c>
      <c r="V218" s="6">
        <f t="shared" si="22"/>
        <v>2.2709999999999999</v>
      </c>
      <c r="W218" s="6">
        <v>165</v>
      </c>
      <c r="X218" s="6">
        <v>235</v>
      </c>
      <c r="Y218" s="12">
        <v>568.32181018227504</v>
      </c>
      <c r="Z218" s="9" t="s">
        <v>53</v>
      </c>
      <c r="AA218" s="6"/>
      <c r="AB218" s="6">
        <v>37.837837837837981</v>
      </c>
      <c r="AC218" s="12">
        <v>35.761674718196502</v>
      </c>
      <c r="AD218" s="7" t="s">
        <v>39</v>
      </c>
      <c r="AE218" s="6"/>
      <c r="AF218" s="6">
        <v>0.79999999999999716</v>
      </c>
      <c r="AG218" s="12">
        <f t="shared" si="23"/>
        <v>35.214813556589355</v>
      </c>
      <c r="AH218" s="6" t="s">
        <v>134</v>
      </c>
      <c r="AI218" s="6"/>
      <c r="AJ218" s="6"/>
      <c r="AK218" s="12">
        <v>451.285189718482</v>
      </c>
      <c r="AL218" s="6" t="s">
        <v>54</v>
      </c>
      <c r="AM218" s="6"/>
      <c r="AN218" s="6"/>
      <c r="AO218" s="12">
        <f t="shared" si="21"/>
        <v>15891.923816786399</v>
      </c>
      <c r="AP218" s="6" t="s">
        <v>54</v>
      </c>
      <c r="AQ218" s="6"/>
      <c r="AR218" s="6"/>
      <c r="AS218" s="6">
        <v>451.285189718482</v>
      </c>
      <c r="AT218" s="6" t="s">
        <v>54</v>
      </c>
      <c r="AU218" s="6"/>
      <c r="AV218" s="6">
        <v>4.2551659586729897</v>
      </c>
      <c r="AW218" s="6"/>
      <c r="AX218" s="6"/>
      <c r="AY218" s="6"/>
      <c r="AZ218" s="6"/>
      <c r="BA218" s="6">
        <v>0.480769230769231</v>
      </c>
      <c r="BB218" s="6" t="s">
        <v>229</v>
      </c>
      <c r="BC218" s="6"/>
      <c r="BD218" s="6">
        <v>3.2051282051279717E-3</v>
      </c>
      <c r="BE218" s="6"/>
      <c r="BF218" s="6"/>
      <c r="BG218" s="6"/>
      <c r="BH218" s="6"/>
      <c r="BI218" s="6"/>
      <c r="BJ218" s="6"/>
      <c r="BK218" s="6"/>
      <c r="BL218" s="6"/>
      <c r="BM218" s="6"/>
      <c r="BN218" s="6"/>
      <c r="BO218" s="6"/>
      <c r="BP218" s="6"/>
      <c r="BQ218" s="6"/>
      <c r="BR218" s="6"/>
      <c r="BS218" s="6"/>
      <c r="BT218" s="6"/>
      <c r="BU218" s="6"/>
      <c r="BV218" s="6"/>
      <c r="BW218" s="6"/>
      <c r="BX218" s="6"/>
      <c r="BY218" s="6">
        <v>15.5</v>
      </c>
      <c r="BZ218" s="6" t="s">
        <v>229</v>
      </c>
      <c r="CA218" s="6"/>
      <c r="CB218" s="6">
        <v>0.43795620437960103</v>
      </c>
      <c r="CC218" s="6"/>
      <c r="CD218" s="6"/>
      <c r="CE218" s="6"/>
      <c r="CF218" s="6"/>
      <c r="CG218" s="6"/>
      <c r="CH218" s="6"/>
      <c r="CI218" s="6"/>
      <c r="CJ218" s="6"/>
      <c r="CK218" s="6"/>
      <c r="CL218" s="6"/>
      <c r="CM218" s="6"/>
      <c r="CN218" s="6"/>
      <c r="CO218" s="6"/>
      <c r="CP218" s="6"/>
      <c r="CQ218" s="6"/>
      <c r="CR218" s="6"/>
    </row>
    <row r="219" spans="1:96" ht="15.6" x14ac:dyDescent="0.3">
      <c r="A219" s="6">
        <v>1</v>
      </c>
      <c r="B219" s="6"/>
      <c r="C219" s="6"/>
      <c r="D219" s="6" t="s">
        <v>201</v>
      </c>
      <c r="E219" s="9" t="s">
        <v>202</v>
      </c>
      <c r="F219" s="9" t="str">
        <f t="shared" si="19"/>
        <v>2000-X96Dragon1994OTC</v>
      </c>
      <c r="G219" s="6" t="s">
        <v>203</v>
      </c>
      <c r="H219" s="6" t="s">
        <v>157</v>
      </c>
      <c r="I219" s="9" t="s">
        <v>163</v>
      </c>
      <c r="J219" s="6" t="s">
        <v>96</v>
      </c>
      <c r="K219" s="17" t="s">
        <v>200</v>
      </c>
      <c r="L219" s="17">
        <v>1994</v>
      </c>
      <c r="M219" s="9" t="s">
        <v>36</v>
      </c>
      <c r="N219" s="9" t="s">
        <v>51</v>
      </c>
      <c r="O219" s="6" t="s">
        <v>136</v>
      </c>
      <c r="P219" s="6">
        <f>R219/1.01*T219*12/1000+R218/1.01*(90-T219)*12/1000</f>
        <v>40.348514851485149</v>
      </c>
      <c r="Q219" s="6">
        <v>7.1619999999999999</v>
      </c>
      <c r="R219" s="6">
        <v>39</v>
      </c>
      <c r="S219" s="6">
        <v>12</v>
      </c>
      <c r="T219" s="6">
        <f t="shared" si="24"/>
        <v>71</v>
      </c>
      <c r="U219" s="17">
        <v>3</v>
      </c>
      <c r="V219" s="6">
        <f t="shared" si="22"/>
        <v>7.1619999999999999</v>
      </c>
      <c r="W219" s="6">
        <v>165</v>
      </c>
      <c r="X219" s="6">
        <v>235</v>
      </c>
      <c r="Y219" s="12">
        <v>558.11439346323107</v>
      </c>
      <c r="Z219" s="9" t="s">
        <v>53</v>
      </c>
      <c r="AA219" s="6"/>
      <c r="AB219" s="6">
        <v>16.216216216215962</v>
      </c>
      <c r="AC219" s="12">
        <v>33.659259259259301</v>
      </c>
      <c r="AD219" s="7" t="s">
        <v>39</v>
      </c>
      <c r="AE219" s="6"/>
      <c r="AF219" s="6">
        <v>1.0666666666665989</v>
      </c>
      <c r="AG219" s="12">
        <f t="shared" si="23"/>
        <v>33.83397598731748</v>
      </c>
      <c r="AH219" s="6" t="s">
        <v>134</v>
      </c>
      <c r="AI219" s="6"/>
      <c r="AJ219" s="6"/>
      <c r="AK219" s="12">
        <v>490.07847937216502</v>
      </c>
      <c r="AL219" s="6" t="s">
        <v>54</v>
      </c>
      <c r="AM219" s="6"/>
      <c r="AN219" s="6"/>
      <c r="AO219" s="12">
        <f t="shared" si="21"/>
        <v>16581.303502978895</v>
      </c>
      <c r="AP219" s="6" t="s">
        <v>54</v>
      </c>
      <c r="AQ219" s="6"/>
      <c r="AR219" s="6"/>
      <c r="AS219" s="6">
        <v>490.07847937216502</v>
      </c>
      <c r="AT219" s="6" t="s">
        <v>54</v>
      </c>
      <c r="AU219" s="6"/>
      <c r="AV219" s="6">
        <v>12.76549787601698</v>
      </c>
      <c r="AW219" s="6"/>
      <c r="AX219" s="6"/>
      <c r="AY219" s="6"/>
      <c r="AZ219" s="6"/>
      <c r="BA219" s="6">
        <v>0.44871794871794901</v>
      </c>
      <c r="BB219" s="6" t="s">
        <v>229</v>
      </c>
      <c r="BC219" s="6"/>
      <c r="BD219" s="6">
        <v>1.9230769230768996E-2</v>
      </c>
      <c r="BE219" s="6"/>
      <c r="BF219" s="6"/>
      <c r="BG219" s="6"/>
      <c r="BH219" s="6"/>
      <c r="BI219" s="6"/>
      <c r="BJ219" s="6"/>
      <c r="BK219" s="6"/>
      <c r="BL219" s="6"/>
      <c r="BM219" s="6"/>
      <c r="BN219" s="6"/>
      <c r="BO219" s="6"/>
      <c r="BP219" s="6"/>
      <c r="BQ219" s="6"/>
      <c r="BR219" s="6"/>
      <c r="BS219" s="6"/>
      <c r="BT219" s="6"/>
      <c r="BU219" s="6"/>
      <c r="BV219" s="6"/>
      <c r="BW219" s="6"/>
      <c r="BX219" s="6"/>
      <c r="BY219" s="6">
        <v>15.73</v>
      </c>
      <c r="BZ219" s="6" t="s">
        <v>229</v>
      </c>
      <c r="CA219" s="6"/>
      <c r="CB219" s="6">
        <v>0.2189781021898014</v>
      </c>
      <c r="CC219" s="6"/>
      <c r="CD219" s="6"/>
      <c r="CE219" s="6"/>
      <c r="CF219" s="6"/>
      <c r="CG219" s="6"/>
      <c r="CH219" s="6"/>
      <c r="CI219" s="6"/>
      <c r="CJ219" s="6"/>
      <c r="CK219" s="6"/>
      <c r="CL219" s="6"/>
      <c r="CM219" s="6"/>
      <c r="CN219" s="6"/>
      <c r="CO219" s="6"/>
      <c r="CP219" s="6"/>
      <c r="CQ219" s="6"/>
      <c r="CR219" s="6"/>
    </row>
    <row r="220" spans="1:96" ht="15.6" x14ac:dyDescent="0.3">
      <c r="A220" s="6">
        <v>1</v>
      </c>
      <c r="B220" s="6"/>
      <c r="C220" s="6"/>
      <c r="D220" s="6" t="s">
        <v>201</v>
      </c>
      <c r="E220" s="9" t="s">
        <v>202</v>
      </c>
      <c r="F220" s="9" t="str">
        <f t="shared" si="19"/>
        <v>2000-X96Dragon1994OTC</v>
      </c>
      <c r="G220" s="6" t="s">
        <v>203</v>
      </c>
      <c r="H220" s="6" t="s">
        <v>157</v>
      </c>
      <c r="I220" s="9" t="s">
        <v>163</v>
      </c>
      <c r="J220" s="6" t="s">
        <v>96</v>
      </c>
      <c r="K220" s="17" t="s">
        <v>200</v>
      </c>
      <c r="L220" s="17">
        <v>1994</v>
      </c>
      <c r="M220" s="9" t="s">
        <v>36</v>
      </c>
      <c r="N220" s="9" t="s">
        <v>51</v>
      </c>
      <c r="O220" s="6" t="s">
        <v>137</v>
      </c>
      <c r="P220" s="6">
        <f>R220/1.01*T220*12/1000+R218/1.01*(90-T220)*12/1000</f>
        <v>46.253465346534647</v>
      </c>
      <c r="Q220" s="6">
        <v>12.052</v>
      </c>
      <c r="R220" s="6">
        <v>46</v>
      </c>
      <c r="S220" s="6">
        <v>12</v>
      </c>
      <c r="T220" s="6">
        <f t="shared" si="24"/>
        <v>71</v>
      </c>
      <c r="U220" s="17">
        <v>3</v>
      </c>
      <c r="V220" s="6">
        <f t="shared" si="22"/>
        <v>12.052</v>
      </c>
      <c r="W220" s="6">
        <v>165</v>
      </c>
      <c r="X220" s="6">
        <v>235</v>
      </c>
      <c r="Y220" s="12">
        <v>504.63859208045301</v>
      </c>
      <c r="Z220" s="9" t="s">
        <v>53</v>
      </c>
      <c r="AA220" s="6"/>
      <c r="AB220" s="6">
        <v>27.027027027026929</v>
      </c>
      <c r="AC220" s="12">
        <v>29.691465378421899</v>
      </c>
      <c r="AD220" s="7" t="s">
        <v>39</v>
      </c>
      <c r="AE220" s="6"/>
      <c r="AF220" s="6">
        <v>0.53333333333329946</v>
      </c>
      <c r="AG220" s="12">
        <f t="shared" si="23"/>
        <v>32.929983737436466</v>
      </c>
      <c r="AH220" s="6" t="s">
        <v>134</v>
      </c>
      <c r="AI220" s="6"/>
      <c r="AJ220" s="6"/>
      <c r="AK220" s="12">
        <v>516.12787097703199</v>
      </c>
      <c r="AL220" s="6" t="s">
        <v>54</v>
      </c>
      <c r="AM220" s="6"/>
      <c r="AN220" s="6"/>
      <c r="AO220" s="12">
        <f t="shared" si="21"/>
        <v>16996.082397711369</v>
      </c>
      <c r="AP220" s="6" t="s">
        <v>54</v>
      </c>
      <c r="AQ220" s="6"/>
      <c r="AR220" s="6"/>
      <c r="AS220" s="6">
        <v>516.12787097703199</v>
      </c>
      <c r="AT220" s="6" t="s">
        <v>54</v>
      </c>
      <c r="AU220" s="6"/>
      <c r="AV220" s="6">
        <v>21.27582979336205</v>
      </c>
      <c r="AW220" s="6"/>
      <c r="AX220" s="6"/>
      <c r="AY220" s="6"/>
      <c r="AZ220" s="6"/>
      <c r="BA220" s="6">
        <v>0.43269230769230799</v>
      </c>
      <c r="BB220" s="6" t="s">
        <v>229</v>
      </c>
      <c r="BC220" s="6"/>
      <c r="BD220" s="6">
        <v>1.6025641025641024E-2</v>
      </c>
      <c r="BE220" s="6"/>
      <c r="BF220" s="6"/>
      <c r="BG220" s="6"/>
      <c r="BH220" s="6"/>
      <c r="BI220" s="6"/>
      <c r="BJ220" s="6"/>
      <c r="BK220" s="6"/>
      <c r="BL220" s="6"/>
      <c r="BM220" s="6"/>
      <c r="BN220" s="6"/>
      <c r="BO220" s="6"/>
      <c r="BP220" s="6"/>
      <c r="BQ220" s="6"/>
      <c r="BR220" s="6"/>
      <c r="BS220" s="6"/>
      <c r="BT220" s="6"/>
      <c r="BU220" s="6"/>
      <c r="BV220" s="6"/>
      <c r="BW220" s="6"/>
      <c r="BX220" s="6"/>
      <c r="BY220" s="6">
        <v>16.53</v>
      </c>
      <c r="BZ220" s="6" t="s">
        <v>229</v>
      </c>
      <c r="CA220" s="6"/>
      <c r="CB220" s="6">
        <v>0.21897810218979785</v>
      </c>
      <c r="CC220" s="6"/>
      <c r="CD220" s="6"/>
      <c r="CE220" s="6"/>
      <c r="CF220" s="6"/>
      <c r="CG220" s="6"/>
      <c r="CH220" s="6"/>
      <c r="CI220" s="6"/>
      <c r="CJ220" s="6"/>
      <c r="CK220" s="6"/>
      <c r="CL220" s="6"/>
      <c r="CM220" s="6"/>
      <c r="CN220" s="6"/>
      <c r="CO220" s="6"/>
      <c r="CP220" s="6"/>
      <c r="CQ220" s="6"/>
      <c r="CR220" s="6"/>
    </row>
    <row r="221" spans="1:96" ht="15.6" x14ac:dyDescent="0.3">
      <c r="A221" s="6">
        <v>1</v>
      </c>
      <c r="B221" s="6"/>
      <c r="C221" s="6"/>
      <c r="D221" s="6" t="s">
        <v>204</v>
      </c>
      <c r="E221" s="9" t="s">
        <v>205</v>
      </c>
      <c r="F221" s="9" t="str">
        <f t="shared" si="19"/>
        <v>2006-90Dragon1999OTC</v>
      </c>
      <c r="G221" s="6" t="s">
        <v>203</v>
      </c>
      <c r="H221" s="6" t="s">
        <v>157</v>
      </c>
      <c r="I221" s="9" t="s">
        <v>163</v>
      </c>
      <c r="J221" s="6" t="s">
        <v>96</v>
      </c>
      <c r="K221" s="9" t="s">
        <v>200</v>
      </c>
      <c r="L221" s="9">
        <v>1999</v>
      </c>
      <c r="M221" s="9" t="s">
        <v>36</v>
      </c>
      <c r="N221" s="9" t="s">
        <v>51</v>
      </c>
      <c r="O221" s="9" t="s">
        <v>38</v>
      </c>
      <c r="P221" s="6">
        <f>R221/1.01*T221*12/1000+R221/1.01*(90-T221)*12/1000</f>
        <v>9.6237623762376252</v>
      </c>
      <c r="Q221" s="6">
        <v>0</v>
      </c>
      <c r="R221" s="9">
        <v>9</v>
      </c>
      <c r="S221" s="6">
        <v>12</v>
      </c>
      <c r="T221" s="6">
        <f t="shared" si="24"/>
        <v>70</v>
      </c>
      <c r="U221" s="6">
        <v>6</v>
      </c>
      <c r="V221" s="6">
        <f t="shared" si="22"/>
        <v>0</v>
      </c>
      <c r="W221" s="10">
        <v>36327</v>
      </c>
      <c r="X221" s="10">
        <v>36396</v>
      </c>
      <c r="Y221" s="12"/>
      <c r="Z221" s="6"/>
      <c r="AA221" s="6"/>
      <c r="AB221" s="6"/>
      <c r="AC221" s="12">
        <v>38.6666666666667</v>
      </c>
      <c r="AD221" s="7" t="s">
        <v>39</v>
      </c>
      <c r="AE221" s="6"/>
      <c r="AF221" s="6">
        <v>3</v>
      </c>
      <c r="AG221" s="12"/>
      <c r="AH221" s="6"/>
      <c r="AI221" s="6"/>
      <c r="AJ221" s="6"/>
      <c r="AK221" s="12"/>
      <c r="AL221" s="6"/>
      <c r="AM221" s="6"/>
      <c r="AN221" s="6"/>
      <c r="AO221" s="12"/>
      <c r="AP221" s="6"/>
      <c r="AQ221" s="6"/>
      <c r="AR221" s="6"/>
      <c r="AS221" s="6"/>
      <c r="AT221" s="6"/>
      <c r="AU221" s="6"/>
      <c r="AV221" s="6"/>
      <c r="AW221" s="6"/>
      <c r="AX221" s="6"/>
      <c r="AY221" s="6"/>
      <c r="AZ221" s="6"/>
      <c r="BA221" s="6">
        <v>57.913043478260903</v>
      </c>
      <c r="BB221" s="6" t="s">
        <v>229</v>
      </c>
      <c r="BC221" s="6"/>
      <c r="BD221" s="6">
        <v>2.0869565217390971</v>
      </c>
      <c r="BE221" s="6"/>
      <c r="BF221" s="6"/>
      <c r="BG221" s="6"/>
      <c r="BH221" s="6"/>
      <c r="BI221" s="6"/>
      <c r="BJ221" s="6"/>
      <c r="BK221" s="6"/>
      <c r="BL221" s="6"/>
      <c r="BM221" s="6"/>
      <c r="BN221" s="6"/>
      <c r="BO221" s="6"/>
      <c r="BP221" s="6"/>
      <c r="BQ221" s="6">
        <v>1.31694915254237</v>
      </c>
      <c r="BR221" s="6" t="s">
        <v>253</v>
      </c>
      <c r="BS221" s="6"/>
      <c r="BT221" s="6">
        <v>0.11271186440677994</v>
      </c>
      <c r="BU221" s="6"/>
      <c r="BV221" s="6"/>
      <c r="BW221" s="6"/>
      <c r="BX221" s="6"/>
      <c r="BY221" s="6">
        <v>15.3488372093023</v>
      </c>
      <c r="BZ221" s="6" t="s">
        <v>229</v>
      </c>
      <c r="CA221" s="6"/>
      <c r="CB221" s="6">
        <v>1.3023255813954009</v>
      </c>
      <c r="CC221" s="6"/>
      <c r="CD221" s="6"/>
      <c r="CE221" s="6"/>
      <c r="CF221" s="6"/>
      <c r="CG221" s="6"/>
      <c r="CH221" s="6"/>
      <c r="CI221" s="6"/>
      <c r="CJ221" s="6"/>
      <c r="CK221" s="6"/>
      <c r="CL221" s="6"/>
      <c r="CM221" s="6"/>
      <c r="CN221" s="6"/>
      <c r="CO221" s="6"/>
      <c r="CP221" s="6"/>
      <c r="CQ221" s="6"/>
      <c r="CR221" s="6"/>
    </row>
    <row r="222" spans="1:96" ht="15.6" x14ac:dyDescent="0.3">
      <c r="A222" s="6">
        <v>1</v>
      </c>
      <c r="B222" s="6"/>
      <c r="C222" s="6"/>
      <c r="D222" s="6" t="s">
        <v>204</v>
      </c>
      <c r="E222" s="9" t="s">
        <v>205</v>
      </c>
      <c r="F222" s="9" t="str">
        <f t="shared" si="19"/>
        <v>2006-90Dragon1999OTC</v>
      </c>
      <c r="G222" s="6" t="s">
        <v>203</v>
      </c>
      <c r="H222" s="6" t="s">
        <v>157</v>
      </c>
      <c r="I222" s="9" t="s">
        <v>163</v>
      </c>
      <c r="J222" s="6" t="s">
        <v>96</v>
      </c>
      <c r="K222" s="9" t="s">
        <v>200</v>
      </c>
      <c r="L222" s="9">
        <v>1999</v>
      </c>
      <c r="M222" s="9" t="s">
        <v>36</v>
      </c>
      <c r="N222" s="9" t="s">
        <v>51</v>
      </c>
      <c r="O222" s="6" t="s">
        <v>75</v>
      </c>
      <c r="P222" s="6">
        <f>R222/1.01*T222*12/1000+R221/1.01*(90-T222)*12/1000</f>
        <v>49.544554455445542</v>
      </c>
      <c r="Q222" s="6">
        <v>9.6999999999999993</v>
      </c>
      <c r="R222" s="9">
        <v>57</v>
      </c>
      <c r="S222" s="6">
        <v>12</v>
      </c>
      <c r="T222" s="6">
        <f t="shared" si="24"/>
        <v>70</v>
      </c>
      <c r="U222" s="6">
        <v>6</v>
      </c>
      <c r="V222" s="6">
        <f t="shared" si="22"/>
        <v>9.6999999999999993</v>
      </c>
      <c r="W222" s="10">
        <v>36327</v>
      </c>
      <c r="X222" s="10">
        <v>36396</v>
      </c>
      <c r="Y222" s="12"/>
      <c r="Z222" s="6"/>
      <c r="AA222" s="6"/>
      <c r="AB222" s="6"/>
      <c r="AC222" s="12">
        <v>30</v>
      </c>
      <c r="AD222" s="7" t="s">
        <v>39</v>
      </c>
      <c r="AE222" s="6"/>
      <c r="AF222" s="6">
        <v>1.1666666666666998</v>
      </c>
      <c r="AG222" s="12"/>
      <c r="AH222" s="6"/>
      <c r="AI222" s="6"/>
      <c r="AJ222" s="6"/>
      <c r="AK222" s="12"/>
      <c r="AL222" s="6"/>
      <c r="AM222" s="6"/>
      <c r="AN222" s="6"/>
      <c r="AO222" s="12"/>
      <c r="AP222" s="6"/>
      <c r="AQ222" s="6"/>
      <c r="AR222" s="6"/>
      <c r="AS222" s="6"/>
      <c r="AT222" s="6"/>
      <c r="AU222" s="6"/>
      <c r="AV222" s="6"/>
      <c r="AW222" s="6"/>
      <c r="AX222" s="6"/>
      <c r="AY222" s="6"/>
      <c r="AZ222" s="6"/>
      <c r="BA222" s="6">
        <v>50.347826086956502</v>
      </c>
      <c r="BB222" s="6" t="s">
        <v>229</v>
      </c>
      <c r="BC222" s="6"/>
      <c r="BD222" s="6">
        <v>1.3043478260869961</v>
      </c>
      <c r="BE222" s="6"/>
      <c r="BF222" s="6"/>
      <c r="BG222" s="6"/>
      <c r="BH222" s="6"/>
      <c r="BI222" s="6"/>
      <c r="BJ222" s="6"/>
      <c r="BK222" s="6"/>
      <c r="BL222" s="6"/>
      <c r="BM222" s="6"/>
      <c r="BN222" s="6"/>
      <c r="BO222" s="6"/>
      <c r="BP222" s="6"/>
      <c r="BQ222" s="6">
        <v>0.93728813559322</v>
      </c>
      <c r="BR222" s="6" t="s">
        <v>253</v>
      </c>
      <c r="BS222" s="6"/>
      <c r="BT222" s="6">
        <v>9.4915254237290081E-2</v>
      </c>
      <c r="BU222" s="6"/>
      <c r="BV222" s="6"/>
      <c r="BW222" s="6"/>
      <c r="BX222" s="6"/>
      <c r="BY222" s="6">
        <v>17.116279069767401</v>
      </c>
      <c r="BZ222" s="6" t="s">
        <v>229</v>
      </c>
      <c r="CA222" s="6"/>
      <c r="CB222" s="6">
        <v>0.93023255813960048</v>
      </c>
      <c r="CC222" s="6"/>
      <c r="CD222" s="6"/>
      <c r="CE222" s="6"/>
      <c r="CF222" s="6"/>
      <c r="CG222" s="6"/>
      <c r="CH222" s="6"/>
      <c r="CI222" s="6"/>
      <c r="CJ222" s="6"/>
      <c r="CK222" s="6"/>
      <c r="CL222" s="6"/>
      <c r="CM222" s="6"/>
      <c r="CN222" s="6"/>
      <c r="CO222" s="6"/>
      <c r="CP222" s="6"/>
      <c r="CQ222" s="6"/>
      <c r="CR222" s="6"/>
    </row>
    <row r="223" spans="1:96" ht="15.6" x14ac:dyDescent="0.3">
      <c r="A223" s="6">
        <v>1</v>
      </c>
      <c r="B223" s="6"/>
      <c r="C223" s="6"/>
      <c r="D223" s="6" t="s">
        <v>204</v>
      </c>
      <c r="E223" s="9" t="s">
        <v>205</v>
      </c>
      <c r="F223" s="9" t="str">
        <f t="shared" si="19"/>
        <v>2006-90Lantvete1999OTC</v>
      </c>
      <c r="G223" s="6" t="s">
        <v>203</v>
      </c>
      <c r="H223" s="6" t="s">
        <v>157</v>
      </c>
      <c r="I223" s="9" t="s">
        <v>163</v>
      </c>
      <c r="J223" s="6" t="s">
        <v>96</v>
      </c>
      <c r="K223" s="9" t="s">
        <v>206</v>
      </c>
      <c r="L223" s="9">
        <v>1999</v>
      </c>
      <c r="M223" s="9" t="s">
        <v>36</v>
      </c>
      <c r="N223" s="9" t="s">
        <v>51</v>
      </c>
      <c r="O223" s="9" t="s">
        <v>38</v>
      </c>
      <c r="P223" s="6">
        <f>R223/1.01*T223*12/1000+R223/1.01*(90-T223)*12/1000</f>
        <v>9.6237623762376252</v>
      </c>
      <c r="Q223" s="6">
        <v>0</v>
      </c>
      <c r="R223" s="9">
        <v>9</v>
      </c>
      <c r="S223" s="6">
        <v>12</v>
      </c>
      <c r="T223" s="6">
        <f t="shared" si="24"/>
        <v>70</v>
      </c>
      <c r="U223" s="6">
        <v>6</v>
      </c>
      <c r="V223" s="6">
        <f t="shared" si="22"/>
        <v>0</v>
      </c>
      <c r="W223" s="10">
        <v>36327</v>
      </c>
      <c r="X223" s="10">
        <v>36396</v>
      </c>
      <c r="Y223" s="12"/>
      <c r="Z223" s="6"/>
      <c r="AA223" s="6"/>
      <c r="AB223" s="6"/>
      <c r="AC223" s="12">
        <v>34.3333333333333</v>
      </c>
      <c r="AD223" s="7" t="s">
        <v>39</v>
      </c>
      <c r="AE223" s="6"/>
      <c r="AF223" s="6">
        <v>2.1666666666666998</v>
      </c>
      <c r="AG223" s="12"/>
      <c r="AH223" s="6"/>
      <c r="AI223" s="6"/>
      <c r="AJ223" s="6"/>
      <c r="AK223" s="12"/>
      <c r="AL223" s="6"/>
      <c r="AM223" s="6"/>
      <c r="AN223" s="6"/>
      <c r="AO223" s="12"/>
      <c r="AP223" s="6"/>
      <c r="AQ223" s="6"/>
      <c r="AR223" s="6"/>
      <c r="AS223" s="6"/>
      <c r="AT223" s="6"/>
      <c r="AU223" s="6"/>
      <c r="AV223" s="6"/>
      <c r="AW223" s="6"/>
      <c r="AX223" s="6"/>
      <c r="AY223" s="6"/>
      <c r="AZ223" s="6"/>
      <c r="BA223" s="6">
        <v>42.7826086956522</v>
      </c>
      <c r="BB223" s="6" t="s">
        <v>229</v>
      </c>
      <c r="BC223" s="6"/>
      <c r="BD223" s="6">
        <v>2.8695652173912976</v>
      </c>
      <c r="BE223" s="6"/>
      <c r="BF223" s="6"/>
      <c r="BG223" s="6"/>
      <c r="BH223" s="6"/>
      <c r="BI223" s="6"/>
      <c r="BJ223" s="6"/>
      <c r="BK223" s="6"/>
      <c r="BL223" s="6"/>
      <c r="BM223" s="6"/>
      <c r="BN223" s="6"/>
      <c r="BO223" s="6"/>
      <c r="BP223" s="6"/>
      <c r="BQ223" s="6">
        <v>0.86016949152542399</v>
      </c>
      <c r="BR223" s="6" t="s">
        <v>253</v>
      </c>
      <c r="BS223" s="6"/>
      <c r="BT223" s="6">
        <v>5.9322033898305038E-2</v>
      </c>
      <c r="BU223" s="6"/>
      <c r="BV223" s="6"/>
      <c r="BW223" s="6"/>
      <c r="BX223" s="6"/>
      <c r="BY223" s="6">
        <v>21.209302325581401</v>
      </c>
      <c r="BZ223" s="6" t="s">
        <v>229</v>
      </c>
      <c r="CA223" s="6"/>
      <c r="CB223" s="6">
        <v>1.4883720930231981</v>
      </c>
      <c r="CC223" s="6"/>
      <c r="CD223" s="6"/>
      <c r="CE223" s="6"/>
      <c r="CF223" s="6"/>
      <c r="CG223" s="6"/>
      <c r="CH223" s="6"/>
      <c r="CI223" s="6"/>
      <c r="CJ223" s="6"/>
      <c r="CK223" s="6"/>
      <c r="CL223" s="6"/>
      <c r="CM223" s="6"/>
      <c r="CN223" s="6"/>
      <c r="CO223" s="6"/>
      <c r="CP223" s="6"/>
      <c r="CQ223" s="6"/>
      <c r="CR223" s="6"/>
    </row>
    <row r="224" spans="1:96" ht="15.6" x14ac:dyDescent="0.3">
      <c r="A224" s="6">
        <v>1</v>
      </c>
      <c r="B224" s="6"/>
      <c r="C224" s="6"/>
      <c r="D224" s="6" t="s">
        <v>204</v>
      </c>
      <c r="E224" s="9" t="s">
        <v>205</v>
      </c>
      <c r="F224" s="9" t="str">
        <f t="shared" si="19"/>
        <v>2006-90Lantvete1999OTC</v>
      </c>
      <c r="G224" s="6" t="s">
        <v>203</v>
      </c>
      <c r="H224" s="6" t="s">
        <v>157</v>
      </c>
      <c r="I224" s="9" t="s">
        <v>163</v>
      </c>
      <c r="J224" s="6" t="s">
        <v>96</v>
      </c>
      <c r="K224" s="9" t="s">
        <v>206</v>
      </c>
      <c r="L224" s="9">
        <v>1999</v>
      </c>
      <c r="M224" s="9" t="s">
        <v>36</v>
      </c>
      <c r="N224" s="9" t="s">
        <v>51</v>
      </c>
      <c r="O224" s="6" t="s">
        <v>75</v>
      </c>
      <c r="P224" s="6">
        <f>R224/1.01*T224*12/1000+R223/1.01*(90-T224)*12/1000</f>
        <v>45.386138613861391</v>
      </c>
      <c r="Q224" s="6">
        <v>9</v>
      </c>
      <c r="R224" s="9">
        <v>52</v>
      </c>
      <c r="S224" s="6">
        <v>12</v>
      </c>
      <c r="T224" s="6">
        <f t="shared" si="24"/>
        <v>70</v>
      </c>
      <c r="U224" s="6">
        <v>6</v>
      </c>
      <c r="V224" s="6">
        <f t="shared" si="22"/>
        <v>9</v>
      </c>
      <c r="W224" s="10">
        <v>36327</v>
      </c>
      <c r="X224" s="10">
        <v>36396</v>
      </c>
      <c r="Y224" s="12"/>
      <c r="Z224" s="6"/>
      <c r="AA224" s="6"/>
      <c r="AB224" s="6"/>
      <c r="AC224" s="12">
        <v>30.8333333333333</v>
      </c>
      <c r="AD224" s="7" t="s">
        <v>39</v>
      </c>
      <c r="AE224" s="6"/>
      <c r="AF224" s="6">
        <v>2.3333333333333997</v>
      </c>
      <c r="AG224" s="12"/>
      <c r="AH224" s="6"/>
      <c r="AI224" s="6"/>
      <c r="AJ224" s="6"/>
      <c r="AK224" s="12"/>
      <c r="AL224" s="6"/>
      <c r="AM224" s="6"/>
      <c r="AN224" s="6"/>
      <c r="AO224" s="12"/>
      <c r="AP224" s="6"/>
      <c r="AQ224" s="6"/>
      <c r="AR224" s="6"/>
      <c r="AS224" s="6"/>
      <c r="AT224" s="6"/>
      <c r="AU224" s="6"/>
      <c r="AV224" s="6"/>
      <c r="AW224" s="6"/>
      <c r="AX224" s="6"/>
      <c r="AY224" s="6"/>
      <c r="AZ224" s="6"/>
      <c r="BA224" s="6">
        <v>39.3913043478261</v>
      </c>
      <c r="BB224" s="6" t="s">
        <v>229</v>
      </c>
      <c r="BC224" s="6"/>
      <c r="BD224" s="6">
        <v>3.1304347826087024</v>
      </c>
      <c r="BE224" s="6"/>
      <c r="BF224" s="6"/>
      <c r="BG224" s="6"/>
      <c r="BH224" s="6"/>
      <c r="BI224" s="6"/>
      <c r="BJ224" s="6"/>
      <c r="BK224" s="6"/>
      <c r="BL224" s="6"/>
      <c r="BM224" s="6"/>
      <c r="BN224" s="6"/>
      <c r="BO224" s="6"/>
      <c r="BP224" s="6"/>
      <c r="BQ224" s="6">
        <v>0.71186440677966101</v>
      </c>
      <c r="BR224" s="6" t="s">
        <v>253</v>
      </c>
      <c r="BS224" s="6"/>
      <c r="BT224" s="6">
        <v>0.11271186440677994</v>
      </c>
      <c r="BU224" s="6"/>
      <c r="BV224" s="6"/>
      <c r="BW224" s="6"/>
      <c r="BX224" s="6"/>
      <c r="BY224" s="6">
        <v>22.418604651162799</v>
      </c>
      <c r="BZ224" s="6" t="s">
        <v>229</v>
      </c>
      <c r="CA224" s="6"/>
      <c r="CB224" s="6">
        <v>1.209302325581401</v>
      </c>
      <c r="CC224" s="6"/>
      <c r="CD224" s="6"/>
      <c r="CE224" s="6"/>
      <c r="CF224" s="6"/>
      <c r="CG224" s="6"/>
      <c r="CH224" s="6"/>
      <c r="CI224" s="6"/>
      <c r="CJ224" s="6"/>
      <c r="CK224" s="6"/>
      <c r="CL224" s="6"/>
      <c r="CM224" s="6"/>
      <c r="CN224" s="6"/>
      <c r="CO224" s="6"/>
      <c r="CP224" s="6"/>
      <c r="CQ224" s="6"/>
      <c r="CR224" s="6"/>
    </row>
    <row r="225" spans="1:96" ht="15.6" x14ac:dyDescent="0.3">
      <c r="A225" s="6">
        <v>1</v>
      </c>
      <c r="B225" s="6"/>
      <c r="C225" s="6"/>
      <c r="D225" s="6" t="s">
        <v>207</v>
      </c>
      <c r="E225" s="9" t="s">
        <v>208</v>
      </c>
      <c r="F225" s="9" t="str">
        <f t="shared" si="19"/>
        <v>2013-18Astron2006OTC</v>
      </c>
      <c r="G225" s="6" t="s">
        <v>209</v>
      </c>
      <c r="H225" s="9" t="s">
        <v>254</v>
      </c>
      <c r="I225" s="6" t="s">
        <v>210</v>
      </c>
      <c r="J225" s="6" t="s">
        <v>96</v>
      </c>
      <c r="K225" s="9" t="s">
        <v>211</v>
      </c>
      <c r="L225" s="6">
        <v>2006</v>
      </c>
      <c r="M225" s="9" t="s">
        <v>36</v>
      </c>
      <c r="N225" s="9" t="s">
        <v>51</v>
      </c>
      <c r="O225" s="6" t="s">
        <v>103</v>
      </c>
      <c r="P225" s="6">
        <f>R225/1.01*T225*12/1000+R225/1.01*(90-T225)*12/1000</f>
        <v>38.495049504950501</v>
      </c>
      <c r="Q225" s="6">
        <v>1.7</v>
      </c>
      <c r="R225" s="6">
        <v>36</v>
      </c>
      <c r="S225" s="6">
        <v>8</v>
      </c>
      <c r="T225" s="6">
        <f t="shared" si="24"/>
        <v>55</v>
      </c>
      <c r="U225" s="6">
        <v>4</v>
      </c>
      <c r="V225" s="6">
        <f t="shared" si="22"/>
        <v>1.7</v>
      </c>
      <c r="W225" s="10">
        <v>38846</v>
      </c>
      <c r="X225" s="10">
        <v>38900</v>
      </c>
      <c r="Y225" s="12">
        <v>688.1</v>
      </c>
      <c r="Z225" s="9" t="s">
        <v>53</v>
      </c>
      <c r="AA225" s="6"/>
      <c r="AB225" s="6">
        <v>30.1</v>
      </c>
      <c r="AC225" s="12"/>
      <c r="AD225" s="6"/>
      <c r="AE225" s="6"/>
      <c r="AF225" s="6"/>
      <c r="AG225" s="12"/>
      <c r="AH225" s="6"/>
      <c r="AI225" s="6"/>
      <c r="AJ225" s="6"/>
      <c r="AK225" s="12"/>
      <c r="AL225" s="6"/>
      <c r="AM225" s="6"/>
      <c r="AN225" s="6"/>
      <c r="AO225" s="12"/>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row>
    <row r="226" spans="1:96" ht="15.6" x14ac:dyDescent="0.3">
      <c r="A226" s="6">
        <v>1</v>
      </c>
      <c r="B226" s="6"/>
      <c r="C226" s="6"/>
      <c r="D226" s="6" t="s">
        <v>207</v>
      </c>
      <c r="E226" s="9" t="s">
        <v>208</v>
      </c>
      <c r="F226" s="9" t="str">
        <f t="shared" si="19"/>
        <v>2013-18Astron2006OTC</v>
      </c>
      <c r="G226" s="6" t="s">
        <v>209</v>
      </c>
      <c r="H226" s="9" t="s">
        <v>254</v>
      </c>
      <c r="I226" s="6" t="s">
        <v>210</v>
      </c>
      <c r="J226" s="6" t="s">
        <v>96</v>
      </c>
      <c r="K226" s="9" t="s">
        <v>211</v>
      </c>
      <c r="L226" s="6">
        <v>2006</v>
      </c>
      <c r="M226" s="9" t="s">
        <v>36</v>
      </c>
      <c r="N226" s="9" t="s">
        <v>51</v>
      </c>
      <c r="O226" s="6" t="s">
        <v>136</v>
      </c>
      <c r="P226" s="6">
        <f>(8 * R226+ 4 * 0.97*R225) / 12*T226*12/1000+R225/1.01*(90-T226)*12/1000</f>
        <v>45.092697029702975</v>
      </c>
      <c r="Q226" s="6">
        <v>6.46</v>
      </c>
      <c r="R226" s="6">
        <v>51</v>
      </c>
      <c r="S226" s="6">
        <v>8</v>
      </c>
      <c r="T226" s="6">
        <f t="shared" si="24"/>
        <v>55</v>
      </c>
      <c r="U226" s="6">
        <v>4</v>
      </c>
      <c r="V226" s="6">
        <f t="shared" si="22"/>
        <v>6.46</v>
      </c>
      <c r="W226" s="10">
        <v>38846</v>
      </c>
      <c r="X226" s="10">
        <v>38900</v>
      </c>
      <c r="Y226" s="12">
        <v>598.1</v>
      </c>
      <c r="Z226" s="9" t="s">
        <v>53</v>
      </c>
      <c r="AA226" s="6"/>
      <c r="AB226" s="6">
        <v>50.6</v>
      </c>
      <c r="AC226" s="12"/>
      <c r="AD226" s="6"/>
      <c r="AE226" s="6"/>
      <c r="AF226" s="6"/>
      <c r="AG226" s="12"/>
      <c r="AH226" s="6"/>
      <c r="AI226" s="6"/>
      <c r="AJ226" s="6"/>
      <c r="AK226" s="12"/>
      <c r="AL226" s="6"/>
      <c r="AM226" s="6"/>
      <c r="AN226" s="6"/>
      <c r="AO226" s="12"/>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row>
    <row r="227" spans="1:96" ht="15.6" x14ac:dyDescent="0.3">
      <c r="A227" s="6">
        <v>1</v>
      </c>
      <c r="B227" s="6"/>
      <c r="C227" s="6"/>
      <c r="D227" s="6" t="s">
        <v>207</v>
      </c>
      <c r="E227" s="9" t="s">
        <v>208</v>
      </c>
      <c r="F227" s="9" t="str">
        <f t="shared" si="19"/>
        <v>2013-18Astron2006OTC</v>
      </c>
      <c r="G227" s="6" t="s">
        <v>209</v>
      </c>
      <c r="H227" s="9" t="s">
        <v>254</v>
      </c>
      <c r="I227" s="6" t="s">
        <v>210</v>
      </c>
      <c r="J227" s="6" t="s">
        <v>96</v>
      </c>
      <c r="K227" s="9" t="s">
        <v>211</v>
      </c>
      <c r="L227" s="6">
        <v>2006</v>
      </c>
      <c r="M227" s="9" t="s">
        <v>36</v>
      </c>
      <c r="N227" s="9" t="s">
        <v>51</v>
      </c>
      <c r="O227" s="6" t="s">
        <v>137</v>
      </c>
      <c r="P227" s="6">
        <f>(8 * R227+ 4 * 0.97*R225) / 12*T227*12/1000+R225/1.01*(90-T227)*12/1000</f>
        <v>48.172697029702974</v>
      </c>
      <c r="Q227" s="6">
        <v>10.039999999999999</v>
      </c>
      <c r="R227" s="6">
        <v>58</v>
      </c>
      <c r="S227" s="6">
        <v>8</v>
      </c>
      <c r="T227" s="6">
        <f t="shared" si="24"/>
        <v>55</v>
      </c>
      <c r="U227" s="6">
        <v>4</v>
      </c>
      <c r="V227" s="6">
        <f t="shared" si="22"/>
        <v>10.039999999999999</v>
      </c>
      <c r="W227" s="10">
        <v>38846</v>
      </c>
      <c r="X227" s="10">
        <v>38900</v>
      </c>
      <c r="Y227" s="12">
        <v>554.29999999999995</v>
      </c>
      <c r="Z227" s="9" t="s">
        <v>53</v>
      </c>
      <c r="AA227" s="6"/>
      <c r="AB227" s="6">
        <v>54.1</v>
      </c>
      <c r="AC227" s="12"/>
      <c r="AD227" s="6"/>
      <c r="AE227" s="6"/>
      <c r="AF227" s="6"/>
      <c r="AG227" s="12"/>
      <c r="AH227" s="6"/>
      <c r="AI227" s="6"/>
      <c r="AJ227" s="6"/>
      <c r="AK227" s="12"/>
      <c r="AL227" s="6"/>
      <c r="AM227" s="6"/>
      <c r="AN227" s="6"/>
      <c r="AO227" s="12"/>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row>
    <row r="228" spans="1:96" ht="15.6" x14ac:dyDescent="0.3">
      <c r="A228" s="6">
        <v>1</v>
      </c>
      <c r="B228" s="6"/>
      <c r="C228" s="6"/>
      <c r="D228" s="6" t="s">
        <v>207</v>
      </c>
      <c r="E228" s="9" t="s">
        <v>208</v>
      </c>
      <c r="F228" s="9" t="str">
        <f t="shared" si="19"/>
        <v>2013-18Pegasus2006OTC</v>
      </c>
      <c r="G228" s="6" t="s">
        <v>209</v>
      </c>
      <c r="H228" s="9" t="s">
        <v>254</v>
      </c>
      <c r="I228" s="6" t="s">
        <v>210</v>
      </c>
      <c r="J228" s="6" t="s">
        <v>96</v>
      </c>
      <c r="K228" s="9" t="s">
        <v>212</v>
      </c>
      <c r="L228" s="6">
        <v>2006</v>
      </c>
      <c r="M228" s="9" t="s">
        <v>36</v>
      </c>
      <c r="N228" s="9" t="s">
        <v>51</v>
      </c>
      <c r="O228" s="6" t="s">
        <v>103</v>
      </c>
      <c r="P228" s="6">
        <f>R228/1.01*T228*12/1000+R228/1.01*(90-T228)*12/1000</f>
        <v>38.495049504950501</v>
      </c>
      <c r="Q228" s="6">
        <v>1.7</v>
      </c>
      <c r="R228" s="6">
        <v>36</v>
      </c>
      <c r="S228" s="6">
        <v>8</v>
      </c>
      <c r="T228" s="6">
        <f t="shared" si="24"/>
        <v>55</v>
      </c>
      <c r="U228" s="6">
        <v>4</v>
      </c>
      <c r="V228" s="6">
        <f t="shared" si="22"/>
        <v>1.7</v>
      </c>
      <c r="W228" s="10">
        <v>38846</v>
      </c>
      <c r="X228" s="10">
        <v>38900</v>
      </c>
      <c r="Y228" s="12">
        <v>888.4</v>
      </c>
      <c r="Z228" s="9" t="s">
        <v>53</v>
      </c>
      <c r="AA228" s="6"/>
      <c r="AB228" s="6">
        <v>30.4</v>
      </c>
      <c r="AC228" s="12"/>
      <c r="AD228" s="6"/>
      <c r="AE228" s="6"/>
      <c r="AF228" s="6"/>
      <c r="AG228" s="12"/>
      <c r="AH228" s="6"/>
      <c r="AI228" s="6"/>
      <c r="AJ228" s="6"/>
      <c r="AK228" s="12"/>
      <c r="AL228" s="6"/>
      <c r="AM228" s="6"/>
      <c r="AN228" s="6"/>
      <c r="AO228" s="12"/>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row>
    <row r="229" spans="1:96" ht="15.6" x14ac:dyDescent="0.3">
      <c r="A229" s="6">
        <v>1</v>
      </c>
      <c r="B229" s="6"/>
      <c r="C229" s="6"/>
      <c r="D229" s="6" t="s">
        <v>207</v>
      </c>
      <c r="E229" s="9" t="s">
        <v>208</v>
      </c>
      <c r="F229" s="9" t="str">
        <f t="shared" si="19"/>
        <v>2013-18Pegasus2006OTC</v>
      </c>
      <c r="G229" s="6" t="s">
        <v>209</v>
      </c>
      <c r="H229" s="9" t="s">
        <v>254</v>
      </c>
      <c r="I229" s="6" t="s">
        <v>210</v>
      </c>
      <c r="J229" s="6" t="s">
        <v>96</v>
      </c>
      <c r="K229" s="9" t="s">
        <v>212</v>
      </c>
      <c r="L229" s="6">
        <v>2006</v>
      </c>
      <c r="M229" s="9" t="s">
        <v>36</v>
      </c>
      <c r="N229" s="9" t="s">
        <v>51</v>
      </c>
      <c r="O229" s="6" t="s">
        <v>136</v>
      </c>
      <c r="P229" s="6">
        <f>(8 * R229+ 4 * 0.97*R228) / 12*T229*12/1000+R228/1.01*(90-T229)*12/1000</f>
        <v>45.092697029702975</v>
      </c>
      <c r="Q229" s="6">
        <v>6.46</v>
      </c>
      <c r="R229" s="6">
        <v>51</v>
      </c>
      <c r="S229" s="6">
        <v>8</v>
      </c>
      <c r="T229" s="6">
        <f t="shared" si="24"/>
        <v>55</v>
      </c>
      <c r="U229" s="6">
        <v>4</v>
      </c>
      <c r="V229" s="6">
        <f t="shared" si="22"/>
        <v>6.46</v>
      </c>
      <c r="W229" s="10">
        <v>38846</v>
      </c>
      <c r="X229" s="10">
        <v>38900</v>
      </c>
      <c r="Y229" s="12">
        <v>715.3</v>
      </c>
      <c r="Z229" s="9" t="s">
        <v>53</v>
      </c>
      <c r="AA229" s="6"/>
      <c r="AB229" s="6">
        <v>49.8</v>
      </c>
      <c r="AC229" s="12"/>
      <c r="AD229" s="6"/>
      <c r="AE229" s="6"/>
      <c r="AF229" s="6"/>
      <c r="AG229" s="12"/>
      <c r="AH229" s="6"/>
      <c r="AI229" s="6"/>
      <c r="AJ229" s="6"/>
      <c r="AK229" s="12"/>
      <c r="AL229" s="6"/>
      <c r="AM229" s="6"/>
      <c r="AN229" s="6"/>
      <c r="AO229" s="12"/>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row>
    <row r="230" spans="1:96" ht="15.6" x14ac:dyDescent="0.3">
      <c r="A230" s="6">
        <v>1</v>
      </c>
      <c r="B230" s="6"/>
      <c r="C230" s="6"/>
      <c r="D230" s="6" t="s">
        <v>207</v>
      </c>
      <c r="E230" s="9" t="s">
        <v>208</v>
      </c>
      <c r="F230" s="9" t="str">
        <f t="shared" si="19"/>
        <v>2013-18Pegasus2006OTC</v>
      </c>
      <c r="G230" s="6" t="s">
        <v>209</v>
      </c>
      <c r="H230" s="9" t="s">
        <v>254</v>
      </c>
      <c r="I230" s="6" t="s">
        <v>210</v>
      </c>
      <c r="J230" s="6" t="s">
        <v>96</v>
      </c>
      <c r="K230" s="9" t="s">
        <v>212</v>
      </c>
      <c r="L230" s="6">
        <v>2006</v>
      </c>
      <c r="M230" s="9" t="s">
        <v>36</v>
      </c>
      <c r="N230" s="9" t="s">
        <v>51</v>
      </c>
      <c r="O230" s="6" t="s">
        <v>137</v>
      </c>
      <c r="P230" s="6">
        <f>(8 * R230+ 4 * 0.97*R228) / 12*T230*12/1000+R228/1.01*(90-T230)*12/1000</f>
        <v>48.172697029702974</v>
      </c>
      <c r="Q230" s="6">
        <v>10.039999999999999</v>
      </c>
      <c r="R230" s="6">
        <v>58</v>
      </c>
      <c r="S230" s="6">
        <v>8</v>
      </c>
      <c r="T230" s="6">
        <f t="shared" si="24"/>
        <v>55</v>
      </c>
      <c r="U230" s="6">
        <v>4</v>
      </c>
      <c r="V230" s="6">
        <f t="shared" si="22"/>
        <v>10.039999999999999</v>
      </c>
      <c r="W230" s="10">
        <v>38846</v>
      </c>
      <c r="X230" s="10">
        <v>38900</v>
      </c>
      <c r="Y230" s="12">
        <v>612.5</v>
      </c>
      <c r="Z230" s="9" t="s">
        <v>53</v>
      </c>
      <c r="AA230" s="6"/>
      <c r="AB230" s="6">
        <v>52.8</v>
      </c>
      <c r="AC230" s="12"/>
      <c r="AD230" s="6"/>
      <c r="AE230" s="6"/>
      <c r="AF230" s="6"/>
      <c r="AG230" s="12"/>
      <c r="AH230" s="6"/>
      <c r="AI230" s="6"/>
      <c r="AJ230" s="6"/>
      <c r="AK230" s="12"/>
      <c r="AL230" s="6"/>
      <c r="AM230" s="6"/>
      <c r="AN230" s="6"/>
      <c r="AO230" s="12"/>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row>
  </sheetData>
  <phoneticPr fontId="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CCE2-BBBE-4448-BC55-350B53D409AD}">
  <dimension ref="A1:BJ212"/>
  <sheetViews>
    <sheetView topLeftCell="E1" workbookViewId="0">
      <selection activeCell="BG1" sqref="BG1"/>
    </sheetView>
  </sheetViews>
  <sheetFormatPr defaultRowHeight="13.8" x14ac:dyDescent="0.25"/>
  <cols>
    <col min="12" max="13" width="0" hidden="1" customWidth="1"/>
    <col min="14" max="22" width="8.88671875" hidden="1" customWidth="1"/>
    <col min="23" max="23" width="14.88671875" hidden="1" customWidth="1"/>
    <col min="24" max="24" width="10.6640625" hidden="1" customWidth="1"/>
    <col min="25" max="46" width="8.88671875" hidden="1" customWidth="1"/>
    <col min="47" max="47" width="11.88671875" bestFit="1" customWidth="1"/>
    <col min="48" max="48" width="10.6640625" bestFit="1" customWidth="1"/>
    <col min="49" max="49" width="25.21875" bestFit="1" customWidth="1"/>
    <col min="50" max="50" width="24" bestFit="1" customWidth="1"/>
    <col min="51" max="56" width="8.88671875" hidden="1" customWidth="1"/>
    <col min="57" max="57" width="14.33203125" hidden="1" customWidth="1"/>
    <col min="58" max="58" width="18.6640625" bestFit="1" customWidth="1"/>
  </cols>
  <sheetData>
    <row r="1" spans="1:62" ht="15.6" x14ac:dyDescent="0.25">
      <c r="A1" s="1" t="s">
        <v>0</v>
      </c>
      <c r="B1" s="1" t="s">
        <v>1</v>
      </c>
      <c r="C1" s="1" t="s">
        <v>2</v>
      </c>
      <c r="D1" s="1" t="s">
        <v>3</v>
      </c>
      <c r="E1" s="1" t="s">
        <v>4</v>
      </c>
      <c r="F1" s="1" t="s">
        <v>213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2" t="s">
        <v>23</v>
      </c>
      <c r="Z1" s="3" t="s">
        <v>24</v>
      </c>
      <c r="AA1" s="3" t="s">
        <v>25</v>
      </c>
      <c r="AB1" s="3" t="s">
        <v>26</v>
      </c>
      <c r="AC1" s="4" t="s">
        <v>27</v>
      </c>
      <c r="AD1" s="5" t="s">
        <v>24</v>
      </c>
      <c r="AE1" s="5" t="s">
        <v>25</v>
      </c>
      <c r="AF1" s="5" t="s">
        <v>26</v>
      </c>
      <c r="AG1" s="2" t="s">
        <v>28</v>
      </c>
      <c r="AH1" s="3" t="s">
        <v>24</v>
      </c>
      <c r="AI1" s="3" t="s">
        <v>25</v>
      </c>
      <c r="AJ1" s="3" t="s">
        <v>26</v>
      </c>
      <c r="AK1" s="4" t="s">
        <v>29</v>
      </c>
      <c r="AL1" s="5" t="s">
        <v>24</v>
      </c>
      <c r="AM1" s="5" t="s">
        <v>25</v>
      </c>
      <c r="AN1" s="5" t="s">
        <v>26</v>
      </c>
      <c r="AO1" s="4" t="s">
        <v>214</v>
      </c>
      <c r="AP1" s="5" t="s">
        <v>24</v>
      </c>
      <c r="AQ1" s="5" t="s">
        <v>25</v>
      </c>
      <c r="AR1" s="5" t="s">
        <v>26</v>
      </c>
      <c r="AS1" s="5" t="s">
        <v>217</v>
      </c>
      <c r="AT1" s="5" t="s">
        <v>218</v>
      </c>
      <c r="AU1" s="5" t="s">
        <v>257</v>
      </c>
      <c r="AV1" s="5" t="s">
        <v>258</v>
      </c>
      <c r="AW1" s="5" t="s">
        <v>255</v>
      </c>
      <c r="AX1" s="5" t="s">
        <v>256</v>
      </c>
      <c r="AY1" s="5" t="s">
        <v>257</v>
      </c>
      <c r="AZ1" s="5" t="s">
        <v>258</v>
      </c>
      <c r="BA1" s="5" t="s">
        <v>277</v>
      </c>
      <c r="BB1" s="5" t="s">
        <v>255</v>
      </c>
      <c r="BC1" s="5" t="s">
        <v>256</v>
      </c>
      <c r="BD1" s="5" t="s">
        <v>278</v>
      </c>
      <c r="BE1" s="5" t="s">
        <v>272</v>
      </c>
      <c r="BF1" s="5" t="s">
        <v>271</v>
      </c>
      <c r="BG1" s="5" t="s">
        <v>270</v>
      </c>
      <c r="BH1" s="5" t="s">
        <v>273</v>
      </c>
      <c r="BI1" s="3" t="s">
        <v>279</v>
      </c>
      <c r="BJ1" s="3" t="s">
        <v>280</v>
      </c>
    </row>
    <row r="2" spans="1:62" ht="15.6" x14ac:dyDescent="0.3">
      <c r="A2" s="6">
        <v>1</v>
      </c>
      <c r="B2" s="6"/>
      <c r="C2" s="7">
        <v>14</v>
      </c>
      <c r="D2" s="8" t="s">
        <v>30</v>
      </c>
      <c r="E2" s="9" t="s">
        <v>31</v>
      </c>
      <c r="F2" s="9" t="str">
        <f t="shared" ref="F2:F33" si="0">D2&amp;K2&amp;L2&amp;M2</f>
        <v>2012-118yangmai1852004OTC</v>
      </c>
      <c r="G2" s="7" t="s">
        <v>32</v>
      </c>
      <c r="H2" s="7" t="s">
        <v>33</v>
      </c>
      <c r="I2" s="7" t="s">
        <v>33</v>
      </c>
      <c r="J2" s="7" t="s">
        <v>34</v>
      </c>
      <c r="K2" s="7" t="s">
        <v>35</v>
      </c>
      <c r="L2" s="7">
        <v>2004</v>
      </c>
      <c r="M2" s="7" t="s">
        <v>36</v>
      </c>
      <c r="N2" s="7" t="s">
        <v>37</v>
      </c>
      <c r="O2" s="7" t="s">
        <v>38</v>
      </c>
      <c r="P2" s="7"/>
      <c r="Q2" s="7">
        <v>0</v>
      </c>
      <c r="R2" s="7"/>
      <c r="S2" s="7">
        <v>8</v>
      </c>
      <c r="T2" s="7">
        <f>X2-W2+1</f>
        <v>65</v>
      </c>
      <c r="U2" s="7">
        <v>3</v>
      </c>
      <c r="V2" s="6">
        <f t="shared" ref="V2:V27" si="1">IF(T2&lt;=90,Q2,Q2/T2*90)</f>
        <v>0</v>
      </c>
      <c r="W2" s="10">
        <v>38061</v>
      </c>
      <c r="X2" s="10">
        <v>38125</v>
      </c>
      <c r="Y2" s="11">
        <f>1.29*400</f>
        <v>516</v>
      </c>
      <c r="Z2" s="6" t="s">
        <v>53</v>
      </c>
      <c r="AA2" s="6" t="s">
        <v>216</v>
      </c>
      <c r="AB2" s="6"/>
      <c r="AC2" s="11">
        <v>45.75</v>
      </c>
      <c r="AD2" s="7" t="s">
        <v>39</v>
      </c>
      <c r="AE2" s="6"/>
      <c r="AF2" s="6"/>
      <c r="AG2" s="12">
        <v>25.81</v>
      </c>
      <c r="AH2" s="7" t="s">
        <v>40</v>
      </c>
      <c r="AI2" s="6"/>
      <c r="AJ2" s="6"/>
      <c r="AK2" s="12">
        <f>Y2/AC2*1000/AG2</f>
        <v>436.9890943273989</v>
      </c>
      <c r="AL2" s="7" t="s">
        <v>41</v>
      </c>
      <c r="AM2" s="6"/>
      <c r="AN2" s="6"/>
      <c r="AO2" s="12">
        <f t="shared" ref="AO2:AO19" si="2">Y2/AC2*1000</f>
        <v>11278.688524590165</v>
      </c>
      <c r="AP2" s="7" t="s">
        <v>41</v>
      </c>
      <c r="AQ2" s="6"/>
      <c r="AR2" s="6"/>
      <c r="AS2" s="31">
        <f>31+53/60</f>
        <v>31.883333333333333</v>
      </c>
      <c r="AT2" s="31">
        <f>121+18/60</f>
        <v>121.3</v>
      </c>
      <c r="AU2" s="27">
        <v>37909</v>
      </c>
      <c r="AV2" s="27">
        <v>38130</v>
      </c>
      <c r="AW2" s="25">
        <v>38061</v>
      </c>
      <c r="AX2" s="25">
        <v>38125</v>
      </c>
      <c r="AY2" s="28">
        <f t="shared" ref="AY2:AY17" si="3">AU2-INT(YEAR(AV2)&amp;"/1/1")+1</f>
        <v>-77</v>
      </c>
      <c r="AZ2" s="28">
        <f t="shared" ref="AZ2:AZ17" si="4">AV2-INT(YEAR(AV2)&amp;"/1/1")+1</f>
        <v>144</v>
      </c>
      <c r="BA2" s="37">
        <f t="shared" ref="BA2:BA17" si="5">AZ2-AY2+1</f>
        <v>222</v>
      </c>
      <c r="BB2" s="28">
        <f t="shared" ref="BB2:BB17" si="6">AW2-INT(YEAR(AW2)&amp;"/1/1")+1</f>
        <v>75</v>
      </c>
      <c r="BC2" s="28">
        <f t="shared" ref="BC2:BC17" si="7">AX2-INT(YEAR(AX2)&amp;"/1/1")+1</f>
        <v>139</v>
      </c>
      <c r="BD2" s="26">
        <f t="shared" ref="BD2:BD17" si="8">BC2-BB2+1</f>
        <v>65</v>
      </c>
      <c r="BE2" s="26"/>
      <c r="BF2" s="26"/>
      <c r="BG2" s="26"/>
      <c r="BH2" s="26"/>
    </row>
    <row r="3" spans="1:62" ht="15.6" x14ac:dyDescent="0.3">
      <c r="A3" s="6">
        <v>1</v>
      </c>
      <c r="B3" s="6"/>
      <c r="C3" s="7">
        <v>14</v>
      </c>
      <c r="D3" s="8" t="s">
        <v>30</v>
      </c>
      <c r="E3" s="9" t="s">
        <v>31</v>
      </c>
      <c r="F3" s="9" t="str">
        <f t="shared" si="0"/>
        <v>2012-118jia0022006OTC</v>
      </c>
      <c r="G3" s="7" t="s">
        <v>32</v>
      </c>
      <c r="H3" s="7" t="s">
        <v>33</v>
      </c>
      <c r="I3" s="7" t="s">
        <v>33</v>
      </c>
      <c r="J3" s="7" t="s">
        <v>34</v>
      </c>
      <c r="K3" s="7" t="s">
        <v>45</v>
      </c>
      <c r="L3" s="7">
        <v>2006</v>
      </c>
      <c r="M3" s="7" t="s">
        <v>36</v>
      </c>
      <c r="N3" s="7" t="s">
        <v>37</v>
      </c>
      <c r="O3" s="7" t="s">
        <v>38</v>
      </c>
      <c r="P3" s="7"/>
      <c r="Q3" s="7">
        <v>0</v>
      </c>
      <c r="R3" s="6"/>
      <c r="S3" s="7">
        <v>8</v>
      </c>
      <c r="T3" s="7">
        <f>X3-W3+1</f>
        <v>47</v>
      </c>
      <c r="U3" s="7">
        <v>3</v>
      </c>
      <c r="V3" s="6">
        <f t="shared" si="1"/>
        <v>0</v>
      </c>
      <c r="W3" s="10">
        <v>38789</v>
      </c>
      <c r="X3" s="10">
        <v>38835</v>
      </c>
      <c r="Y3" s="11">
        <f>1.52*400</f>
        <v>608</v>
      </c>
      <c r="Z3" s="6" t="s">
        <v>53</v>
      </c>
      <c r="AA3" s="6" t="s">
        <v>216</v>
      </c>
      <c r="AB3" s="7">
        <v>7.0000000000000007E-2</v>
      </c>
      <c r="AC3" s="11">
        <v>37.43</v>
      </c>
      <c r="AD3" s="7" t="s">
        <v>39</v>
      </c>
      <c r="AE3" s="6"/>
      <c r="AF3" s="6">
        <v>1.37</v>
      </c>
      <c r="AG3" s="11">
        <v>46.9</v>
      </c>
      <c r="AH3" s="7" t="s">
        <v>40</v>
      </c>
      <c r="AI3" s="6"/>
      <c r="AJ3" s="6">
        <v>3.93</v>
      </c>
      <c r="AK3" s="12">
        <f>Y3/AC3*1000/AG3</f>
        <v>346.34658469797495</v>
      </c>
      <c r="AL3" s="7" t="s">
        <v>41</v>
      </c>
      <c r="AM3" s="6"/>
      <c r="AN3" s="6"/>
      <c r="AO3" s="12">
        <f t="shared" si="2"/>
        <v>16243.654822335024</v>
      </c>
      <c r="AP3" s="7" t="s">
        <v>41</v>
      </c>
      <c r="AQ3" s="6"/>
      <c r="AR3" s="6"/>
      <c r="AS3" s="31">
        <f>31+53/60</f>
        <v>31.883333333333333</v>
      </c>
      <c r="AT3" s="31">
        <f>121+18/60</f>
        <v>121.3</v>
      </c>
      <c r="AU3" s="27">
        <v>38663</v>
      </c>
      <c r="AV3" s="27">
        <v>38853</v>
      </c>
      <c r="AW3" s="25">
        <v>38789</v>
      </c>
      <c r="AX3" s="25">
        <v>38835</v>
      </c>
      <c r="AY3" s="28">
        <f t="shared" si="3"/>
        <v>-54</v>
      </c>
      <c r="AZ3" s="28">
        <f t="shared" si="4"/>
        <v>136</v>
      </c>
      <c r="BA3" s="37">
        <f t="shared" si="5"/>
        <v>191</v>
      </c>
      <c r="BB3" s="28">
        <f t="shared" si="6"/>
        <v>72</v>
      </c>
      <c r="BC3" s="28">
        <f t="shared" si="7"/>
        <v>118</v>
      </c>
      <c r="BD3" s="26">
        <f t="shared" si="8"/>
        <v>47</v>
      </c>
      <c r="BE3" s="26"/>
      <c r="BF3" s="36">
        <v>38817</v>
      </c>
      <c r="BG3" s="26">
        <f>AV3-BF3+1</f>
        <v>37</v>
      </c>
      <c r="BH3" s="26" t="s">
        <v>274</v>
      </c>
      <c r="BI3">
        <f>BF3-AW3</f>
        <v>28</v>
      </c>
      <c r="BJ3">
        <f>AX3-BF3</f>
        <v>18</v>
      </c>
    </row>
    <row r="4" spans="1:62" ht="15.6" x14ac:dyDescent="0.3">
      <c r="A4" s="6">
        <v>1</v>
      </c>
      <c r="B4" s="6"/>
      <c r="C4" s="7">
        <v>14</v>
      </c>
      <c r="D4" s="8" t="s">
        <v>30</v>
      </c>
      <c r="E4" s="9" t="s">
        <v>31</v>
      </c>
      <c r="F4" s="9" t="str">
        <f t="shared" si="0"/>
        <v>2012-118jia0022007OTC</v>
      </c>
      <c r="G4" s="7" t="s">
        <v>32</v>
      </c>
      <c r="H4" s="7" t="s">
        <v>33</v>
      </c>
      <c r="I4" s="7" t="s">
        <v>33</v>
      </c>
      <c r="J4" s="7" t="s">
        <v>34</v>
      </c>
      <c r="K4" s="7" t="s">
        <v>45</v>
      </c>
      <c r="L4" s="6">
        <v>2007</v>
      </c>
      <c r="M4" s="7" t="s">
        <v>36</v>
      </c>
      <c r="N4" s="7" t="s">
        <v>37</v>
      </c>
      <c r="O4" s="7" t="s">
        <v>38</v>
      </c>
      <c r="P4" s="7"/>
      <c r="Q4" s="7">
        <v>0</v>
      </c>
      <c r="R4" s="6"/>
      <c r="S4" s="7">
        <v>8</v>
      </c>
      <c r="T4" s="7">
        <f>X4-W4+1</f>
        <v>55</v>
      </c>
      <c r="U4" s="7">
        <v>3</v>
      </c>
      <c r="V4" s="6">
        <f t="shared" si="1"/>
        <v>0</v>
      </c>
      <c r="W4" s="10">
        <v>39167</v>
      </c>
      <c r="X4" s="10">
        <v>39221</v>
      </c>
      <c r="Y4" s="11">
        <f>1.65*400</f>
        <v>660</v>
      </c>
      <c r="Z4" s="6" t="s">
        <v>53</v>
      </c>
      <c r="AA4" s="6" t="s">
        <v>216</v>
      </c>
      <c r="AB4" s="7">
        <v>0.37</v>
      </c>
      <c r="AC4" s="11">
        <v>43.62</v>
      </c>
      <c r="AD4" s="7" t="s">
        <v>39</v>
      </c>
      <c r="AE4" s="6"/>
      <c r="AF4" s="6">
        <v>1.9</v>
      </c>
      <c r="AG4" s="11">
        <v>39.409999999999997</v>
      </c>
      <c r="AH4" s="7" t="s">
        <v>40</v>
      </c>
      <c r="AI4" s="6"/>
      <c r="AJ4" s="6">
        <v>4.03</v>
      </c>
      <c r="AK4" s="12">
        <f>Y4/AC4*1000/AG4</f>
        <v>383.92981483763089</v>
      </c>
      <c r="AL4" s="7" t="s">
        <v>41</v>
      </c>
      <c r="AM4" s="6"/>
      <c r="AN4" s="6"/>
      <c r="AO4" s="12">
        <f t="shared" si="2"/>
        <v>15130.674002751031</v>
      </c>
      <c r="AP4" s="7" t="s">
        <v>41</v>
      </c>
      <c r="AQ4" s="6"/>
      <c r="AR4" s="6"/>
      <c r="AS4" s="31">
        <f>31+53/60</f>
        <v>31.883333333333333</v>
      </c>
      <c r="AT4" s="31">
        <f>121+18/60</f>
        <v>121.3</v>
      </c>
      <c r="AU4" s="27">
        <v>39036</v>
      </c>
      <c r="AV4" s="27">
        <v>39230</v>
      </c>
      <c r="AW4" s="25">
        <v>39167</v>
      </c>
      <c r="AX4" s="25">
        <v>39221</v>
      </c>
      <c r="AY4" s="28">
        <f t="shared" si="3"/>
        <v>-46</v>
      </c>
      <c r="AZ4" s="28">
        <f t="shared" si="4"/>
        <v>148</v>
      </c>
      <c r="BA4" s="37">
        <f t="shared" si="5"/>
        <v>195</v>
      </c>
      <c r="BB4" s="28">
        <f t="shared" si="6"/>
        <v>85</v>
      </c>
      <c r="BC4" s="28">
        <f t="shared" si="7"/>
        <v>139</v>
      </c>
      <c r="BD4" s="26">
        <f t="shared" si="8"/>
        <v>55</v>
      </c>
      <c r="BE4" s="26"/>
      <c r="BF4" s="26"/>
      <c r="BG4" s="26"/>
      <c r="BH4" s="26"/>
    </row>
    <row r="5" spans="1:62" ht="15.6" x14ac:dyDescent="0.3">
      <c r="A5" s="6">
        <v>1</v>
      </c>
      <c r="B5" s="6"/>
      <c r="C5" s="7">
        <v>14</v>
      </c>
      <c r="D5" s="8" t="s">
        <v>30</v>
      </c>
      <c r="E5" s="9" t="s">
        <v>31</v>
      </c>
      <c r="F5" s="9" t="str">
        <f t="shared" si="0"/>
        <v>2012-118jia0022008OTC</v>
      </c>
      <c r="G5" s="7" t="s">
        <v>32</v>
      </c>
      <c r="H5" s="7" t="s">
        <v>33</v>
      </c>
      <c r="I5" s="7" t="s">
        <v>33</v>
      </c>
      <c r="J5" s="7" t="s">
        <v>34</v>
      </c>
      <c r="K5" s="7" t="s">
        <v>45</v>
      </c>
      <c r="L5" s="6">
        <v>2008</v>
      </c>
      <c r="M5" s="7" t="s">
        <v>36</v>
      </c>
      <c r="N5" s="7" t="s">
        <v>37</v>
      </c>
      <c r="O5" s="7" t="s">
        <v>38</v>
      </c>
      <c r="P5" s="7"/>
      <c r="Q5" s="7">
        <v>0.1</v>
      </c>
      <c r="R5" s="6"/>
      <c r="S5" s="7">
        <v>8</v>
      </c>
      <c r="T5" s="7">
        <f>X5-W5+1</f>
        <v>55</v>
      </c>
      <c r="U5" s="7">
        <v>3</v>
      </c>
      <c r="V5" s="6">
        <f t="shared" si="1"/>
        <v>0.1</v>
      </c>
      <c r="W5" s="10">
        <v>39527</v>
      </c>
      <c r="X5" s="10">
        <v>39581</v>
      </c>
      <c r="Y5" s="11">
        <f>1.57*400</f>
        <v>628</v>
      </c>
      <c r="Z5" s="6" t="s">
        <v>53</v>
      </c>
      <c r="AA5" s="6" t="s">
        <v>216</v>
      </c>
      <c r="AB5" s="7">
        <v>0.11</v>
      </c>
      <c r="AC5" s="11">
        <v>43.05</v>
      </c>
      <c r="AD5" s="7" t="s">
        <v>39</v>
      </c>
      <c r="AE5" s="6"/>
      <c r="AF5" s="6">
        <v>2.98</v>
      </c>
      <c r="AG5" s="11">
        <v>36.549999999999997</v>
      </c>
      <c r="AH5" s="7" t="s">
        <v>40</v>
      </c>
      <c r="AI5" s="6"/>
      <c r="AJ5" s="6">
        <v>1.33</v>
      </c>
      <c r="AK5" s="12">
        <f>Y5/AC5*1000/AG5</f>
        <v>399.11597083529955</v>
      </c>
      <c r="AL5" s="7" t="s">
        <v>41</v>
      </c>
      <c r="AM5" s="6"/>
      <c r="AN5" s="6"/>
      <c r="AO5" s="12">
        <f t="shared" si="2"/>
        <v>14587.688734030198</v>
      </c>
      <c r="AP5" s="7" t="s">
        <v>41</v>
      </c>
      <c r="AQ5" s="6"/>
      <c r="AR5" s="6"/>
      <c r="AS5" s="31">
        <f>31+53/60</f>
        <v>31.883333333333333</v>
      </c>
      <c r="AT5" s="31">
        <f>121+18/60</f>
        <v>121.3</v>
      </c>
      <c r="AU5" s="27">
        <v>39404</v>
      </c>
      <c r="AV5" s="27">
        <v>39599</v>
      </c>
      <c r="AW5" s="25">
        <v>39527</v>
      </c>
      <c r="AX5" s="25">
        <v>39581</v>
      </c>
      <c r="AY5" s="28">
        <f t="shared" si="3"/>
        <v>-43</v>
      </c>
      <c r="AZ5" s="28">
        <f t="shared" si="4"/>
        <v>152</v>
      </c>
      <c r="BA5" s="37">
        <f t="shared" si="5"/>
        <v>196</v>
      </c>
      <c r="BB5" s="28">
        <f t="shared" si="6"/>
        <v>80</v>
      </c>
      <c r="BC5" s="28">
        <f t="shared" si="7"/>
        <v>134</v>
      </c>
      <c r="BD5" s="26">
        <f t="shared" si="8"/>
        <v>55</v>
      </c>
      <c r="BE5" s="26"/>
      <c r="BF5" s="26"/>
      <c r="BG5" s="26"/>
      <c r="BH5" s="26"/>
    </row>
    <row r="6" spans="1:62" ht="15.6" x14ac:dyDescent="0.3">
      <c r="A6" s="6">
        <v>1</v>
      </c>
      <c r="B6" s="6"/>
      <c r="C6" s="7">
        <v>52</v>
      </c>
      <c r="D6" s="7" t="s">
        <v>46</v>
      </c>
      <c r="E6" s="13" t="s">
        <v>47</v>
      </c>
      <c r="F6" s="9" t="str">
        <f t="shared" si="0"/>
        <v>2011-133Y152007FACE</v>
      </c>
      <c r="G6" s="7" t="s">
        <v>48</v>
      </c>
      <c r="H6" s="7" t="s">
        <v>33</v>
      </c>
      <c r="I6" s="7" t="s">
        <v>33</v>
      </c>
      <c r="J6" s="7" t="s">
        <v>34</v>
      </c>
      <c r="K6" s="7" t="s">
        <v>49</v>
      </c>
      <c r="L6" s="7">
        <v>2007</v>
      </c>
      <c r="M6" s="7" t="s">
        <v>50</v>
      </c>
      <c r="N6" s="7" t="s">
        <v>51</v>
      </c>
      <c r="O6" s="7" t="s">
        <v>42</v>
      </c>
      <c r="P6" s="7">
        <f t="shared" ref="P6:P17" si="9">R6/1.01*1.08</f>
        <v>49.615841584158417</v>
      </c>
      <c r="Q6" s="18">
        <v>7.27</v>
      </c>
      <c r="R6" s="6">
        <v>46.4</v>
      </c>
      <c r="S6" s="6">
        <v>7</v>
      </c>
      <c r="T6" s="6">
        <v>75</v>
      </c>
      <c r="U6" s="6">
        <v>3</v>
      </c>
      <c r="V6" s="6">
        <f t="shared" si="1"/>
        <v>7.27</v>
      </c>
      <c r="W6" s="6" t="s">
        <v>52</v>
      </c>
      <c r="X6" s="6"/>
      <c r="Y6" s="12">
        <v>863.55140186915901</v>
      </c>
      <c r="Z6" s="6" t="s">
        <v>53</v>
      </c>
      <c r="AA6" s="6">
        <v>32.710280373831949</v>
      </c>
      <c r="AB6" s="6"/>
      <c r="AC6" s="12">
        <v>47.772511848341203</v>
      </c>
      <c r="AD6" s="7" t="s">
        <v>39</v>
      </c>
      <c r="AE6" s="6">
        <v>0.99526066350709641</v>
      </c>
      <c r="AF6" s="6"/>
      <c r="AG6" s="12">
        <v>32.535211267605597</v>
      </c>
      <c r="AH6" s="7" t="s">
        <v>40</v>
      </c>
      <c r="AI6" s="6">
        <v>0.98591549295780112</v>
      </c>
      <c r="AJ6" s="6"/>
      <c r="AK6" s="12">
        <v>593.30143540669906</v>
      </c>
      <c r="AL6" s="6" t="s">
        <v>54</v>
      </c>
      <c r="AM6" s="6">
        <v>34.449760765549968</v>
      </c>
      <c r="AN6" s="6"/>
      <c r="AO6" s="12">
        <f t="shared" si="2"/>
        <v>18076.323987538955</v>
      </c>
      <c r="AP6" s="7" t="s">
        <v>215</v>
      </c>
      <c r="AQ6" s="6"/>
      <c r="AR6" s="6"/>
      <c r="AS6" s="32">
        <f t="shared" ref="AS6:AS17" si="10">32+35/60</f>
        <v>32.583333333333336</v>
      </c>
      <c r="AT6" s="32">
        <f t="shared" ref="AT6:AT17" si="11">119+42/60</f>
        <v>119.7</v>
      </c>
      <c r="AU6" s="27">
        <v>39026</v>
      </c>
      <c r="AV6" s="27">
        <v>39234</v>
      </c>
      <c r="AW6" s="27">
        <v>39186</v>
      </c>
      <c r="AX6" s="27">
        <v>39224</v>
      </c>
      <c r="AY6" s="28">
        <f t="shared" si="3"/>
        <v>-56</v>
      </c>
      <c r="AZ6" s="28">
        <f t="shared" si="4"/>
        <v>152</v>
      </c>
      <c r="BA6" s="37">
        <f t="shared" si="5"/>
        <v>209</v>
      </c>
      <c r="BB6" s="28">
        <f t="shared" si="6"/>
        <v>104</v>
      </c>
      <c r="BC6" s="28">
        <f t="shared" si="7"/>
        <v>142</v>
      </c>
      <c r="BD6" s="26">
        <f t="shared" si="8"/>
        <v>39</v>
      </c>
      <c r="BE6" s="26"/>
      <c r="BF6" s="26"/>
      <c r="BG6" s="26"/>
      <c r="BH6" s="26"/>
    </row>
    <row r="7" spans="1:62" ht="15.6" x14ac:dyDescent="0.3">
      <c r="A7" s="6">
        <v>1</v>
      </c>
      <c r="B7" s="6"/>
      <c r="C7" s="7">
        <v>52</v>
      </c>
      <c r="D7" s="7" t="s">
        <v>46</v>
      </c>
      <c r="E7" s="13" t="s">
        <v>47</v>
      </c>
      <c r="F7" s="9" t="str">
        <f t="shared" si="0"/>
        <v>2011-133Y162007FACE</v>
      </c>
      <c r="G7" s="7" t="s">
        <v>48</v>
      </c>
      <c r="H7" s="7" t="s">
        <v>33</v>
      </c>
      <c r="I7" s="7" t="s">
        <v>33</v>
      </c>
      <c r="J7" s="7" t="s">
        <v>34</v>
      </c>
      <c r="K7" s="7" t="s">
        <v>57</v>
      </c>
      <c r="L7" s="7">
        <v>2007</v>
      </c>
      <c r="M7" s="7" t="s">
        <v>50</v>
      </c>
      <c r="N7" s="7" t="s">
        <v>51</v>
      </c>
      <c r="O7" s="7" t="s">
        <v>42</v>
      </c>
      <c r="P7" s="7">
        <f t="shared" si="9"/>
        <v>49.615841584158417</v>
      </c>
      <c r="Q7" s="18">
        <v>7.75</v>
      </c>
      <c r="R7" s="6">
        <v>46.4</v>
      </c>
      <c r="S7" s="6">
        <v>7</v>
      </c>
      <c r="T7" s="6">
        <v>75</v>
      </c>
      <c r="U7" s="6">
        <v>3</v>
      </c>
      <c r="V7" s="6">
        <f t="shared" si="1"/>
        <v>7.75</v>
      </c>
      <c r="W7" s="6" t="s">
        <v>52</v>
      </c>
      <c r="X7" s="6"/>
      <c r="Y7" s="12">
        <v>843.9252336448601</v>
      </c>
      <c r="Z7" s="6" t="s">
        <v>53</v>
      </c>
      <c r="AA7" s="6">
        <v>65.420560747663004</v>
      </c>
      <c r="AB7" s="6"/>
      <c r="AC7" s="12">
        <v>43.791469194312803</v>
      </c>
      <c r="AD7" s="7" t="s">
        <v>39</v>
      </c>
      <c r="AE7" s="6">
        <v>1.6587677725117942</v>
      </c>
      <c r="AF7" s="6"/>
      <c r="AG7" s="12">
        <v>44.037558685446001</v>
      </c>
      <c r="AH7" s="7" t="s">
        <v>40</v>
      </c>
      <c r="AI7" s="6">
        <v>0.98591549295780112</v>
      </c>
      <c r="AJ7" s="6"/>
      <c r="AK7" s="12">
        <v>459.33014354067001</v>
      </c>
      <c r="AL7" s="6" t="s">
        <v>54</v>
      </c>
      <c r="AM7" s="6">
        <v>15.311004784688976</v>
      </c>
      <c r="AN7" s="6"/>
      <c r="AO7" s="12">
        <f t="shared" si="2"/>
        <v>19271.452846219207</v>
      </c>
      <c r="AP7" s="7" t="s">
        <v>215</v>
      </c>
      <c r="AQ7" s="6"/>
      <c r="AR7" s="6"/>
      <c r="AS7" s="32">
        <f t="shared" si="10"/>
        <v>32.583333333333336</v>
      </c>
      <c r="AT7" s="32">
        <f t="shared" si="11"/>
        <v>119.7</v>
      </c>
      <c r="AU7" s="27">
        <v>39026</v>
      </c>
      <c r="AV7" s="27">
        <v>39234</v>
      </c>
      <c r="AW7" s="27">
        <v>39186</v>
      </c>
      <c r="AX7" s="27">
        <v>39224</v>
      </c>
      <c r="AY7" s="28">
        <f t="shared" si="3"/>
        <v>-56</v>
      </c>
      <c r="AZ7" s="28">
        <f t="shared" si="4"/>
        <v>152</v>
      </c>
      <c r="BA7" s="37">
        <f t="shared" si="5"/>
        <v>209</v>
      </c>
      <c r="BB7" s="28">
        <f t="shared" si="6"/>
        <v>104</v>
      </c>
      <c r="BC7" s="28">
        <f t="shared" si="7"/>
        <v>142</v>
      </c>
      <c r="BD7" s="26">
        <f t="shared" si="8"/>
        <v>39</v>
      </c>
      <c r="BE7" s="26"/>
      <c r="BF7" s="26"/>
      <c r="BG7" s="26"/>
      <c r="BH7" s="26"/>
    </row>
    <row r="8" spans="1:62" ht="15.6" x14ac:dyDescent="0.3">
      <c r="A8" s="6">
        <v>1</v>
      </c>
      <c r="B8" s="6"/>
      <c r="C8" s="7">
        <v>52</v>
      </c>
      <c r="D8" s="7" t="s">
        <v>46</v>
      </c>
      <c r="E8" s="13" t="s">
        <v>47</v>
      </c>
      <c r="F8" s="9" t="str">
        <f t="shared" si="0"/>
        <v>2011-133Y192007FACE</v>
      </c>
      <c r="G8" s="7" t="s">
        <v>48</v>
      </c>
      <c r="H8" s="7" t="s">
        <v>33</v>
      </c>
      <c r="I8" s="7" t="s">
        <v>33</v>
      </c>
      <c r="J8" s="7" t="s">
        <v>34</v>
      </c>
      <c r="K8" s="7" t="s">
        <v>58</v>
      </c>
      <c r="L8" s="7">
        <v>2007</v>
      </c>
      <c r="M8" s="7" t="s">
        <v>50</v>
      </c>
      <c r="N8" s="7" t="s">
        <v>51</v>
      </c>
      <c r="O8" s="7" t="s">
        <v>42</v>
      </c>
      <c r="P8" s="7">
        <f t="shared" si="9"/>
        <v>49.615841584158417</v>
      </c>
      <c r="Q8" s="18">
        <v>8.4130000000000003</v>
      </c>
      <c r="R8" s="6">
        <v>46.4</v>
      </c>
      <c r="S8" s="6">
        <v>7</v>
      </c>
      <c r="T8" s="6">
        <v>75</v>
      </c>
      <c r="U8" s="6">
        <v>3</v>
      </c>
      <c r="V8" s="6">
        <f t="shared" si="1"/>
        <v>8.4130000000000003</v>
      </c>
      <c r="W8" s="6" t="s">
        <v>52</v>
      </c>
      <c r="X8" s="6"/>
      <c r="Y8" s="12">
        <v>713.0841121495331</v>
      </c>
      <c r="Z8" s="6" t="s">
        <v>53</v>
      </c>
      <c r="AA8" s="6">
        <v>26.168224299064956</v>
      </c>
      <c r="AB8" s="6"/>
      <c r="AC8" s="12">
        <v>38.8151658767773</v>
      </c>
      <c r="AD8" s="7" t="s">
        <v>39</v>
      </c>
      <c r="AE8" s="6">
        <v>2.3222748815164991</v>
      </c>
      <c r="AF8" s="6"/>
      <c r="AG8" s="12">
        <v>36.478873239436602</v>
      </c>
      <c r="AH8" s="7" t="s">
        <v>40</v>
      </c>
      <c r="AI8" s="6">
        <v>0.65727699530519601</v>
      </c>
      <c r="AJ8" s="6"/>
      <c r="AK8" s="12">
        <v>524.40191387559798</v>
      </c>
      <c r="AL8" s="6" t="s">
        <v>54</v>
      </c>
      <c r="AM8" s="6">
        <v>42.105263157895024</v>
      </c>
      <c r="AN8" s="6"/>
      <c r="AO8" s="12">
        <f t="shared" si="2"/>
        <v>18371.275660995274</v>
      </c>
      <c r="AP8" s="7" t="s">
        <v>215</v>
      </c>
      <c r="AQ8" s="6"/>
      <c r="AR8" s="6"/>
      <c r="AS8" s="32">
        <f t="shared" si="10"/>
        <v>32.583333333333336</v>
      </c>
      <c r="AT8" s="32">
        <f t="shared" si="11"/>
        <v>119.7</v>
      </c>
      <c r="AU8" s="27">
        <v>39026</v>
      </c>
      <c r="AV8" s="27">
        <v>39234</v>
      </c>
      <c r="AW8" s="27">
        <v>39186</v>
      </c>
      <c r="AX8" s="27">
        <v>39224</v>
      </c>
      <c r="AY8" s="28">
        <f t="shared" si="3"/>
        <v>-56</v>
      </c>
      <c r="AZ8" s="28">
        <f t="shared" si="4"/>
        <v>152</v>
      </c>
      <c r="BA8" s="37">
        <f t="shared" si="5"/>
        <v>209</v>
      </c>
      <c r="BB8" s="28">
        <f t="shared" si="6"/>
        <v>104</v>
      </c>
      <c r="BC8" s="28">
        <f t="shared" si="7"/>
        <v>142</v>
      </c>
      <c r="BD8" s="26">
        <f t="shared" si="8"/>
        <v>39</v>
      </c>
      <c r="BE8" s="26"/>
      <c r="BF8" s="26"/>
      <c r="BG8" s="26"/>
      <c r="BH8" s="26"/>
    </row>
    <row r="9" spans="1:62" ht="15.6" x14ac:dyDescent="0.3">
      <c r="A9" s="6">
        <v>1</v>
      </c>
      <c r="B9" s="6"/>
      <c r="C9" s="7">
        <v>52</v>
      </c>
      <c r="D9" s="7" t="s">
        <v>46</v>
      </c>
      <c r="E9" s="13" t="s">
        <v>47</v>
      </c>
      <c r="F9" s="9" t="str">
        <f t="shared" si="0"/>
        <v>2011-133Y22007FACE</v>
      </c>
      <c r="G9" s="7" t="s">
        <v>48</v>
      </c>
      <c r="H9" s="7" t="s">
        <v>33</v>
      </c>
      <c r="I9" s="7" t="s">
        <v>33</v>
      </c>
      <c r="J9" s="7" t="s">
        <v>34</v>
      </c>
      <c r="K9" s="7" t="s">
        <v>59</v>
      </c>
      <c r="L9" s="7">
        <v>2007</v>
      </c>
      <c r="M9" s="7" t="s">
        <v>50</v>
      </c>
      <c r="N9" s="7" t="s">
        <v>51</v>
      </c>
      <c r="O9" s="7" t="s">
        <v>42</v>
      </c>
      <c r="P9" s="7">
        <f t="shared" si="9"/>
        <v>49.615841584158417</v>
      </c>
      <c r="Q9" s="18">
        <v>7.7503000000000002</v>
      </c>
      <c r="R9" s="6">
        <v>46.4</v>
      </c>
      <c r="S9" s="6">
        <v>7</v>
      </c>
      <c r="T9" s="6">
        <v>75</v>
      </c>
      <c r="U9" s="6">
        <v>3</v>
      </c>
      <c r="V9" s="6">
        <f t="shared" si="1"/>
        <v>7.7503000000000002</v>
      </c>
      <c r="W9" s="6" t="s">
        <v>52</v>
      </c>
      <c r="X9" s="6"/>
      <c r="Y9" s="12">
        <v>765.42056074766401</v>
      </c>
      <c r="Z9" s="6" t="s">
        <v>53</v>
      </c>
      <c r="AA9" s="6">
        <v>65.420560747663004</v>
      </c>
      <c r="AB9" s="6"/>
      <c r="AC9" s="12">
        <v>43.459715639810398</v>
      </c>
      <c r="AD9" s="7" t="s">
        <v>39</v>
      </c>
      <c r="AE9" s="6">
        <v>1.9905213270141999</v>
      </c>
      <c r="AF9" s="6"/>
      <c r="AG9" s="12">
        <v>40.751173708920199</v>
      </c>
      <c r="AH9" s="7" t="s">
        <v>40</v>
      </c>
      <c r="AI9" s="6">
        <v>1.9718309859155028</v>
      </c>
      <c r="AJ9" s="6"/>
      <c r="AK9" s="12">
        <v>501.43540669856498</v>
      </c>
      <c r="AL9" s="6" t="s">
        <v>54</v>
      </c>
      <c r="AM9" s="6">
        <v>22.966507177033009</v>
      </c>
      <c r="AN9" s="6"/>
      <c r="AO9" s="12">
        <f t="shared" si="2"/>
        <v>17612.185203681267</v>
      </c>
      <c r="AP9" s="7" t="s">
        <v>215</v>
      </c>
      <c r="AQ9" s="6"/>
      <c r="AR9" s="6"/>
      <c r="AS9" s="32">
        <f t="shared" si="10"/>
        <v>32.583333333333336</v>
      </c>
      <c r="AT9" s="32">
        <f t="shared" si="11"/>
        <v>119.7</v>
      </c>
      <c r="AU9" s="27">
        <v>39026</v>
      </c>
      <c r="AV9" s="27">
        <v>39234</v>
      </c>
      <c r="AW9" s="27">
        <v>39186</v>
      </c>
      <c r="AX9" s="27">
        <v>39224</v>
      </c>
      <c r="AY9" s="28">
        <f t="shared" si="3"/>
        <v>-56</v>
      </c>
      <c r="AZ9" s="28">
        <f t="shared" si="4"/>
        <v>152</v>
      </c>
      <c r="BA9" s="37">
        <f t="shared" si="5"/>
        <v>209</v>
      </c>
      <c r="BB9" s="28">
        <f t="shared" si="6"/>
        <v>104</v>
      </c>
      <c r="BC9" s="28">
        <f t="shared" si="7"/>
        <v>142</v>
      </c>
      <c r="BD9" s="26">
        <f t="shared" si="8"/>
        <v>39</v>
      </c>
      <c r="BE9" s="26"/>
      <c r="BF9" s="26"/>
      <c r="BG9" s="26"/>
      <c r="BH9" s="26"/>
    </row>
    <row r="10" spans="1:62" ht="15.6" x14ac:dyDescent="0.3">
      <c r="A10" s="6">
        <v>1</v>
      </c>
      <c r="B10" s="6"/>
      <c r="C10" s="7">
        <v>52</v>
      </c>
      <c r="D10" s="7" t="s">
        <v>46</v>
      </c>
      <c r="E10" s="13" t="s">
        <v>47</v>
      </c>
      <c r="F10" s="9" t="str">
        <f t="shared" si="0"/>
        <v>2011-133Y152008FACE</v>
      </c>
      <c r="G10" s="7" t="s">
        <v>48</v>
      </c>
      <c r="H10" s="7" t="s">
        <v>33</v>
      </c>
      <c r="I10" s="7" t="s">
        <v>33</v>
      </c>
      <c r="J10" s="7" t="s">
        <v>34</v>
      </c>
      <c r="K10" s="7" t="s">
        <v>49</v>
      </c>
      <c r="L10" s="7">
        <v>2008</v>
      </c>
      <c r="M10" s="7" t="s">
        <v>50</v>
      </c>
      <c r="N10" s="7" t="s">
        <v>51</v>
      </c>
      <c r="O10" s="7" t="s">
        <v>42</v>
      </c>
      <c r="P10" s="7">
        <f t="shared" si="9"/>
        <v>49.188118811881189</v>
      </c>
      <c r="Q10" s="7">
        <v>8.2789999999999999</v>
      </c>
      <c r="R10" s="7">
        <v>46</v>
      </c>
      <c r="S10" s="7">
        <v>7</v>
      </c>
      <c r="T10" s="7">
        <v>75</v>
      </c>
      <c r="U10" s="6">
        <v>3</v>
      </c>
      <c r="V10" s="6">
        <f t="shared" si="1"/>
        <v>8.2789999999999999</v>
      </c>
      <c r="W10" s="6" t="s">
        <v>52</v>
      </c>
      <c r="X10" s="6"/>
      <c r="Y10" s="12">
        <v>985.9154929577461</v>
      </c>
      <c r="Z10" s="6" t="s">
        <v>53</v>
      </c>
      <c r="AA10" s="6">
        <v>26.291079812204021</v>
      </c>
      <c r="AB10" s="6"/>
      <c r="AC10" s="12">
        <v>44</v>
      </c>
      <c r="AD10" s="7" t="s">
        <v>39</v>
      </c>
      <c r="AE10" s="6">
        <v>0.66666666666669983</v>
      </c>
      <c r="AF10" s="6"/>
      <c r="AG10" s="12">
        <v>40.751173708920199</v>
      </c>
      <c r="AH10" s="7" t="s">
        <v>40</v>
      </c>
      <c r="AI10" s="6">
        <v>0.32863849765259801</v>
      </c>
      <c r="AJ10" s="6"/>
      <c r="AK10" s="12">
        <v>547.36842105263202</v>
      </c>
      <c r="AL10" s="6" t="s">
        <v>54</v>
      </c>
      <c r="AM10" s="6">
        <v>11.483253588515936</v>
      </c>
      <c r="AN10" s="6"/>
      <c r="AO10" s="12">
        <f t="shared" si="2"/>
        <v>22407.17029449423</v>
      </c>
      <c r="AP10" s="7" t="s">
        <v>215</v>
      </c>
      <c r="AQ10" s="6"/>
      <c r="AR10" s="6"/>
      <c r="AS10" s="32">
        <f t="shared" si="10"/>
        <v>32.583333333333336</v>
      </c>
      <c r="AT10" s="32">
        <f t="shared" si="11"/>
        <v>119.7</v>
      </c>
      <c r="AU10" s="27">
        <v>39401</v>
      </c>
      <c r="AV10" s="27">
        <v>39603</v>
      </c>
      <c r="AW10" s="27">
        <v>39512</v>
      </c>
      <c r="AX10" s="27">
        <v>39594</v>
      </c>
      <c r="AY10" s="28">
        <f t="shared" si="3"/>
        <v>-46</v>
      </c>
      <c r="AZ10" s="28">
        <f t="shared" si="4"/>
        <v>156</v>
      </c>
      <c r="BA10" s="37">
        <f t="shared" si="5"/>
        <v>203</v>
      </c>
      <c r="BB10" s="28">
        <f t="shared" si="6"/>
        <v>65</v>
      </c>
      <c r="BC10" s="28">
        <f t="shared" si="7"/>
        <v>147</v>
      </c>
      <c r="BD10" s="26">
        <f t="shared" si="8"/>
        <v>83</v>
      </c>
      <c r="BE10" s="26"/>
      <c r="BF10" s="36">
        <v>39567</v>
      </c>
      <c r="BG10" s="26">
        <f>AV10-BF10+1</f>
        <v>37</v>
      </c>
      <c r="BH10" s="26" t="s">
        <v>276</v>
      </c>
      <c r="BI10">
        <f t="shared" ref="BI10:BI13" si="12">BF10-AW10</f>
        <v>55</v>
      </c>
      <c r="BJ10">
        <f t="shared" ref="BJ10:BJ13" si="13">AX10-BF10</f>
        <v>27</v>
      </c>
    </row>
    <row r="11" spans="1:62" ht="15.6" x14ac:dyDescent="0.3">
      <c r="A11" s="6">
        <v>1</v>
      </c>
      <c r="B11" s="6"/>
      <c r="C11" s="7">
        <v>52</v>
      </c>
      <c r="D11" s="7" t="s">
        <v>46</v>
      </c>
      <c r="E11" s="13" t="s">
        <v>47</v>
      </c>
      <c r="F11" s="9" t="str">
        <f t="shared" si="0"/>
        <v>2011-133Y162008FACE</v>
      </c>
      <c r="G11" s="7" t="s">
        <v>48</v>
      </c>
      <c r="H11" s="7" t="s">
        <v>33</v>
      </c>
      <c r="I11" s="7" t="s">
        <v>33</v>
      </c>
      <c r="J11" s="7" t="s">
        <v>34</v>
      </c>
      <c r="K11" s="7" t="s">
        <v>57</v>
      </c>
      <c r="L11" s="7">
        <v>2008</v>
      </c>
      <c r="M11" s="7" t="s">
        <v>50</v>
      </c>
      <c r="N11" s="7" t="s">
        <v>51</v>
      </c>
      <c r="O11" s="7" t="s">
        <v>42</v>
      </c>
      <c r="P11" s="7">
        <f t="shared" si="9"/>
        <v>49.188118811881189</v>
      </c>
      <c r="Q11" s="7">
        <v>8.4710000000000001</v>
      </c>
      <c r="R11" s="7">
        <v>46</v>
      </c>
      <c r="S11" s="7">
        <v>7</v>
      </c>
      <c r="T11" s="7">
        <v>75</v>
      </c>
      <c r="U11" s="6">
        <v>3</v>
      </c>
      <c r="V11" s="6">
        <f t="shared" si="1"/>
        <v>8.4710000000000001</v>
      </c>
      <c r="W11" s="6" t="s">
        <v>52</v>
      </c>
      <c r="X11" s="6"/>
      <c r="Y11" s="12">
        <v>887.32394366197195</v>
      </c>
      <c r="Z11" s="6" t="s">
        <v>53</v>
      </c>
      <c r="AA11" s="6">
        <v>52.582159624413038</v>
      </c>
      <c r="AB11" s="6"/>
      <c r="AC11" s="12">
        <v>44</v>
      </c>
      <c r="AD11" s="7" t="s">
        <v>39</v>
      </c>
      <c r="AE11" s="6">
        <v>0.66666666666669983</v>
      </c>
      <c r="AF11" s="6"/>
      <c r="AG11" s="12">
        <v>45.680751173708899</v>
      </c>
      <c r="AH11" s="7" t="s">
        <v>40</v>
      </c>
      <c r="AI11" s="6">
        <v>1.9718309859155028</v>
      </c>
      <c r="AJ11" s="6"/>
      <c r="AK11" s="12">
        <v>440.19138755980902</v>
      </c>
      <c r="AL11" s="6" t="s">
        <v>54</v>
      </c>
      <c r="AM11" s="6">
        <v>7.6555023923439762</v>
      </c>
      <c r="AN11" s="6"/>
      <c r="AO11" s="12">
        <f t="shared" si="2"/>
        <v>20166.45326504482</v>
      </c>
      <c r="AP11" s="7" t="s">
        <v>215</v>
      </c>
      <c r="AQ11" s="6"/>
      <c r="AR11" s="6"/>
      <c r="AS11" s="32">
        <f t="shared" si="10"/>
        <v>32.583333333333336</v>
      </c>
      <c r="AT11" s="32">
        <f t="shared" si="11"/>
        <v>119.7</v>
      </c>
      <c r="AU11" s="27">
        <v>39401</v>
      </c>
      <c r="AV11" s="27">
        <v>39603</v>
      </c>
      <c r="AW11" s="27">
        <v>39512</v>
      </c>
      <c r="AX11" s="27">
        <v>39594</v>
      </c>
      <c r="AY11" s="28">
        <f t="shared" si="3"/>
        <v>-46</v>
      </c>
      <c r="AZ11" s="28">
        <f t="shared" si="4"/>
        <v>156</v>
      </c>
      <c r="BA11" s="37">
        <f t="shared" si="5"/>
        <v>203</v>
      </c>
      <c r="BB11" s="28">
        <f t="shared" si="6"/>
        <v>65</v>
      </c>
      <c r="BC11" s="28">
        <f t="shared" si="7"/>
        <v>147</v>
      </c>
      <c r="BD11" s="26">
        <f t="shared" si="8"/>
        <v>83</v>
      </c>
      <c r="BE11" s="26"/>
      <c r="BF11" s="36">
        <v>39567</v>
      </c>
      <c r="BG11" s="26">
        <f>AV11-BF11+1</f>
        <v>37</v>
      </c>
      <c r="BH11" s="26" t="s">
        <v>276</v>
      </c>
      <c r="BI11">
        <f t="shared" si="12"/>
        <v>55</v>
      </c>
      <c r="BJ11">
        <f t="shared" si="13"/>
        <v>27</v>
      </c>
    </row>
    <row r="12" spans="1:62" ht="15.6" x14ac:dyDescent="0.3">
      <c r="A12" s="6">
        <v>1</v>
      </c>
      <c r="B12" s="6"/>
      <c r="C12" s="7">
        <v>52</v>
      </c>
      <c r="D12" s="7" t="s">
        <v>46</v>
      </c>
      <c r="E12" s="13" t="s">
        <v>47</v>
      </c>
      <c r="F12" s="9" t="str">
        <f t="shared" si="0"/>
        <v>2011-133Y192008FACE</v>
      </c>
      <c r="G12" s="7" t="s">
        <v>48</v>
      </c>
      <c r="H12" s="7" t="s">
        <v>33</v>
      </c>
      <c r="I12" s="7" t="s">
        <v>33</v>
      </c>
      <c r="J12" s="7" t="s">
        <v>34</v>
      </c>
      <c r="K12" s="7" t="s">
        <v>58</v>
      </c>
      <c r="L12" s="7">
        <v>2008</v>
      </c>
      <c r="M12" s="7" t="s">
        <v>50</v>
      </c>
      <c r="N12" s="7" t="s">
        <v>51</v>
      </c>
      <c r="O12" s="7" t="s">
        <v>42</v>
      </c>
      <c r="P12" s="7">
        <f t="shared" si="9"/>
        <v>49.188118811881189</v>
      </c>
      <c r="Q12" s="7">
        <v>9.1110000000000007</v>
      </c>
      <c r="R12" s="7">
        <v>46</v>
      </c>
      <c r="S12" s="7">
        <v>7</v>
      </c>
      <c r="T12" s="7">
        <v>75</v>
      </c>
      <c r="U12" s="6">
        <v>3</v>
      </c>
      <c r="V12" s="6">
        <f t="shared" si="1"/>
        <v>9.1110000000000007</v>
      </c>
      <c r="W12" s="6" t="s">
        <v>52</v>
      </c>
      <c r="X12" s="6"/>
      <c r="Y12" s="12">
        <v>841.31455399060997</v>
      </c>
      <c r="Z12" s="6" t="s">
        <v>53</v>
      </c>
      <c r="AA12" s="6">
        <v>19.718309859155013</v>
      </c>
      <c r="AB12" s="6"/>
      <c r="AC12" s="12">
        <v>41.3333333333333</v>
      </c>
      <c r="AD12" s="7" t="s">
        <v>39</v>
      </c>
      <c r="AE12" s="6">
        <v>2</v>
      </c>
      <c r="AF12" s="6"/>
      <c r="AG12" s="12">
        <v>41.7370892018779</v>
      </c>
      <c r="AH12" s="7" t="s">
        <v>40</v>
      </c>
      <c r="AI12" s="6">
        <v>2.3004694835681008</v>
      </c>
      <c r="AJ12" s="6"/>
      <c r="AK12" s="12">
        <v>489.95215311004802</v>
      </c>
      <c r="AL12" s="6" t="s">
        <v>54</v>
      </c>
      <c r="AM12" s="6">
        <v>38.277511961721984</v>
      </c>
      <c r="AN12" s="6"/>
      <c r="AO12" s="12">
        <f t="shared" si="2"/>
        <v>20354.384370740579</v>
      </c>
      <c r="AP12" s="7" t="s">
        <v>215</v>
      </c>
      <c r="AQ12" s="6"/>
      <c r="AR12" s="6"/>
      <c r="AS12" s="32">
        <f t="shared" si="10"/>
        <v>32.583333333333336</v>
      </c>
      <c r="AT12" s="32">
        <f t="shared" si="11"/>
        <v>119.7</v>
      </c>
      <c r="AU12" s="27">
        <v>39401</v>
      </c>
      <c r="AV12" s="27">
        <v>39603</v>
      </c>
      <c r="AW12" s="27">
        <v>39512</v>
      </c>
      <c r="AX12" s="27">
        <v>39594</v>
      </c>
      <c r="AY12" s="28">
        <f t="shared" si="3"/>
        <v>-46</v>
      </c>
      <c r="AZ12" s="28">
        <f t="shared" si="4"/>
        <v>156</v>
      </c>
      <c r="BA12" s="37">
        <f t="shared" si="5"/>
        <v>203</v>
      </c>
      <c r="BB12" s="28">
        <f t="shared" si="6"/>
        <v>65</v>
      </c>
      <c r="BC12" s="28">
        <f t="shared" si="7"/>
        <v>147</v>
      </c>
      <c r="BD12" s="26">
        <f t="shared" si="8"/>
        <v>83</v>
      </c>
      <c r="BE12" s="26"/>
      <c r="BF12" s="36">
        <v>39567</v>
      </c>
      <c r="BG12" s="26">
        <f>AV12-BF12+1</f>
        <v>37</v>
      </c>
      <c r="BH12" s="26" t="s">
        <v>276</v>
      </c>
      <c r="BI12">
        <f t="shared" si="12"/>
        <v>55</v>
      </c>
      <c r="BJ12">
        <f t="shared" si="13"/>
        <v>27</v>
      </c>
    </row>
    <row r="13" spans="1:62" ht="15.6" x14ac:dyDescent="0.3">
      <c r="A13" s="6">
        <v>1</v>
      </c>
      <c r="B13" s="6"/>
      <c r="C13" s="7">
        <v>52</v>
      </c>
      <c r="D13" s="7" t="s">
        <v>46</v>
      </c>
      <c r="E13" s="13" t="s">
        <v>47</v>
      </c>
      <c r="F13" s="9" t="str">
        <f t="shared" si="0"/>
        <v>2011-133Y22008FACE</v>
      </c>
      <c r="G13" s="7" t="s">
        <v>48</v>
      </c>
      <c r="H13" s="7" t="s">
        <v>33</v>
      </c>
      <c r="I13" s="7" t="s">
        <v>33</v>
      </c>
      <c r="J13" s="7" t="s">
        <v>34</v>
      </c>
      <c r="K13" s="7" t="s">
        <v>59</v>
      </c>
      <c r="L13" s="7">
        <v>2008</v>
      </c>
      <c r="M13" s="7" t="s">
        <v>50</v>
      </c>
      <c r="N13" s="7" t="s">
        <v>51</v>
      </c>
      <c r="O13" s="7" t="s">
        <v>42</v>
      </c>
      <c r="P13" s="7">
        <f t="shared" si="9"/>
        <v>49.188118811881189</v>
      </c>
      <c r="Q13" s="7">
        <v>8.4710000000000001</v>
      </c>
      <c r="R13" s="7">
        <v>46</v>
      </c>
      <c r="S13" s="7">
        <v>7</v>
      </c>
      <c r="T13" s="7">
        <v>75</v>
      </c>
      <c r="U13" s="6">
        <v>3</v>
      </c>
      <c r="V13" s="6">
        <f t="shared" si="1"/>
        <v>8.4710000000000001</v>
      </c>
      <c r="W13" s="6" t="s">
        <v>52</v>
      </c>
      <c r="X13" s="6"/>
      <c r="Y13" s="12">
        <v>874.178403755869</v>
      </c>
      <c r="Z13" s="6" t="s">
        <v>53</v>
      </c>
      <c r="AA13" s="6">
        <v>46.009389671361035</v>
      </c>
      <c r="AB13" s="6"/>
      <c r="AC13" s="12">
        <v>43.6666666666667</v>
      </c>
      <c r="AD13" s="7" t="s">
        <v>39</v>
      </c>
      <c r="AE13" s="6">
        <v>0.66666666666660035</v>
      </c>
      <c r="AF13" s="6"/>
      <c r="AG13" s="12">
        <v>41.408450704225402</v>
      </c>
      <c r="AH13" s="7" t="s">
        <v>40</v>
      </c>
      <c r="AI13" s="6">
        <v>1.9718309859153962</v>
      </c>
      <c r="AJ13" s="6"/>
      <c r="AK13" s="12">
        <v>486.124401913876</v>
      </c>
      <c r="AL13" s="6" t="s">
        <v>54</v>
      </c>
      <c r="AM13" s="6">
        <v>11.483253588515993</v>
      </c>
      <c r="AN13" s="6"/>
      <c r="AO13" s="12">
        <f t="shared" si="2"/>
        <v>20019.352757767974</v>
      </c>
      <c r="AP13" s="7" t="s">
        <v>215</v>
      </c>
      <c r="AQ13" s="6"/>
      <c r="AR13" s="6"/>
      <c r="AS13" s="32">
        <f t="shared" si="10"/>
        <v>32.583333333333336</v>
      </c>
      <c r="AT13" s="32">
        <f t="shared" si="11"/>
        <v>119.7</v>
      </c>
      <c r="AU13" s="27">
        <v>39401</v>
      </c>
      <c r="AV13" s="27">
        <v>39603</v>
      </c>
      <c r="AW13" s="27">
        <v>39512</v>
      </c>
      <c r="AX13" s="27">
        <v>39594</v>
      </c>
      <c r="AY13" s="28">
        <f t="shared" si="3"/>
        <v>-46</v>
      </c>
      <c r="AZ13" s="28">
        <f t="shared" si="4"/>
        <v>156</v>
      </c>
      <c r="BA13" s="37">
        <f t="shared" si="5"/>
        <v>203</v>
      </c>
      <c r="BB13" s="28">
        <f t="shared" si="6"/>
        <v>65</v>
      </c>
      <c r="BC13" s="28">
        <f t="shared" si="7"/>
        <v>147</v>
      </c>
      <c r="BD13" s="26">
        <f t="shared" si="8"/>
        <v>83</v>
      </c>
      <c r="BE13" s="26"/>
      <c r="BF13" s="36">
        <v>39567</v>
      </c>
      <c r="BG13" s="26">
        <f>AV13-BF13+1</f>
        <v>37</v>
      </c>
      <c r="BH13" s="26" t="s">
        <v>276</v>
      </c>
      <c r="BI13">
        <f t="shared" si="12"/>
        <v>55</v>
      </c>
      <c r="BJ13">
        <f t="shared" si="13"/>
        <v>27</v>
      </c>
    </row>
    <row r="14" spans="1:62" ht="15.6" x14ac:dyDescent="0.3">
      <c r="A14" s="6">
        <v>1</v>
      </c>
      <c r="B14" s="6"/>
      <c r="C14" s="7">
        <v>52</v>
      </c>
      <c r="D14" s="7" t="s">
        <v>46</v>
      </c>
      <c r="E14" s="13" t="s">
        <v>47</v>
      </c>
      <c r="F14" s="9" t="str">
        <f t="shared" si="0"/>
        <v>2011-133Y152009FACE</v>
      </c>
      <c r="G14" s="7" t="s">
        <v>48</v>
      </c>
      <c r="H14" s="7" t="s">
        <v>33</v>
      </c>
      <c r="I14" s="7" t="s">
        <v>33</v>
      </c>
      <c r="J14" s="7" t="s">
        <v>34</v>
      </c>
      <c r="K14" s="7" t="s">
        <v>49</v>
      </c>
      <c r="L14" s="7">
        <v>2009</v>
      </c>
      <c r="M14" s="7" t="s">
        <v>50</v>
      </c>
      <c r="N14" s="7" t="s">
        <v>51</v>
      </c>
      <c r="O14" s="7" t="s">
        <v>42</v>
      </c>
      <c r="P14" s="7">
        <f t="shared" si="9"/>
        <v>47.691089108910894</v>
      </c>
      <c r="Q14" s="7">
        <v>6.6849999999999996</v>
      </c>
      <c r="R14" s="7">
        <v>44.6</v>
      </c>
      <c r="S14" s="7">
        <v>7</v>
      </c>
      <c r="T14" s="7">
        <v>75</v>
      </c>
      <c r="U14" s="6">
        <v>3</v>
      </c>
      <c r="V14" s="6">
        <f t="shared" si="1"/>
        <v>6.6849999999999996</v>
      </c>
      <c r="W14" s="6" t="s">
        <v>52</v>
      </c>
      <c r="X14" s="6"/>
      <c r="Y14" s="12">
        <v>644.131455399061</v>
      </c>
      <c r="Z14" s="6" t="s">
        <v>53</v>
      </c>
      <c r="AA14" s="6">
        <v>26.291079812206021</v>
      </c>
      <c r="AB14" s="6"/>
      <c r="AC14" s="12">
        <v>43.6666666666667</v>
      </c>
      <c r="AD14" s="7" t="s">
        <v>39</v>
      </c>
      <c r="AE14" s="6">
        <v>0.66666666666660035</v>
      </c>
      <c r="AF14" s="6"/>
      <c r="AG14" s="12">
        <v>37.641509433962298</v>
      </c>
      <c r="AH14" s="7" t="s">
        <v>40</v>
      </c>
      <c r="AI14" s="6">
        <v>0.99056603773580321</v>
      </c>
      <c r="AJ14" s="6"/>
      <c r="AK14" s="12">
        <v>432.53588516746402</v>
      </c>
      <c r="AL14" s="6" t="s">
        <v>54</v>
      </c>
      <c r="AM14" s="6">
        <v>15.311004784688976</v>
      </c>
      <c r="AN14" s="6"/>
      <c r="AO14" s="12">
        <f t="shared" si="2"/>
        <v>14751.102032039553</v>
      </c>
      <c r="AP14" s="7" t="s">
        <v>215</v>
      </c>
      <c r="AQ14" s="6"/>
      <c r="AR14" s="6"/>
      <c r="AS14" s="32">
        <f t="shared" si="10"/>
        <v>32.583333333333336</v>
      </c>
      <c r="AT14" s="32">
        <f t="shared" si="11"/>
        <v>119.7</v>
      </c>
      <c r="AU14" s="27">
        <v>39771</v>
      </c>
      <c r="AV14" s="27">
        <v>39966</v>
      </c>
      <c r="AW14" s="27">
        <v>39873</v>
      </c>
      <c r="AX14" s="27">
        <v>39957</v>
      </c>
      <c r="AY14" s="28">
        <f t="shared" si="3"/>
        <v>-42</v>
      </c>
      <c r="AZ14" s="28">
        <f t="shared" si="4"/>
        <v>153</v>
      </c>
      <c r="BA14" s="37">
        <f t="shared" si="5"/>
        <v>196</v>
      </c>
      <c r="BB14" s="28">
        <f t="shared" si="6"/>
        <v>60</v>
      </c>
      <c r="BC14" s="28">
        <f t="shared" si="7"/>
        <v>144</v>
      </c>
      <c r="BD14" s="26">
        <f t="shared" si="8"/>
        <v>85</v>
      </c>
      <c r="BE14" s="26"/>
      <c r="BF14" s="26"/>
      <c r="BG14" s="26"/>
      <c r="BH14" s="26"/>
    </row>
    <row r="15" spans="1:62" ht="15.6" x14ac:dyDescent="0.3">
      <c r="A15" s="6">
        <v>1</v>
      </c>
      <c r="B15" s="6"/>
      <c r="C15" s="7">
        <v>52</v>
      </c>
      <c r="D15" s="7" t="s">
        <v>46</v>
      </c>
      <c r="E15" s="13" t="s">
        <v>47</v>
      </c>
      <c r="F15" s="9" t="str">
        <f t="shared" si="0"/>
        <v>2011-133Y162009FACE</v>
      </c>
      <c r="G15" s="7" t="s">
        <v>48</v>
      </c>
      <c r="H15" s="7" t="s">
        <v>33</v>
      </c>
      <c r="I15" s="7" t="s">
        <v>33</v>
      </c>
      <c r="J15" s="7" t="s">
        <v>34</v>
      </c>
      <c r="K15" s="7" t="s">
        <v>57</v>
      </c>
      <c r="L15" s="7">
        <v>2009</v>
      </c>
      <c r="M15" s="7" t="s">
        <v>50</v>
      </c>
      <c r="N15" s="7" t="s">
        <v>51</v>
      </c>
      <c r="O15" s="7" t="s">
        <v>42</v>
      </c>
      <c r="P15" s="7">
        <f t="shared" si="9"/>
        <v>47.691089108910894</v>
      </c>
      <c r="Q15" s="7">
        <v>6.9059999999999997</v>
      </c>
      <c r="R15" s="7">
        <v>44.6</v>
      </c>
      <c r="S15" s="7">
        <v>7</v>
      </c>
      <c r="T15" s="7">
        <v>75</v>
      </c>
      <c r="U15" s="6">
        <v>3</v>
      </c>
      <c r="V15" s="6">
        <f t="shared" si="1"/>
        <v>6.9059999999999997</v>
      </c>
      <c r="W15" s="6" t="s">
        <v>52</v>
      </c>
      <c r="X15" s="6"/>
      <c r="Y15" s="12">
        <v>637.55868544600901</v>
      </c>
      <c r="Z15" s="6" t="s">
        <v>53</v>
      </c>
      <c r="AA15" s="6">
        <v>26.29107981220702</v>
      </c>
      <c r="AB15" s="6"/>
      <c r="AC15" s="12">
        <v>42.6666666666667</v>
      </c>
      <c r="AD15" s="7" t="s">
        <v>39</v>
      </c>
      <c r="AE15" s="6">
        <v>0.33333333333330017</v>
      </c>
      <c r="AF15" s="6"/>
      <c r="AG15" s="12">
        <v>39.292452830188701</v>
      </c>
      <c r="AH15" s="7" t="s">
        <v>40</v>
      </c>
      <c r="AI15" s="6">
        <v>1.6509433962264026</v>
      </c>
      <c r="AJ15" s="6"/>
      <c r="AK15" s="12">
        <v>394.25837320574198</v>
      </c>
      <c r="AL15" s="6" t="s">
        <v>54</v>
      </c>
      <c r="AM15" s="6">
        <v>19.138755980861049</v>
      </c>
      <c r="AN15" s="6"/>
      <c r="AO15" s="12">
        <f t="shared" si="2"/>
        <v>14942.781690140824</v>
      </c>
      <c r="AP15" s="7" t="s">
        <v>215</v>
      </c>
      <c r="AQ15" s="6"/>
      <c r="AR15" s="6"/>
      <c r="AS15" s="32">
        <f t="shared" si="10"/>
        <v>32.583333333333336</v>
      </c>
      <c r="AT15" s="32">
        <f t="shared" si="11"/>
        <v>119.7</v>
      </c>
      <c r="AU15" s="27">
        <v>39771</v>
      </c>
      <c r="AV15" s="27">
        <v>39966</v>
      </c>
      <c r="AW15" s="27">
        <v>39873</v>
      </c>
      <c r="AX15" s="27">
        <v>39957</v>
      </c>
      <c r="AY15" s="28">
        <f t="shared" si="3"/>
        <v>-42</v>
      </c>
      <c r="AZ15" s="28">
        <f t="shared" si="4"/>
        <v>153</v>
      </c>
      <c r="BA15" s="37">
        <f t="shared" si="5"/>
        <v>196</v>
      </c>
      <c r="BB15" s="28">
        <f t="shared" si="6"/>
        <v>60</v>
      </c>
      <c r="BC15" s="28">
        <f t="shared" si="7"/>
        <v>144</v>
      </c>
      <c r="BD15" s="26">
        <f t="shared" si="8"/>
        <v>85</v>
      </c>
      <c r="BE15" s="26"/>
      <c r="BF15" s="26"/>
      <c r="BG15" s="26"/>
      <c r="BH15" s="26"/>
    </row>
    <row r="16" spans="1:62" ht="15.6" x14ac:dyDescent="0.3">
      <c r="A16" s="6">
        <v>1</v>
      </c>
      <c r="B16" s="6"/>
      <c r="C16" s="7">
        <v>52</v>
      </c>
      <c r="D16" s="7" t="s">
        <v>46</v>
      </c>
      <c r="E16" s="13" t="s">
        <v>47</v>
      </c>
      <c r="F16" s="9" t="str">
        <f t="shared" si="0"/>
        <v>2011-133Y192009FACE</v>
      </c>
      <c r="G16" s="7" t="s">
        <v>48</v>
      </c>
      <c r="H16" s="7" t="s">
        <v>33</v>
      </c>
      <c r="I16" s="7" t="s">
        <v>33</v>
      </c>
      <c r="J16" s="7" t="s">
        <v>34</v>
      </c>
      <c r="K16" s="7" t="s">
        <v>58</v>
      </c>
      <c r="L16" s="7">
        <v>2009</v>
      </c>
      <c r="M16" s="7" t="s">
        <v>50</v>
      </c>
      <c r="N16" s="7" t="s">
        <v>51</v>
      </c>
      <c r="O16" s="7" t="s">
        <v>42</v>
      </c>
      <c r="P16" s="7">
        <f t="shared" si="9"/>
        <v>47.691089108910894</v>
      </c>
      <c r="Q16" s="7">
        <v>7.8869999999999996</v>
      </c>
      <c r="R16" s="7">
        <v>44.6</v>
      </c>
      <c r="S16" s="7">
        <v>7</v>
      </c>
      <c r="T16" s="7">
        <v>75</v>
      </c>
      <c r="U16" s="6">
        <v>3</v>
      </c>
      <c r="V16" s="6">
        <f t="shared" si="1"/>
        <v>7.8869999999999996</v>
      </c>
      <c r="W16" s="6" t="s">
        <v>52</v>
      </c>
      <c r="X16" s="6"/>
      <c r="Y16" s="12">
        <v>532.3943661971831</v>
      </c>
      <c r="Z16" s="6" t="s">
        <v>53</v>
      </c>
      <c r="AA16" s="6">
        <v>26.29107981220691</v>
      </c>
      <c r="AB16" s="6"/>
      <c r="AC16" s="12">
        <v>44.6666666666667</v>
      </c>
      <c r="AD16" s="7" t="s">
        <v>39</v>
      </c>
      <c r="AE16" s="6">
        <v>0.33333333333330017</v>
      </c>
      <c r="AF16" s="6"/>
      <c r="AG16" s="12">
        <v>38.632075471698101</v>
      </c>
      <c r="AH16" s="7" t="s">
        <v>40</v>
      </c>
      <c r="AI16" s="6">
        <v>0.99056603773589558</v>
      </c>
      <c r="AJ16" s="6"/>
      <c r="AK16" s="12">
        <v>325.35885167464102</v>
      </c>
      <c r="AL16" s="6" t="s">
        <v>54</v>
      </c>
      <c r="AM16" s="6">
        <v>11.483253588516959</v>
      </c>
      <c r="AN16" s="6"/>
      <c r="AO16" s="12">
        <f t="shared" si="2"/>
        <v>11919.276855160806</v>
      </c>
      <c r="AP16" s="7" t="s">
        <v>215</v>
      </c>
      <c r="AQ16" s="6"/>
      <c r="AR16" s="6"/>
      <c r="AS16" s="32">
        <f t="shared" si="10"/>
        <v>32.583333333333336</v>
      </c>
      <c r="AT16" s="32">
        <f t="shared" si="11"/>
        <v>119.7</v>
      </c>
      <c r="AU16" s="27">
        <v>39771</v>
      </c>
      <c r="AV16" s="27">
        <v>39966</v>
      </c>
      <c r="AW16" s="27">
        <v>39873</v>
      </c>
      <c r="AX16" s="27">
        <v>39957</v>
      </c>
      <c r="AY16" s="28">
        <f t="shared" si="3"/>
        <v>-42</v>
      </c>
      <c r="AZ16" s="28">
        <f t="shared" si="4"/>
        <v>153</v>
      </c>
      <c r="BA16" s="37">
        <f t="shared" si="5"/>
        <v>196</v>
      </c>
      <c r="BB16" s="28">
        <f t="shared" si="6"/>
        <v>60</v>
      </c>
      <c r="BC16" s="28">
        <f t="shared" si="7"/>
        <v>144</v>
      </c>
      <c r="BD16" s="26">
        <f t="shared" si="8"/>
        <v>85</v>
      </c>
      <c r="BE16" s="26"/>
      <c r="BF16" s="26"/>
      <c r="BG16" s="26"/>
      <c r="BH16" s="26"/>
    </row>
    <row r="17" spans="1:62" ht="15.6" x14ac:dyDescent="0.3">
      <c r="A17" s="6">
        <v>1</v>
      </c>
      <c r="B17" s="6"/>
      <c r="C17" s="7">
        <v>52</v>
      </c>
      <c r="D17" s="7" t="s">
        <v>46</v>
      </c>
      <c r="E17" s="13" t="s">
        <v>47</v>
      </c>
      <c r="F17" s="9" t="str">
        <f t="shared" si="0"/>
        <v>2011-133Y22009FACE</v>
      </c>
      <c r="G17" s="7" t="s">
        <v>48</v>
      </c>
      <c r="H17" s="7" t="s">
        <v>33</v>
      </c>
      <c r="I17" s="7" t="s">
        <v>33</v>
      </c>
      <c r="J17" s="7" t="s">
        <v>34</v>
      </c>
      <c r="K17" s="7" t="s">
        <v>59</v>
      </c>
      <c r="L17" s="7">
        <v>2009</v>
      </c>
      <c r="M17" s="7" t="s">
        <v>50</v>
      </c>
      <c r="N17" s="7" t="s">
        <v>51</v>
      </c>
      <c r="O17" s="7" t="s">
        <v>42</v>
      </c>
      <c r="P17" s="7">
        <f t="shared" si="9"/>
        <v>47.691089108910894</v>
      </c>
      <c r="Q17" s="7">
        <v>6.9059999999999997</v>
      </c>
      <c r="R17" s="7">
        <v>44.6</v>
      </c>
      <c r="S17" s="7">
        <v>7</v>
      </c>
      <c r="T17" s="7">
        <v>75</v>
      </c>
      <c r="U17" s="6">
        <v>3</v>
      </c>
      <c r="V17" s="6">
        <f t="shared" si="1"/>
        <v>6.9059999999999997</v>
      </c>
      <c r="W17" s="6" t="s">
        <v>52</v>
      </c>
      <c r="X17" s="6"/>
      <c r="Y17" s="12">
        <v>729.57746478873196</v>
      </c>
      <c r="Z17" s="6" t="s">
        <v>53</v>
      </c>
      <c r="AA17" s="6">
        <v>13.145539906104009</v>
      </c>
      <c r="AB17" s="6"/>
      <c r="AC17" s="12">
        <v>45.6666666666667</v>
      </c>
      <c r="AD17" s="7" t="s">
        <v>39</v>
      </c>
      <c r="AE17" s="6">
        <v>1</v>
      </c>
      <c r="AF17" s="6"/>
      <c r="AG17" s="12">
        <v>37.971698113207601</v>
      </c>
      <c r="AH17" s="7" t="s">
        <v>40</v>
      </c>
      <c r="AI17" s="6">
        <v>1.6509433962263955</v>
      </c>
      <c r="AJ17" s="6"/>
      <c r="AK17" s="12">
        <v>436.36363636363598</v>
      </c>
      <c r="AL17" s="6" t="s">
        <v>54</v>
      </c>
      <c r="AM17" s="6">
        <v>22.966507177034032</v>
      </c>
      <c r="AN17" s="6"/>
      <c r="AO17" s="12">
        <f t="shared" si="2"/>
        <v>15976.14886398682</v>
      </c>
      <c r="AP17" s="7" t="s">
        <v>215</v>
      </c>
      <c r="AQ17" s="6"/>
      <c r="AR17" s="6"/>
      <c r="AS17" s="32">
        <f t="shared" si="10"/>
        <v>32.583333333333336</v>
      </c>
      <c r="AT17" s="32">
        <f t="shared" si="11"/>
        <v>119.7</v>
      </c>
      <c r="AU17" s="27">
        <v>39771</v>
      </c>
      <c r="AV17" s="27">
        <v>39966</v>
      </c>
      <c r="AW17" s="27">
        <v>39873</v>
      </c>
      <c r="AX17" s="27">
        <v>39957</v>
      </c>
      <c r="AY17" s="28">
        <f t="shared" si="3"/>
        <v>-42</v>
      </c>
      <c r="AZ17" s="28">
        <f t="shared" si="4"/>
        <v>153</v>
      </c>
      <c r="BA17" s="37">
        <f t="shared" si="5"/>
        <v>196</v>
      </c>
      <c r="BB17" s="28">
        <f t="shared" si="6"/>
        <v>60</v>
      </c>
      <c r="BC17" s="28">
        <f t="shared" si="7"/>
        <v>144</v>
      </c>
      <c r="BD17" s="26">
        <f t="shared" si="8"/>
        <v>85</v>
      </c>
      <c r="BE17" s="26"/>
      <c r="BF17" s="26"/>
      <c r="BG17" s="26"/>
      <c r="BH17" s="26"/>
    </row>
    <row r="18" spans="1:62" ht="15.6" x14ac:dyDescent="0.3">
      <c r="A18" s="6">
        <v>1</v>
      </c>
      <c r="B18" s="6"/>
      <c r="C18" s="6">
        <v>16</v>
      </c>
      <c r="D18" s="9" t="s">
        <v>60</v>
      </c>
      <c r="E18" s="9" t="s">
        <v>61</v>
      </c>
      <c r="F18" s="9" t="str">
        <f t="shared" si="0"/>
        <v>2010-112HUW5102007OTC</v>
      </c>
      <c r="G18" s="6" t="s">
        <v>62</v>
      </c>
      <c r="H18" s="6" t="s">
        <v>95</v>
      </c>
      <c r="I18" s="6" t="s">
        <v>63</v>
      </c>
      <c r="J18" s="6" t="s">
        <v>34</v>
      </c>
      <c r="K18" s="7" t="s">
        <v>64</v>
      </c>
      <c r="L18" s="7">
        <v>2007</v>
      </c>
      <c r="M18" s="6" t="s">
        <v>36</v>
      </c>
      <c r="N18" s="6" t="s">
        <v>51</v>
      </c>
      <c r="O18" s="7" t="s">
        <v>38</v>
      </c>
      <c r="P18" s="7">
        <f>R18*1.08</f>
        <v>5.0760000000000005</v>
      </c>
      <c r="Q18" s="14">
        <v>0</v>
      </c>
      <c r="R18" s="6">
        <v>4.7</v>
      </c>
      <c r="S18" s="6">
        <v>12</v>
      </c>
      <c r="T18" s="6">
        <v>90</v>
      </c>
      <c r="U18" s="6">
        <v>3</v>
      </c>
      <c r="V18" s="6">
        <f t="shared" si="1"/>
        <v>0</v>
      </c>
      <c r="W18" s="14" t="s">
        <v>65</v>
      </c>
      <c r="X18" s="14"/>
      <c r="Y18" s="12">
        <v>458.33330000000001</v>
      </c>
      <c r="Z18" s="7" t="s">
        <v>53</v>
      </c>
      <c r="AA18" s="6" t="s">
        <v>66</v>
      </c>
      <c r="AB18" s="6">
        <v>52.521008403361009</v>
      </c>
      <c r="AC18" s="12">
        <v>34.128677479927461</v>
      </c>
      <c r="AD18" s="7" t="s">
        <v>39</v>
      </c>
      <c r="AE18" s="6" t="s">
        <v>55</v>
      </c>
      <c r="AF18" s="6"/>
      <c r="AG18" s="12">
        <v>25.48936602989119</v>
      </c>
      <c r="AH18" s="6" t="s">
        <v>55</v>
      </c>
      <c r="AI18" s="6"/>
      <c r="AJ18" s="6"/>
      <c r="AK18" s="12"/>
      <c r="AL18" s="6"/>
      <c r="AM18" s="6"/>
      <c r="AN18" s="6"/>
      <c r="AO18" s="12">
        <f t="shared" si="2"/>
        <v>13429.565217391313</v>
      </c>
      <c r="AP18" s="7" t="s">
        <v>215</v>
      </c>
      <c r="AQ18" s="6"/>
      <c r="AR18" s="6"/>
      <c r="AS18" s="33">
        <f t="shared" ref="AS18:AS23" si="14">25+14/60</f>
        <v>25.233333333333334</v>
      </c>
      <c r="AT18" s="33">
        <f t="shared" ref="AT18:AT23" si="15">82+3/60</f>
        <v>82.05</v>
      </c>
      <c r="AU18" s="29"/>
      <c r="AV18" s="29"/>
      <c r="AW18" s="34"/>
      <c r="AX18" s="35"/>
      <c r="AY18" s="28"/>
      <c r="AZ18" s="28"/>
      <c r="BA18" s="37"/>
      <c r="BB18" s="28"/>
      <c r="BC18" s="28"/>
      <c r="BD18" s="26"/>
      <c r="BE18" s="26"/>
      <c r="BF18" s="26"/>
      <c r="BG18" s="26"/>
      <c r="BH18" s="26"/>
    </row>
    <row r="19" spans="1:62" ht="15.6" x14ac:dyDescent="0.3">
      <c r="A19" s="6">
        <v>1</v>
      </c>
      <c r="B19" s="6"/>
      <c r="C19" s="6">
        <v>16</v>
      </c>
      <c r="D19" s="9" t="s">
        <v>60</v>
      </c>
      <c r="E19" s="9" t="s">
        <v>61</v>
      </c>
      <c r="F19" s="9" t="str">
        <f t="shared" si="0"/>
        <v>2010-112Sonalika2007OTC</v>
      </c>
      <c r="G19" s="6" t="s">
        <v>62</v>
      </c>
      <c r="H19" s="6" t="s">
        <v>95</v>
      </c>
      <c r="I19" s="6" t="s">
        <v>63</v>
      </c>
      <c r="J19" s="6" t="s">
        <v>34</v>
      </c>
      <c r="K19" s="7" t="s">
        <v>69</v>
      </c>
      <c r="L19" s="7">
        <v>2007</v>
      </c>
      <c r="M19" s="6" t="s">
        <v>36</v>
      </c>
      <c r="N19" s="6" t="s">
        <v>51</v>
      </c>
      <c r="O19" s="7" t="s">
        <v>38</v>
      </c>
      <c r="P19" s="7">
        <f>R19*1.08</f>
        <v>5.0760000000000005</v>
      </c>
      <c r="Q19" s="14">
        <v>0</v>
      </c>
      <c r="R19" s="6">
        <v>4.7</v>
      </c>
      <c r="S19" s="6">
        <v>12</v>
      </c>
      <c r="T19" s="6">
        <v>90</v>
      </c>
      <c r="U19" s="6">
        <v>3</v>
      </c>
      <c r="V19" s="6">
        <f t="shared" si="1"/>
        <v>0</v>
      </c>
      <c r="W19" s="14" t="s">
        <v>65</v>
      </c>
      <c r="X19" s="14"/>
      <c r="Y19" s="12">
        <v>501.47058823529397</v>
      </c>
      <c r="Z19" s="7" t="s">
        <v>53</v>
      </c>
      <c r="AA19" s="6" t="s">
        <v>66</v>
      </c>
      <c r="AB19" s="6">
        <v>46.218487394958004</v>
      </c>
      <c r="AC19" s="12">
        <v>37.66269438810005</v>
      </c>
      <c r="AD19" s="7" t="s">
        <v>39</v>
      </c>
      <c r="AE19" s="6" t="s">
        <v>55</v>
      </c>
      <c r="AF19" s="6"/>
      <c r="AG19" s="12">
        <v>26.983358586507215</v>
      </c>
      <c r="AH19" s="6" t="s">
        <v>55</v>
      </c>
      <c r="AI19" s="6"/>
      <c r="AJ19" s="6"/>
      <c r="AK19" s="12"/>
      <c r="AL19" s="6"/>
      <c r="AM19" s="6"/>
      <c r="AN19" s="6"/>
      <c r="AO19" s="12">
        <f t="shared" si="2"/>
        <v>13314.782608695656</v>
      </c>
      <c r="AP19" s="7" t="s">
        <v>215</v>
      </c>
      <c r="AQ19" s="6"/>
      <c r="AR19" s="6"/>
      <c r="AS19" s="33">
        <f t="shared" si="14"/>
        <v>25.233333333333334</v>
      </c>
      <c r="AT19" s="33">
        <f t="shared" si="15"/>
        <v>82.05</v>
      </c>
      <c r="AU19" s="29"/>
      <c r="AV19" s="29"/>
      <c r="AW19" s="34"/>
      <c r="AX19" s="35"/>
      <c r="AY19" s="28"/>
      <c r="AZ19" s="28"/>
      <c r="BA19" s="37"/>
      <c r="BB19" s="28"/>
      <c r="BC19" s="28"/>
      <c r="BD19" s="26"/>
      <c r="BE19" s="26"/>
      <c r="BF19" s="26"/>
      <c r="BG19" s="26"/>
      <c r="BH19" s="26"/>
    </row>
    <row r="20" spans="1:62" ht="15.6" x14ac:dyDescent="0.3">
      <c r="A20" s="6">
        <v>1</v>
      </c>
      <c r="B20" s="6"/>
      <c r="C20" s="6">
        <v>16</v>
      </c>
      <c r="D20" s="9" t="s">
        <v>60</v>
      </c>
      <c r="E20" s="9" t="s">
        <v>61</v>
      </c>
      <c r="F20" s="9" t="str">
        <f t="shared" si="0"/>
        <v>2010-112Sonalika2008OTC</v>
      </c>
      <c r="G20" s="6" t="s">
        <v>62</v>
      </c>
      <c r="H20" s="6" t="s">
        <v>95</v>
      </c>
      <c r="I20" s="6" t="s">
        <v>63</v>
      </c>
      <c r="J20" s="6" t="s">
        <v>34</v>
      </c>
      <c r="K20" s="7" t="s">
        <v>69</v>
      </c>
      <c r="L20" s="7">
        <v>2008</v>
      </c>
      <c r="M20" s="6" t="s">
        <v>36</v>
      </c>
      <c r="N20" s="6" t="s">
        <v>51</v>
      </c>
      <c r="O20" s="7" t="s">
        <v>38</v>
      </c>
      <c r="P20" s="7">
        <f>R20*1.08</f>
        <v>5.2920000000000007</v>
      </c>
      <c r="Q20" s="14">
        <v>0</v>
      </c>
      <c r="R20" s="6">
        <v>4.9000000000000004</v>
      </c>
      <c r="S20" s="6">
        <v>12</v>
      </c>
      <c r="T20" s="6">
        <v>90</v>
      </c>
      <c r="U20" s="6">
        <v>3</v>
      </c>
      <c r="V20" s="6">
        <f t="shared" si="1"/>
        <v>0</v>
      </c>
      <c r="W20" s="14" t="s">
        <v>65</v>
      </c>
      <c r="X20" s="14"/>
      <c r="Y20" s="12">
        <v>525.2324000000001</v>
      </c>
      <c r="Z20" s="7" t="s">
        <v>53</v>
      </c>
      <c r="AA20" s="6"/>
      <c r="AB20" s="6"/>
      <c r="AC20" s="12"/>
      <c r="AD20" s="7"/>
      <c r="AE20" s="6"/>
      <c r="AF20" s="6"/>
      <c r="AG20" s="12"/>
      <c r="AH20" s="6"/>
      <c r="AI20" s="6"/>
      <c r="AJ20" s="6"/>
      <c r="AK20" s="12"/>
      <c r="AL20" s="6"/>
      <c r="AM20" s="6"/>
      <c r="AN20" s="6"/>
      <c r="AO20" s="12"/>
      <c r="AP20" s="6"/>
      <c r="AQ20" s="6"/>
      <c r="AR20" s="6"/>
      <c r="AS20" s="33">
        <f t="shared" si="14"/>
        <v>25.233333333333334</v>
      </c>
      <c r="AT20" s="33">
        <f t="shared" si="15"/>
        <v>82.05</v>
      </c>
      <c r="AU20" s="29"/>
      <c r="AV20" s="29"/>
      <c r="AW20" s="34"/>
      <c r="AX20" s="35"/>
      <c r="AY20" s="28"/>
      <c r="AZ20" s="28"/>
      <c r="BA20" s="37"/>
      <c r="BB20" s="28"/>
      <c r="BC20" s="28"/>
      <c r="BD20" s="26"/>
      <c r="BE20" s="26"/>
      <c r="BF20" s="26"/>
      <c r="BG20" s="26"/>
      <c r="BH20" s="26"/>
    </row>
    <row r="21" spans="1:62" ht="15.6" x14ac:dyDescent="0.3">
      <c r="A21" s="6">
        <v>1</v>
      </c>
      <c r="B21" s="6"/>
      <c r="C21" s="6">
        <v>16</v>
      </c>
      <c r="D21" s="9" t="s">
        <v>60</v>
      </c>
      <c r="E21" s="9" t="s">
        <v>61</v>
      </c>
      <c r="F21" s="9" t="str">
        <f t="shared" si="0"/>
        <v>2010-112HUW5102008OTC</v>
      </c>
      <c r="G21" s="6" t="s">
        <v>62</v>
      </c>
      <c r="H21" s="6" t="s">
        <v>95</v>
      </c>
      <c r="I21" s="6" t="s">
        <v>63</v>
      </c>
      <c r="J21" s="6" t="s">
        <v>34</v>
      </c>
      <c r="K21" s="7" t="s">
        <v>64</v>
      </c>
      <c r="L21" s="7">
        <v>2008</v>
      </c>
      <c r="M21" s="6" t="s">
        <v>36</v>
      </c>
      <c r="N21" s="6" t="s">
        <v>51</v>
      </c>
      <c r="O21" s="7" t="s">
        <v>38</v>
      </c>
      <c r="P21" s="7">
        <f>R21*1.08</f>
        <v>5.2920000000000007</v>
      </c>
      <c r="Q21" s="14">
        <v>0</v>
      </c>
      <c r="R21" s="6">
        <v>4.9000000000000004</v>
      </c>
      <c r="S21" s="6">
        <v>12</v>
      </c>
      <c r="T21" s="6">
        <v>90</v>
      </c>
      <c r="U21" s="6">
        <v>3</v>
      </c>
      <c r="V21" s="6">
        <f t="shared" si="1"/>
        <v>0</v>
      </c>
      <c r="W21" s="14" t="s">
        <v>65</v>
      </c>
      <c r="X21" s="14"/>
      <c r="Y21" s="12">
        <v>366.52236666666664</v>
      </c>
      <c r="Z21" s="7" t="s">
        <v>53</v>
      </c>
      <c r="AA21" s="6"/>
      <c r="AB21" s="6"/>
      <c r="AC21" s="12"/>
      <c r="AD21" s="7"/>
      <c r="AE21" s="6"/>
      <c r="AF21" s="6"/>
      <c r="AG21" s="12"/>
      <c r="AH21" s="6"/>
      <c r="AI21" s="6"/>
      <c r="AJ21" s="6"/>
      <c r="AK21" s="12"/>
      <c r="AL21" s="6"/>
      <c r="AM21" s="6"/>
      <c r="AN21" s="6"/>
      <c r="AO21" s="12"/>
      <c r="AP21" s="6"/>
      <c r="AQ21" s="6"/>
      <c r="AR21" s="6"/>
      <c r="AS21" s="33">
        <f t="shared" si="14"/>
        <v>25.233333333333334</v>
      </c>
      <c r="AT21" s="33">
        <f t="shared" si="15"/>
        <v>82.05</v>
      </c>
      <c r="AU21" s="29"/>
      <c r="AV21" s="29"/>
      <c r="AW21" s="34"/>
      <c r="AX21" s="35"/>
      <c r="AY21" s="28"/>
      <c r="AZ21" s="28"/>
      <c r="BA21" s="37"/>
      <c r="BB21" s="28"/>
      <c r="BC21" s="28"/>
      <c r="BD21" s="26"/>
      <c r="BE21" s="26"/>
      <c r="BF21" s="26"/>
      <c r="BG21" s="26"/>
      <c r="BH21" s="26"/>
    </row>
    <row r="22" spans="1:62" ht="15.6" x14ac:dyDescent="0.3">
      <c r="A22" s="6">
        <v>1</v>
      </c>
      <c r="B22" s="6"/>
      <c r="C22" s="6">
        <v>17</v>
      </c>
      <c r="D22" s="6" t="s">
        <v>70</v>
      </c>
      <c r="E22" s="13" t="s">
        <v>71</v>
      </c>
      <c r="F22" s="9" t="str">
        <f t="shared" si="0"/>
        <v>2018-139HD29672016OTC</v>
      </c>
      <c r="G22" s="6" t="s">
        <v>72</v>
      </c>
      <c r="H22" s="6" t="s">
        <v>95</v>
      </c>
      <c r="I22" s="6" t="s">
        <v>63</v>
      </c>
      <c r="J22" s="6" t="s">
        <v>34</v>
      </c>
      <c r="K22" s="6" t="s">
        <v>73</v>
      </c>
      <c r="L22" s="6">
        <v>2016</v>
      </c>
      <c r="M22" s="6" t="s">
        <v>36</v>
      </c>
      <c r="N22" s="6" t="s">
        <v>51</v>
      </c>
      <c r="O22" s="6" t="s">
        <v>74</v>
      </c>
      <c r="P22" s="7">
        <f t="shared" ref="P22:P32" si="16">R22/1.01*1.08</f>
        <v>56.031683168316832</v>
      </c>
      <c r="Q22" s="6">
        <v>11.9</v>
      </c>
      <c r="R22" s="6">
        <v>52.4</v>
      </c>
      <c r="S22" s="6">
        <v>8</v>
      </c>
      <c r="T22" s="7">
        <v>119</v>
      </c>
      <c r="U22" s="6">
        <v>3</v>
      </c>
      <c r="V22" s="16">
        <f t="shared" si="1"/>
        <v>9</v>
      </c>
      <c r="W22" s="10">
        <v>42682</v>
      </c>
      <c r="X22" s="10">
        <v>42814</v>
      </c>
      <c r="Y22" s="12">
        <f>8.33333333333333*400</f>
        <v>3333.3333333333321</v>
      </c>
      <c r="Z22" s="6" t="s">
        <v>80</v>
      </c>
      <c r="AA22" s="6" t="s">
        <v>216</v>
      </c>
      <c r="AB22" s="6">
        <v>0.55555555555555891</v>
      </c>
      <c r="AC22" s="12">
        <v>47.142857142857103</v>
      </c>
      <c r="AD22" s="7" t="s">
        <v>39</v>
      </c>
      <c r="AE22" s="6"/>
      <c r="AF22" s="6">
        <v>1.7857142857142989</v>
      </c>
      <c r="AG22" s="12"/>
      <c r="AH22" s="6"/>
      <c r="AI22" s="6"/>
      <c r="AJ22" s="6"/>
      <c r="AK22" s="12"/>
      <c r="AL22" s="6"/>
      <c r="AM22" s="6"/>
      <c r="AN22" s="6"/>
      <c r="AO22" s="12">
        <f t="shared" ref="AO22:AO32" si="17">Y22/AC22*1000</f>
        <v>70707.070707070743</v>
      </c>
      <c r="AP22" s="6" t="s">
        <v>67</v>
      </c>
      <c r="AQ22" s="6"/>
      <c r="AR22" s="6"/>
      <c r="AS22" s="30">
        <f t="shared" si="14"/>
        <v>25.233333333333334</v>
      </c>
      <c r="AT22" s="30">
        <f t="shared" si="15"/>
        <v>82.05</v>
      </c>
      <c r="AU22" s="27">
        <f>AV22-121</f>
        <v>42693</v>
      </c>
      <c r="AV22" s="25">
        <v>42814</v>
      </c>
      <c r="AW22" s="25">
        <v>42705</v>
      </c>
      <c r="AX22" s="25">
        <v>42814</v>
      </c>
      <c r="AY22" s="28">
        <f t="shared" ref="AY22:AY62" si="18">AU22-INT(YEAR(AV22)&amp;"/1/1")+1</f>
        <v>-42</v>
      </c>
      <c r="AZ22" s="28">
        <f t="shared" ref="AZ22:AZ53" si="19">AV22-INT(YEAR(AV22)&amp;"/1/1")+1</f>
        <v>79</v>
      </c>
      <c r="BA22" s="37">
        <f t="shared" ref="BA22:BA62" si="20">AZ22-AY22+1</f>
        <v>122</v>
      </c>
      <c r="BB22" s="28">
        <f t="shared" ref="BB22:BB62" si="21">AW22-INT(YEAR(AX22)&amp;"/1/1")+1</f>
        <v>-30</v>
      </c>
      <c r="BC22" s="28">
        <f t="shared" ref="BC22:BC53" si="22">AX22-INT(YEAR(AX22)&amp;"/1/1")+1</f>
        <v>79</v>
      </c>
      <c r="BD22" s="26">
        <f t="shared" ref="BD22:BD53" si="23">BC22-BB22+1</f>
        <v>110</v>
      </c>
      <c r="BE22" s="26"/>
      <c r="BF22" s="36">
        <f>AU22+80+5</f>
        <v>42778</v>
      </c>
      <c r="BG22" s="26">
        <f>AV22-BF22+1</f>
        <v>37</v>
      </c>
      <c r="BH22" s="26"/>
      <c r="BI22">
        <f t="shared" ref="BI22:BI25" si="24">BF22-AW22</f>
        <v>73</v>
      </c>
      <c r="BJ22">
        <f t="shared" ref="BJ22:BJ25" si="25">AX22-BF22</f>
        <v>36</v>
      </c>
    </row>
    <row r="23" spans="1:62" ht="15.6" x14ac:dyDescent="0.3">
      <c r="A23" s="6">
        <v>1</v>
      </c>
      <c r="B23" s="6"/>
      <c r="C23" s="6">
        <v>17</v>
      </c>
      <c r="D23" s="6" t="s">
        <v>70</v>
      </c>
      <c r="E23" s="13" t="s">
        <v>71</v>
      </c>
      <c r="F23" s="9" t="str">
        <f t="shared" si="0"/>
        <v>2018-139Sonalika2016OTC</v>
      </c>
      <c r="G23" s="6" t="s">
        <v>72</v>
      </c>
      <c r="H23" s="6" t="s">
        <v>95</v>
      </c>
      <c r="I23" s="6" t="s">
        <v>63</v>
      </c>
      <c r="J23" s="6" t="s">
        <v>34</v>
      </c>
      <c r="K23" s="6" t="s">
        <v>69</v>
      </c>
      <c r="L23" s="6">
        <v>2016</v>
      </c>
      <c r="M23" s="6" t="s">
        <v>36</v>
      </c>
      <c r="N23" s="6" t="s">
        <v>51</v>
      </c>
      <c r="O23" s="6" t="s">
        <v>74</v>
      </c>
      <c r="P23" s="7">
        <f t="shared" si="16"/>
        <v>56.031683168316832</v>
      </c>
      <c r="Q23" s="6">
        <v>11.9</v>
      </c>
      <c r="R23" s="6">
        <v>52.4</v>
      </c>
      <c r="S23" s="6">
        <v>8</v>
      </c>
      <c r="T23" s="7">
        <v>119</v>
      </c>
      <c r="U23" s="6">
        <v>3</v>
      </c>
      <c r="V23" s="16">
        <f t="shared" si="1"/>
        <v>9</v>
      </c>
      <c r="W23" s="10">
        <v>42682</v>
      </c>
      <c r="X23" s="10">
        <v>42814</v>
      </c>
      <c r="Y23" s="12">
        <f>6.79012345679012*400</f>
        <v>2716.0493827160481</v>
      </c>
      <c r="Z23" s="6" t="s">
        <v>80</v>
      </c>
      <c r="AA23" s="6" t="s">
        <v>216</v>
      </c>
      <c r="AB23" s="6">
        <v>0.4320987654320998</v>
      </c>
      <c r="AC23" s="12">
        <v>52.5</v>
      </c>
      <c r="AD23" s="7" t="s">
        <v>39</v>
      </c>
      <c r="AE23" s="6"/>
      <c r="AF23" s="6">
        <v>1.7857142857142989</v>
      </c>
      <c r="AG23" s="12"/>
      <c r="AH23" s="6"/>
      <c r="AI23" s="6"/>
      <c r="AJ23" s="6"/>
      <c r="AK23" s="12"/>
      <c r="AL23" s="6"/>
      <c r="AM23" s="6"/>
      <c r="AN23" s="6"/>
      <c r="AO23" s="12">
        <f t="shared" si="17"/>
        <v>51734.273956496152</v>
      </c>
      <c r="AP23" s="6" t="s">
        <v>67</v>
      </c>
      <c r="AQ23" s="6"/>
      <c r="AR23" s="6"/>
      <c r="AS23" s="30">
        <f t="shared" si="14"/>
        <v>25.233333333333334</v>
      </c>
      <c r="AT23" s="30">
        <f t="shared" si="15"/>
        <v>82.05</v>
      </c>
      <c r="AU23" s="27">
        <f>AV23-111</f>
        <v>42703</v>
      </c>
      <c r="AV23" s="25">
        <v>42814</v>
      </c>
      <c r="AW23" s="25">
        <v>42705</v>
      </c>
      <c r="AX23" s="25">
        <v>42814</v>
      </c>
      <c r="AY23" s="28">
        <f t="shared" si="18"/>
        <v>-32</v>
      </c>
      <c r="AZ23" s="28">
        <f t="shared" si="19"/>
        <v>79</v>
      </c>
      <c r="BA23" s="37">
        <f t="shared" si="20"/>
        <v>112</v>
      </c>
      <c r="BB23" s="28">
        <f t="shared" si="21"/>
        <v>-30</v>
      </c>
      <c r="BC23" s="28">
        <f t="shared" si="22"/>
        <v>79</v>
      </c>
      <c r="BD23" s="26">
        <f t="shared" si="23"/>
        <v>110</v>
      </c>
      <c r="BE23" s="26"/>
      <c r="BF23" s="36">
        <f>AU23+80+5</f>
        <v>42788</v>
      </c>
      <c r="BG23" s="26">
        <f>AV23-BF23+1</f>
        <v>27</v>
      </c>
      <c r="BH23" s="26"/>
      <c r="BI23">
        <f t="shared" si="24"/>
        <v>83</v>
      </c>
      <c r="BJ23">
        <f t="shared" si="25"/>
        <v>26</v>
      </c>
    </row>
    <row r="24" spans="1:62" ht="15.6" x14ac:dyDescent="0.3">
      <c r="A24" s="6">
        <v>1</v>
      </c>
      <c r="B24" s="6"/>
      <c r="C24" s="7">
        <v>26</v>
      </c>
      <c r="D24" s="7" t="s">
        <v>76</v>
      </c>
      <c r="E24" s="13" t="s">
        <v>77</v>
      </c>
      <c r="F24" s="9" t="str">
        <f t="shared" si="0"/>
        <v>2015-100PBW3432008OTC</v>
      </c>
      <c r="G24" s="7" t="s">
        <v>78</v>
      </c>
      <c r="H24" s="6" t="s">
        <v>95</v>
      </c>
      <c r="I24" s="7" t="s">
        <v>63</v>
      </c>
      <c r="J24" s="7" t="s">
        <v>34</v>
      </c>
      <c r="K24" s="7" t="s">
        <v>79</v>
      </c>
      <c r="L24" s="7">
        <v>2008</v>
      </c>
      <c r="M24" s="7" t="s">
        <v>36</v>
      </c>
      <c r="N24" s="7" t="s">
        <v>51</v>
      </c>
      <c r="O24" s="7" t="s">
        <v>42</v>
      </c>
      <c r="P24" s="7">
        <f t="shared" si="16"/>
        <v>33.041584158415837</v>
      </c>
      <c r="Q24" s="7">
        <v>2.0499999999999998</v>
      </c>
      <c r="R24" s="7">
        <v>30.9</v>
      </c>
      <c r="S24" s="7">
        <v>7</v>
      </c>
      <c r="T24" s="7">
        <v>123</v>
      </c>
      <c r="U24" s="6">
        <v>3</v>
      </c>
      <c r="V24" s="6">
        <f t="shared" si="1"/>
        <v>1.5</v>
      </c>
      <c r="W24" s="6" t="s">
        <v>52</v>
      </c>
      <c r="X24" s="6"/>
      <c r="Y24" s="11">
        <v>439</v>
      </c>
      <c r="Z24" s="6" t="s">
        <v>80</v>
      </c>
      <c r="AA24" s="6"/>
      <c r="AB24" s="6">
        <v>5.3</v>
      </c>
      <c r="AC24" s="12">
        <v>42.8</v>
      </c>
      <c r="AD24" s="7" t="s">
        <v>39</v>
      </c>
      <c r="AE24" s="6"/>
      <c r="AF24" s="6">
        <v>0.5</v>
      </c>
      <c r="AG24" s="12">
        <v>52.3</v>
      </c>
      <c r="AH24" s="7" t="s">
        <v>40</v>
      </c>
      <c r="AI24" s="6"/>
      <c r="AJ24" s="6">
        <v>0.5</v>
      </c>
      <c r="AK24" s="12">
        <v>10.8</v>
      </c>
      <c r="AL24" s="7" t="s">
        <v>68</v>
      </c>
      <c r="AM24" s="6"/>
      <c r="AN24" s="6">
        <v>0.1</v>
      </c>
      <c r="AO24" s="12">
        <f t="shared" si="17"/>
        <v>10257.009345794395</v>
      </c>
      <c r="AP24" s="6" t="s">
        <v>54</v>
      </c>
      <c r="AQ24" s="6"/>
      <c r="AR24" s="6"/>
      <c r="AS24" s="32">
        <f>28+40/60</f>
        <v>28.666666666666668</v>
      </c>
      <c r="AT24" s="32">
        <f>77+12/60</f>
        <v>77.2</v>
      </c>
      <c r="AU24" s="27">
        <f>AV24-122</f>
        <v>39796</v>
      </c>
      <c r="AV24" s="25">
        <v>39918</v>
      </c>
      <c r="AW24" s="25">
        <v>39783</v>
      </c>
      <c r="AX24" s="25">
        <v>39918</v>
      </c>
      <c r="AY24" s="28">
        <f t="shared" si="18"/>
        <v>-17</v>
      </c>
      <c r="AZ24" s="28">
        <f t="shared" si="19"/>
        <v>105</v>
      </c>
      <c r="BA24" s="37">
        <f t="shared" si="20"/>
        <v>123</v>
      </c>
      <c r="BB24" s="28">
        <f t="shared" si="21"/>
        <v>-30</v>
      </c>
      <c r="BC24" s="28">
        <f t="shared" si="22"/>
        <v>105</v>
      </c>
      <c r="BD24" s="26">
        <f t="shared" si="23"/>
        <v>136</v>
      </c>
      <c r="BE24" s="26"/>
      <c r="BF24" s="36">
        <f>AU24+69+5</f>
        <v>39870</v>
      </c>
      <c r="BG24" s="26">
        <f>AV24-BF24+1</f>
        <v>49</v>
      </c>
      <c r="BH24" s="26"/>
      <c r="BI24">
        <f t="shared" si="24"/>
        <v>87</v>
      </c>
      <c r="BJ24">
        <f t="shared" si="25"/>
        <v>48</v>
      </c>
    </row>
    <row r="25" spans="1:62" ht="15.6" x14ac:dyDescent="0.3">
      <c r="A25" s="6">
        <v>1</v>
      </c>
      <c r="B25" s="6"/>
      <c r="C25" s="7">
        <v>26</v>
      </c>
      <c r="D25" s="7" t="s">
        <v>76</v>
      </c>
      <c r="E25" s="13" t="s">
        <v>77</v>
      </c>
      <c r="F25" s="9" t="str">
        <f t="shared" si="0"/>
        <v>2015-100PBW3432009OTC</v>
      </c>
      <c r="G25" s="7" t="s">
        <v>78</v>
      </c>
      <c r="H25" s="6" t="s">
        <v>95</v>
      </c>
      <c r="I25" s="7" t="s">
        <v>63</v>
      </c>
      <c r="J25" s="7" t="s">
        <v>34</v>
      </c>
      <c r="K25" s="7" t="s">
        <v>79</v>
      </c>
      <c r="L25" s="7">
        <v>2009</v>
      </c>
      <c r="M25" s="7" t="s">
        <v>36</v>
      </c>
      <c r="N25" s="7" t="s">
        <v>51</v>
      </c>
      <c r="O25" s="7" t="s">
        <v>42</v>
      </c>
      <c r="P25" s="7">
        <f t="shared" si="16"/>
        <v>37.318811881188125</v>
      </c>
      <c r="Q25" s="7">
        <v>2.39</v>
      </c>
      <c r="R25" s="7">
        <v>34.9</v>
      </c>
      <c r="S25" s="7">
        <v>7</v>
      </c>
      <c r="T25" s="7">
        <v>135</v>
      </c>
      <c r="U25" s="6">
        <v>3</v>
      </c>
      <c r="V25" s="6">
        <f t="shared" si="1"/>
        <v>1.5933333333333333</v>
      </c>
      <c r="W25" s="6" t="s">
        <v>52</v>
      </c>
      <c r="X25" s="6"/>
      <c r="Y25" s="11">
        <v>423</v>
      </c>
      <c r="Z25" s="6" t="s">
        <v>80</v>
      </c>
      <c r="AA25" s="6"/>
      <c r="AB25" s="6">
        <v>5.0999999999999996</v>
      </c>
      <c r="AC25" s="12">
        <v>42.1</v>
      </c>
      <c r="AD25" s="7" t="s">
        <v>39</v>
      </c>
      <c r="AE25" s="6"/>
      <c r="AF25" s="6">
        <v>0.43</v>
      </c>
      <c r="AG25" s="12">
        <v>44.8</v>
      </c>
      <c r="AH25" s="7" t="s">
        <v>40</v>
      </c>
      <c r="AI25" s="6"/>
      <c r="AJ25" s="6">
        <v>0.88</v>
      </c>
      <c r="AK25" s="12">
        <v>10.9</v>
      </c>
      <c r="AL25" s="7" t="s">
        <v>68</v>
      </c>
      <c r="AM25" s="6"/>
      <c r="AN25" s="6">
        <v>0.1</v>
      </c>
      <c r="AO25" s="12">
        <f t="shared" si="17"/>
        <v>10047.505938242279</v>
      </c>
      <c r="AP25" s="6" t="s">
        <v>54</v>
      </c>
      <c r="AQ25" s="6"/>
      <c r="AR25" s="6"/>
      <c r="AS25" s="32">
        <f>28+40/60</f>
        <v>28.666666666666668</v>
      </c>
      <c r="AT25" s="32">
        <f>77+12/60</f>
        <v>77.2</v>
      </c>
      <c r="AU25" s="27">
        <f>AV25-134</f>
        <v>40159</v>
      </c>
      <c r="AV25" s="25">
        <v>40293</v>
      </c>
      <c r="AW25" s="25">
        <v>40148</v>
      </c>
      <c r="AX25" s="25">
        <v>40293</v>
      </c>
      <c r="AY25" s="28">
        <f t="shared" si="18"/>
        <v>-19</v>
      </c>
      <c r="AZ25" s="28">
        <f t="shared" si="19"/>
        <v>115</v>
      </c>
      <c r="BA25" s="37">
        <f t="shared" si="20"/>
        <v>135</v>
      </c>
      <c r="BB25" s="28">
        <f t="shared" si="21"/>
        <v>-30</v>
      </c>
      <c r="BC25" s="28">
        <f t="shared" si="22"/>
        <v>115</v>
      </c>
      <c r="BD25" s="26">
        <f t="shared" si="23"/>
        <v>146</v>
      </c>
      <c r="BE25" s="26"/>
      <c r="BF25" s="36">
        <f>AU25+71+5</f>
        <v>40235</v>
      </c>
      <c r="BG25" s="26">
        <f>AV25-BF25+1</f>
        <v>59</v>
      </c>
      <c r="BH25" s="26"/>
      <c r="BI25">
        <f t="shared" si="24"/>
        <v>87</v>
      </c>
      <c r="BJ25">
        <f t="shared" si="25"/>
        <v>58</v>
      </c>
    </row>
    <row r="26" spans="1:62" ht="15.6" x14ac:dyDescent="0.3">
      <c r="A26" s="6">
        <v>1</v>
      </c>
      <c r="B26" s="6"/>
      <c r="C26" s="7">
        <v>49</v>
      </c>
      <c r="D26" s="7" t="s">
        <v>81</v>
      </c>
      <c r="E26" s="13" t="s">
        <v>82</v>
      </c>
      <c r="F26" s="9" t="str">
        <f t="shared" si="0"/>
        <v>2013-76HUW372011OTC</v>
      </c>
      <c r="G26" s="7" t="s">
        <v>83</v>
      </c>
      <c r="H26" s="6" t="s">
        <v>95</v>
      </c>
      <c r="I26" s="7" t="s">
        <v>63</v>
      </c>
      <c r="J26" s="7" t="s">
        <v>34</v>
      </c>
      <c r="K26" s="7" t="s">
        <v>84</v>
      </c>
      <c r="L26" s="7">
        <v>2011</v>
      </c>
      <c r="M26" s="7" t="s">
        <v>36</v>
      </c>
      <c r="N26" s="7" t="s">
        <v>51</v>
      </c>
      <c r="O26" s="7" t="s">
        <v>42</v>
      </c>
      <c r="P26" s="7">
        <f t="shared" si="16"/>
        <v>51.754455445544558</v>
      </c>
      <c r="Q26" s="18">
        <v>5.0999999999999996</v>
      </c>
      <c r="R26" s="6">
        <v>48.4</v>
      </c>
      <c r="S26" s="6">
        <v>8</v>
      </c>
      <c r="T26" s="6">
        <v>125</v>
      </c>
      <c r="U26" s="6">
        <v>3</v>
      </c>
      <c r="V26" s="6">
        <f t="shared" si="1"/>
        <v>3.6719999999999997</v>
      </c>
      <c r="W26" s="6" t="s">
        <v>52</v>
      </c>
      <c r="X26" s="6"/>
      <c r="Y26" s="12">
        <f>4.2972972972973*400</f>
        <v>1718.9189189189201</v>
      </c>
      <c r="Z26" s="6" t="s">
        <v>80</v>
      </c>
      <c r="AA26" s="6" t="s">
        <v>216</v>
      </c>
      <c r="AB26" s="6">
        <v>4.0540540540540349E-2</v>
      </c>
      <c r="AC26" s="12">
        <v>33.559845559845549</v>
      </c>
      <c r="AD26" s="7" t="s">
        <v>39</v>
      </c>
      <c r="AE26" s="6" t="s">
        <v>55</v>
      </c>
      <c r="AF26" s="6"/>
      <c r="AG26" s="12">
        <v>27.182769133725831</v>
      </c>
      <c r="AH26" s="7" t="s">
        <v>40</v>
      </c>
      <c r="AI26" s="6"/>
      <c r="AJ26" s="6"/>
      <c r="AK26" s="12">
        <v>4.7106598984771599</v>
      </c>
      <c r="AL26" s="6" t="s">
        <v>67</v>
      </c>
      <c r="AM26" s="6"/>
      <c r="AN26" s="6">
        <v>0.20304568527918043</v>
      </c>
      <c r="AO26" s="12">
        <f t="shared" si="17"/>
        <v>51219.512195121999</v>
      </c>
      <c r="AP26" s="6" t="s">
        <v>67</v>
      </c>
      <c r="AQ26" s="6"/>
      <c r="AR26" s="6"/>
      <c r="AS26" s="32">
        <f>25+8/60</f>
        <v>25.133333333333333</v>
      </c>
      <c r="AT26" s="32">
        <f>83+1/60</f>
        <v>83.016666666666666</v>
      </c>
      <c r="AU26" s="25">
        <f>AV26-125</f>
        <v>40523</v>
      </c>
      <c r="AV26" s="25">
        <v>40648</v>
      </c>
      <c r="AW26" s="25">
        <f>AX26-125</f>
        <v>40523</v>
      </c>
      <c r="AX26" s="25">
        <v>40648</v>
      </c>
      <c r="AY26" s="28">
        <f t="shared" si="18"/>
        <v>-20</v>
      </c>
      <c r="AZ26" s="28">
        <f t="shared" si="19"/>
        <v>105</v>
      </c>
      <c r="BA26" s="37">
        <f t="shared" si="20"/>
        <v>126</v>
      </c>
      <c r="BB26" s="28">
        <f t="shared" si="21"/>
        <v>-20</v>
      </c>
      <c r="BC26" s="28">
        <f t="shared" si="22"/>
        <v>105</v>
      </c>
      <c r="BD26" s="26">
        <f t="shared" si="23"/>
        <v>126</v>
      </c>
      <c r="BE26" s="26"/>
      <c r="BF26" s="26"/>
      <c r="BG26" s="26"/>
      <c r="BH26" s="26"/>
    </row>
    <row r="27" spans="1:62" ht="15.6" x14ac:dyDescent="0.3">
      <c r="A27" s="6">
        <v>1</v>
      </c>
      <c r="B27" s="6"/>
      <c r="C27" s="7">
        <v>49</v>
      </c>
      <c r="D27" s="7" t="s">
        <v>81</v>
      </c>
      <c r="E27" s="13" t="s">
        <v>82</v>
      </c>
      <c r="F27" s="9" t="str">
        <f t="shared" si="0"/>
        <v>2013-76K91072011OTC</v>
      </c>
      <c r="G27" s="7" t="s">
        <v>83</v>
      </c>
      <c r="H27" s="6" t="s">
        <v>95</v>
      </c>
      <c r="I27" s="7" t="s">
        <v>63</v>
      </c>
      <c r="J27" s="7" t="s">
        <v>34</v>
      </c>
      <c r="K27" s="7" t="s">
        <v>85</v>
      </c>
      <c r="L27" s="7">
        <v>2011</v>
      </c>
      <c r="M27" s="7" t="s">
        <v>36</v>
      </c>
      <c r="N27" s="7" t="s">
        <v>51</v>
      </c>
      <c r="O27" s="7" t="s">
        <v>42</v>
      </c>
      <c r="P27" s="7">
        <f t="shared" si="16"/>
        <v>51.754455445544558</v>
      </c>
      <c r="Q27" s="18">
        <v>5.0999999999999996</v>
      </c>
      <c r="R27" s="6">
        <v>48.4</v>
      </c>
      <c r="S27" s="6">
        <v>8</v>
      </c>
      <c r="T27" s="6">
        <v>125</v>
      </c>
      <c r="U27" s="6">
        <v>3</v>
      </c>
      <c r="V27" s="6">
        <f t="shared" si="1"/>
        <v>3.6719999999999997</v>
      </c>
      <c r="W27" s="6" t="s">
        <v>52</v>
      </c>
      <c r="X27" s="6"/>
      <c r="Y27" s="12">
        <f>4.54054054054054*400</f>
        <v>1816.2162162162163</v>
      </c>
      <c r="Z27" s="6" t="s">
        <v>80</v>
      </c>
      <c r="AA27" s="6" t="s">
        <v>216</v>
      </c>
      <c r="AB27" s="6">
        <v>0.12162162162161927</v>
      </c>
      <c r="AC27" s="12">
        <v>23.453500744839296</v>
      </c>
      <c r="AD27" s="7" t="s">
        <v>39</v>
      </c>
      <c r="AE27" s="6" t="s">
        <v>55</v>
      </c>
      <c r="AF27" s="6"/>
      <c r="AG27" s="12">
        <v>33.338041531639142</v>
      </c>
      <c r="AH27" s="7" t="s">
        <v>40</v>
      </c>
      <c r="AI27" s="6"/>
      <c r="AJ27" s="6"/>
      <c r="AK27" s="12">
        <v>5.8071065989847703</v>
      </c>
      <c r="AL27" s="6" t="s">
        <v>67</v>
      </c>
      <c r="AM27" s="6"/>
      <c r="AN27" s="6">
        <v>0.32487309644669971</v>
      </c>
      <c r="AO27" s="12">
        <f t="shared" si="17"/>
        <v>77439.024390244012</v>
      </c>
      <c r="AP27" s="6" t="s">
        <v>67</v>
      </c>
      <c r="AQ27" s="6"/>
      <c r="AR27" s="6"/>
      <c r="AS27" s="32">
        <f>25+8/60</f>
        <v>25.133333333333333</v>
      </c>
      <c r="AT27" s="32">
        <f>83+1/60</f>
        <v>83.016666666666666</v>
      </c>
      <c r="AU27" s="25">
        <f>AV27-125</f>
        <v>40523</v>
      </c>
      <c r="AV27" s="25">
        <v>40648</v>
      </c>
      <c r="AW27" s="25">
        <f>AX27-125</f>
        <v>40523</v>
      </c>
      <c r="AX27" s="25">
        <v>40648</v>
      </c>
      <c r="AY27" s="28">
        <f t="shared" si="18"/>
        <v>-20</v>
      </c>
      <c r="AZ27" s="28">
        <f t="shared" si="19"/>
        <v>105</v>
      </c>
      <c r="BA27" s="37">
        <f t="shared" si="20"/>
        <v>126</v>
      </c>
      <c r="BB27" s="28">
        <f t="shared" si="21"/>
        <v>-20</v>
      </c>
      <c r="BC27" s="28">
        <f t="shared" si="22"/>
        <v>105</v>
      </c>
      <c r="BD27" s="26">
        <f t="shared" si="23"/>
        <v>126</v>
      </c>
      <c r="BE27" s="26"/>
      <c r="BF27" s="26"/>
      <c r="BG27" s="26"/>
      <c r="BH27" s="26"/>
    </row>
    <row r="28" spans="1:62" ht="15.6" x14ac:dyDescent="0.3">
      <c r="A28" s="6">
        <v>1</v>
      </c>
      <c r="B28" s="6"/>
      <c r="C28" s="7">
        <v>50</v>
      </c>
      <c r="D28" s="7" t="s">
        <v>86</v>
      </c>
      <c r="E28" s="13" t="s">
        <v>87</v>
      </c>
      <c r="F28" s="9" t="str">
        <f t="shared" si="0"/>
        <v>2019-164C3062016FACE</v>
      </c>
      <c r="G28" s="7" t="s">
        <v>88</v>
      </c>
      <c r="H28" s="6" t="s">
        <v>95</v>
      </c>
      <c r="I28" s="7" t="s">
        <v>63</v>
      </c>
      <c r="J28" s="7" t="s">
        <v>34</v>
      </c>
      <c r="K28" s="7" t="s">
        <v>89</v>
      </c>
      <c r="L28" s="7">
        <v>2016</v>
      </c>
      <c r="M28" s="7" t="s">
        <v>50</v>
      </c>
      <c r="N28" s="7" t="s">
        <v>51</v>
      </c>
      <c r="O28" s="7" t="s">
        <v>42</v>
      </c>
      <c r="P28" s="7">
        <f t="shared" si="16"/>
        <v>32.827722772277234</v>
      </c>
      <c r="Q28" s="7"/>
      <c r="R28" s="7">
        <v>30.7</v>
      </c>
      <c r="S28" s="7">
        <v>7</v>
      </c>
      <c r="T28" s="7">
        <v>160</v>
      </c>
      <c r="U28" s="6">
        <v>4</v>
      </c>
      <c r="V28" s="13">
        <v>2.6636551037927898</v>
      </c>
      <c r="W28" s="6" t="s">
        <v>52</v>
      </c>
      <c r="X28" s="6"/>
      <c r="Y28" s="12">
        <v>450</v>
      </c>
      <c r="Z28" s="6" t="s">
        <v>80</v>
      </c>
      <c r="AA28" s="6"/>
      <c r="AB28" s="6">
        <v>30</v>
      </c>
      <c r="AC28" s="12">
        <v>36.1</v>
      </c>
      <c r="AD28" s="7" t="s">
        <v>39</v>
      </c>
      <c r="AE28" s="6"/>
      <c r="AF28" s="6">
        <v>0.5</v>
      </c>
      <c r="AG28" s="12">
        <v>42.2</v>
      </c>
      <c r="AH28" s="7" t="s">
        <v>40</v>
      </c>
      <c r="AI28" s="6"/>
      <c r="AJ28" s="6">
        <v>1</v>
      </c>
      <c r="AK28" s="12">
        <v>450</v>
      </c>
      <c r="AL28" s="6" t="s">
        <v>54</v>
      </c>
      <c r="AM28" s="6"/>
      <c r="AN28" s="6">
        <v>18</v>
      </c>
      <c r="AO28" s="12">
        <f t="shared" si="17"/>
        <v>12465.373961218836</v>
      </c>
      <c r="AP28" s="6" t="s">
        <v>54</v>
      </c>
      <c r="AQ28" s="6"/>
      <c r="AR28" s="6"/>
      <c r="AS28" s="32">
        <f>28+37/60</f>
        <v>28.616666666666667</v>
      </c>
      <c r="AT28" s="32">
        <f>77+12/60</f>
        <v>77.2</v>
      </c>
      <c r="AU28" s="25">
        <v>42705</v>
      </c>
      <c r="AV28" s="25">
        <v>42855</v>
      </c>
      <c r="AW28" s="25">
        <v>42705</v>
      </c>
      <c r="AX28" s="25">
        <v>42855</v>
      </c>
      <c r="AY28" s="28">
        <f t="shared" si="18"/>
        <v>-30</v>
      </c>
      <c r="AZ28" s="28">
        <f t="shared" si="19"/>
        <v>120</v>
      </c>
      <c r="BA28" s="37">
        <f t="shared" si="20"/>
        <v>151</v>
      </c>
      <c r="BB28" s="28">
        <f t="shared" si="21"/>
        <v>-30</v>
      </c>
      <c r="BC28" s="28">
        <f t="shared" si="22"/>
        <v>120</v>
      </c>
      <c r="BD28" s="26">
        <f t="shared" si="23"/>
        <v>151</v>
      </c>
      <c r="BE28" s="26"/>
      <c r="BF28" s="36">
        <f>AU28+82+5</f>
        <v>42792</v>
      </c>
      <c r="BG28" s="26">
        <f>AV28-BF28+1</f>
        <v>64</v>
      </c>
      <c r="BH28" s="26"/>
      <c r="BI28">
        <f t="shared" ref="BI28:BI32" si="26">BF28-AW28</f>
        <v>87</v>
      </c>
      <c r="BJ28">
        <f t="shared" ref="BJ28:BJ32" si="27">AX28-BF28</f>
        <v>63</v>
      </c>
    </row>
    <row r="29" spans="1:62" ht="15.6" x14ac:dyDescent="0.3">
      <c r="A29" s="6">
        <v>1</v>
      </c>
      <c r="B29" s="6"/>
      <c r="C29" s="7">
        <v>50</v>
      </c>
      <c r="D29" s="7" t="s">
        <v>86</v>
      </c>
      <c r="E29" s="13" t="s">
        <v>87</v>
      </c>
      <c r="F29" s="9" t="str">
        <f t="shared" si="0"/>
        <v>2019-164HD29672016FACE</v>
      </c>
      <c r="G29" s="7" t="s">
        <v>88</v>
      </c>
      <c r="H29" s="6" t="s">
        <v>95</v>
      </c>
      <c r="I29" s="7" t="s">
        <v>63</v>
      </c>
      <c r="J29" s="7" t="s">
        <v>34</v>
      </c>
      <c r="K29" s="7" t="s">
        <v>90</v>
      </c>
      <c r="L29" s="7">
        <v>2016</v>
      </c>
      <c r="M29" s="7" t="s">
        <v>50</v>
      </c>
      <c r="N29" s="7" t="s">
        <v>51</v>
      </c>
      <c r="O29" s="7" t="s">
        <v>42</v>
      </c>
      <c r="P29" s="7">
        <f t="shared" si="16"/>
        <v>32.827722772277234</v>
      </c>
      <c r="Q29" s="7"/>
      <c r="R29" s="7">
        <v>30.7</v>
      </c>
      <c r="S29" s="7">
        <v>7</v>
      </c>
      <c r="T29" s="7">
        <v>160</v>
      </c>
      <c r="U29" s="6">
        <v>4</v>
      </c>
      <c r="V29" s="13">
        <v>2.6636551037927898</v>
      </c>
      <c r="W29" s="6" t="s">
        <v>52</v>
      </c>
      <c r="X29" s="6"/>
      <c r="Y29" s="12">
        <v>440</v>
      </c>
      <c r="Z29" s="6" t="s">
        <v>80</v>
      </c>
      <c r="AA29" s="6"/>
      <c r="AB29" s="6">
        <v>40</v>
      </c>
      <c r="AC29" s="12">
        <v>35.9</v>
      </c>
      <c r="AD29" s="7" t="s">
        <v>39</v>
      </c>
      <c r="AE29" s="6"/>
      <c r="AF29" s="6">
        <v>0.9</v>
      </c>
      <c r="AG29" s="12">
        <v>41.3</v>
      </c>
      <c r="AH29" s="7" t="s">
        <v>40</v>
      </c>
      <c r="AI29" s="6"/>
      <c r="AJ29" s="6">
        <v>3</v>
      </c>
      <c r="AK29" s="12">
        <v>400</v>
      </c>
      <c r="AL29" s="6" t="s">
        <v>54</v>
      </c>
      <c r="AM29" s="6"/>
      <c r="AN29" s="6">
        <v>8</v>
      </c>
      <c r="AO29" s="12">
        <f t="shared" si="17"/>
        <v>12256.267409470751</v>
      </c>
      <c r="AP29" s="6" t="s">
        <v>54</v>
      </c>
      <c r="AQ29" s="6"/>
      <c r="AR29" s="6"/>
      <c r="AS29" s="32">
        <f>28+37/60</f>
        <v>28.616666666666667</v>
      </c>
      <c r="AT29" s="32">
        <f>77+12/60</f>
        <v>77.2</v>
      </c>
      <c r="AU29" s="25">
        <v>42705</v>
      </c>
      <c r="AV29" s="25">
        <v>42855</v>
      </c>
      <c r="AW29" s="25">
        <v>42705</v>
      </c>
      <c r="AX29" s="25">
        <v>42855</v>
      </c>
      <c r="AY29" s="28">
        <f t="shared" si="18"/>
        <v>-30</v>
      </c>
      <c r="AZ29" s="28">
        <f t="shared" si="19"/>
        <v>120</v>
      </c>
      <c r="BA29" s="37">
        <f t="shared" si="20"/>
        <v>151</v>
      </c>
      <c r="BB29" s="28">
        <f t="shared" si="21"/>
        <v>-30</v>
      </c>
      <c r="BC29" s="28">
        <f t="shared" si="22"/>
        <v>120</v>
      </c>
      <c r="BD29" s="26">
        <f t="shared" si="23"/>
        <v>151</v>
      </c>
      <c r="BE29" s="26"/>
      <c r="BF29" s="36">
        <f>AU29+82+5</f>
        <v>42792</v>
      </c>
      <c r="BG29" s="26">
        <f>AV29-BF29+1</f>
        <v>64</v>
      </c>
      <c r="BH29" s="26"/>
      <c r="BI29">
        <f t="shared" si="26"/>
        <v>87</v>
      </c>
      <c r="BJ29">
        <f t="shared" si="27"/>
        <v>63</v>
      </c>
    </row>
    <row r="30" spans="1:62" ht="15.6" x14ac:dyDescent="0.3">
      <c r="A30" s="6">
        <v>1</v>
      </c>
      <c r="B30" s="6"/>
      <c r="C30" s="7">
        <v>50</v>
      </c>
      <c r="D30" s="7" t="s">
        <v>86</v>
      </c>
      <c r="E30" s="13" t="s">
        <v>91</v>
      </c>
      <c r="F30" s="9" t="str">
        <f t="shared" si="0"/>
        <v>2019-164C3062017FACE</v>
      </c>
      <c r="G30" s="7" t="s">
        <v>88</v>
      </c>
      <c r="H30" s="6" t="s">
        <v>95</v>
      </c>
      <c r="I30" s="7" t="s">
        <v>63</v>
      </c>
      <c r="J30" s="7" t="s">
        <v>34</v>
      </c>
      <c r="K30" s="7" t="s">
        <v>89</v>
      </c>
      <c r="L30" s="7">
        <v>2017</v>
      </c>
      <c r="M30" s="7" t="s">
        <v>50</v>
      </c>
      <c r="N30" s="7" t="s">
        <v>51</v>
      </c>
      <c r="O30" s="7" t="s">
        <v>42</v>
      </c>
      <c r="P30" s="7">
        <f t="shared" si="16"/>
        <v>32.827722772277234</v>
      </c>
      <c r="Q30" s="7"/>
      <c r="R30" s="7">
        <v>30.7</v>
      </c>
      <c r="S30" s="7">
        <v>7</v>
      </c>
      <c r="T30" s="7">
        <v>160</v>
      </c>
      <c r="U30" s="6">
        <v>4</v>
      </c>
      <c r="V30" s="13">
        <v>2.6636551037927898</v>
      </c>
      <c r="W30" s="6" t="s">
        <v>52</v>
      </c>
      <c r="X30" s="6"/>
      <c r="Y30" s="12">
        <v>490</v>
      </c>
      <c r="Z30" s="6" t="s">
        <v>80</v>
      </c>
      <c r="AA30" s="6"/>
      <c r="AB30" s="6">
        <v>30</v>
      </c>
      <c r="AC30" s="12">
        <v>40.200000000000003</v>
      </c>
      <c r="AD30" s="7" t="s">
        <v>39</v>
      </c>
      <c r="AE30" s="6"/>
      <c r="AF30" s="6">
        <v>1</v>
      </c>
      <c r="AG30" s="12">
        <v>43</v>
      </c>
      <c r="AH30" s="7" t="s">
        <v>40</v>
      </c>
      <c r="AI30" s="6"/>
      <c r="AJ30" s="6">
        <v>3</v>
      </c>
      <c r="AK30" s="12">
        <v>374</v>
      </c>
      <c r="AL30" s="6" t="s">
        <v>54</v>
      </c>
      <c r="AM30" s="6"/>
      <c r="AN30" s="6">
        <v>18</v>
      </c>
      <c r="AO30" s="12">
        <f t="shared" si="17"/>
        <v>12189.054726368158</v>
      </c>
      <c r="AP30" s="6" t="s">
        <v>54</v>
      </c>
      <c r="AQ30" s="6"/>
      <c r="AR30" s="6"/>
      <c r="AS30" s="32">
        <f>28+37/60</f>
        <v>28.616666666666667</v>
      </c>
      <c r="AT30" s="32">
        <f>77+12/60</f>
        <v>77.2</v>
      </c>
      <c r="AU30" s="25">
        <v>43060</v>
      </c>
      <c r="AV30" s="25">
        <v>43220</v>
      </c>
      <c r="AW30" s="25">
        <v>43060</v>
      </c>
      <c r="AX30" s="25">
        <v>43220</v>
      </c>
      <c r="AY30" s="28">
        <f t="shared" si="18"/>
        <v>-40</v>
      </c>
      <c r="AZ30" s="28">
        <f t="shared" si="19"/>
        <v>120</v>
      </c>
      <c r="BA30" s="37">
        <f t="shared" si="20"/>
        <v>161</v>
      </c>
      <c r="BB30" s="28">
        <f t="shared" si="21"/>
        <v>-40</v>
      </c>
      <c r="BC30" s="28">
        <f t="shared" si="22"/>
        <v>120</v>
      </c>
      <c r="BD30" s="26">
        <f t="shared" si="23"/>
        <v>161</v>
      </c>
      <c r="BE30" s="26"/>
      <c r="BF30" s="36">
        <f>AU30+82+5</f>
        <v>43147</v>
      </c>
      <c r="BG30" s="26">
        <f>AV30-BF30+1</f>
        <v>74</v>
      </c>
      <c r="BH30" s="26"/>
      <c r="BI30">
        <f t="shared" si="26"/>
        <v>87</v>
      </c>
      <c r="BJ30">
        <f t="shared" si="27"/>
        <v>73</v>
      </c>
    </row>
    <row r="31" spans="1:62" ht="15.6" x14ac:dyDescent="0.3">
      <c r="A31" s="6">
        <v>1</v>
      </c>
      <c r="B31" s="6"/>
      <c r="C31" s="7">
        <v>50</v>
      </c>
      <c r="D31" s="7" t="s">
        <v>86</v>
      </c>
      <c r="E31" s="13" t="s">
        <v>87</v>
      </c>
      <c r="F31" s="9" t="str">
        <f t="shared" si="0"/>
        <v>2019-164HD29672017FACE</v>
      </c>
      <c r="G31" s="7" t="s">
        <v>88</v>
      </c>
      <c r="H31" s="6" t="s">
        <v>95</v>
      </c>
      <c r="I31" s="7" t="s">
        <v>63</v>
      </c>
      <c r="J31" s="7" t="s">
        <v>34</v>
      </c>
      <c r="K31" s="7" t="s">
        <v>90</v>
      </c>
      <c r="L31" s="7">
        <v>2017</v>
      </c>
      <c r="M31" s="7" t="s">
        <v>50</v>
      </c>
      <c r="N31" s="7" t="s">
        <v>51</v>
      </c>
      <c r="O31" s="7" t="s">
        <v>42</v>
      </c>
      <c r="P31" s="7">
        <f t="shared" si="16"/>
        <v>32.827722772277234</v>
      </c>
      <c r="Q31" s="7"/>
      <c r="R31" s="7">
        <v>30.7</v>
      </c>
      <c r="S31" s="7">
        <v>7</v>
      </c>
      <c r="T31" s="7">
        <v>160</v>
      </c>
      <c r="U31" s="6">
        <v>4</v>
      </c>
      <c r="V31" s="13">
        <v>2.6636551037927898</v>
      </c>
      <c r="W31" s="6" t="s">
        <v>52</v>
      </c>
      <c r="X31" s="6"/>
      <c r="Y31" s="12">
        <v>430</v>
      </c>
      <c r="Z31" s="6" t="s">
        <v>80</v>
      </c>
      <c r="AA31" s="6"/>
      <c r="AB31" s="6">
        <v>60</v>
      </c>
      <c r="AC31" s="12">
        <v>34.799999999999997</v>
      </c>
      <c r="AD31" s="7" t="s">
        <v>39</v>
      </c>
      <c r="AE31" s="6"/>
      <c r="AF31" s="6">
        <v>1.3</v>
      </c>
      <c r="AG31" s="12">
        <v>52.6</v>
      </c>
      <c r="AH31" s="7" t="s">
        <v>40</v>
      </c>
      <c r="AI31" s="6"/>
      <c r="AJ31" s="6">
        <v>2.5</v>
      </c>
      <c r="AK31" s="12">
        <v>394</v>
      </c>
      <c r="AL31" s="6" t="s">
        <v>54</v>
      </c>
      <c r="AM31" s="6"/>
      <c r="AN31" s="6">
        <v>24</v>
      </c>
      <c r="AO31" s="12">
        <f t="shared" si="17"/>
        <v>12356.321839080461</v>
      </c>
      <c r="AP31" s="6" t="s">
        <v>54</v>
      </c>
      <c r="AQ31" s="6"/>
      <c r="AR31" s="6"/>
      <c r="AS31" s="32">
        <f>28+37/60</f>
        <v>28.616666666666667</v>
      </c>
      <c r="AT31" s="32">
        <f>77+12/60</f>
        <v>77.2</v>
      </c>
      <c r="AU31" s="25">
        <v>43060</v>
      </c>
      <c r="AV31" s="25">
        <v>43220</v>
      </c>
      <c r="AW31" s="25">
        <v>43060</v>
      </c>
      <c r="AX31" s="25">
        <v>43220</v>
      </c>
      <c r="AY31" s="28">
        <f t="shared" si="18"/>
        <v>-40</v>
      </c>
      <c r="AZ31" s="28">
        <f t="shared" si="19"/>
        <v>120</v>
      </c>
      <c r="BA31" s="37">
        <f t="shared" si="20"/>
        <v>161</v>
      </c>
      <c r="BB31" s="28">
        <f t="shared" si="21"/>
        <v>-40</v>
      </c>
      <c r="BC31" s="28">
        <f t="shared" si="22"/>
        <v>120</v>
      </c>
      <c r="BD31" s="26">
        <f t="shared" si="23"/>
        <v>161</v>
      </c>
      <c r="BE31" s="26"/>
      <c r="BF31" s="36">
        <f>AU31+82+5</f>
        <v>43147</v>
      </c>
      <c r="BG31" s="26">
        <f>AV31-BF31+1</f>
        <v>74</v>
      </c>
      <c r="BH31" s="26"/>
      <c r="BI31">
        <f t="shared" si="26"/>
        <v>87</v>
      </c>
      <c r="BJ31">
        <f t="shared" si="27"/>
        <v>73</v>
      </c>
    </row>
    <row r="32" spans="1:62" ht="15.6" x14ac:dyDescent="0.3">
      <c r="A32" s="6">
        <v>1</v>
      </c>
      <c r="B32" s="6"/>
      <c r="C32" s="6">
        <v>63</v>
      </c>
      <c r="D32" s="6" t="s">
        <v>92</v>
      </c>
      <c r="E32" s="13" t="s">
        <v>93</v>
      </c>
      <c r="F32" s="9" t="str">
        <f t="shared" si="0"/>
        <v>2020-13HD29672018OTC</v>
      </c>
      <c r="G32" s="6" t="s">
        <v>94</v>
      </c>
      <c r="H32" s="6" t="s">
        <v>95</v>
      </c>
      <c r="I32" s="6" t="s">
        <v>95</v>
      </c>
      <c r="J32" s="6" t="s">
        <v>96</v>
      </c>
      <c r="K32" s="6" t="s">
        <v>90</v>
      </c>
      <c r="L32" s="6">
        <v>2018</v>
      </c>
      <c r="M32" s="6" t="s">
        <v>97</v>
      </c>
      <c r="N32" s="7" t="s">
        <v>51</v>
      </c>
      <c r="O32" s="6" t="s">
        <v>74</v>
      </c>
      <c r="P32" s="7">
        <f t="shared" si="16"/>
        <v>49.316435643564354</v>
      </c>
      <c r="Q32" s="6">
        <v>8.9</v>
      </c>
      <c r="R32" s="6">
        <v>46.12</v>
      </c>
      <c r="S32" s="6">
        <v>8</v>
      </c>
      <c r="T32" s="6">
        <v>126</v>
      </c>
      <c r="U32" s="6">
        <v>3</v>
      </c>
      <c r="V32" s="6">
        <f t="shared" ref="V32:V46" si="28">IF(T32&lt;=90,Q32,Q32/T32*90)</f>
        <v>6.3571428571428568</v>
      </c>
      <c r="W32" s="6" t="s">
        <v>65</v>
      </c>
      <c r="X32" s="6"/>
      <c r="Y32" s="12">
        <f>8.15876591883351*400</f>
        <v>3263.506367533404</v>
      </c>
      <c r="Z32" s="6" t="s">
        <v>80</v>
      </c>
      <c r="AA32" s="6" t="s">
        <v>216</v>
      </c>
      <c r="AB32" s="6">
        <v>0.1492537313432809</v>
      </c>
      <c r="AC32" s="12">
        <v>49.703579418344503</v>
      </c>
      <c r="AD32" s="7" t="s">
        <v>39</v>
      </c>
      <c r="AE32" s="6"/>
      <c r="AF32" s="6">
        <v>3.213486736976698</v>
      </c>
      <c r="AG32" s="12"/>
      <c r="AH32" s="6"/>
      <c r="AI32" s="6"/>
      <c r="AJ32" s="6"/>
      <c r="AK32" s="12"/>
      <c r="AL32" s="6"/>
      <c r="AM32" s="6"/>
      <c r="AN32" s="6"/>
      <c r="AO32" s="12">
        <f t="shared" si="17"/>
        <v>65659.383201864839</v>
      </c>
      <c r="AP32" s="6" t="s">
        <v>98</v>
      </c>
      <c r="AQ32" s="6"/>
      <c r="AR32" s="6"/>
      <c r="AS32" s="30">
        <f t="shared" ref="AS32:AS46" si="29">25+8/60</f>
        <v>25.133333333333333</v>
      </c>
      <c r="AT32" s="30">
        <f t="shared" ref="AT32:AT46" si="30">83+1/60</f>
        <v>83.016666666666666</v>
      </c>
      <c r="AU32" s="27">
        <f>AV32-139</f>
        <v>43052</v>
      </c>
      <c r="AV32" s="27">
        <v>43191</v>
      </c>
      <c r="AW32" s="25">
        <f>AX32-126</f>
        <v>43065</v>
      </c>
      <c r="AX32" s="27">
        <v>43191</v>
      </c>
      <c r="AY32" s="28">
        <f t="shared" si="18"/>
        <v>-48</v>
      </c>
      <c r="AZ32" s="28">
        <f t="shared" si="19"/>
        <v>91</v>
      </c>
      <c r="BA32" s="37">
        <f t="shared" si="20"/>
        <v>140</v>
      </c>
      <c r="BB32" s="28">
        <f t="shared" si="21"/>
        <v>-35</v>
      </c>
      <c r="BC32" s="28">
        <f t="shared" si="22"/>
        <v>91</v>
      </c>
      <c r="BD32" s="26">
        <f t="shared" si="23"/>
        <v>127</v>
      </c>
      <c r="BE32" s="26"/>
      <c r="BF32" s="36">
        <f>AU32+80+5</f>
        <v>43137</v>
      </c>
      <c r="BG32" s="26">
        <f>AV32-BF32+1</f>
        <v>55</v>
      </c>
      <c r="BH32" s="26"/>
      <c r="BI32">
        <f t="shared" si="26"/>
        <v>72</v>
      </c>
      <c r="BJ32">
        <f t="shared" si="27"/>
        <v>54</v>
      </c>
    </row>
    <row r="33" spans="1:62" ht="15.6" x14ac:dyDescent="0.3">
      <c r="A33" s="6">
        <v>1</v>
      </c>
      <c r="B33" s="6"/>
      <c r="C33" s="6">
        <v>66</v>
      </c>
      <c r="D33" s="6" t="s">
        <v>99</v>
      </c>
      <c r="E33" s="13" t="s">
        <v>100</v>
      </c>
      <c r="F33" s="9" t="str">
        <f t="shared" si="0"/>
        <v>2019-35DB502015OTC</v>
      </c>
      <c r="G33" s="6" t="s">
        <v>101</v>
      </c>
      <c r="H33" s="6" t="s">
        <v>95</v>
      </c>
      <c r="I33" s="6" t="s">
        <v>95</v>
      </c>
      <c r="J33" s="6" t="s">
        <v>96</v>
      </c>
      <c r="K33" s="6" t="s">
        <v>102</v>
      </c>
      <c r="L33" s="6">
        <v>2015</v>
      </c>
      <c r="M33" s="6" t="s">
        <v>97</v>
      </c>
      <c r="N33" s="7" t="s">
        <v>51</v>
      </c>
      <c r="O33" s="6" t="s">
        <v>103</v>
      </c>
      <c r="P33" s="6"/>
      <c r="Q33" s="6">
        <v>8</v>
      </c>
      <c r="R33" s="6"/>
      <c r="S33" s="6">
        <v>8</v>
      </c>
      <c r="T33" s="6">
        <v>120</v>
      </c>
      <c r="U33" s="6">
        <v>9</v>
      </c>
      <c r="V33" s="6">
        <f t="shared" si="28"/>
        <v>6</v>
      </c>
      <c r="W33" s="6" t="s">
        <v>65</v>
      </c>
      <c r="X33" s="6"/>
      <c r="Y33" s="12">
        <v>386.93467336683398</v>
      </c>
      <c r="Z33" s="6" t="s">
        <v>80</v>
      </c>
      <c r="AA33" s="6"/>
      <c r="AB33" s="6"/>
      <c r="AC33" s="12"/>
      <c r="AD33" s="6"/>
      <c r="AE33" s="6"/>
      <c r="AF33" s="6"/>
      <c r="AG33" s="12"/>
      <c r="AH33" s="6"/>
      <c r="AI33" s="6"/>
      <c r="AJ33" s="6"/>
      <c r="AK33" s="12"/>
      <c r="AL33" s="6"/>
      <c r="AM33" s="6"/>
      <c r="AN33" s="6"/>
      <c r="AO33" s="12"/>
      <c r="AP33" s="6"/>
      <c r="AQ33" s="6"/>
      <c r="AR33" s="6"/>
      <c r="AS33" s="30">
        <f t="shared" si="29"/>
        <v>25.133333333333333</v>
      </c>
      <c r="AT33" s="30">
        <f t="shared" si="30"/>
        <v>83.016666666666666</v>
      </c>
      <c r="AU33" s="27">
        <f t="shared" ref="AU33:AU46" si="31">AV33-135</f>
        <v>41979</v>
      </c>
      <c r="AV33" s="27">
        <v>42114</v>
      </c>
      <c r="AW33" s="27">
        <f t="shared" ref="AW33:AW46" si="32">AX33-115</f>
        <v>41999</v>
      </c>
      <c r="AX33" s="27">
        <v>42114</v>
      </c>
      <c r="AY33" s="28">
        <f t="shared" si="18"/>
        <v>-25</v>
      </c>
      <c r="AZ33" s="28">
        <f t="shared" si="19"/>
        <v>110</v>
      </c>
      <c r="BA33" s="37">
        <f t="shared" si="20"/>
        <v>136</v>
      </c>
      <c r="BB33" s="28">
        <f t="shared" si="21"/>
        <v>-5</v>
      </c>
      <c r="BC33" s="28">
        <f t="shared" si="22"/>
        <v>110</v>
      </c>
      <c r="BD33" s="26">
        <f t="shared" si="23"/>
        <v>116</v>
      </c>
      <c r="BE33" s="26"/>
      <c r="BF33" s="26"/>
      <c r="BG33" s="26"/>
      <c r="BH33" s="26"/>
    </row>
    <row r="34" spans="1:62" ht="15.6" x14ac:dyDescent="0.3">
      <c r="A34" s="6">
        <v>1</v>
      </c>
      <c r="B34" s="6"/>
      <c r="C34" s="6">
        <v>66</v>
      </c>
      <c r="D34" s="6" t="s">
        <v>99</v>
      </c>
      <c r="E34" s="13" t="s">
        <v>100</v>
      </c>
      <c r="F34" s="9" t="str">
        <f t="shared" ref="F34:F65" si="33">D34&amp;K34&amp;L34&amp;M34</f>
        <v>2019-35DB772015OTC</v>
      </c>
      <c r="G34" s="6" t="s">
        <v>101</v>
      </c>
      <c r="H34" s="6" t="s">
        <v>95</v>
      </c>
      <c r="I34" s="6" t="s">
        <v>95</v>
      </c>
      <c r="J34" s="6" t="s">
        <v>96</v>
      </c>
      <c r="K34" s="6" t="s">
        <v>104</v>
      </c>
      <c r="L34" s="6">
        <v>2015</v>
      </c>
      <c r="M34" s="6" t="s">
        <v>97</v>
      </c>
      <c r="N34" s="7" t="s">
        <v>51</v>
      </c>
      <c r="O34" s="6" t="s">
        <v>103</v>
      </c>
      <c r="P34" s="6"/>
      <c r="Q34" s="6">
        <v>8</v>
      </c>
      <c r="R34" s="6"/>
      <c r="S34" s="6">
        <v>8</v>
      </c>
      <c r="T34" s="6">
        <v>120</v>
      </c>
      <c r="U34" s="6">
        <v>9</v>
      </c>
      <c r="V34" s="6">
        <f t="shared" si="28"/>
        <v>6</v>
      </c>
      <c r="W34" s="6" t="s">
        <v>65</v>
      </c>
      <c r="X34" s="6"/>
      <c r="Y34" s="12">
        <v>218.592964824121</v>
      </c>
      <c r="Z34" s="6" t="s">
        <v>80</v>
      </c>
      <c r="AA34" s="6"/>
      <c r="AB34" s="6"/>
      <c r="AC34" s="12"/>
      <c r="AD34" s="6"/>
      <c r="AE34" s="6"/>
      <c r="AF34" s="6"/>
      <c r="AG34" s="12"/>
      <c r="AH34" s="6"/>
      <c r="AI34" s="6"/>
      <c r="AJ34" s="6"/>
      <c r="AK34" s="12"/>
      <c r="AL34" s="6"/>
      <c r="AM34" s="6"/>
      <c r="AN34" s="6"/>
      <c r="AO34" s="12"/>
      <c r="AP34" s="6"/>
      <c r="AQ34" s="6"/>
      <c r="AR34" s="6"/>
      <c r="AS34" s="30">
        <f t="shared" si="29"/>
        <v>25.133333333333333</v>
      </c>
      <c r="AT34" s="30">
        <f t="shared" si="30"/>
        <v>83.016666666666666</v>
      </c>
      <c r="AU34" s="27">
        <f t="shared" si="31"/>
        <v>41979</v>
      </c>
      <c r="AV34" s="27">
        <v>42114</v>
      </c>
      <c r="AW34" s="27">
        <f t="shared" si="32"/>
        <v>41999</v>
      </c>
      <c r="AX34" s="27">
        <v>42114</v>
      </c>
      <c r="AY34" s="28">
        <f t="shared" si="18"/>
        <v>-25</v>
      </c>
      <c r="AZ34" s="28">
        <f t="shared" si="19"/>
        <v>110</v>
      </c>
      <c r="BA34" s="37">
        <f t="shared" si="20"/>
        <v>136</v>
      </c>
      <c r="BB34" s="28">
        <f t="shared" si="21"/>
        <v>-5</v>
      </c>
      <c r="BC34" s="28">
        <f t="shared" si="22"/>
        <v>110</v>
      </c>
      <c r="BD34" s="26">
        <f t="shared" si="23"/>
        <v>116</v>
      </c>
      <c r="BE34" s="26"/>
      <c r="BF34" s="26"/>
      <c r="BG34" s="26"/>
      <c r="BH34" s="26"/>
    </row>
    <row r="35" spans="1:62" ht="15.6" x14ac:dyDescent="0.3">
      <c r="A35" s="6">
        <v>1</v>
      </c>
      <c r="B35" s="6"/>
      <c r="C35" s="6">
        <v>66</v>
      </c>
      <c r="D35" s="6" t="s">
        <v>99</v>
      </c>
      <c r="E35" s="13" t="s">
        <v>100</v>
      </c>
      <c r="F35" s="9" t="str">
        <f t="shared" si="33"/>
        <v>2019-35HD262015OTC</v>
      </c>
      <c r="G35" s="6" t="s">
        <v>101</v>
      </c>
      <c r="H35" s="6" t="s">
        <v>95</v>
      </c>
      <c r="I35" s="6" t="s">
        <v>95</v>
      </c>
      <c r="J35" s="6" t="s">
        <v>96</v>
      </c>
      <c r="K35" s="6" t="s">
        <v>105</v>
      </c>
      <c r="L35" s="6">
        <v>2015</v>
      </c>
      <c r="M35" s="6" t="s">
        <v>97</v>
      </c>
      <c r="N35" s="7" t="s">
        <v>51</v>
      </c>
      <c r="O35" s="6" t="s">
        <v>103</v>
      </c>
      <c r="P35" s="6"/>
      <c r="Q35" s="6">
        <v>8</v>
      </c>
      <c r="R35" s="6"/>
      <c r="S35" s="6">
        <v>8</v>
      </c>
      <c r="T35" s="6">
        <v>120</v>
      </c>
      <c r="U35" s="6">
        <v>9</v>
      </c>
      <c r="V35" s="6">
        <f t="shared" si="28"/>
        <v>6</v>
      </c>
      <c r="W35" s="6" t="s">
        <v>65</v>
      </c>
      <c r="X35" s="6"/>
      <c r="Y35" s="12">
        <v>321.608040201005</v>
      </c>
      <c r="Z35" s="6" t="s">
        <v>80</v>
      </c>
      <c r="AA35" s="6"/>
      <c r="AB35" s="6"/>
      <c r="AC35" s="12"/>
      <c r="AD35" s="6"/>
      <c r="AE35" s="6"/>
      <c r="AF35" s="6"/>
      <c r="AG35" s="12"/>
      <c r="AH35" s="6"/>
      <c r="AI35" s="6"/>
      <c r="AJ35" s="6"/>
      <c r="AK35" s="12"/>
      <c r="AL35" s="6"/>
      <c r="AM35" s="6"/>
      <c r="AN35" s="6"/>
      <c r="AO35" s="12"/>
      <c r="AP35" s="6"/>
      <c r="AQ35" s="6"/>
      <c r="AR35" s="6"/>
      <c r="AS35" s="30">
        <f t="shared" si="29"/>
        <v>25.133333333333333</v>
      </c>
      <c r="AT35" s="30">
        <f t="shared" si="30"/>
        <v>83.016666666666666</v>
      </c>
      <c r="AU35" s="27">
        <f t="shared" si="31"/>
        <v>41979</v>
      </c>
      <c r="AV35" s="27">
        <v>42114</v>
      </c>
      <c r="AW35" s="27">
        <f t="shared" si="32"/>
        <v>41999</v>
      </c>
      <c r="AX35" s="27">
        <v>42114</v>
      </c>
      <c r="AY35" s="28">
        <f t="shared" si="18"/>
        <v>-25</v>
      </c>
      <c r="AZ35" s="28">
        <f t="shared" si="19"/>
        <v>110</v>
      </c>
      <c r="BA35" s="37">
        <f t="shared" si="20"/>
        <v>136</v>
      </c>
      <c r="BB35" s="28">
        <f t="shared" si="21"/>
        <v>-5</v>
      </c>
      <c r="BC35" s="28">
        <f t="shared" si="22"/>
        <v>110</v>
      </c>
      <c r="BD35" s="26">
        <f t="shared" si="23"/>
        <v>116</v>
      </c>
      <c r="BE35" s="26"/>
      <c r="BF35" s="26"/>
      <c r="BG35" s="26"/>
      <c r="BH35" s="26"/>
    </row>
    <row r="36" spans="1:62" ht="15.6" x14ac:dyDescent="0.3">
      <c r="A36" s="6">
        <v>1</v>
      </c>
      <c r="B36" s="6"/>
      <c r="C36" s="6">
        <v>66</v>
      </c>
      <c r="D36" s="6" t="s">
        <v>99</v>
      </c>
      <c r="E36" s="13" t="s">
        <v>100</v>
      </c>
      <c r="F36" s="9" t="str">
        <f t="shared" si="33"/>
        <v>2019-35HD282015OTC</v>
      </c>
      <c r="G36" s="6" t="s">
        <v>101</v>
      </c>
      <c r="H36" s="6" t="s">
        <v>95</v>
      </c>
      <c r="I36" s="6" t="s">
        <v>95</v>
      </c>
      <c r="J36" s="6" t="s">
        <v>96</v>
      </c>
      <c r="K36" s="6" t="s">
        <v>106</v>
      </c>
      <c r="L36" s="6">
        <v>2015</v>
      </c>
      <c r="M36" s="6" t="s">
        <v>97</v>
      </c>
      <c r="N36" s="7" t="s">
        <v>51</v>
      </c>
      <c r="O36" s="6" t="s">
        <v>103</v>
      </c>
      <c r="P36" s="6"/>
      <c r="Q36" s="6">
        <v>8</v>
      </c>
      <c r="R36" s="6"/>
      <c r="S36" s="6">
        <v>8</v>
      </c>
      <c r="T36" s="6">
        <v>120</v>
      </c>
      <c r="U36" s="6">
        <v>9</v>
      </c>
      <c r="V36" s="6">
        <f t="shared" si="28"/>
        <v>6</v>
      </c>
      <c r="W36" s="6" t="s">
        <v>65</v>
      </c>
      <c r="X36" s="6"/>
      <c r="Y36" s="12">
        <v>319.09547738693499</v>
      </c>
      <c r="Z36" s="6" t="s">
        <v>80</v>
      </c>
      <c r="AA36" s="6"/>
      <c r="AB36" s="6"/>
      <c r="AC36" s="12"/>
      <c r="AD36" s="6"/>
      <c r="AE36" s="6"/>
      <c r="AF36" s="6"/>
      <c r="AG36" s="12"/>
      <c r="AH36" s="6"/>
      <c r="AI36" s="6"/>
      <c r="AJ36" s="6"/>
      <c r="AK36" s="12"/>
      <c r="AL36" s="6"/>
      <c r="AM36" s="6"/>
      <c r="AN36" s="6"/>
      <c r="AO36" s="12"/>
      <c r="AP36" s="6"/>
      <c r="AQ36" s="6"/>
      <c r="AR36" s="6"/>
      <c r="AS36" s="30">
        <f t="shared" si="29"/>
        <v>25.133333333333333</v>
      </c>
      <c r="AT36" s="30">
        <f t="shared" si="30"/>
        <v>83.016666666666666</v>
      </c>
      <c r="AU36" s="27">
        <f t="shared" si="31"/>
        <v>41979</v>
      </c>
      <c r="AV36" s="27">
        <v>42114</v>
      </c>
      <c r="AW36" s="27">
        <f t="shared" si="32"/>
        <v>41999</v>
      </c>
      <c r="AX36" s="27">
        <v>42114</v>
      </c>
      <c r="AY36" s="28">
        <f t="shared" si="18"/>
        <v>-25</v>
      </c>
      <c r="AZ36" s="28">
        <f t="shared" si="19"/>
        <v>110</v>
      </c>
      <c r="BA36" s="37">
        <f t="shared" si="20"/>
        <v>136</v>
      </c>
      <c r="BB36" s="28">
        <f t="shared" si="21"/>
        <v>-5</v>
      </c>
      <c r="BC36" s="28">
        <f t="shared" si="22"/>
        <v>110</v>
      </c>
      <c r="BD36" s="26">
        <f t="shared" si="23"/>
        <v>116</v>
      </c>
      <c r="BE36" s="26"/>
      <c r="BF36" s="26"/>
      <c r="BG36" s="26"/>
      <c r="BH36" s="26"/>
    </row>
    <row r="37" spans="1:62" ht="15.6" x14ac:dyDescent="0.3">
      <c r="A37" s="6">
        <v>1</v>
      </c>
      <c r="B37" s="6"/>
      <c r="C37" s="6">
        <v>66</v>
      </c>
      <c r="D37" s="6" t="s">
        <v>99</v>
      </c>
      <c r="E37" s="13" t="s">
        <v>100</v>
      </c>
      <c r="F37" s="9" t="str">
        <f t="shared" si="33"/>
        <v>2019-35HD302015OTC</v>
      </c>
      <c r="G37" s="6" t="s">
        <v>101</v>
      </c>
      <c r="H37" s="6" t="s">
        <v>95</v>
      </c>
      <c r="I37" s="6" t="s">
        <v>95</v>
      </c>
      <c r="J37" s="6" t="s">
        <v>96</v>
      </c>
      <c r="K37" s="6" t="s">
        <v>107</v>
      </c>
      <c r="L37" s="6">
        <v>2015</v>
      </c>
      <c r="M37" s="6" t="s">
        <v>97</v>
      </c>
      <c r="N37" s="7" t="s">
        <v>51</v>
      </c>
      <c r="O37" s="6" t="s">
        <v>103</v>
      </c>
      <c r="P37" s="6"/>
      <c r="Q37" s="6">
        <v>8</v>
      </c>
      <c r="R37" s="6"/>
      <c r="S37" s="6">
        <v>8</v>
      </c>
      <c r="T37" s="6">
        <v>120</v>
      </c>
      <c r="U37" s="6">
        <v>9</v>
      </c>
      <c r="V37" s="6">
        <f t="shared" si="28"/>
        <v>6</v>
      </c>
      <c r="W37" s="6" t="s">
        <v>65</v>
      </c>
      <c r="X37" s="6"/>
      <c r="Y37" s="12">
        <v>366.83417085427101</v>
      </c>
      <c r="Z37" s="6" t="s">
        <v>80</v>
      </c>
      <c r="AA37" s="6"/>
      <c r="AB37" s="6"/>
      <c r="AC37" s="12"/>
      <c r="AD37" s="6"/>
      <c r="AE37" s="6"/>
      <c r="AF37" s="6"/>
      <c r="AG37" s="12"/>
      <c r="AH37" s="6"/>
      <c r="AI37" s="6"/>
      <c r="AJ37" s="6"/>
      <c r="AK37" s="12"/>
      <c r="AL37" s="6"/>
      <c r="AM37" s="6"/>
      <c r="AN37" s="6"/>
      <c r="AO37" s="12"/>
      <c r="AP37" s="6"/>
      <c r="AQ37" s="6"/>
      <c r="AR37" s="6"/>
      <c r="AS37" s="30">
        <f t="shared" si="29"/>
        <v>25.133333333333333</v>
      </c>
      <c r="AT37" s="30">
        <f t="shared" si="30"/>
        <v>83.016666666666666</v>
      </c>
      <c r="AU37" s="27">
        <f t="shared" si="31"/>
        <v>41979</v>
      </c>
      <c r="AV37" s="27">
        <v>42114</v>
      </c>
      <c r="AW37" s="27">
        <f t="shared" si="32"/>
        <v>41999</v>
      </c>
      <c r="AX37" s="27">
        <v>42114</v>
      </c>
      <c r="AY37" s="28">
        <f t="shared" si="18"/>
        <v>-25</v>
      </c>
      <c r="AZ37" s="28">
        <f t="shared" si="19"/>
        <v>110</v>
      </c>
      <c r="BA37" s="37">
        <f t="shared" si="20"/>
        <v>136</v>
      </c>
      <c r="BB37" s="28">
        <f t="shared" si="21"/>
        <v>-5</v>
      </c>
      <c r="BC37" s="28">
        <f t="shared" si="22"/>
        <v>110</v>
      </c>
      <c r="BD37" s="26">
        <f t="shared" si="23"/>
        <v>116</v>
      </c>
      <c r="BE37" s="26"/>
      <c r="BF37" s="26"/>
      <c r="BG37" s="26"/>
      <c r="BH37" s="26"/>
    </row>
    <row r="38" spans="1:62" ht="15.6" x14ac:dyDescent="0.3">
      <c r="A38" s="6">
        <v>1</v>
      </c>
      <c r="B38" s="6"/>
      <c r="C38" s="6">
        <v>66</v>
      </c>
      <c r="D38" s="6" t="s">
        <v>99</v>
      </c>
      <c r="E38" s="13" t="s">
        <v>100</v>
      </c>
      <c r="F38" s="9" t="str">
        <f t="shared" si="33"/>
        <v>2019-35HU122015OTC</v>
      </c>
      <c r="G38" s="6" t="s">
        <v>101</v>
      </c>
      <c r="H38" s="6" t="s">
        <v>95</v>
      </c>
      <c r="I38" s="6" t="s">
        <v>95</v>
      </c>
      <c r="J38" s="6" t="s">
        <v>96</v>
      </c>
      <c r="K38" s="6" t="s">
        <v>108</v>
      </c>
      <c r="L38" s="6">
        <v>2015</v>
      </c>
      <c r="M38" s="6" t="s">
        <v>97</v>
      </c>
      <c r="N38" s="7" t="s">
        <v>51</v>
      </c>
      <c r="O38" s="6" t="s">
        <v>103</v>
      </c>
      <c r="P38" s="6"/>
      <c r="Q38" s="6">
        <v>8</v>
      </c>
      <c r="R38" s="6"/>
      <c r="S38" s="6">
        <v>8</v>
      </c>
      <c r="T38" s="6">
        <v>120</v>
      </c>
      <c r="U38" s="6">
        <v>9</v>
      </c>
      <c r="V38" s="6">
        <f t="shared" si="28"/>
        <v>6</v>
      </c>
      <c r="W38" s="6" t="s">
        <v>65</v>
      </c>
      <c r="X38" s="6"/>
      <c r="Y38" s="12">
        <v>270.93596059113298</v>
      </c>
      <c r="Z38" s="6" t="s">
        <v>80</v>
      </c>
      <c r="AA38" s="6"/>
      <c r="AB38" s="6"/>
      <c r="AC38" s="12"/>
      <c r="AD38" s="6"/>
      <c r="AE38" s="6"/>
      <c r="AF38" s="6"/>
      <c r="AG38" s="12"/>
      <c r="AH38" s="6"/>
      <c r="AI38" s="6"/>
      <c r="AJ38" s="6"/>
      <c r="AK38" s="12"/>
      <c r="AL38" s="6"/>
      <c r="AM38" s="6"/>
      <c r="AN38" s="6"/>
      <c r="AO38" s="12"/>
      <c r="AP38" s="6"/>
      <c r="AQ38" s="6"/>
      <c r="AR38" s="6"/>
      <c r="AS38" s="30">
        <f t="shared" si="29"/>
        <v>25.133333333333333</v>
      </c>
      <c r="AT38" s="30">
        <f t="shared" si="30"/>
        <v>83.016666666666666</v>
      </c>
      <c r="AU38" s="27">
        <f t="shared" si="31"/>
        <v>41979</v>
      </c>
      <c r="AV38" s="27">
        <v>42114</v>
      </c>
      <c r="AW38" s="27">
        <f t="shared" si="32"/>
        <v>41999</v>
      </c>
      <c r="AX38" s="27">
        <v>42114</v>
      </c>
      <c r="AY38" s="28">
        <f t="shared" si="18"/>
        <v>-25</v>
      </c>
      <c r="AZ38" s="28">
        <f t="shared" si="19"/>
        <v>110</v>
      </c>
      <c r="BA38" s="37">
        <f t="shared" si="20"/>
        <v>136</v>
      </c>
      <c r="BB38" s="28">
        <f t="shared" si="21"/>
        <v>-5</v>
      </c>
      <c r="BC38" s="28">
        <f t="shared" si="22"/>
        <v>110</v>
      </c>
      <c r="BD38" s="26">
        <f t="shared" si="23"/>
        <v>116</v>
      </c>
      <c r="BE38" s="26"/>
      <c r="BF38" s="26"/>
      <c r="BG38" s="26"/>
      <c r="BH38" s="26"/>
    </row>
    <row r="39" spans="1:62" ht="15.6" x14ac:dyDescent="0.3">
      <c r="A39" s="6">
        <v>1</v>
      </c>
      <c r="B39" s="6"/>
      <c r="C39" s="6">
        <v>66</v>
      </c>
      <c r="D39" s="6" t="s">
        <v>99</v>
      </c>
      <c r="E39" s="13" t="s">
        <v>100</v>
      </c>
      <c r="F39" s="9" t="str">
        <f t="shared" si="33"/>
        <v>2019-35HU212015OTC</v>
      </c>
      <c r="G39" s="6" t="s">
        <v>101</v>
      </c>
      <c r="H39" s="6" t="s">
        <v>95</v>
      </c>
      <c r="I39" s="6" t="s">
        <v>95</v>
      </c>
      <c r="J39" s="6" t="s">
        <v>96</v>
      </c>
      <c r="K39" s="6" t="s">
        <v>109</v>
      </c>
      <c r="L39" s="6">
        <v>2015</v>
      </c>
      <c r="M39" s="6" t="s">
        <v>97</v>
      </c>
      <c r="N39" s="7" t="s">
        <v>51</v>
      </c>
      <c r="O39" s="6" t="s">
        <v>103</v>
      </c>
      <c r="P39" s="6"/>
      <c r="Q39" s="6">
        <v>8</v>
      </c>
      <c r="R39" s="6"/>
      <c r="S39" s="6">
        <v>8</v>
      </c>
      <c r="T39" s="6">
        <v>120</v>
      </c>
      <c r="U39" s="6">
        <v>9</v>
      </c>
      <c r="V39" s="6">
        <f t="shared" si="28"/>
        <v>6</v>
      </c>
      <c r="W39" s="6" t="s">
        <v>65</v>
      </c>
      <c r="X39" s="6"/>
      <c r="Y39" s="12">
        <v>320.19704433497498</v>
      </c>
      <c r="Z39" s="6" t="s">
        <v>80</v>
      </c>
      <c r="AA39" s="6"/>
      <c r="AB39" s="6"/>
      <c r="AC39" s="12"/>
      <c r="AD39" s="6"/>
      <c r="AE39" s="6"/>
      <c r="AF39" s="6"/>
      <c r="AG39" s="12"/>
      <c r="AH39" s="6"/>
      <c r="AI39" s="6"/>
      <c r="AJ39" s="6"/>
      <c r="AK39" s="12"/>
      <c r="AL39" s="6"/>
      <c r="AM39" s="6"/>
      <c r="AN39" s="6"/>
      <c r="AO39" s="12"/>
      <c r="AP39" s="6"/>
      <c r="AQ39" s="6"/>
      <c r="AR39" s="6"/>
      <c r="AS39" s="30">
        <f t="shared" si="29"/>
        <v>25.133333333333333</v>
      </c>
      <c r="AT39" s="30">
        <f t="shared" si="30"/>
        <v>83.016666666666666</v>
      </c>
      <c r="AU39" s="27">
        <f t="shared" si="31"/>
        <v>41979</v>
      </c>
      <c r="AV39" s="27">
        <v>42114</v>
      </c>
      <c r="AW39" s="27">
        <f t="shared" si="32"/>
        <v>41999</v>
      </c>
      <c r="AX39" s="27">
        <v>42114</v>
      </c>
      <c r="AY39" s="28">
        <f t="shared" si="18"/>
        <v>-25</v>
      </c>
      <c r="AZ39" s="28">
        <f t="shared" si="19"/>
        <v>110</v>
      </c>
      <c r="BA39" s="37">
        <f t="shared" si="20"/>
        <v>136</v>
      </c>
      <c r="BB39" s="28">
        <f t="shared" si="21"/>
        <v>-5</v>
      </c>
      <c r="BC39" s="28">
        <f t="shared" si="22"/>
        <v>110</v>
      </c>
      <c r="BD39" s="26">
        <f t="shared" si="23"/>
        <v>116</v>
      </c>
      <c r="BE39" s="26"/>
      <c r="BF39" s="26"/>
      <c r="BG39" s="26"/>
      <c r="BH39" s="26"/>
    </row>
    <row r="40" spans="1:62" ht="15.6" x14ac:dyDescent="0.3">
      <c r="A40" s="6">
        <v>1</v>
      </c>
      <c r="B40" s="6"/>
      <c r="C40" s="6">
        <v>66</v>
      </c>
      <c r="D40" s="6" t="s">
        <v>99</v>
      </c>
      <c r="E40" s="13" t="s">
        <v>100</v>
      </c>
      <c r="F40" s="9" t="str">
        <f t="shared" si="33"/>
        <v>2019-35HU252015OTC</v>
      </c>
      <c r="G40" s="6" t="s">
        <v>101</v>
      </c>
      <c r="H40" s="6" t="s">
        <v>95</v>
      </c>
      <c r="I40" s="6" t="s">
        <v>95</v>
      </c>
      <c r="J40" s="6" t="s">
        <v>96</v>
      </c>
      <c r="K40" s="6" t="s">
        <v>110</v>
      </c>
      <c r="L40" s="6">
        <v>2015</v>
      </c>
      <c r="M40" s="6" t="s">
        <v>97</v>
      </c>
      <c r="N40" s="7" t="s">
        <v>51</v>
      </c>
      <c r="O40" s="6" t="s">
        <v>103</v>
      </c>
      <c r="P40" s="6"/>
      <c r="Q40" s="6">
        <v>8</v>
      </c>
      <c r="R40" s="6"/>
      <c r="S40" s="6">
        <v>8</v>
      </c>
      <c r="T40" s="6">
        <v>120</v>
      </c>
      <c r="U40" s="6">
        <v>9</v>
      </c>
      <c r="V40" s="6">
        <f t="shared" si="28"/>
        <v>6</v>
      </c>
      <c r="W40" s="6" t="s">
        <v>65</v>
      </c>
      <c r="X40" s="6"/>
      <c r="Y40" s="12">
        <v>310.34482758620697</v>
      </c>
      <c r="Z40" s="6" t="s">
        <v>80</v>
      </c>
      <c r="AA40" s="6"/>
      <c r="AB40" s="6"/>
      <c r="AC40" s="12"/>
      <c r="AD40" s="6"/>
      <c r="AE40" s="6"/>
      <c r="AF40" s="6"/>
      <c r="AG40" s="12"/>
      <c r="AH40" s="6"/>
      <c r="AI40" s="6"/>
      <c r="AJ40" s="6"/>
      <c r="AK40" s="12"/>
      <c r="AL40" s="6"/>
      <c r="AM40" s="6"/>
      <c r="AN40" s="6"/>
      <c r="AO40" s="12"/>
      <c r="AP40" s="6"/>
      <c r="AQ40" s="6"/>
      <c r="AR40" s="6"/>
      <c r="AS40" s="30">
        <f t="shared" si="29"/>
        <v>25.133333333333333</v>
      </c>
      <c r="AT40" s="30">
        <f t="shared" si="30"/>
        <v>83.016666666666666</v>
      </c>
      <c r="AU40" s="27">
        <f t="shared" si="31"/>
        <v>41979</v>
      </c>
      <c r="AV40" s="27">
        <v>42114</v>
      </c>
      <c r="AW40" s="27">
        <f t="shared" si="32"/>
        <v>41999</v>
      </c>
      <c r="AX40" s="27">
        <v>42114</v>
      </c>
      <c r="AY40" s="28">
        <f t="shared" si="18"/>
        <v>-25</v>
      </c>
      <c r="AZ40" s="28">
        <f t="shared" si="19"/>
        <v>110</v>
      </c>
      <c r="BA40" s="37">
        <f t="shared" si="20"/>
        <v>136</v>
      </c>
      <c r="BB40" s="28">
        <f t="shared" si="21"/>
        <v>-5</v>
      </c>
      <c r="BC40" s="28">
        <f t="shared" si="22"/>
        <v>110</v>
      </c>
      <c r="BD40" s="26">
        <f t="shared" si="23"/>
        <v>116</v>
      </c>
      <c r="BE40" s="26"/>
      <c r="BF40" s="26"/>
      <c r="BG40" s="26"/>
      <c r="BH40" s="26"/>
    </row>
    <row r="41" spans="1:62" ht="15.6" x14ac:dyDescent="0.3">
      <c r="A41" s="6">
        <v>1</v>
      </c>
      <c r="B41" s="6"/>
      <c r="C41" s="6">
        <v>66</v>
      </c>
      <c r="D41" s="6" t="s">
        <v>99</v>
      </c>
      <c r="E41" s="13" t="s">
        <v>100</v>
      </c>
      <c r="F41" s="9" t="str">
        <f t="shared" si="33"/>
        <v>2019-35HU552015OTC</v>
      </c>
      <c r="G41" s="6" t="s">
        <v>101</v>
      </c>
      <c r="H41" s="6" t="s">
        <v>95</v>
      </c>
      <c r="I41" s="6" t="s">
        <v>95</v>
      </c>
      <c r="J41" s="6" t="s">
        <v>96</v>
      </c>
      <c r="K41" s="6" t="s">
        <v>111</v>
      </c>
      <c r="L41" s="6">
        <v>2015</v>
      </c>
      <c r="M41" s="6" t="s">
        <v>97</v>
      </c>
      <c r="N41" s="7" t="s">
        <v>51</v>
      </c>
      <c r="O41" s="6" t="s">
        <v>103</v>
      </c>
      <c r="P41" s="6"/>
      <c r="Q41" s="6">
        <v>8</v>
      </c>
      <c r="R41" s="6"/>
      <c r="S41" s="6">
        <v>8</v>
      </c>
      <c r="T41" s="6">
        <v>120</v>
      </c>
      <c r="U41" s="6">
        <v>9</v>
      </c>
      <c r="V41" s="6">
        <f t="shared" si="28"/>
        <v>6</v>
      </c>
      <c r="W41" s="6" t="s">
        <v>65</v>
      </c>
      <c r="X41" s="6"/>
      <c r="Y41" s="12">
        <v>347.290640394089</v>
      </c>
      <c r="Z41" s="6" t="s">
        <v>80</v>
      </c>
      <c r="AA41" s="6"/>
      <c r="AB41" s="6"/>
      <c r="AC41" s="12"/>
      <c r="AD41" s="6"/>
      <c r="AE41" s="6"/>
      <c r="AF41" s="6"/>
      <c r="AG41" s="12"/>
      <c r="AH41" s="6"/>
      <c r="AI41" s="6"/>
      <c r="AJ41" s="6"/>
      <c r="AK41" s="12"/>
      <c r="AL41" s="6"/>
      <c r="AM41" s="6"/>
      <c r="AN41" s="6"/>
      <c r="AO41" s="12"/>
      <c r="AP41" s="6"/>
      <c r="AQ41" s="6"/>
      <c r="AR41" s="6"/>
      <c r="AS41" s="30">
        <f t="shared" si="29"/>
        <v>25.133333333333333</v>
      </c>
      <c r="AT41" s="30">
        <f t="shared" si="30"/>
        <v>83.016666666666666</v>
      </c>
      <c r="AU41" s="27">
        <f t="shared" si="31"/>
        <v>41979</v>
      </c>
      <c r="AV41" s="27">
        <v>42114</v>
      </c>
      <c r="AW41" s="27">
        <f t="shared" si="32"/>
        <v>41999</v>
      </c>
      <c r="AX41" s="27">
        <v>42114</v>
      </c>
      <c r="AY41" s="28">
        <f t="shared" si="18"/>
        <v>-25</v>
      </c>
      <c r="AZ41" s="28">
        <f t="shared" si="19"/>
        <v>110</v>
      </c>
      <c r="BA41" s="37">
        <f t="shared" si="20"/>
        <v>136</v>
      </c>
      <c r="BB41" s="28">
        <f t="shared" si="21"/>
        <v>-5</v>
      </c>
      <c r="BC41" s="28">
        <f t="shared" si="22"/>
        <v>110</v>
      </c>
      <c r="BD41" s="26">
        <f t="shared" si="23"/>
        <v>116</v>
      </c>
      <c r="BE41" s="26"/>
      <c r="BF41" s="26"/>
      <c r="BG41" s="26"/>
      <c r="BH41" s="26"/>
    </row>
    <row r="42" spans="1:62" ht="15.6" x14ac:dyDescent="0.3">
      <c r="A42" s="6">
        <v>1</v>
      </c>
      <c r="B42" s="6"/>
      <c r="C42" s="6">
        <v>66</v>
      </c>
      <c r="D42" s="6" t="s">
        <v>99</v>
      </c>
      <c r="E42" s="13" t="s">
        <v>100</v>
      </c>
      <c r="F42" s="9" t="str">
        <f t="shared" si="33"/>
        <v>2019-35KH652015OTC</v>
      </c>
      <c r="G42" s="6" t="s">
        <v>101</v>
      </c>
      <c r="H42" s="6" t="s">
        <v>95</v>
      </c>
      <c r="I42" s="6" t="s">
        <v>95</v>
      </c>
      <c r="J42" s="6" t="s">
        <v>96</v>
      </c>
      <c r="K42" s="6" t="s">
        <v>112</v>
      </c>
      <c r="L42" s="6">
        <v>2015</v>
      </c>
      <c r="M42" s="6" t="s">
        <v>97</v>
      </c>
      <c r="N42" s="7" t="s">
        <v>51</v>
      </c>
      <c r="O42" s="6" t="s">
        <v>103</v>
      </c>
      <c r="P42" s="6"/>
      <c r="Q42" s="6">
        <v>8</v>
      </c>
      <c r="R42" s="6"/>
      <c r="S42" s="6">
        <v>8</v>
      </c>
      <c r="T42" s="6">
        <v>120</v>
      </c>
      <c r="U42" s="6">
        <v>9</v>
      </c>
      <c r="V42" s="6">
        <f t="shared" si="28"/>
        <v>6</v>
      </c>
      <c r="W42" s="6" t="s">
        <v>65</v>
      </c>
      <c r="X42" s="6"/>
      <c r="Y42" s="12">
        <v>500</v>
      </c>
      <c r="Z42" s="6" t="s">
        <v>80</v>
      </c>
      <c r="AA42" s="6"/>
      <c r="AB42" s="6"/>
      <c r="AC42" s="12"/>
      <c r="AD42" s="6"/>
      <c r="AE42" s="6"/>
      <c r="AF42" s="6"/>
      <c r="AG42" s="12"/>
      <c r="AH42" s="6"/>
      <c r="AI42" s="6"/>
      <c r="AJ42" s="6"/>
      <c r="AK42" s="12"/>
      <c r="AL42" s="6"/>
      <c r="AM42" s="6"/>
      <c r="AN42" s="6"/>
      <c r="AO42" s="12"/>
      <c r="AP42" s="6"/>
      <c r="AQ42" s="6"/>
      <c r="AR42" s="6"/>
      <c r="AS42" s="30">
        <f t="shared" si="29"/>
        <v>25.133333333333333</v>
      </c>
      <c r="AT42" s="30">
        <f t="shared" si="30"/>
        <v>83.016666666666666</v>
      </c>
      <c r="AU42" s="27">
        <f t="shared" si="31"/>
        <v>41979</v>
      </c>
      <c r="AV42" s="27">
        <v>42114</v>
      </c>
      <c r="AW42" s="27">
        <f t="shared" si="32"/>
        <v>41999</v>
      </c>
      <c r="AX42" s="27">
        <v>42114</v>
      </c>
      <c r="AY42" s="28">
        <f t="shared" si="18"/>
        <v>-25</v>
      </c>
      <c r="AZ42" s="28">
        <f t="shared" si="19"/>
        <v>110</v>
      </c>
      <c r="BA42" s="37">
        <f t="shared" si="20"/>
        <v>136</v>
      </c>
      <c r="BB42" s="28">
        <f t="shared" si="21"/>
        <v>-5</v>
      </c>
      <c r="BC42" s="28">
        <f t="shared" si="22"/>
        <v>110</v>
      </c>
      <c r="BD42" s="26">
        <f t="shared" si="23"/>
        <v>116</v>
      </c>
      <c r="BE42" s="26"/>
      <c r="BF42" s="26"/>
      <c r="BG42" s="26"/>
      <c r="BH42" s="26"/>
    </row>
    <row r="43" spans="1:62" ht="15.6" x14ac:dyDescent="0.3">
      <c r="A43" s="6">
        <v>1</v>
      </c>
      <c r="B43" s="6"/>
      <c r="C43" s="6">
        <v>66</v>
      </c>
      <c r="D43" s="6" t="s">
        <v>99</v>
      </c>
      <c r="E43" s="13" t="s">
        <v>100</v>
      </c>
      <c r="F43" s="9" t="str">
        <f t="shared" si="33"/>
        <v>2019-35KUND2015OTC</v>
      </c>
      <c r="G43" s="6" t="s">
        <v>101</v>
      </c>
      <c r="H43" s="6" t="s">
        <v>95</v>
      </c>
      <c r="I43" s="6" t="s">
        <v>95</v>
      </c>
      <c r="J43" s="6" t="s">
        <v>96</v>
      </c>
      <c r="K43" s="6" t="s">
        <v>113</v>
      </c>
      <c r="L43" s="6">
        <v>2015</v>
      </c>
      <c r="M43" s="6" t="s">
        <v>97</v>
      </c>
      <c r="N43" s="7" t="s">
        <v>51</v>
      </c>
      <c r="O43" s="6" t="s">
        <v>103</v>
      </c>
      <c r="P43" s="6"/>
      <c r="Q43" s="6">
        <v>8</v>
      </c>
      <c r="R43" s="6"/>
      <c r="S43" s="6">
        <v>8</v>
      </c>
      <c r="T43" s="6">
        <v>120</v>
      </c>
      <c r="U43" s="6">
        <v>9</v>
      </c>
      <c r="V43" s="6">
        <f t="shared" si="28"/>
        <v>6</v>
      </c>
      <c r="W43" s="6" t="s">
        <v>65</v>
      </c>
      <c r="X43" s="6"/>
      <c r="Y43" s="12">
        <v>280.78817733990098</v>
      </c>
      <c r="Z43" s="6" t="s">
        <v>80</v>
      </c>
      <c r="AA43" s="6"/>
      <c r="AB43" s="6"/>
      <c r="AC43" s="12"/>
      <c r="AD43" s="6"/>
      <c r="AE43" s="6"/>
      <c r="AF43" s="6"/>
      <c r="AG43" s="12"/>
      <c r="AH43" s="6"/>
      <c r="AI43" s="6"/>
      <c r="AJ43" s="6"/>
      <c r="AK43" s="12"/>
      <c r="AL43" s="6"/>
      <c r="AM43" s="6"/>
      <c r="AN43" s="6"/>
      <c r="AO43" s="12"/>
      <c r="AP43" s="6"/>
      <c r="AQ43" s="6"/>
      <c r="AR43" s="6"/>
      <c r="AS43" s="30">
        <f t="shared" si="29"/>
        <v>25.133333333333333</v>
      </c>
      <c r="AT43" s="30">
        <f t="shared" si="30"/>
        <v>83.016666666666666</v>
      </c>
      <c r="AU43" s="27">
        <f t="shared" si="31"/>
        <v>41979</v>
      </c>
      <c r="AV43" s="27">
        <v>42114</v>
      </c>
      <c r="AW43" s="27">
        <f t="shared" si="32"/>
        <v>41999</v>
      </c>
      <c r="AX43" s="27">
        <v>42114</v>
      </c>
      <c r="AY43" s="28">
        <f t="shared" si="18"/>
        <v>-25</v>
      </c>
      <c r="AZ43" s="28">
        <f t="shared" si="19"/>
        <v>110</v>
      </c>
      <c r="BA43" s="37">
        <f t="shared" si="20"/>
        <v>136</v>
      </c>
      <c r="BB43" s="28">
        <f t="shared" si="21"/>
        <v>-5</v>
      </c>
      <c r="BC43" s="28">
        <f t="shared" si="22"/>
        <v>110</v>
      </c>
      <c r="BD43" s="26">
        <f t="shared" si="23"/>
        <v>116</v>
      </c>
      <c r="BE43" s="26"/>
      <c r="BF43" s="26"/>
      <c r="BG43" s="26"/>
      <c r="BH43" s="26"/>
    </row>
    <row r="44" spans="1:62" ht="15.6" x14ac:dyDescent="0.3">
      <c r="A44" s="6">
        <v>1</v>
      </c>
      <c r="B44" s="6"/>
      <c r="C44" s="6">
        <v>66</v>
      </c>
      <c r="D44" s="6" t="s">
        <v>99</v>
      </c>
      <c r="E44" s="13" t="s">
        <v>100</v>
      </c>
      <c r="F44" s="9" t="str">
        <f t="shared" si="33"/>
        <v>2019-35NI342015OTC</v>
      </c>
      <c r="G44" s="6" t="s">
        <v>101</v>
      </c>
      <c r="H44" s="6" t="s">
        <v>95</v>
      </c>
      <c r="I44" s="6" t="s">
        <v>95</v>
      </c>
      <c r="J44" s="6" t="s">
        <v>96</v>
      </c>
      <c r="K44" s="6" t="s">
        <v>114</v>
      </c>
      <c r="L44" s="6">
        <v>2015</v>
      </c>
      <c r="M44" s="6" t="s">
        <v>97</v>
      </c>
      <c r="N44" s="7" t="s">
        <v>51</v>
      </c>
      <c r="O44" s="6" t="s">
        <v>103</v>
      </c>
      <c r="P44" s="6"/>
      <c r="Q44" s="6">
        <v>8</v>
      </c>
      <c r="R44" s="6"/>
      <c r="S44" s="6">
        <v>8</v>
      </c>
      <c r="T44" s="6">
        <v>120</v>
      </c>
      <c r="U44" s="6">
        <v>9</v>
      </c>
      <c r="V44" s="6">
        <f t="shared" si="28"/>
        <v>6</v>
      </c>
      <c r="W44" s="6" t="s">
        <v>65</v>
      </c>
      <c r="X44" s="6"/>
      <c r="Y44" s="12">
        <v>258.79396984924603</v>
      </c>
      <c r="Z44" s="6" t="s">
        <v>80</v>
      </c>
      <c r="AA44" s="6"/>
      <c r="AB44" s="6"/>
      <c r="AC44" s="12"/>
      <c r="AD44" s="6"/>
      <c r="AE44" s="6"/>
      <c r="AF44" s="6"/>
      <c r="AG44" s="12"/>
      <c r="AH44" s="6"/>
      <c r="AI44" s="6"/>
      <c r="AJ44" s="6"/>
      <c r="AK44" s="12"/>
      <c r="AL44" s="6"/>
      <c r="AM44" s="6"/>
      <c r="AN44" s="6"/>
      <c r="AO44" s="12"/>
      <c r="AP44" s="6"/>
      <c r="AQ44" s="6"/>
      <c r="AR44" s="6"/>
      <c r="AS44" s="30">
        <f t="shared" si="29"/>
        <v>25.133333333333333</v>
      </c>
      <c r="AT44" s="30">
        <f t="shared" si="30"/>
        <v>83.016666666666666</v>
      </c>
      <c r="AU44" s="27">
        <f t="shared" si="31"/>
        <v>41979</v>
      </c>
      <c r="AV44" s="27">
        <v>42114</v>
      </c>
      <c r="AW44" s="27">
        <f t="shared" si="32"/>
        <v>41999</v>
      </c>
      <c r="AX44" s="27">
        <v>42114</v>
      </c>
      <c r="AY44" s="28">
        <f t="shared" si="18"/>
        <v>-25</v>
      </c>
      <c r="AZ44" s="28">
        <f t="shared" si="19"/>
        <v>110</v>
      </c>
      <c r="BA44" s="37">
        <f t="shared" si="20"/>
        <v>136</v>
      </c>
      <c r="BB44" s="28">
        <f t="shared" si="21"/>
        <v>-5</v>
      </c>
      <c r="BC44" s="28">
        <f t="shared" si="22"/>
        <v>110</v>
      </c>
      <c r="BD44" s="26">
        <f t="shared" si="23"/>
        <v>116</v>
      </c>
      <c r="BE44" s="26"/>
      <c r="BF44" s="26"/>
      <c r="BG44" s="26"/>
      <c r="BH44" s="26"/>
    </row>
    <row r="45" spans="1:62" ht="15.6" x14ac:dyDescent="0.3">
      <c r="A45" s="6">
        <v>1</v>
      </c>
      <c r="B45" s="6"/>
      <c r="C45" s="6">
        <v>66</v>
      </c>
      <c r="D45" s="6" t="s">
        <v>99</v>
      </c>
      <c r="E45" s="13" t="s">
        <v>100</v>
      </c>
      <c r="F45" s="9" t="str">
        <f t="shared" si="33"/>
        <v>2019-35P5022015OTC</v>
      </c>
      <c r="G45" s="6" t="s">
        <v>101</v>
      </c>
      <c r="H45" s="6" t="s">
        <v>95</v>
      </c>
      <c r="I45" s="6" t="s">
        <v>95</v>
      </c>
      <c r="J45" s="6" t="s">
        <v>96</v>
      </c>
      <c r="K45" s="6" t="s">
        <v>115</v>
      </c>
      <c r="L45" s="6">
        <v>2015</v>
      </c>
      <c r="M45" s="6" t="s">
        <v>97</v>
      </c>
      <c r="N45" s="7" t="s">
        <v>51</v>
      </c>
      <c r="O45" s="6" t="s">
        <v>103</v>
      </c>
      <c r="P45" s="6"/>
      <c r="Q45" s="6">
        <v>8</v>
      </c>
      <c r="R45" s="6"/>
      <c r="S45" s="6">
        <v>8</v>
      </c>
      <c r="T45" s="6">
        <v>120</v>
      </c>
      <c r="U45" s="6">
        <v>9</v>
      </c>
      <c r="V45" s="6">
        <f t="shared" si="28"/>
        <v>6</v>
      </c>
      <c r="W45" s="6" t="s">
        <v>65</v>
      </c>
      <c r="X45" s="6"/>
      <c r="Y45" s="12">
        <v>329.14572864321599</v>
      </c>
      <c r="Z45" s="6" t="s">
        <v>80</v>
      </c>
      <c r="AA45" s="6"/>
      <c r="AB45" s="6"/>
      <c r="AC45" s="12"/>
      <c r="AD45" s="6"/>
      <c r="AE45" s="6"/>
      <c r="AF45" s="6"/>
      <c r="AG45" s="12"/>
      <c r="AH45" s="6"/>
      <c r="AI45" s="6"/>
      <c r="AJ45" s="6"/>
      <c r="AK45" s="12"/>
      <c r="AL45" s="6"/>
      <c r="AM45" s="6"/>
      <c r="AN45" s="6"/>
      <c r="AO45" s="12"/>
      <c r="AP45" s="6"/>
      <c r="AQ45" s="6"/>
      <c r="AR45" s="6"/>
      <c r="AS45" s="30">
        <f t="shared" si="29"/>
        <v>25.133333333333333</v>
      </c>
      <c r="AT45" s="30">
        <f t="shared" si="30"/>
        <v>83.016666666666666</v>
      </c>
      <c r="AU45" s="27">
        <f t="shared" si="31"/>
        <v>41979</v>
      </c>
      <c r="AV45" s="27">
        <v>42114</v>
      </c>
      <c r="AW45" s="27">
        <f t="shared" si="32"/>
        <v>41999</v>
      </c>
      <c r="AX45" s="27">
        <v>42114</v>
      </c>
      <c r="AY45" s="28">
        <f t="shared" si="18"/>
        <v>-25</v>
      </c>
      <c r="AZ45" s="28">
        <f t="shared" si="19"/>
        <v>110</v>
      </c>
      <c r="BA45" s="37">
        <f t="shared" si="20"/>
        <v>136</v>
      </c>
      <c r="BB45" s="28">
        <f t="shared" si="21"/>
        <v>-5</v>
      </c>
      <c r="BC45" s="28">
        <f t="shared" si="22"/>
        <v>110</v>
      </c>
      <c r="BD45" s="26">
        <f t="shared" si="23"/>
        <v>116</v>
      </c>
      <c r="BE45" s="26"/>
      <c r="BF45" s="26"/>
      <c r="BG45" s="26"/>
      <c r="BH45" s="26"/>
    </row>
    <row r="46" spans="1:62" ht="15.6" x14ac:dyDescent="0.3">
      <c r="A46" s="6">
        <v>1</v>
      </c>
      <c r="B46" s="6"/>
      <c r="C46" s="6">
        <v>66</v>
      </c>
      <c r="D46" s="6" t="s">
        <v>99</v>
      </c>
      <c r="E46" s="13" t="s">
        <v>100</v>
      </c>
      <c r="F46" s="9" t="str">
        <f t="shared" si="33"/>
        <v>2019-35P5502015OTC</v>
      </c>
      <c r="G46" s="6" t="s">
        <v>101</v>
      </c>
      <c r="H46" s="6" t="s">
        <v>95</v>
      </c>
      <c r="I46" s="6" t="s">
        <v>95</v>
      </c>
      <c r="J46" s="6" t="s">
        <v>96</v>
      </c>
      <c r="K46" s="6" t="s">
        <v>116</v>
      </c>
      <c r="L46" s="6">
        <v>2015</v>
      </c>
      <c r="M46" s="6" t="s">
        <v>97</v>
      </c>
      <c r="N46" s="7" t="s">
        <v>51</v>
      </c>
      <c r="O46" s="6" t="s">
        <v>103</v>
      </c>
      <c r="P46" s="6"/>
      <c r="Q46" s="6">
        <v>8</v>
      </c>
      <c r="R46" s="6"/>
      <c r="S46" s="6">
        <v>8</v>
      </c>
      <c r="T46" s="6">
        <v>120</v>
      </c>
      <c r="U46" s="6">
        <v>9</v>
      </c>
      <c r="V46" s="6">
        <f t="shared" si="28"/>
        <v>6</v>
      </c>
      <c r="W46" s="6" t="s">
        <v>65</v>
      </c>
      <c r="X46" s="6"/>
      <c r="Y46" s="12">
        <v>331.658291457286</v>
      </c>
      <c r="Z46" s="6" t="s">
        <v>80</v>
      </c>
      <c r="AA46" s="6"/>
      <c r="AB46" s="6"/>
      <c r="AC46" s="12"/>
      <c r="AD46" s="6"/>
      <c r="AE46" s="6"/>
      <c r="AF46" s="6"/>
      <c r="AG46" s="12"/>
      <c r="AH46" s="6"/>
      <c r="AI46" s="6"/>
      <c r="AJ46" s="6"/>
      <c r="AK46" s="12"/>
      <c r="AL46" s="6"/>
      <c r="AM46" s="6"/>
      <c r="AN46" s="6"/>
      <c r="AO46" s="12"/>
      <c r="AP46" s="6"/>
      <c r="AQ46" s="6"/>
      <c r="AR46" s="6"/>
      <c r="AS46" s="30">
        <f t="shared" si="29"/>
        <v>25.133333333333333</v>
      </c>
      <c r="AT46" s="30">
        <f t="shared" si="30"/>
        <v>83.016666666666666</v>
      </c>
      <c r="AU46" s="27">
        <f t="shared" si="31"/>
        <v>41979</v>
      </c>
      <c r="AV46" s="27">
        <v>42114</v>
      </c>
      <c r="AW46" s="27">
        <f t="shared" si="32"/>
        <v>41999</v>
      </c>
      <c r="AX46" s="27">
        <v>42114</v>
      </c>
      <c r="AY46" s="28">
        <f t="shared" si="18"/>
        <v>-25</v>
      </c>
      <c r="AZ46" s="28">
        <f t="shared" si="19"/>
        <v>110</v>
      </c>
      <c r="BA46" s="37">
        <f t="shared" si="20"/>
        <v>136</v>
      </c>
      <c r="BB46" s="28">
        <f t="shared" si="21"/>
        <v>-5</v>
      </c>
      <c r="BC46" s="28">
        <f t="shared" si="22"/>
        <v>110</v>
      </c>
      <c r="BD46" s="26">
        <f t="shared" si="23"/>
        <v>116</v>
      </c>
      <c r="BE46" s="26"/>
      <c r="BF46" s="26"/>
      <c r="BG46" s="26"/>
      <c r="BH46" s="26"/>
    </row>
    <row r="47" spans="1:62" ht="15.6" x14ac:dyDescent="0.3">
      <c r="A47" s="6">
        <v>1</v>
      </c>
      <c r="B47" s="6"/>
      <c r="C47" s="6">
        <v>68</v>
      </c>
      <c r="D47" s="6" t="s">
        <v>117</v>
      </c>
      <c r="E47" s="13" t="s">
        <v>118</v>
      </c>
      <c r="F47" s="9" t="str">
        <f t="shared" si="33"/>
        <v>2020-48HD31182016OTC</v>
      </c>
      <c r="G47" s="6" t="s">
        <v>119</v>
      </c>
      <c r="H47" s="6" t="s">
        <v>95</v>
      </c>
      <c r="I47" s="6" t="s">
        <v>95</v>
      </c>
      <c r="J47" s="6" t="s">
        <v>96</v>
      </c>
      <c r="K47" s="6" t="s">
        <v>120</v>
      </c>
      <c r="L47" s="6">
        <v>2016</v>
      </c>
      <c r="M47" s="6" t="s">
        <v>97</v>
      </c>
      <c r="N47" s="7" t="s">
        <v>51</v>
      </c>
      <c r="O47" s="6" t="s">
        <v>103</v>
      </c>
      <c r="P47" s="7">
        <f t="shared" ref="P47:P56" si="34">R47/1.01*1.08</f>
        <v>55.283168316831691</v>
      </c>
      <c r="Q47" s="6"/>
      <c r="R47" s="6">
        <v>51.7</v>
      </c>
      <c r="S47" s="6">
        <v>8</v>
      </c>
      <c r="T47" s="6">
        <v>100</v>
      </c>
      <c r="U47" s="6">
        <v>5</v>
      </c>
      <c r="V47" s="13">
        <v>16.635934586368901</v>
      </c>
      <c r="W47" s="6" t="s">
        <v>52</v>
      </c>
      <c r="X47" s="10"/>
      <c r="Y47" s="12">
        <v>364.5</v>
      </c>
      <c r="Z47" s="6" t="s">
        <v>80</v>
      </c>
      <c r="AA47" s="6"/>
      <c r="AB47" s="6"/>
      <c r="AC47" s="12">
        <v>35.4</v>
      </c>
      <c r="AD47" s="7" t="s">
        <v>39</v>
      </c>
      <c r="AE47" s="6"/>
      <c r="AF47" s="6"/>
      <c r="AG47" s="12"/>
      <c r="AH47" s="6"/>
      <c r="AI47" s="6"/>
      <c r="AJ47" s="6"/>
      <c r="AK47" s="12">
        <v>4.55</v>
      </c>
      <c r="AL47" s="6" t="s">
        <v>67</v>
      </c>
      <c r="AM47" s="6"/>
      <c r="AN47" s="6"/>
      <c r="AO47" s="12">
        <f t="shared" ref="AO47:AO56" si="35">Y47/AC47*1000</f>
        <v>10296.610169491525</v>
      </c>
      <c r="AP47" s="6" t="s">
        <v>54</v>
      </c>
      <c r="AQ47" s="6"/>
      <c r="AR47" s="6"/>
      <c r="AS47" s="30">
        <f>25+16/60+3.6/3600</f>
        <v>25.267666666666667</v>
      </c>
      <c r="AT47" s="30">
        <f>82+59/60+20.7/3600</f>
        <v>82.98908333333334</v>
      </c>
      <c r="AU47" s="27">
        <v>42348</v>
      </c>
      <c r="AV47" s="27">
        <v>42448</v>
      </c>
      <c r="AW47" s="27">
        <v>42348</v>
      </c>
      <c r="AX47" s="27">
        <v>42448</v>
      </c>
      <c r="AY47" s="28">
        <f t="shared" si="18"/>
        <v>-21</v>
      </c>
      <c r="AZ47" s="28">
        <f t="shared" si="19"/>
        <v>79</v>
      </c>
      <c r="BA47" s="37">
        <f t="shared" si="20"/>
        <v>101</v>
      </c>
      <c r="BB47" s="28">
        <f t="shared" si="21"/>
        <v>-21</v>
      </c>
      <c r="BC47" s="28">
        <f t="shared" si="22"/>
        <v>79</v>
      </c>
      <c r="BD47" s="26">
        <f t="shared" si="23"/>
        <v>101</v>
      </c>
      <c r="BE47" s="26"/>
      <c r="BF47" s="36">
        <f>AU47+60+5</f>
        <v>42413</v>
      </c>
      <c r="BG47" s="26">
        <f t="shared" ref="BG47:BG56" si="36">AV47-BF47+1</f>
        <v>36</v>
      </c>
      <c r="BH47" s="26"/>
      <c r="BI47">
        <f t="shared" ref="BI47:BI56" si="37">BF47-AW47</f>
        <v>65</v>
      </c>
      <c r="BJ47">
        <f t="shared" ref="BJ47:BJ56" si="38">AX47-BF47</f>
        <v>35</v>
      </c>
    </row>
    <row r="48" spans="1:62" ht="15.6" x14ac:dyDescent="0.3">
      <c r="A48" s="6">
        <v>1</v>
      </c>
      <c r="B48" s="6"/>
      <c r="C48" s="6">
        <v>68</v>
      </c>
      <c r="D48" s="6" t="s">
        <v>117</v>
      </c>
      <c r="E48" s="13" t="s">
        <v>118</v>
      </c>
      <c r="F48" s="9" t="str">
        <f t="shared" si="33"/>
        <v>2020-48HUW2342016OTC</v>
      </c>
      <c r="G48" s="6" t="s">
        <v>119</v>
      </c>
      <c r="H48" s="6" t="s">
        <v>95</v>
      </c>
      <c r="I48" s="6" t="s">
        <v>95</v>
      </c>
      <c r="J48" s="6" t="s">
        <v>96</v>
      </c>
      <c r="K48" s="6" t="s">
        <v>121</v>
      </c>
      <c r="L48" s="6">
        <v>2016</v>
      </c>
      <c r="M48" s="6" t="s">
        <v>97</v>
      </c>
      <c r="N48" s="7" t="s">
        <v>51</v>
      </c>
      <c r="O48" s="6" t="s">
        <v>103</v>
      </c>
      <c r="P48" s="7">
        <f t="shared" si="34"/>
        <v>55.283168316831691</v>
      </c>
      <c r="Q48" s="6"/>
      <c r="R48" s="6">
        <v>51.7</v>
      </c>
      <c r="S48" s="6">
        <v>8</v>
      </c>
      <c r="T48" s="6">
        <v>100</v>
      </c>
      <c r="U48" s="6">
        <v>5</v>
      </c>
      <c r="V48" s="13">
        <v>16.635934586368901</v>
      </c>
      <c r="W48" s="6" t="s">
        <v>52</v>
      </c>
      <c r="X48" s="6"/>
      <c r="Y48" s="12">
        <v>435.5</v>
      </c>
      <c r="Z48" s="6" t="s">
        <v>80</v>
      </c>
      <c r="AA48" s="6"/>
      <c r="AB48" s="6"/>
      <c r="AC48" s="12">
        <v>38.5</v>
      </c>
      <c r="AD48" s="7" t="s">
        <v>39</v>
      </c>
      <c r="AE48" s="6"/>
      <c r="AF48" s="6"/>
      <c r="AG48" s="12"/>
      <c r="AH48" s="6"/>
      <c r="AI48" s="6"/>
      <c r="AJ48" s="6"/>
      <c r="AK48" s="12">
        <v>5.95</v>
      </c>
      <c r="AL48" s="6" t="s">
        <v>67</v>
      </c>
      <c r="AM48" s="6"/>
      <c r="AN48" s="6"/>
      <c r="AO48" s="12">
        <f t="shared" si="35"/>
        <v>11311.688311688311</v>
      </c>
      <c r="AP48" s="6" t="s">
        <v>54</v>
      </c>
      <c r="AQ48" s="6"/>
      <c r="AR48" s="6"/>
      <c r="AS48" s="30">
        <f>25+16/60+3.6/3600</f>
        <v>25.267666666666667</v>
      </c>
      <c r="AT48" s="30">
        <f>82+59/60+20.7/3600</f>
        <v>82.98908333333334</v>
      </c>
      <c r="AU48" s="27">
        <v>42348</v>
      </c>
      <c r="AV48" s="27">
        <v>42448</v>
      </c>
      <c r="AW48" s="27">
        <v>42348</v>
      </c>
      <c r="AX48" s="27">
        <v>42448</v>
      </c>
      <c r="AY48" s="28">
        <f t="shared" si="18"/>
        <v>-21</v>
      </c>
      <c r="AZ48" s="28">
        <f t="shared" si="19"/>
        <v>79</v>
      </c>
      <c r="BA48" s="37">
        <f t="shared" si="20"/>
        <v>101</v>
      </c>
      <c r="BB48" s="28">
        <f t="shared" si="21"/>
        <v>-21</v>
      </c>
      <c r="BC48" s="28">
        <f t="shared" si="22"/>
        <v>79</v>
      </c>
      <c r="BD48" s="26">
        <f t="shared" si="23"/>
        <v>101</v>
      </c>
      <c r="BE48" s="26"/>
      <c r="BF48" s="36">
        <f>AU48+60+5</f>
        <v>42413</v>
      </c>
      <c r="BG48" s="26">
        <f t="shared" si="36"/>
        <v>36</v>
      </c>
      <c r="BH48" s="26"/>
      <c r="BI48">
        <f t="shared" si="37"/>
        <v>65</v>
      </c>
      <c r="BJ48">
        <f t="shared" si="38"/>
        <v>35</v>
      </c>
    </row>
    <row r="49" spans="1:62" ht="15.6" x14ac:dyDescent="0.3">
      <c r="A49" s="6">
        <v>1</v>
      </c>
      <c r="B49" s="6"/>
      <c r="C49" s="6">
        <v>71</v>
      </c>
      <c r="D49" s="6" t="s">
        <v>122</v>
      </c>
      <c r="E49" s="13" t="s">
        <v>123</v>
      </c>
      <c r="F49" s="9" t="str">
        <f t="shared" si="33"/>
        <v>2021-X140HD30862017OTC</v>
      </c>
      <c r="G49" s="6" t="s">
        <v>119</v>
      </c>
      <c r="H49" s="6" t="s">
        <v>95</v>
      </c>
      <c r="I49" s="6" t="s">
        <v>95</v>
      </c>
      <c r="J49" s="6" t="s">
        <v>96</v>
      </c>
      <c r="K49" s="6" t="s">
        <v>124</v>
      </c>
      <c r="L49" s="6">
        <v>2017</v>
      </c>
      <c r="M49" s="6" t="s">
        <v>97</v>
      </c>
      <c r="N49" s="7" t="s">
        <v>51</v>
      </c>
      <c r="O49" s="6" t="s">
        <v>103</v>
      </c>
      <c r="P49" s="7">
        <f t="shared" si="34"/>
        <v>54.748514851485155</v>
      </c>
      <c r="Q49" s="6">
        <v>11.78</v>
      </c>
      <c r="R49" s="6">
        <v>51.2</v>
      </c>
      <c r="S49" s="6">
        <v>8</v>
      </c>
      <c r="T49" s="6">
        <v>150</v>
      </c>
      <c r="U49" s="6">
        <v>3</v>
      </c>
      <c r="V49" s="6">
        <f t="shared" ref="V49:V57" si="39">IF(T49&lt;=90,Q49,Q49/T49*90)</f>
        <v>7.0679999999999996</v>
      </c>
      <c r="W49" s="6" t="s">
        <v>65</v>
      </c>
      <c r="X49" s="6"/>
      <c r="Y49" s="12">
        <v>554</v>
      </c>
      <c r="Z49" s="6" t="s">
        <v>80</v>
      </c>
      <c r="AA49" s="6"/>
      <c r="AB49" s="6">
        <v>26</v>
      </c>
      <c r="AC49" s="12">
        <v>45.4</v>
      </c>
      <c r="AD49" s="7" t="s">
        <v>39</v>
      </c>
      <c r="AE49" s="6"/>
      <c r="AF49" s="6">
        <v>0.9</v>
      </c>
      <c r="AG49" s="12"/>
      <c r="AH49" s="6"/>
      <c r="AI49" s="6"/>
      <c r="AJ49" s="6"/>
      <c r="AK49" s="12"/>
      <c r="AL49" s="6"/>
      <c r="AM49" s="6"/>
      <c r="AN49" s="6"/>
      <c r="AO49" s="12">
        <f t="shared" si="35"/>
        <v>12202.643171806169</v>
      </c>
      <c r="AP49" s="6" t="s">
        <v>54</v>
      </c>
      <c r="AQ49" s="6"/>
      <c r="AR49" s="6"/>
      <c r="AS49" s="30">
        <f t="shared" ref="AS49:AS56" si="40">25+16/60</f>
        <v>25.266666666666666</v>
      </c>
      <c r="AT49" s="30">
        <f t="shared" ref="AT49:AT56" si="41">82+59/60</f>
        <v>82.983333333333334</v>
      </c>
      <c r="AU49" s="25">
        <v>42683</v>
      </c>
      <c r="AV49" s="27">
        <v>42823</v>
      </c>
      <c r="AW49" s="25">
        <v>42683</v>
      </c>
      <c r="AX49" s="27">
        <v>42823</v>
      </c>
      <c r="AY49" s="28">
        <f t="shared" si="18"/>
        <v>-52</v>
      </c>
      <c r="AZ49" s="28">
        <f t="shared" si="19"/>
        <v>88</v>
      </c>
      <c r="BA49" s="37">
        <f t="shared" si="20"/>
        <v>141</v>
      </c>
      <c r="BB49" s="28">
        <f t="shared" si="21"/>
        <v>-52</v>
      </c>
      <c r="BC49" s="28">
        <f t="shared" si="22"/>
        <v>88</v>
      </c>
      <c r="BD49" s="26">
        <f t="shared" si="23"/>
        <v>141</v>
      </c>
      <c r="BE49" s="26"/>
      <c r="BF49" s="36">
        <v>42772</v>
      </c>
      <c r="BG49" s="26">
        <f t="shared" si="36"/>
        <v>52</v>
      </c>
      <c r="BH49" s="26"/>
      <c r="BI49">
        <f t="shared" si="37"/>
        <v>89</v>
      </c>
      <c r="BJ49">
        <f t="shared" si="38"/>
        <v>51</v>
      </c>
    </row>
    <row r="50" spans="1:62" ht="15.6" x14ac:dyDescent="0.3">
      <c r="A50" s="6">
        <v>1</v>
      </c>
      <c r="B50" s="6"/>
      <c r="C50" s="6">
        <v>71</v>
      </c>
      <c r="D50" s="6" t="s">
        <v>122</v>
      </c>
      <c r="E50" s="13" t="s">
        <v>123</v>
      </c>
      <c r="F50" s="9" t="str">
        <f t="shared" si="33"/>
        <v>2021-X140HD31182017OTC</v>
      </c>
      <c r="G50" s="6" t="s">
        <v>119</v>
      </c>
      <c r="H50" s="6" t="s">
        <v>95</v>
      </c>
      <c r="I50" s="6" t="s">
        <v>95</v>
      </c>
      <c r="J50" s="6" t="s">
        <v>96</v>
      </c>
      <c r="K50" s="6" t="s">
        <v>120</v>
      </c>
      <c r="L50" s="6">
        <v>2017</v>
      </c>
      <c r="M50" s="6" t="s">
        <v>97</v>
      </c>
      <c r="N50" s="7" t="s">
        <v>51</v>
      </c>
      <c r="O50" s="6" t="s">
        <v>103</v>
      </c>
      <c r="P50" s="7">
        <f t="shared" si="34"/>
        <v>55.325940594059418</v>
      </c>
      <c r="Q50" s="6">
        <v>8.4</v>
      </c>
      <c r="R50" s="6">
        <v>51.74</v>
      </c>
      <c r="S50" s="6">
        <v>8</v>
      </c>
      <c r="T50" s="6">
        <v>131</v>
      </c>
      <c r="U50" s="6">
        <v>3</v>
      </c>
      <c r="V50" s="6">
        <f t="shared" si="39"/>
        <v>5.770992366412214</v>
      </c>
      <c r="W50" s="6" t="s">
        <v>65</v>
      </c>
      <c r="X50" s="6"/>
      <c r="Y50" s="12">
        <v>542</v>
      </c>
      <c r="Z50" s="6" t="s">
        <v>80</v>
      </c>
      <c r="AA50" s="6"/>
      <c r="AB50" s="6">
        <v>25</v>
      </c>
      <c r="AC50" s="12">
        <v>38.4</v>
      </c>
      <c r="AD50" s="7" t="s">
        <v>39</v>
      </c>
      <c r="AE50" s="6"/>
      <c r="AF50" s="6">
        <v>0.66</v>
      </c>
      <c r="AG50" s="12"/>
      <c r="AH50" s="6"/>
      <c r="AI50" s="6"/>
      <c r="AJ50" s="6"/>
      <c r="AK50" s="12"/>
      <c r="AL50" s="6"/>
      <c r="AM50" s="6"/>
      <c r="AN50" s="6"/>
      <c r="AO50" s="12">
        <f t="shared" si="35"/>
        <v>14114.583333333334</v>
      </c>
      <c r="AP50" s="6" t="s">
        <v>54</v>
      </c>
      <c r="AQ50" s="6"/>
      <c r="AR50" s="6"/>
      <c r="AS50" s="30">
        <f t="shared" si="40"/>
        <v>25.266666666666666</v>
      </c>
      <c r="AT50" s="30">
        <f t="shared" si="41"/>
        <v>82.983333333333334</v>
      </c>
      <c r="AU50" s="25">
        <v>42709</v>
      </c>
      <c r="AV50" s="27">
        <v>42824</v>
      </c>
      <c r="AW50" s="25">
        <v>42709</v>
      </c>
      <c r="AX50" s="27">
        <v>42824</v>
      </c>
      <c r="AY50" s="28">
        <f t="shared" si="18"/>
        <v>-26</v>
      </c>
      <c r="AZ50" s="28">
        <f t="shared" si="19"/>
        <v>89</v>
      </c>
      <c r="BA50" s="37">
        <f t="shared" si="20"/>
        <v>116</v>
      </c>
      <c r="BB50" s="28">
        <f t="shared" si="21"/>
        <v>-26</v>
      </c>
      <c r="BC50" s="28">
        <f t="shared" si="22"/>
        <v>89</v>
      </c>
      <c r="BD50" s="26">
        <f t="shared" si="23"/>
        <v>116</v>
      </c>
      <c r="BE50" s="26"/>
      <c r="BF50" s="36">
        <v>42793</v>
      </c>
      <c r="BG50" s="26">
        <f t="shared" si="36"/>
        <v>32</v>
      </c>
      <c r="BH50" s="26"/>
      <c r="BI50">
        <f t="shared" si="37"/>
        <v>84</v>
      </c>
      <c r="BJ50">
        <f t="shared" si="38"/>
        <v>31</v>
      </c>
    </row>
    <row r="51" spans="1:62" ht="15.6" x14ac:dyDescent="0.3">
      <c r="A51" s="6">
        <v>1</v>
      </c>
      <c r="B51" s="6"/>
      <c r="C51" s="6">
        <v>71</v>
      </c>
      <c r="D51" s="6" t="s">
        <v>122</v>
      </c>
      <c r="E51" s="13" t="s">
        <v>123</v>
      </c>
      <c r="F51" s="9" t="str">
        <f t="shared" si="33"/>
        <v>2021-X140HUW2342017OTC</v>
      </c>
      <c r="G51" s="6" t="s">
        <v>119</v>
      </c>
      <c r="H51" s="6" t="s">
        <v>95</v>
      </c>
      <c r="I51" s="6" t="s">
        <v>95</v>
      </c>
      <c r="J51" s="6" t="s">
        <v>96</v>
      </c>
      <c r="K51" s="6" t="s">
        <v>121</v>
      </c>
      <c r="L51" s="6">
        <v>2017</v>
      </c>
      <c r="M51" s="6" t="s">
        <v>97</v>
      </c>
      <c r="N51" s="7" t="s">
        <v>51</v>
      </c>
      <c r="O51" s="6" t="s">
        <v>103</v>
      </c>
      <c r="P51" s="7">
        <f t="shared" si="34"/>
        <v>55.325940594059418</v>
      </c>
      <c r="Q51" s="6">
        <v>8.4</v>
      </c>
      <c r="R51" s="6">
        <v>51.74</v>
      </c>
      <c r="S51" s="6">
        <v>8</v>
      </c>
      <c r="T51" s="6">
        <v>131</v>
      </c>
      <c r="U51" s="6">
        <v>3</v>
      </c>
      <c r="V51" s="6">
        <f t="shared" si="39"/>
        <v>5.770992366412214</v>
      </c>
      <c r="W51" s="6" t="s">
        <v>65</v>
      </c>
      <c r="X51" s="6"/>
      <c r="Y51" s="12">
        <v>521</v>
      </c>
      <c r="Z51" s="6" t="s">
        <v>80</v>
      </c>
      <c r="AA51" s="6"/>
      <c r="AB51" s="6">
        <v>28</v>
      </c>
      <c r="AC51" s="12">
        <v>36.9</v>
      </c>
      <c r="AD51" s="7" t="s">
        <v>39</v>
      </c>
      <c r="AE51" s="6"/>
      <c r="AF51" s="6">
        <v>1</v>
      </c>
      <c r="AG51" s="12"/>
      <c r="AH51" s="6"/>
      <c r="AI51" s="6"/>
      <c r="AJ51" s="6"/>
      <c r="AK51" s="12"/>
      <c r="AL51" s="6"/>
      <c r="AM51" s="6"/>
      <c r="AN51" s="6"/>
      <c r="AO51" s="12">
        <f t="shared" si="35"/>
        <v>14119.241192411926</v>
      </c>
      <c r="AP51" s="6" t="s">
        <v>54</v>
      </c>
      <c r="AQ51" s="6"/>
      <c r="AR51" s="6"/>
      <c r="AS51" s="30">
        <f t="shared" si="40"/>
        <v>25.266666666666666</v>
      </c>
      <c r="AT51" s="30">
        <f t="shared" si="41"/>
        <v>82.983333333333334</v>
      </c>
      <c r="AU51" s="25">
        <v>42709</v>
      </c>
      <c r="AV51" s="27">
        <v>42824</v>
      </c>
      <c r="AW51" s="25">
        <v>42709</v>
      </c>
      <c r="AX51" s="27">
        <v>42824</v>
      </c>
      <c r="AY51" s="28">
        <f t="shared" si="18"/>
        <v>-26</v>
      </c>
      <c r="AZ51" s="28">
        <f t="shared" si="19"/>
        <v>89</v>
      </c>
      <c r="BA51" s="37">
        <f t="shared" si="20"/>
        <v>116</v>
      </c>
      <c r="BB51" s="28">
        <f t="shared" si="21"/>
        <v>-26</v>
      </c>
      <c r="BC51" s="28">
        <f t="shared" si="22"/>
        <v>89</v>
      </c>
      <c r="BD51" s="26">
        <f t="shared" si="23"/>
        <v>116</v>
      </c>
      <c r="BE51" s="26"/>
      <c r="BF51" s="36">
        <v>42793</v>
      </c>
      <c r="BG51" s="26">
        <f t="shared" si="36"/>
        <v>32</v>
      </c>
      <c r="BH51" s="26"/>
      <c r="BI51">
        <f t="shared" si="37"/>
        <v>84</v>
      </c>
      <c r="BJ51">
        <f t="shared" si="38"/>
        <v>31</v>
      </c>
    </row>
    <row r="52" spans="1:62" ht="15.6" x14ac:dyDescent="0.3">
      <c r="A52" s="6">
        <v>1</v>
      </c>
      <c r="B52" s="6"/>
      <c r="C52" s="6">
        <v>71</v>
      </c>
      <c r="D52" s="6" t="s">
        <v>122</v>
      </c>
      <c r="E52" s="13" t="s">
        <v>123</v>
      </c>
      <c r="F52" s="9" t="str">
        <f t="shared" si="33"/>
        <v>2021-X140HUW4682017OTC</v>
      </c>
      <c r="G52" s="6" t="s">
        <v>119</v>
      </c>
      <c r="H52" s="6" t="s">
        <v>95</v>
      </c>
      <c r="I52" s="6" t="s">
        <v>95</v>
      </c>
      <c r="J52" s="6" t="s">
        <v>96</v>
      </c>
      <c r="K52" s="6" t="s">
        <v>125</v>
      </c>
      <c r="L52" s="6">
        <v>2017</v>
      </c>
      <c r="M52" s="6" t="s">
        <v>97</v>
      </c>
      <c r="N52" s="7" t="s">
        <v>51</v>
      </c>
      <c r="O52" s="6" t="s">
        <v>103</v>
      </c>
      <c r="P52" s="7">
        <f t="shared" si="34"/>
        <v>54.748514851485155</v>
      </c>
      <c r="Q52" s="6">
        <v>11.78</v>
      </c>
      <c r="R52" s="6">
        <v>51.2</v>
      </c>
      <c r="S52" s="6">
        <v>8</v>
      </c>
      <c r="T52" s="6">
        <v>150</v>
      </c>
      <c r="U52" s="6">
        <v>3</v>
      </c>
      <c r="V52" s="6">
        <f t="shared" si="39"/>
        <v>7.0679999999999996</v>
      </c>
      <c r="W52" s="6" t="s">
        <v>65</v>
      </c>
      <c r="X52" s="6"/>
      <c r="Y52" s="12">
        <v>545</v>
      </c>
      <c r="Z52" s="6" t="s">
        <v>80</v>
      </c>
      <c r="AA52" s="6"/>
      <c r="AB52" s="6">
        <v>26</v>
      </c>
      <c r="AC52" s="12">
        <v>37.1</v>
      </c>
      <c r="AD52" s="7" t="s">
        <v>39</v>
      </c>
      <c r="AE52" s="6"/>
      <c r="AF52" s="6">
        <v>0.7</v>
      </c>
      <c r="AG52" s="12"/>
      <c r="AH52" s="6"/>
      <c r="AI52" s="6"/>
      <c r="AJ52" s="6"/>
      <c r="AK52" s="12"/>
      <c r="AL52" s="6"/>
      <c r="AM52" s="6"/>
      <c r="AN52" s="6"/>
      <c r="AO52" s="12">
        <f t="shared" si="35"/>
        <v>14690.026954177898</v>
      </c>
      <c r="AP52" s="6" t="s">
        <v>54</v>
      </c>
      <c r="AQ52" s="6"/>
      <c r="AR52" s="6"/>
      <c r="AS52" s="30">
        <f t="shared" si="40"/>
        <v>25.266666666666666</v>
      </c>
      <c r="AT52" s="30">
        <f t="shared" si="41"/>
        <v>82.983333333333334</v>
      </c>
      <c r="AU52" s="25">
        <v>43048</v>
      </c>
      <c r="AV52" s="27">
        <v>43188</v>
      </c>
      <c r="AW52" s="25">
        <v>43048</v>
      </c>
      <c r="AX52" s="27">
        <v>43188</v>
      </c>
      <c r="AY52" s="28">
        <f t="shared" si="18"/>
        <v>-52</v>
      </c>
      <c r="AZ52" s="28">
        <f t="shared" si="19"/>
        <v>88</v>
      </c>
      <c r="BA52" s="37">
        <f t="shared" si="20"/>
        <v>141</v>
      </c>
      <c r="BB52" s="28">
        <f t="shared" si="21"/>
        <v>-52</v>
      </c>
      <c r="BC52" s="28">
        <f t="shared" si="22"/>
        <v>88</v>
      </c>
      <c r="BD52" s="26">
        <f t="shared" si="23"/>
        <v>141</v>
      </c>
      <c r="BE52" s="26"/>
      <c r="BF52" s="36">
        <v>43137</v>
      </c>
      <c r="BG52" s="26">
        <f t="shared" si="36"/>
        <v>52</v>
      </c>
      <c r="BH52" s="26"/>
      <c r="BI52">
        <f t="shared" si="37"/>
        <v>89</v>
      </c>
      <c r="BJ52">
        <f t="shared" si="38"/>
        <v>51</v>
      </c>
    </row>
    <row r="53" spans="1:62" ht="15.6" x14ac:dyDescent="0.3">
      <c r="A53" s="6">
        <v>1</v>
      </c>
      <c r="B53" s="6"/>
      <c r="C53" s="6">
        <v>71</v>
      </c>
      <c r="D53" s="6" t="s">
        <v>122</v>
      </c>
      <c r="E53" s="13" t="s">
        <v>123</v>
      </c>
      <c r="F53" s="9" t="str">
        <f t="shared" si="33"/>
        <v>2021-X140HD30862018OTC</v>
      </c>
      <c r="G53" s="6" t="s">
        <v>119</v>
      </c>
      <c r="H53" s="6" t="s">
        <v>95</v>
      </c>
      <c r="I53" s="6" t="s">
        <v>95</v>
      </c>
      <c r="J53" s="6" t="s">
        <v>96</v>
      </c>
      <c r="K53" s="6" t="s">
        <v>124</v>
      </c>
      <c r="L53" s="6">
        <v>2018</v>
      </c>
      <c r="M53" s="6" t="s">
        <v>97</v>
      </c>
      <c r="N53" s="7" t="s">
        <v>51</v>
      </c>
      <c r="O53" s="6" t="s">
        <v>103</v>
      </c>
      <c r="P53" s="7">
        <f t="shared" si="34"/>
        <v>49.049108910891093</v>
      </c>
      <c r="Q53" s="6">
        <v>6.8</v>
      </c>
      <c r="R53" s="6">
        <v>45.87</v>
      </c>
      <c r="S53" s="6">
        <v>8</v>
      </c>
      <c r="T53" s="6">
        <v>150</v>
      </c>
      <c r="U53" s="6">
        <v>3</v>
      </c>
      <c r="V53" s="6">
        <f t="shared" si="39"/>
        <v>4.08</v>
      </c>
      <c r="W53" s="6" t="s">
        <v>65</v>
      </c>
      <c r="X53" s="6"/>
      <c r="Y53" s="12">
        <v>524</v>
      </c>
      <c r="Z53" s="6" t="s">
        <v>80</v>
      </c>
      <c r="AA53" s="6"/>
      <c r="AB53" s="6">
        <v>13</v>
      </c>
      <c r="AC53" s="12">
        <v>41.2</v>
      </c>
      <c r="AD53" s="7" t="s">
        <v>39</v>
      </c>
      <c r="AE53" s="6"/>
      <c r="AF53" s="6">
        <v>0.67</v>
      </c>
      <c r="AG53" s="12"/>
      <c r="AH53" s="6"/>
      <c r="AI53" s="6"/>
      <c r="AJ53" s="6"/>
      <c r="AK53" s="12"/>
      <c r="AL53" s="6"/>
      <c r="AM53" s="6"/>
      <c r="AN53" s="6"/>
      <c r="AO53" s="12">
        <f t="shared" si="35"/>
        <v>12718.446601941747</v>
      </c>
      <c r="AP53" s="6" t="s">
        <v>54</v>
      </c>
      <c r="AQ53" s="6"/>
      <c r="AR53" s="6"/>
      <c r="AS53" s="30">
        <f t="shared" si="40"/>
        <v>25.266666666666666</v>
      </c>
      <c r="AT53" s="30">
        <f t="shared" si="41"/>
        <v>82.983333333333334</v>
      </c>
      <c r="AU53" s="25">
        <v>43048</v>
      </c>
      <c r="AV53" s="27">
        <v>43188</v>
      </c>
      <c r="AW53" s="25">
        <v>43048</v>
      </c>
      <c r="AX53" s="27">
        <v>43188</v>
      </c>
      <c r="AY53" s="28">
        <f t="shared" si="18"/>
        <v>-52</v>
      </c>
      <c r="AZ53" s="28">
        <f t="shared" si="19"/>
        <v>88</v>
      </c>
      <c r="BA53" s="37">
        <f t="shared" si="20"/>
        <v>141</v>
      </c>
      <c r="BB53" s="28">
        <f t="shared" si="21"/>
        <v>-52</v>
      </c>
      <c r="BC53" s="28">
        <f t="shared" si="22"/>
        <v>88</v>
      </c>
      <c r="BD53" s="26">
        <f t="shared" si="23"/>
        <v>141</v>
      </c>
      <c r="BE53" s="26"/>
      <c r="BF53" s="36">
        <v>43137</v>
      </c>
      <c r="BG53" s="26">
        <f t="shared" si="36"/>
        <v>52</v>
      </c>
      <c r="BH53" s="26"/>
      <c r="BI53">
        <f t="shared" si="37"/>
        <v>89</v>
      </c>
      <c r="BJ53">
        <f t="shared" si="38"/>
        <v>51</v>
      </c>
    </row>
    <row r="54" spans="1:62" ht="15.6" x14ac:dyDescent="0.3">
      <c r="A54" s="6">
        <v>1</v>
      </c>
      <c r="B54" s="6"/>
      <c r="C54" s="6">
        <v>71</v>
      </c>
      <c r="D54" s="6" t="s">
        <v>122</v>
      </c>
      <c r="E54" s="13" t="s">
        <v>123</v>
      </c>
      <c r="F54" s="9" t="str">
        <f t="shared" si="33"/>
        <v>2021-X140HD31182018OTC</v>
      </c>
      <c r="G54" s="6" t="s">
        <v>119</v>
      </c>
      <c r="H54" s="6" t="s">
        <v>95</v>
      </c>
      <c r="I54" s="6" t="s">
        <v>95</v>
      </c>
      <c r="J54" s="6" t="s">
        <v>96</v>
      </c>
      <c r="K54" s="6" t="s">
        <v>120</v>
      </c>
      <c r="L54" s="6">
        <v>2018</v>
      </c>
      <c r="M54" s="6" t="s">
        <v>97</v>
      </c>
      <c r="N54" s="7" t="s">
        <v>51</v>
      </c>
      <c r="O54" s="6" t="s">
        <v>103</v>
      </c>
      <c r="P54" s="7">
        <f t="shared" si="34"/>
        <v>48.300594059405945</v>
      </c>
      <c r="Q54" s="6">
        <v>6.2</v>
      </c>
      <c r="R54" s="6">
        <v>45.17</v>
      </c>
      <c r="S54" s="6">
        <v>8</v>
      </c>
      <c r="T54" s="6">
        <v>131</v>
      </c>
      <c r="U54" s="6">
        <v>3</v>
      </c>
      <c r="V54" s="6">
        <f t="shared" si="39"/>
        <v>4.2595419847328246</v>
      </c>
      <c r="W54" s="6" t="s">
        <v>65</v>
      </c>
      <c r="X54" s="6"/>
      <c r="Y54" s="12">
        <v>463</v>
      </c>
      <c r="Z54" s="6" t="s">
        <v>80</v>
      </c>
      <c r="AA54" s="6"/>
      <c r="AB54" s="6">
        <v>9</v>
      </c>
      <c r="AC54" s="12">
        <v>38.94</v>
      </c>
      <c r="AD54" s="7" t="s">
        <v>39</v>
      </c>
      <c r="AE54" s="6"/>
      <c r="AF54" s="6">
        <v>0.67</v>
      </c>
      <c r="AG54" s="12"/>
      <c r="AH54" s="6"/>
      <c r="AI54" s="6"/>
      <c r="AJ54" s="6"/>
      <c r="AK54" s="12"/>
      <c r="AL54" s="6"/>
      <c r="AM54" s="6"/>
      <c r="AN54" s="6"/>
      <c r="AO54" s="12">
        <f t="shared" si="35"/>
        <v>11890.087313816128</v>
      </c>
      <c r="AP54" s="6" t="s">
        <v>54</v>
      </c>
      <c r="AQ54" s="6"/>
      <c r="AR54" s="6"/>
      <c r="AS54" s="30">
        <f t="shared" si="40"/>
        <v>25.266666666666666</v>
      </c>
      <c r="AT54" s="30">
        <f t="shared" si="41"/>
        <v>82.983333333333334</v>
      </c>
      <c r="AU54" s="25">
        <v>42709</v>
      </c>
      <c r="AV54" s="27">
        <v>42824</v>
      </c>
      <c r="AW54" s="25">
        <v>42709</v>
      </c>
      <c r="AX54" s="27">
        <v>42824</v>
      </c>
      <c r="AY54" s="28">
        <f t="shared" si="18"/>
        <v>-26</v>
      </c>
      <c r="AZ54" s="28">
        <f t="shared" ref="AZ54:AZ83" si="42">AV54-INT(YEAR(AV54)&amp;"/1/1")+1</f>
        <v>89</v>
      </c>
      <c r="BA54" s="37">
        <f t="shared" si="20"/>
        <v>116</v>
      </c>
      <c r="BB54" s="28">
        <f t="shared" si="21"/>
        <v>-26</v>
      </c>
      <c r="BC54" s="28">
        <f t="shared" ref="BC54:BC85" si="43">AX54-INT(YEAR(AX54)&amp;"/1/1")+1</f>
        <v>89</v>
      </c>
      <c r="BD54" s="26">
        <f t="shared" ref="BD54:BD85" si="44">BC54-BB54+1</f>
        <v>116</v>
      </c>
      <c r="BE54" s="26"/>
      <c r="BF54" s="36">
        <v>42793</v>
      </c>
      <c r="BG54" s="26">
        <f t="shared" si="36"/>
        <v>32</v>
      </c>
      <c r="BH54" s="26"/>
      <c r="BI54">
        <f t="shared" si="37"/>
        <v>84</v>
      </c>
      <c r="BJ54">
        <f t="shared" si="38"/>
        <v>31</v>
      </c>
    </row>
    <row r="55" spans="1:62" ht="15.6" x14ac:dyDescent="0.3">
      <c r="A55" s="6">
        <v>1</v>
      </c>
      <c r="B55" s="6"/>
      <c r="C55" s="6">
        <v>71</v>
      </c>
      <c r="D55" s="6" t="s">
        <v>122</v>
      </c>
      <c r="E55" s="13" t="s">
        <v>123</v>
      </c>
      <c r="F55" s="9" t="str">
        <f t="shared" si="33"/>
        <v>2021-X140HUW2342018OTC</v>
      </c>
      <c r="G55" s="6" t="s">
        <v>119</v>
      </c>
      <c r="H55" s="6" t="s">
        <v>95</v>
      </c>
      <c r="I55" s="6" t="s">
        <v>95</v>
      </c>
      <c r="J55" s="6" t="s">
        <v>96</v>
      </c>
      <c r="K55" s="6" t="s">
        <v>121</v>
      </c>
      <c r="L55" s="6">
        <v>2018</v>
      </c>
      <c r="M55" s="6" t="s">
        <v>97</v>
      </c>
      <c r="N55" s="7" t="s">
        <v>51</v>
      </c>
      <c r="O55" s="6" t="s">
        <v>103</v>
      </c>
      <c r="P55" s="7">
        <f t="shared" si="34"/>
        <v>48.300594059405945</v>
      </c>
      <c r="Q55" s="6">
        <v>6.2</v>
      </c>
      <c r="R55" s="6">
        <v>45.17</v>
      </c>
      <c r="S55" s="6">
        <v>8</v>
      </c>
      <c r="T55" s="6">
        <v>131</v>
      </c>
      <c r="U55" s="6">
        <v>3</v>
      </c>
      <c r="V55" s="6">
        <f t="shared" si="39"/>
        <v>4.2595419847328246</v>
      </c>
      <c r="W55" s="6" t="s">
        <v>65</v>
      </c>
      <c r="X55" s="6"/>
      <c r="Y55" s="12">
        <v>478</v>
      </c>
      <c r="Z55" s="6" t="s">
        <v>80</v>
      </c>
      <c r="AA55" s="6"/>
      <c r="AB55" s="6">
        <v>13</v>
      </c>
      <c r="AC55" s="12">
        <v>39.64</v>
      </c>
      <c r="AD55" s="7" t="s">
        <v>39</v>
      </c>
      <c r="AE55" s="6"/>
      <c r="AF55" s="6">
        <v>1.1200000000000001</v>
      </c>
      <c r="AG55" s="12"/>
      <c r="AH55" s="6"/>
      <c r="AI55" s="6"/>
      <c r="AJ55" s="6"/>
      <c r="AK55" s="12"/>
      <c r="AL55" s="6"/>
      <c r="AM55" s="6"/>
      <c r="AN55" s="6"/>
      <c r="AO55" s="12">
        <f t="shared" si="35"/>
        <v>12058.526740665993</v>
      </c>
      <c r="AP55" s="6" t="s">
        <v>54</v>
      </c>
      <c r="AQ55" s="6"/>
      <c r="AR55" s="6"/>
      <c r="AS55" s="30">
        <f t="shared" si="40"/>
        <v>25.266666666666666</v>
      </c>
      <c r="AT55" s="30">
        <f t="shared" si="41"/>
        <v>82.983333333333334</v>
      </c>
      <c r="AU55" s="25">
        <v>42709</v>
      </c>
      <c r="AV55" s="27">
        <v>42824</v>
      </c>
      <c r="AW55" s="25">
        <v>42709</v>
      </c>
      <c r="AX55" s="27">
        <v>42824</v>
      </c>
      <c r="AY55" s="28">
        <f t="shared" si="18"/>
        <v>-26</v>
      </c>
      <c r="AZ55" s="28">
        <f t="shared" si="42"/>
        <v>89</v>
      </c>
      <c r="BA55" s="37">
        <f t="shared" si="20"/>
        <v>116</v>
      </c>
      <c r="BB55" s="28">
        <f t="shared" si="21"/>
        <v>-26</v>
      </c>
      <c r="BC55" s="28">
        <f t="shared" si="43"/>
        <v>89</v>
      </c>
      <c r="BD55" s="26">
        <f t="shared" si="44"/>
        <v>116</v>
      </c>
      <c r="BE55" s="26"/>
      <c r="BF55" s="36">
        <v>42793</v>
      </c>
      <c r="BG55" s="26">
        <f t="shared" si="36"/>
        <v>32</v>
      </c>
      <c r="BH55" s="26"/>
      <c r="BI55">
        <f t="shared" si="37"/>
        <v>84</v>
      </c>
      <c r="BJ55">
        <f t="shared" si="38"/>
        <v>31</v>
      </c>
    </row>
    <row r="56" spans="1:62" ht="15.6" x14ac:dyDescent="0.3">
      <c r="A56" s="6">
        <v>1</v>
      </c>
      <c r="B56" s="6"/>
      <c r="C56" s="6">
        <v>71</v>
      </c>
      <c r="D56" s="6" t="s">
        <v>122</v>
      </c>
      <c r="E56" s="13" t="s">
        <v>123</v>
      </c>
      <c r="F56" s="9" t="str">
        <f t="shared" si="33"/>
        <v>2021-X140HUW4682018OTC</v>
      </c>
      <c r="G56" s="6" t="s">
        <v>119</v>
      </c>
      <c r="H56" s="6" t="s">
        <v>95</v>
      </c>
      <c r="I56" s="6" t="s">
        <v>95</v>
      </c>
      <c r="J56" s="6" t="s">
        <v>96</v>
      </c>
      <c r="K56" s="6" t="s">
        <v>125</v>
      </c>
      <c r="L56" s="6">
        <v>2018</v>
      </c>
      <c r="M56" s="6" t="s">
        <v>97</v>
      </c>
      <c r="N56" s="7" t="s">
        <v>51</v>
      </c>
      <c r="O56" s="6" t="s">
        <v>103</v>
      </c>
      <c r="P56" s="7">
        <f t="shared" si="34"/>
        <v>49.049108910891093</v>
      </c>
      <c r="Q56" s="6">
        <v>6.8</v>
      </c>
      <c r="R56" s="6">
        <v>45.87</v>
      </c>
      <c r="S56" s="6">
        <v>8</v>
      </c>
      <c r="T56" s="6">
        <v>150</v>
      </c>
      <c r="U56" s="6">
        <v>3</v>
      </c>
      <c r="V56" s="6">
        <f t="shared" si="39"/>
        <v>4.08</v>
      </c>
      <c r="W56" s="6" t="s">
        <v>65</v>
      </c>
      <c r="X56" s="6"/>
      <c r="Y56" s="12">
        <v>514</v>
      </c>
      <c r="Z56" s="6" t="s">
        <v>80</v>
      </c>
      <c r="AA56" s="6"/>
      <c r="AB56" s="6">
        <v>17</v>
      </c>
      <c r="AC56" s="12">
        <v>33.9</v>
      </c>
      <c r="AD56" s="7" t="s">
        <v>39</v>
      </c>
      <c r="AE56" s="6"/>
      <c r="AF56" s="6">
        <v>0.9</v>
      </c>
      <c r="AG56" s="12"/>
      <c r="AH56" s="6"/>
      <c r="AI56" s="6"/>
      <c r="AJ56" s="6"/>
      <c r="AK56" s="12"/>
      <c r="AL56" s="6"/>
      <c r="AM56" s="6"/>
      <c r="AN56" s="6"/>
      <c r="AO56" s="12">
        <f t="shared" si="35"/>
        <v>15162.241887905604</v>
      </c>
      <c r="AP56" s="6" t="s">
        <v>54</v>
      </c>
      <c r="AQ56" s="6"/>
      <c r="AR56" s="6"/>
      <c r="AS56" s="30">
        <f t="shared" si="40"/>
        <v>25.266666666666666</v>
      </c>
      <c r="AT56" s="30">
        <f t="shared" si="41"/>
        <v>82.983333333333334</v>
      </c>
      <c r="AU56" s="25">
        <v>43048</v>
      </c>
      <c r="AV56" s="27">
        <v>43188</v>
      </c>
      <c r="AW56" s="25">
        <v>43048</v>
      </c>
      <c r="AX56" s="27">
        <v>43188</v>
      </c>
      <c r="AY56" s="28">
        <f t="shared" si="18"/>
        <v>-52</v>
      </c>
      <c r="AZ56" s="28">
        <f t="shared" si="42"/>
        <v>88</v>
      </c>
      <c r="BA56" s="37">
        <f t="shared" si="20"/>
        <v>141</v>
      </c>
      <c r="BB56" s="28">
        <f t="shared" si="21"/>
        <v>-52</v>
      </c>
      <c r="BC56" s="28">
        <f t="shared" si="43"/>
        <v>88</v>
      </c>
      <c r="BD56" s="26">
        <f t="shared" si="44"/>
        <v>141</v>
      </c>
      <c r="BE56" s="26"/>
      <c r="BF56" s="36">
        <v>43137</v>
      </c>
      <c r="BG56" s="26">
        <f t="shared" si="36"/>
        <v>52</v>
      </c>
      <c r="BH56" s="26"/>
      <c r="BI56">
        <f t="shared" si="37"/>
        <v>89</v>
      </c>
      <c r="BJ56">
        <f t="shared" si="38"/>
        <v>51</v>
      </c>
    </row>
    <row r="57" spans="1:62" ht="15.6" x14ac:dyDescent="0.3">
      <c r="A57" s="6">
        <v>1</v>
      </c>
      <c r="B57" s="6"/>
      <c r="C57" s="6">
        <v>77</v>
      </c>
      <c r="D57" s="13" t="s">
        <v>126</v>
      </c>
      <c r="E57" s="13" t="s">
        <v>93</v>
      </c>
      <c r="F57" s="9" t="str">
        <f t="shared" si="33"/>
        <v>2020-13HD29672017OTC</v>
      </c>
      <c r="G57" s="6" t="s">
        <v>94</v>
      </c>
      <c r="H57" s="6" t="s">
        <v>95</v>
      </c>
      <c r="I57" s="6" t="s">
        <v>95</v>
      </c>
      <c r="J57" s="6" t="s">
        <v>96</v>
      </c>
      <c r="K57" s="6" t="s">
        <v>90</v>
      </c>
      <c r="L57" s="6">
        <v>2017</v>
      </c>
      <c r="M57" s="6" t="s">
        <v>97</v>
      </c>
      <c r="N57" s="7" t="s">
        <v>51</v>
      </c>
      <c r="O57" s="6" t="s">
        <v>103</v>
      </c>
      <c r="P57" s="6">
        <f>R57/1.01*T57*12/1000+R57/1.01*(90-T57)*12/1000</f>
        <v>56.031683168316825</v>
      </c>
      <c r="Q57" s="6">
        <v>11.9</v>
      </c>
      <c r="R57" s="6">
        <v>52.4</v>
      </c>
      <c r="S57" s="6">
        <v>8</v>
      </c>
      <c r="T57" s="6">
        <v>88</v>
      </c>
      <c r="U57" s="6">
        <v>3</v>
      </c>
      <c r="V57" s="6">
        <f t="shared" si="39"/>
        <v>11.9</v>
      </c>
      <c r="W57" s="14" t="s">
        <v>65</v>
      </c>
      <c r="X57" s="6"/>
      <c r="Y57" s="12"/>
      <c r="Z57" s="6"/>
      <c r="AA57" s="6"/>
      <c r="AB57" s="6"/>
      <c r="AC57" s="12">
        <v>49.15</v>
      </c>
      <c r="AD57" s="7" t="s">
        <v>39</v>
      </c>
      <c r="AE57" s="6"/>
      <c r="AF57" s="6">
        <v>0.87</v>
      </c>
      <c r="AG57" s="12"/>
      <c r="AH57" s="6"/>
      <c r="AI57" s="6"/>
      <c r="AJ57" s="6"/>
      <c r="AK57" s="12"/>
      <c r="AL57" s="6"/>
      <c r="AM57" s="6"/>
      <c r="AN57" s="6"/>
      <c r="AO57" s="12"/>
      <c r="AP57" s="6"/>
      <c r="AQ57" s="6"/>
      <c r="AR57" s="6"/>
      <c r="AS57" s="26">
        <v>25.133333333333333</v>
      </c>
      <c r="AT57" s="26">
        <v>83.016666666666666</v>
      </c>
      <c r="AU57" s="27">
        <v>42687</v>
      </c>
      <c r="AV57" s="27">
        <v>42843</v>
      </c>
      <c r="AW57" s="25">
        <v>42695</v>
      </c>
      <c r="AX57" s="25">
        <v>42788</v>
      </c>
      <c r="AY57" s="28">
        <f t="shared" si="18"/>
        <v>-48</v>
      </c>
      <c r="AZ57" s="28">
        <f t="shared" si="42"/>
        <v>108</v>
      </c>
      <c r="BA57" s="37">
        <f t="shared" si="20"/>
        <v>157</v>
      </c>
      <c r="BB57" s="28">
        <f t="shared" si="21"/>
        <v>-40</v>
      </c>
      <c r="BC57" s="28">
        <f t="shared" si="43"/>
        <v>53</v>
      </c>
      <c r="BD57" s="26">
        <f t="shared" si="44"/>
        <v>94</v>
      </c>
      <c r="BE57" s="26"/>
      <c r="BF57" s="26"/>
      <c r="BG57" s="26"/>
      <c r="BH57" s="26"/>
    </row>
    <row r="58" spans="1:62" ht="15.6" x14ac:dyDescent="0.3">
      <c r="A58" s="6">
        <v>1</v>
      </c>
      <c r="B58" s="6"/>
      <c r="C58" s="6"/>
      <c r="D58" s="13" t="s">
        <v>260</v>
      </c>
      <c r="E58" s="13" t="s">
        <v>261</v>
      </c>
      <c r="F58" s="9" t="str">
        <f t="shared" si="33"/>
        <v>Heagle1979Blueboy1977OTC</v>
      </c>
      <c r="G58" s="6" t="s">
        <v>262</v>
      </c>
      <c r="H58" s="6" t="s">
        <v>130</v>
      </c>
      <c r="I58" s="6" t="s">
        <v>130</v>
      </c>
      <c r="J58" s="6" t="s">
        <v>263</v>
      </c>
      <c r="K58" s="6" t="s">
        <v>264</v>
      </c>
      <c r="L58" s="6">
        <v>1977</v>
      </c>
      <c r="M58" s="6" t="s">
        <v>97</v>
      </c>
      <c r="N58" s="7" t="s">
        <v>51</v>
      </c>
      <c r="O58" s="6" t="s">
        <v>132</v>
      </c>
      <c r="P58" s="6">
        <f t="shared" ref="P58:P68" si="45">(7*R58+5*0.976*R58)/12*T58*12/1000+R59/1.01*(90-T58)*12/1000</f>
        <v>32.077318811881185</v>
      </c>
      <c r="Q58" s="6"/>
      <c r="R58" s="6">
        <v>30</v>
      </c>
      <c r="S58" s="6">
        <v>7</v>
      </c>
      <c r="T58" s="6">
        <f t="shared" ref="T58:T85" si="46">X58-W58+1</f>
        <v>53</v>
      </c>
      <c r="U58" s="6">
        <v>4</v>
      </c>
      <c r="V58" s="6">
        <v>6.4205589999999999</v>
      </c>
      <c r="W58" s="25">
        <v>28224</v>
      </c>
      <c r="X58" s="25">
        <v>28276</v>
      </c>
      <c r="Y58" s="12">
        <v>5.84</v>
      </c>
      <c r="Z58" s="6"/>
      <c r="AA58" s="6"/>
      <c r="AB58" s="6"/>
      <c r="AC58" s="12"/>
      <c r="AD58" s="7"/>
      <c r="AE58" s="6"/>
      <c r="AF58" s="6"/>
      <c r="AG58" s="12"/>
      <c r="AH58" s="6"/>
      <c r="AI58" s="6"/>
      <c r="AJ58" s="6"/>
      <c r="AK58" s="12"/>
      <c r="AL58" s="6"/>
      <c r="AM58" s="6"/>
      <c r="AN58" s="6"/>
      <c r="AO58" s="12"/>
      <c r="AP58" s="6"/>
      <c r="AQ58" s="6"/>
      <c r="AR58" s="6"/>
      <c r="AS58" s="26">
        <v>35.794889233112599</v>
      </c>
      <c r="AT58" s="26">
        <v>-78.694466693999303</v>
      </c>
      <c r="AU58" s="27">
        <v>28066</v>
      </c>
      <c r="AV58" s="27">
        <v>28285</v>
      </c>
      <c r="AW58" s="25">
        <v>28224</v>
      </c>
      <c r="AX58" s="25">
        <v>28276</v>
      </c>
      <c r="AY58" s="28">
        <f t="shared" si="18"/>
        <v>-59</v>
      </c>
      <c r="AZ58" s="28">
        <f t="shared" si="42"/>
        <v>160</v>
      </c>
      <c r="BA58" s="37">
        <f t="shared" si="20"/>
        <v>220</v>
      </c>
      <c r="BB58" s="28">
        <f t="shared" si="21"/>
        <v>99</v>
      </c>
      <c r="BC58" s="28">
        <f t="shared" si="43"/>
        <v>151</v>
      </c>
      <c r="BD58" s="26">
        <f t="shared" si="44"/>
        <v>53</v>
      </c>
      <c r="BE58" s="26"/>
      <c r="BF58" s="36">
        <f>AW58+9+5</f>
        <v>28238</v>
      </c>
      <c r="BG58" s="26">
        <f t="shared" ref="BG58:BG68" si="47">AV58-BF58+1</f>
        <v>48</v>
      </c>
      <c r="BH58" s="26"/>
      <c r="BI58">
        <f t="shared" ref="BI58:BI68" si="48">BF58-AW58</f>
        <v>14</v>
      </c>
      <c r="BJ58">
        <f t="shared" ref="BJ58:BJ68" si="49">AX58-BF58</f>
        <v>38</v>
      </c>
    </row>
    <row r="59" spans="1:62" ht="15.6" x14ac:dyDescent="0.3">
      <c r="A59" s="6">
        <v>1</v>
      </c>
      <c r="B59" s="6"/>
      <c r="C59" s="6"/>
      <c r="D59" s="13" t="s">
        <v>260</v>
      </c>
      <c r="E59" s="13" t="s">
        <v>261</v>
      </c>
      <c r="F59" s="9" t="str">
        <f t="shared" si="33"/>
        <v>Heagle1979Coker47-271977OTC</v>
      </c>
      <c r="G59" s="6" t="s">
        <v>262</v>
      </c>
      <c r="H59" s="6" t="s">
        <v>130</v>
      </c>
      <c r="I59" s="6" t="s">
        <v>130</v>
      </c>
      <c r="J59" s="6" t="s">
        <v>263</v>
      </c>
      <c r="K59" s="6" t="s">
        <v>265</v>
      </c>
      <c r="L59" s="6">
        <v>1977</v>
      </c>
      <c r="M59" s="6" t="s">
        <v>97</v>
      </c>
      <c r="N59" s="7" t="s">
        <v>51</v>
      </c>
      <c r="O59" s="6" t="s">
        <v>132</v>
      </c>
      <c r="P59" s="6">
        <f t="shared" si="45"/>
        <v>32.077318811881185</v>
      </c>
      <c r="Q59" s="6"/>
      <c r="R59" s="6">
        <v>30</v>
      </c>
      <c r="S59" s="6">
        <v>7</v>
      </c>
      <c r="T59" s="6">
        <f t="shared" si="46"/>
        <v>53</v>
      </c>
      <c r="U59" s="6">
        <v>4</v>
      </c>
      <c r="V59" s="6">
        <v>6.4205589999999999</v>
      </c>
      <c r="W59" s="25">
        <v>28224</v>
      </c>
      <c r="X59" s="25">
        <v>28276</v>
      </c>
      <c r="Y59" s="12">
        <v>5.09</v>
      </c>
      <c r="Z59" s="6"/>
      <c r="AA59" s="6"/>
      <c r="AB59" s="6"/>
      <c r="AC59" s="12"/>
      <c r="AD59" s="7"/>
      <c r="AE59" s="6"/>
      <c r="AF59" s="6"/>
      <c r="AG59" s="12"/>
      <c r="AH59" s="6"/>
      <c r="AI59" s="6"/>
      <c r="AJ59" s="6"/>
      <c r="AK59" s="12"/>
      <c r="AL59" s="6"/>
      <c r="AM59" s="6"/>
      <c r="AN59" s="6"/>
      <c r="AO59" s="12"/>
      <c r="AP59" s="6"/>
      <c r="AQ59" s="6"/>
      <c r="AR59" s="6"/>
      <c r="AS59" s="26">
        <v>35.794889233112599</v>
      </c>
      <c r="AT59" s="26">
        <v>-78.694466693999303</v>
      </c>
      <c r="AU59" s="27">
        <v>28066</v>
      </c>
      <c r="AV59" s="27">
        <v>28285</v>
      </c>
      <c r="AW59" s="25">
        <v>28224</v>
      </c>
      <c r="AX59" s="25">
        <v>28276</v>
      </c>
      <c r="AY59" s="28">
        <f t="shared" si="18"/>
        <v>-59</v>
      </c>
      <c r="AZ59" s="28">
        <f t="shared" si="42"/>
        <v>160</v>
      </c>
      <c r="BA59" s="37">
        <f t="shared" si="20"/>
        <v>220</v>
      </c>
      <c r="BB59" s="28">
        <f t="shared" si="21"/>
        <v>99</v>
      </c>
      <c r="BC59" s="28">
        <f t="shared" si="43"/>
        <v>151</v>
      </c>
      <c r="BD59" s="26">
        <f t="shared" si="44"/>
        <v>53</v>
      </c>
      <c r="BE59" s="26"/>
      <c r="BF59" s="36">
        <f>AW59+9+5</f>
        <v>28238</v>
      </c>
      <c r="BG59" s="26">
        <f t="shared" si="47"/>
        <v>48</v>
      </c>
      <c r="BH59" s="26"/>
      <c r="BI59">
        <f t="shared" si="48"/>
        <v>14</v>
      </c>
      <c r="BJ59">
        <f t="shared" si="49"/>
        <v>38</v>
      </c>
    </row>
    <row r="60" spans="1:62" ht="15.6" x14ac:dyDescent="0.3">
      <c r="A60" s="6">
        <v>1</v>
      </c>
      <c r="B60" s="6"/>
      <c r="C60" s="6"/>
      <c r="D60" s="13" t="s">
        <v>260</v>
      </c>
      <c r="E60" s="13" t="s">
        <v>261</v>
      </c>
      <c r="F60" s="9" t="str">
        <f t="shared" si="33"/>
        <v>Heagle1979Holly1977OTC</v>
      </c>
      <c r="G60" s="6" t="s">
        <v>262</v>
      </c>
      <c r="H60" s="6" t="s">
        <v>130</v>
      </c>
      <c r="I60" s="6" t="s">
        <v>130</v>
      </c>
      <c r="J60" s="6" t="s">
        <v>263</v>
      </c>
      <c r="K60" s="6" t="s">
        <v>266</v>
      </c>
      <c r="L60" s="6">
        <v>1977</v>
      </c>
      <c r="M60" s="6" t="s">
        <v>97</v>
      </c>
      <c r="N60" s="7" t="s">
        <v>51</v>
      </c>
      <c r="O60" s="6" t="s">
        <v>132</v>
      </c>
      <c r="P60" s="6">
        <f t="shared" si="45"/>
        <v>32.077318811881185</v>
      </c>
      <c r="Q60" s="6"/>
      <c r="R60" s="6">
        <v>30</v>
      </c>
      <c r="S60" s="6">
        <v>7</v>
      </c>
      <c r="T60" s="6">
        <f t="shared" si="46"/>
        <v>53</v>
      </c>
      <c r="U60" s="6">
        <v>4</v>
      </c>
      <c r="V60" s="6">
        <v>6.4205589999999999</v>
      </c>
      <c r="W60" s="25">
        <v>28224</v>
      </c>
      <c r="X60" s="25">
        <v>28276</v>
      </c>
      <c r="Y60" s="12">
        <v>4.95</v>
      </c>
      <c r="Z60" s="6"/>
      <c r="AA60" s="6"/>
      <c r="AB60" s="6"/>
      <c r="AC60" s="12"/>
      <c r="AD60" s="7"/>
      <c r="AE60" s="6"/>
      <c r="AF60" s="6"/>
      <c r="AG60" s="12"/>
      <c r="AH60" s="6"/>
      <c r="AI60" s="6"/>
      <c r="AJ60" s="6"/>
      <c r="AK60" s="12"/>
      <c r="AL60" s="6"/>
      <c r="AM60" s="6"/>
      <c r="AN60" s="6"/>
      <c r="AO60" s="12"/>
      <c r="AP60" s="6"/>
      <c r="AQ60" s="6"/>
      <c r="AR60" s="6"/>
      <c r="AS60" s="26">
        <v>35.794889233112599</v>
      </c>
      <c r="AT60" s="26">
        <v>-78.694466693999303</v>
      </c>
      <c r="AU60" s="27">
        <v>28066</v>
      </c>
      <c r="AV60" s="27">
        <v>28285</v>
      </c>
      <c r="AW60" s="25">
        <v>28224</v>
      </c>
      <c r="AX60" s="25">
        <v>28276</v>
      </c>
      <c r="AY60" s="28">
        <f t="shared" si="18"/>
        <v>-59</v>
      </c>
      <c r="AZ60" s="28">
        <f t="shared" si="42"/>
        <v>160</v>
      </c>
      <c r="BA60" s="37">
        <f t="shared" si="20"/>
        <v>220</v>
      </c>
      <c r="BB60" s="28">
        <f t="shared" si="21"/>
        <v>99</v>
      </c>
      <c r="BC60" s="28">
        <f t="shared" si="43"/>
        <v>151</v>
      </c>
      <c r="BD60" s="26">
        <f t="shared" si="44"/>
        <v>53</v>
      </c>
      <c r="BE60" s="26"/>
      <c r="BF60" s="36">
        <f>AW60+9+5</f>
        <v>28238</v>
      </c>
      <c r="BG60" s="26">
        <f t="shared" si="47"/>
        <v>48</v>
      </c>
      <c r="BH60" s="26"/>
      <c r="BI60">
        <f t="shared" si="48"/>
        <v>14</v>
      </c>
      <c r="BJ60">
        <f t="shared" si="49"/>
        <v>38</v>
      </c>
    </row>
    <row r="61" spans="1:62" ht="15.6" x14ac:dyDescent="0.3">
      <c r="A61" s="6">
        <v>1</v>
      </c>
      <c r="B61" s="6"/>
      <c r="C61" s="6"/>
      <c r="D61" s="13" t="s">
        <v>260</v>
      </c>
      <c r="E61" s="13" t="s">
        <v>261</v>
      </c>
      <c r="F61" s="9" t="str">
        <f t="shared" si="33"/>
        <v>Heagle1979Oasis1977OTC</v>
      </c>
      <c r="G61" s="6" t="s">
        <v>262</v>
      </c>
      <c r="H61" s="6" t="s">
        <v>130</v>
      </c>
      <c r="I61" s="6" t="s">
        <v>130</v>
      </c>
      <c r="J61" s="6" t="s">
        <v>263</v>
      </c>
      <c r="K61" s="6" t="s">
        <v>267</v>
      </c>
      <c r="L61" s="6">
        <v>1977</v>
      </c>
      <c r="M61" s="6" t="s">
        <v>97</v>
      </c>
      <c r="N61" s="7" t="s">
        <v>51</v>
      </c>
      <c r="O61" s="6" t="s">
        <v>132</v>
      </c>
      <c r="P61" s="6">
        <f t="shared" si="45"/>
        <v>32.077318811881185</v>
      </c>
      <c r="Q61" s="6"/>
      <c r="R61" s="6">
        <v>30</v>
      </c>
      <c r="S61" s="6">
        <v>7</v>
      </c>
      <c r="T61" s="6">
        <f t="shared" si="46"/>
        <v>53</v>
      </c>
      <c r="U61" s="6">
        <v>4</v>
      </c>
      <c r="V61" s="6">
        <v>6.4205589999999999</v>
      </c>
      <c r="W61" s="25">
        <v>28224</v>
      </c>
      <c r="X61" s="25">
        <v>28276</v>
      </c>
      <c r="Y61" s="12">
        <v>4.45</v>
      </c>
      <c r="Z61" s="6"/>
      <c r="AA61" s="6"/>
      <c r="AB61" s="6"/>
      <c r="AC61" s="12"/>
      <c r="AD61" s="7"/>
      <c r="AE61" s="6"/>
      <c r="AF61" s="6"/>
      <c r="AG61" s="12"/>
      <c r="AH61" s="6"/>
      <c r="AI61" s="6"/>
      <c r="AJ61" s="6"/>
      <c r="AK61" s="12"/>
      <c r="AL61" s="6"/>
      <c r="AM61" s="6"/>
      <c r="AN61" s="6"/>
      <c r="AO61" s="12"/>
      <c r="AP61" s="6"/>
      <c r="AQ61" s="6"/>
      <c r="AR61" s="6"/>
      <c r="AS61" s="26">
        <v>35.794889233112599</v>
      </c>
      <c r="AT61" s="26">
        <v>-78.694466693999303</v>
      </c>
      <c r="AU61" s="27">
        <v>28066</v>
      </c>
      <c r="AV61" s="27">
        <v>28285</v>
      </c>
      <c r="AW61" s="25">
        <v>28224</v>
      </c>
      <c r="AX61" s="25">
        <v>28276</v>
      </c>
      <c r="AY61" s="28">
        <f t="shared" si="18"/>
        <v>-59</v>
      </c>
      <c r="AZ61" s="28">
        <f t="shared" si="42"/>
        <v>160</v>
      </c>
      <c r="BA61" s="37">
        <f t="shared" si="20"/>
        <v>220</v>
      </c>
      <c r="BB61" s="28">
        <f t="shared" si="21"/>
        <v>99</v>
      </c>
      <c r="BC61" s="28">
        <f t="shared" si="43"/>
        <v>151</v>
      </c>
      <c r="BD61" s="26">
        <f t="shared" si="44"/>
        <v>53</v>
      </c>
      <c r="BE61" s="26"/>
      <c r="BF61" s="36">
        <f>AW61+9+5</f>
        <v>28238</v>
      </c>
      <c r="BG61" s="26">
        <f t="shared" si="47"/>
        <v>48</v>
      </c>
      <c r="BH61" s="26"/>
      <c r="BI61">
        <f t="shared" si="48"/>
        <v>14</v>
      </c>
      <c r="BJ61">
        <f t="shared" si="49"/>
        <v>38</v>
      </c>
    </row>
    <row r="62" spans="1:62" ht="15.6" x14ac:dyDescent="0.3">
      <c r="A62" s="6">
        <v>1</v>
      </c>
      <c r="B62" s="6"/>
      <c r="C62" s="6"/>
      <c r="D62" s="13" t="s">
        <v>260</v>
      </c>
      <c r="E62" s="13" t="s">
        <v>261</v>
      </c>
      <c r="F62" s="9" t="str">
        <f t="shared" si="33"/>
        <v>Heagle1979combined cultivars1977OTC</v>
      </c>
      <c r="G62" s="6" t="s">
        <v>262</v>
      </c>
      <c r="H62" s="6" t="s">
        <v>130</v>
      </c>
      <c r="I62" s="6" t="s">
        <v>130</v>
      </c>
      <c r="J62" s="6" t="s">
        <v>263</v>
      </c>
      <c r="K62" s="6" t="s">
        <v>268</v>
      </c>
      <c r="L62" s="6">
        <v>1977</v>
      </c>
      <c r="M62" s="6" t="s">
        <v>97</v>
      </c>
      <c r="N62" s="7" t="s">
        <v>51</v>
      </c>
      <c r="O62" s="6" t="s">
        <v>132</v>
      </c>
      <c r="P62" s="6">
        <f t="shared" si="45"/>
        <v>28.560487128712865</v>
      </c>
      <c r="Q62" s="6"/>
      <c r="R62" s="6">
        <v>30</v>
      </c>
      <c r="S62" s="6">
        <v>7</v>
      </c>
      <c r="T62" s="6">
        <f t="shared" si="46"/>
        <v>53</v>
      </c>
      <c r="U62" s="6">
        <v>4</v>
      </c>
      <c r="V62" s="6">
        <v>6.4205589999999999</v>
      </c>
      <c r="W62" s="25">
        <v>28224</v>
      </c>
      <c r="X62" s="25">
        <v>28276</v>
      </c>
      <c r="Y62" s="12"/>
      <c r="Z62" s="6"/>
      <c r="AA62" s="6"/>
      <c r="AB62" s="6"/>
      <c r="AC62" s="12">
        <v>3.49</v>
      </c>
      <c r="AD62" s="7" t="s">
        <v>269</v>
      </c>
      <c r="AE62" s="6"/>
      <c r="AF62" s="6"/>
      <c r="AG62" s="12"/>
      <c r="AH62" s="6"/>
      <c r="AI62" s="6"/>
      <c r="AJ62" s="6"/>
      <c r="AK62" s="12"/>
      <c r="AL62" s="6"/>
      <c r="AM62" s="6"/>
      <c r="AN62" s="6"/>
      <c r="AO62" s="12">
        <v>145.55873925501433</v>
      </c>
      <c r="AP62" s="6" t="s">
        <v>67</v>
      </c>
      <c r="AQ62" s="6"/>
      <c r="AR62" s="6"/>
      <c r="AS62" s="26">
        <v>35.794889233112599</v>
      </c>
      <c r="AT62" s="26">
        <v>-78.694466693999303</v>
      </c>
      <c r="AU62" s="27">
        <v>28066</v>
      </c>
      <c r="AV62" s="27">
        <v>28285</v>
      </c>
      <c r="AW62" s="25">
        <v>28224</v>
      </c>
      <c r="AX62" s="25">
        <v>28276</v>
      </c>
      <c r="AY62" s="28">
        <f t="shared" si="18"/>
        <v>-59</v>
      </c>
      <c r="AZ62" s="28">
        <f t="shared" si="42"/>
        <v>160</v>
      </c>
      <c r="BA62" s="37">
        <f t="shared" si="20"/>
        <v>220</v>
      </c>
      <c r="BB62" s="28">
        <f t="shared" si="21"/>
        <v>99</v>
      </c>
      <c r="BC62" s="28">
        <f t="shared" si="43"/>
        <v>151</v>
      </c>
      <c r="BD62" s="26">
        <f t="shared" si="44"/>
        <v>53</v>
      </c>
      <c r="BE62" s="26"/>
      <c r="BF62" s="36">
        <f>AW62+9+5</f>
        <v>28238</v>
      </c>
      <c r="BG62" s="26">
        <f t="shared" si="47"/>
        <v>48</v>
      </c>
      <c r="BH62" s="26"/>
      <c r="BI62">
        <f t="shared" si="48"/>
        <v>14</v>
      </c>
      <c r="BJ62">
        <f t="shared" si="49"/>
        <v>38</v>
      </c>
    </row>
    <row r="63" spans="1:62" ht="15.6" x14ac:dyDescent="0.3">
      <c r="A63" s="6">
        <v>1</v>
      </c>
      <c r="B63" s="6"/>
      <c r="C63" s="6"/>
      <c r="D63" s="6" t="s">
        <v>127</v>
      </c>
      <c r="E63" s="9" t="s">
        <v>128</v>
      </c>
      <c r="F63" s="9" t="str">
        <f t="shared" si="33"/>
        <v>1985-2071982OTC</v>
      </c>
      <c r="G63" s="6" t="s">
        <v>129</v>
      </c>
      <c r="H63" s="6" t="s">
        <v>130</v>
      </c>
      <c r="I63" s="6" t="s">
        <v>131</v>
      </c>
      <c r="J63" s="6" t="s">
        <v>96</v>
      </c>
      <c r="K63" s="6"/>
      <c r="L63" s="6">
        <v>1982</v>
      </c>
      <c r="M63" s="6" t="s">
        <v>36</v>
      </c>
      <c r="N63" s="6" t="s">
        <v>51</v>
      </c>
      <c r="O63" s="6" t="s">
        <v>132</v>
      </c>
      <c r="P63" s="6">
        <f t="shared" si="45"/>
        <v>23.867712475247529</v>
      </c>
      <c r="Q63" s="6"/>
      <c r="R63" s="6">
        <v>22</v>
      </c>
      <c r="S63" s="6">
        <v>7</v>
      </c>
      <c r="T63" s="6">
        <f t="shared" si="46"/>
        <v>61</v>
      </c>
      <c r="U63" s="6">
        <v>4</v>
      </c>
      <c r="V63" s="13">
        <v>0.93580380470402003</v>
      </c>
      <c r="W63" s="10">
        <v>30089</v>
      </c>
      <c r="X63" s="10">
        <v>30149</v>
      </c>
      <c r="Y63" s="12">
        <v>533.1</v>
      </c>
      <c r="Z63" s="6" t="s">
        <v>53</v>
      </c>
      <c r="AA63" s="6">
        <v>5.71</v>
      </c>
      <c r="AB63" s="6" t="s">
        <v>133</v>
      </c>
      <c r="AC63" s="12">
        <v>32.6</v>
      </c>
      <c r="AD63" s="7" t="s">
        <v>39</v>
      </c>
      <c r="AE63" s="6"/>
      <c r="AF63" s="6"/>
      <c r="AG63" s="12">
        <f>Y63/AC63*1000/(AK63)</f>
        <v>23.040072724167874</v>
      </c>
      <c r="AH63" s="6" t="s">
        <v>134</v>
      </c>
      <c r="AI63" s="6"/>
      <c r="AJ63" s="6"/>
      <c r="AK63" s="6">
        <f>AM63*5.71</f>
        <v>709.75299999999993</v>
      </c>
      <c r="AL63" s="6" t="s">
        <v>135</v>
      </c>
      <c r="AM63" s="6">
        <v>124.3</v>
      </c>
      <c r="AN63" s="6" t="s">
        <v>135</v>
      </c>
      <c r="AO63" s="12">
        <f t="shared" ref="AO63:AO68" si="50">Y63/AC63*1000</f>
        <v>16352.76073619632</v>
      </c>
      <c r="AP63" s="6" t="s">
        <v>54</v>
      </c>
      <c r="AQ63" s="6"/>
      <c r="AR63" s="6"/>
      <c r="AS63" s="26">
        <v>42.448509999999999</v>
      </c>
      <c r="AT63" s="26">
        <v>-76.478620000000006</v>
      </c>
      <c r="AU63" s="29"/>
      <c r="AV63" s="27">
        <v>30154</v>
      </c>
      <c r="AW63" s="25">
        <v>30089</v>
      </c>
      <c r="AX63" s="25">
        <v>30149</v>
      </c>
      <c r="AY63" s="28"/>
      <c r="AZ63" s="28">
        <f t="shared" si="42"/>
        <v>203</v>
      </c>
      <c r="BA63" s="37"/>
      <c r="BB63" s="28">
        <f t="shared" ref="BB63:BB92" si="51">AW63-INT(YEAR(AW63)&amp;"/1/1")+1</f>
        <v>138</v>
      </c>
      <c r="BC63" s="28">
        <f t="shared" si="43"/>
        <v>198</v>
      </c>
      <c r="BD63" s="26">
        <f t="shared" si="44"/>
        <v>61</v>
      </c>
      <c r="BE63" s="26"/>
      <c r="BF63" s="36">
        <f>AW63+9</f>
        <v>30098</v>
      </c>
      <c r="BG63" s="26">
        <f t="shared" si="47"/>
        <v>57</v>
      </c>
      <c r="BH63" s="26"/>
      <c r="BI63">
        <f t="shared" si="48"/>
        <v>9</v>
      </c>
      <c r="BJ63">
        <f t="shared" si="49"/>
        <v>51</v>
      </c>
    </row>
    <row r="64" spans="1:62" ht="15.6" x14ac:dyDescent="0.3">
      <c r="A64" s="6">
        <v>1</v>
      </c>
      <c r="B64" s="6"/>
      <c r="C64" s="6"/>
      <c r="D64" s="6" t="s">
        <v>139</v>
      </c>
      <c r="E64" s="9" t="s">
        <v>140</v>
      </c>
      <c r="F64" s="9" t="str">
        <f t="shared" si="33"/>
        <v>1985-215Abe1982OTC</v>
      </c>
      <c r="G64" s="6" t="s">
        <v>141</v>
      </c>
      <c r="H64" s="6" t="s">
        <v>130</v>
      </c>
      <c r="I64" s="6" t="s">
        <v>131</v>
      </c>
      <c r="J64" s="6" t="s">
        <v>96</v>
      </c>
      <c r="K64" s="6" t="s">
        <v>142</v>
      </c>
      <c r="L64" s="6">
        <v>1982</v>
      </c>
      <c r="M64" s="6" t="s">
        <v>36</v>
      </c>
      <c r="N64" s="6" t="s">
        <v>51</v>
      </c>
      <c r="O64" s="6" t="s">
        <v>132</v>
      </c>
      <c r="P64" s="6">
        <f t="shared" si="45"/>
        <v>24.592529108910892</v>
      </c>
      <c r="Q64" s="6"/>
      <c r="R64" s="6">
        <v>23</v>
      </c>
      <c r="S64" s="6">
        <v>7</v>
      </c>
      <c r="T64" s="6">
        <f t="shared" si="46"/>
        <v>56</v>
      </c>
      <c r="U64" s="6">
        <v>4</v>
      </c>
      <c r="V64" s="13">
        <v>1.18114946986415</v>
      </c>
      <c r="W64" s="10">
        <v>30079</v>
      </c>
      <c r="X64" s="10">
        <v>30134</v>
      </c>
      <c r="Y64" s="12">
        <v>531.5</v>
      </c>
      <c r="Z64" s="6" t="s">
        <v>53</v>
      </c>
      <c r="AA64" s="6">
        <v>4.92</v>
      </c>
      <c r="AB64" s="6" t="s">
        <v>133</v>
      </c>
      <c r="AC64" s="12">
        <v>42.9</v>
      </c>
      <c r="AD64" s="7" t="s">
        <v>39</v>
      </c>
      <c r="AE64" s="6"/>
      <c r="AF64" s="6"/>
      <c r="AG64" s="12">
        <v>22.5</v>
      </c>
      <c r="AH64" s="6" t="s">
        <v>134</v>
      </c>
      <c r="AI64" s="6"/>
      <c r="AJ64" s="6"/>
      <c r="AK64" s="6">
        <v>91</v>
      </c>
      <c r="AL64" s="6" t="s">
        <v>143</v>
      </c>
      <c r="AM64" s="6"/>
      <c r="AN64" s="6"/>
      <c r="AO64" s="12">
        <f t="shared" si="50"/>
        <v>12389.277389277389</v>
      </c>
      <c r="AP64" s="6" t="s">
        <v>54</v>
      </c>
      <c r="AQ64" s="6"/>
      <c r="AR64" s="6"/>
      <c r="AS64" s="26">
        <v>41.709166000000003</v>
      </c>
      <c r="AT64" s="26">
        <v>-87.981992000000005</v>
      </c>
      <c r="AU64" s="27">
        <v>29872</v>
      </c>
      <c r="AV64" s="25">
        <v>30139</v>
      </c>
      <c r="AW64" s="25">
        <v>30079</v>
      </c>
      <c r="AX64" s="25">
        <v>30134</v>
      </c>
      <c r="AY64" s="28">
        <f t="shared" ref="AY64:AY83" si="52">AU64-INT(YEAR(AV64)&amp;"/1/1")+1</f>
        <v>-79</v>
      </c>
      <c r="AZ64" s="28">
        <f t="shared" si="42"/>
        <v>188</v>
      </c>
      <c r="BA64" s="37">
        <f t="shared" ref="BA64:BA83" si="53">AZ64-AY64+1</f>
        <v>268</v>
      </c>
      <c r="BB64" s="28">
        <f t="shared" si="51"/>
        <v>128</v>
      </c>
      <c r="BC64" s="28">
        <f t="shared" si="43"/>
        <v>183</v>
      </c>
      <c r="BD64" s="26">
        <f t="shared" si="44"/>
        <v>56</v>
      </c>
      <c r="BE64" s="36">
        <v>30090</v>
      </c>
      <c r="BF64" s="36">
        <v>30105</v>
      </c>
      <c r="BG64" s="26">
        <f t="shared" si="47"/>
        <v>35</v>
      </c>
      <c r="BH64" s="26"/>
      <c r="BI64">
        <f t="shared" si="48"/>
        <v>26</v>
      </c>
      <c r="BJ64">
        <f t="shared" si="49"/>
        <v>29</v>
      </c>
    </row>
    <row r="65" spans="1:62" ht="15.6" x14ac:dyDescent="0.3">
      <c r="A65" s="6">
        <v>1</v>
      </c>
      <c r="B65" s="6"/>
      <c r="C65" s="6"/>
      <c r="D65" s="6" t="s">
        <v>139</v>
      </c>
      <c r="E65" s="9" t="s">
        <v>140</v>
      </c>
      <c r="F65" s="9" t="str">
        <f t="shared" si="33"/>
        <v>1985-215Arthur-711982OTC</v>
      </c>
      <c r="G65" s="6" t="s">
        <v>141</v>
      </c>
      <c r="H65" s="6" t="s">
        <v>130</v>
      </c>
      <c r="I65" s="6" t="s">
        <v>131</v>
      </c>
      <c r="J65" s="6" t="s">
        <v>96</v>
      </c>
      <c r="K65" s="6" t="s">
        <v>144</v>
      </c>
      <c r="L65" s="6">
        <v>1982</v>
      </c>
      <c r="M65" s="6" t="s">
        <v>36</v>
      </c>
      <c r="N65" s="6" t="s">
        <v>51</v>
      </c>
      <c r="O65" s="6" t="s">
        <v>132</v>
      </c>
      <c r="P65" s="6">
        <f t="shared" si="45"/>
        <v>24.592529108910892</v>
      </c>
      <c r="Q65" s="6"/>
      <c r="R65" s="6">
        <v>23</v>
      </c>
      <c r="S65" s="6">
        <v>7</v>
      </c>
      <c r="T65" s="6">
        <f t="shared" si="46"/>
        <v>56</v>
      </c>
      <c r="U65" s="6">
        <v>4</v>
      </c>
      <c r="V65" s="13">
        <v>1.18114946986415</v>
      </c>
      <c r="W65" s="10">
        <v>30079</v>
      </c>
      <c r="X65" s="10">
        <v>30134</v>
      </c>
      <c r="Y65" s="12">
        <v>464.7</v>
      </c>
      <c r="Z65" s="6" t="s">
        <v>53</v>
      </c>
      <c r="AA65" s="6">
        <v>4.92</v>
      </c>
      <c r="AB65" s="6" t="s">
        <v>133</v>
      </c>
      <c r="AC65" s="12">
        <v>43.2</v>
      </c>
      <c r="AD65" s="7" t="s">
        <v>39</v>
      </c>
      <c r="AE65" s="6"/>
      <c r="AF65" s="6"/>
      <c r="AG65" s="12">
        <v>23.1</v>
      </c>
      <c r="AH65" s="6" t="s">
        <v>134</v>
      </c>
      <c r="AI65" s="6"/>
      <c r="AJ65" s="6"/>
      <c r="AK65" s="12">
        <v>78</v>
      </c>
      <c r="AL65" s="6" t="s">
        <v>143</v>
      </c>
      <c r="AM65" s="6"/>
      <c r="AN65" s="6"/>
      <c r="AO65" s="12">
        <f t="shared" si="50"/>
        <v>10756.944444444443</v>
      </c>
      <c r="AP65" s="6" t="s">
        <v>54</v>
      </c>
      <c r="AQ65" s="6"/>
      <c r="AR65" s="6"/>
      <c r="AS65" s="26">
        <v>41.709166000000003</v>
      </c>
      <c r="AT65" s="26">
        <v>-87.981992000000005</v>
      </c>
      <c r="AU65" s="27">
        <v>29872</v>
      </c>
      <c r="AV65" s="25">
        <v>30139</v>
      </c>
      <c r="AW65" s="25">
        <v>30079</v>
      </c>
      <c r="AX65" s="25">
        <v>30134</v>
      </c>
      <c r="AY65" s="28">
        <f t="shared" si="52"/>
        <v>-79</v>
      </c>
      <c r="AZ65" s="28">
        <f t="shared" si="42"/>
        <v>188</v>
      </c>
      <c r="BA65" s="37">
        <f t="shared" si="53"/>
        <v>268</v>
      </c>
      <c r="BB65" s="28">
        <f t="shared" si="51"/>
        <v>128</v>
      </c>
      <c r="BC65" s="28">
        <f t="shared" si="43"/>
        <v>183</v>
      </c>
      <c r="BD65" s="26">
        <f t="shared" si="44"/>
        <v>56</v>
      </c>
      <c r="BE65" s="36">
        <v>30090</v>
      </c>
      <c r="BF65" s="36">
        <v>30105</v>
      </c>
      <c r="BG65" s="26">
        <f t="shared" si="47"/>
        <v>35</v>
      </c>
      <c r="BH65" s="26"/>
      <c r="BI65">
        <f t="shared" si="48"/>
        <v>26</v>
      </c>
      <c r="BJ65">
        <f t="shared" si="49"/>
        <v>29</v>
      </c>
    </row>
    <row r="66" spans="1:62" ht="15.6" x14ac:dyDescent="0.3">
      <c r="A66" s="6">
        <v>1</v>
      </c>
      <c r="B66" s="6"/>
      <c r="C66" s="6"/>
      <c r="D66" s="6" t="s">
        <v>139</v>
      </c>
      <c r="E66" s="9" t="s">
        <v>140</v>
      </c>
      <c r="F66" s="9" t="str">
        <f t="shared" ref="F66:F92" si="54">D66&amp;K66&amp;L66&amp;M66</f>
        <v>1985-215Roland1982OTC</v>
      </c>
      <c r="G66" s="6" t="s">
        <v>141</v>
      </c>
      <c r="H66" s="6" t="s">
        <v>130</v>
      </c>
      <c r="I66" s="6" t="s">
        <v>131</v>
      </c>
      <c r="J66" s="6" t="s">
        <v>96</v>
      </c>
      <c r="K66" s="6" t="s">
        <v>145</v>
      </c>
      <c r="L66" s="6">
        <v>1982</v>
      </c>
      <c r="M66" s="6" t="s">
        <v>36</v>
      </c>
      <c r="N66" s="6" t="s">
        <v>51</v>
      </c>
      <c r="O66" s="6" t="s">
        <v>132</v>
      </c>
      <c r="P66" s="6">
        <f t="shared" si="45"/>
        <v>22.57272712871287</v>
      </c>
      <c r="Q66" s="6"/>
      <c r="R66" s="6">
        <v>23</v>
      </c>
      <c r="S66" s="6">
        <v>7</v>
      </c>
      <c r="T66" s="6">
        <f t="shared" si="46"/>
        <v>56</v>
      </c>
      <c r="U66" s="6">
        <v>4</v>
      </c>
      <c r="V66" s="13">
        <v>1.18114946986415</v>
      </c>
      <c r="W66" s="10">
        <v>30079</v>
      </c>
      <c r="X66" s="10">
        <v>30134</v>
      </c>
      <c r="Y66" s="12">
        <v>500.7</v>
      </c>
      <c r="Z66" s="6" t="s">
        <v>53</v>
      </c>
      <c r="AA66" s="6">
        <v>4.92</v>
      </c>
      <c r="AB66" s="6" t="s">
        <v>133</v>
      </c>
      <c r="AC66" s="12">
        <v>36.4</v>
      </c>
      <c r="AD66" s="7" t="s">
        <v>39</v>
      </c>
      <c r="AE66" s="6"/>
      <c r="AF66" s="6"/>
      <c r="AG66" s="12">
        <v>30.8</v>
      </c>
      <c r="AH66" s="6" t="s">
        <v>134</v>
      </c>
      <c r="AI66" s="6"/>
      <c r="AJ66" s="6"/>
      <c r="AK66" s="12">
        <v>82</v>
      </c>
      <c r="AL66" s="6" t="s">
        <v>143</v>
      </c>
      <c r="AM66" s="6"/>
      <c r="AN66" s="6"/>
      <c r="AO66" s="12">
        <f t="shared" si="50"/>
        <v>13755.494505494506</v>
      </c>
      <c r="AP66" s="6" t="s">
        <v>54</v>
      </c>
      <c r="AQ66" s="6"/>
      <c r="AR66" s="6"/>
      <c r="AS66" s="26">
        <v>41.709166000000003</v>
      </c>
      <c r="AT66" s="26">
        <v>-87.981992000000005</v>
      </c>
      <c r="AU66" s="27">
        <v>29872</v>
      </c>
      <c r="AV66" s="25">
        <v>30139</v>
      </c>
      <c r="AW66" s="25">
        <v>30079</v>
      </c>
      <c r="AX66" s="25">
        <v>30134</v>
      </c>
      <c r="AY66" s="28">
        <f t="shared" si="52"/>
        <v>-79</v>
      </c>
      <c r="AZ66" s="28">
        <f t="shared" si="42"/>
        <v>188</v>
      </c>
      <c r="BA66" s="37">
        <f t="shared" si="53"/>
        <v>268</v>
      </c>
      <c r="BB66" s="28">
        <f t="shared" si="51"/>
        <v>128</v>
      </c>
      <c r="BC66" s="28">
        <f t="shared" si="43"/>
        <v>183</v>
      </c>
      <c r="BD66" s="26">
        <f t="shared" si="44"/>
        <v>56</v>
      </c>
      <c r="BE66" s="36">
        <v>30090</v>
      </c>
      <c r="BF66" s="36">
        <v>30105</v>
      </c>
      <c r="BG66" s="26">
        <f t="shared" si="47"/>
        <v>35</v>
      </c>
      <c r="BH66" s="26"/>
      <c r="BI66">
        <f t="shared" si="48"/>
        <v>26</v>
      </c>
      <c r="BJ66">
        <f t="shared" si="49"/>
        <v>29</v>
      </c>
    </row>
    <row r="67" spans="1:62" ht="15.6" x14ac:dyDescent="0.3">
      <c r="A67" s="6">
        <v>1</v>
      </c>
      <c r="B67" s="6"/>
      <c r="C67" s="6"/>
      <c r="D67" s="6" t="s">
        <v>139</v>
      </c>
      <c r="E67" s="9" t="s">
        <v>140</v>
      </c>
      <c r="F67" s="9" t="str">
        <f t="shared" si="54"/>
        <v>1985-215Abe1983OTC</v>
      </c>
      <c r="G67" s="6" t="s">
        <v>141</v>
      </c>
      <c r="H67" s="6" t="s">
        <v>130</v>
      </c>
      <c r="I67" s="6" t="s">
        <v>131</v>
      </c>
      <c r="J67" s="6" t="s">
        <v>96</v>
      </c>
      <c r="K67" s="6" t="s">
        <v>142</v>
      </c>
      <c r="L67" s="6">
        <v>1983</v>
      </c>
      <c r="M67" s="6" t="s">
        <v>36</v>
      </c>
      <c r="N67" s="6" t="s">
        <v>51</v>
      </c>
      <c r="O67" s="6" t="s">
        <v>132</v>
      </c>
      <c r="P67" s="6">
        <f t="shared" si="45"/>
        <v>19.246369900990103</v>
      </c>
      <c r="Q67" s="6"/>
      <c r="R67" s="6">
        <v>18</v>
      </c>
      <c r="S67" s="6">
        <v>7</v>
      </c>
      <c r="T67" s="6">
        <f t="shared" si="46"/>
        <v>54</v>
      </c>
      <c r="U67" s="6">
        <v>4</v>
      </c>
      <c r="V67" s="13">
        <v>0.92844217674115304</v>
      </c>
      <c r="W67" s="10">
        <v>30444</v>
      </c>
      <c r="X67" s="10">
        <v>30497</v>
      </c>
      <c r="Y67" s="12">
        <v>580.79999999999995</v>
      </c>
      <c r="Z67" s="6" t="s">
        <v>53</v>
      </c>
      <c r="AA67" s="6">
        <v>40</v>
      </c>
      <c r="AB67" s="6" t="s">
        <v>146</v>
      </c>
      <c r="AC67" s="12">
        <v>34.4</v>
      </c>
      <c r="AD67" s="7" t="s">
        <v>39</v>
      </c>
      <c r="AE67" s="6"/>
      <c r="AF67" s="6"/>
      <c r="AG67" s="12">
        <v>18.899999999999999</v>
      </c>
      <c r="AH67" s="6" t="s">
        <v>134</v>
      </c>
      <c r="AI67" s="6"/>
      <c r="AJ67" s="6"/>
      <c r="AK67" s="12">
        <v>167</v>
      </c>
      <c r="AL67" s="6" t="s">
        <v>143</v>
      </c>
      <c r="AM67" s="6"/>
      <c r="AN67" s="6"/>
      <c r="AO67" s="12">
        <f t="shared" si="50"/>
        <v>16883.720930232557</v>
      </c>
      <c r="AP67" s="6" t="s">
        <v>54</v>
      </c>
      <c r="AQ67" s="6"/>
      <c r="AR67" s="6"/>
      <c r="AS67" s="26">
        <v>41.709166000000003</v>
      </c>
      <c r="AT67" s="26">
        <v>-87.981992000000005</v>
      </c>
      <c r="AU67" s="27">
        <v>30237</v>
      </c>
      <c r="AV67" s="25">
        <v>30504</v>
      </c>
      <c r="AW67" s="25">
        <v>30444</v>
      </c>
      <c r="AX67" s="25">
        <v>30497</v>
      </c>
      <c r="AY67" s="28">
        <f t="shared" si="52"/>
        <v>-79</v>
      </c>
      <c r="AZ67" s="28">
        <f t="shared" si="42"/>
        <v>188</v>
      </c>
      <c r="BA67" s="37">
        <f t="shared" si="53"/>
        <v>268</v>
      </c>
      <c r="BB67" s="28">
        <f t="shared" si="51"/>
        <v>128</v>
      </c>
      <c r="BC67" s="28">
        <f t="shared" si="43"/>
        <v>181</v>
      </c>
      <c r="BD67" s="26">
        <f t="shared" si="44"/>
        <v>54</v>
      </c>
      <c r="BE67" s="36">
        <v>30463</v>
      </c>
      <c r="BF67" s="36">
        <v>30481</v>
      </c>
      <c r="BG67" s="26">
        <f t="shared" si="47"/>
        <v>24</v>
      </c>
      <c r="BH67" s="26"/>
      <c r="BI67">
        <f t="shared" si="48"/>
        <v>37</v>
      </c>
      <c r="BJ67">
        <f t="shared" si="49"/>
        <v>16</v>
      </c>
    </row>
    <row r="68" spans="1:62" ht="15.6" x14ac:dyDescent="0.3">
      <c r="A68" s="6">
        <v>1</v>
      </c>
      <c r="B68" s="6"/>
      <c r="C68" s="6"/>
      <c r="D68" s="6" t="s">
        <v>139</v>
      </c>
      <c r="E68" s="9" t="s">
        <v>140</v>
      </c>
      <c r="F68" s="9" t="str">
        <f t="shared" si="54"/>
        <v>1985-215Arthur-711983OTC</v>
      </c>
      <c r="G68" s="6" t="s">
        <v>141</v>
      </c>
      <c r="H68" s="6" t="s">
        <v>130</v>
      </c>
      <c r="I68" s="6" t="s">
        <v>131</v>
      </c>
      <c r="J68" s="6" t="s">
        <v>96</v>
      </c>
      <c r="K68" s="6" t="s">
        <v>144</v>
      </c>
      <c r="L68" s="6">
        <v>1983</v>
      </c>
      <c r="M68" s="6" t="s">
        <v>36</v>
      </c>
      <c r="N68" s="6" t="s">
        <v>51</v>
      </c>
      <c r="O68" s="6" t="s">
        <v>132</v>
      </c>
      <c r="P68" s="6">
        <f t="shared" si="45"/>
        <v>31.008746138613862</v>
      </c>
      <c r="Q68" s="6"/>
      <c r="R68" s="6">
        <v>18</v>
      </c>
      <c r="S68" s="6">
        <v>7</v>
      </c>
      <c r="T68" s="6">
        <f t="shared" si="46"/>
        <v>54</v>
      </c>
      <c r="U68" s="6">
        <v>4</v>
      </c>
      <c r="V68" s="13">
        <v>0.92844217674115304</v>
      </c>
      <c r="W68" s="10">
        <v>30444</v>
      </c>
      <c r="X68" s="10">
        <v>30497</v>
      </c>
      <c r="Y68" s="12">
        <v>515.1</v>
      </c>
      <c r="Z68" s="6" t="s">
        <v>53</v>
      </c>
      <c r="AA68" s="6">
        <v>40</v>
      </c>
      <c r="AB68" s="6" t="s">
        <v>146</v>
      </c>
      <c r="AC68" s="12">
        <v>31</v>
      </c>
      <c r="AD68" s="7" t="s">
        <v>39</v>
      </c>
      <c r="AE68" s="6"/>
      <c r="AF68" s="6"/>
      <c r="AG68" s="12">
        <v>20.2</v>
      </c>
      <c r="AH68" s="6" t="s">
        <v>134</v>
      </c>
      <c r="AI68" s="6"/>
      <c r="AJ68" s="6"/>
      <c r="AK68" s="12">
        <v>160</v>
      </c>
      <c r="AL68" s="6" t="s">
        <v>143</v>
      </c>
      <c r="AM68" s="6"/>
      <c r="AN68" s="6"/>
      <c r="AO68" s="12">
        <f t="shared" si="50"/>
        <v>16616.129032258064</v>
      </c>
      <c r="AP68" s="6" t="s">
        <v>54</v>
      </c>
      <c r="AQ68" s="6"/>
      <c r="AR68" s="6"/>
      <c r="AS68" s="26">
        <v>41.709166000000003</v>
      </c>
      <c r="AT68" s="26">
        <v>-87.981992000000005</v>
      </c>
      <c r="AU68" s="27">
        <v>30237</v>
      </c>
      <c r="AV68" s="25">
        <v>30504</v>
      </c>
      <c r="AW68" s="25">
        <v>30444</v>
      </c>
      <c r="AX68" s="25">
        <v>30497</v>
      </c>
      <c r="AY68" s="28">
        <f t="shared" si="52"/>
        <v>-79</v>
      </c>
      <c r="AZ68" s="28">
        <f t="shared" si="42"/>
        <v>188</v>
      </c>
      <c r="BA68" s="37">
        <f t="shared" si="53"/>
        <v>268</v>
      </c>
      <c r="BB68" s="28">
        <f t="shared" si="51"/>
        <v>128</v>
      </c>
      <c r="BC68" s="28">
        <f t="shared" si="43"/>
        <v>181</v>
      </c>
      <c r="BD68" s="26">
        <f t="shared" si="44"/>
        <v>54</v>
      </c>
      <c r="BE68" s="36">
        <v>30463</v>
      </c>
      <c r="BF68" s="36">
        <v>30481</v>
      </c>
      <c r="BG68" s="26">
        <f t="shared" si="47"/>
        <v>24</v>
      </c>
      <c r="BH68" s="26"/>
      <c r="BI68">
        <f t="shared" si="48"/>
        <v>37</v>
      </c>
      <c r="BJ68">
        <f t="shared" si="49"/>
        <v>16</v>
      </c>
    </row>
    <row r="69" spans="1:62" ht="15.6" x14ac:dyDescent="0.3">
      <c r="A69" s="6">
        <v>0</v>
      </c>
      <c r="B69" s="6"/>
      <c r="C69" s="6"/>
      <c r="D69" s="6" t="s">
        <v>147</v>
      </c>
      <c r="E69" s="9" t="s">
        <v>148</v>
      </c>
      <c r="F69" s="9" t="str">
        <f t="shared" si="54"/>
        <v>1996-89/91Massey1991OTC</v>
      </c>
      <c r="G69" s="6" t="s">
        <v>149</v>
      </c>
      <c r="H69" s="6" t="s">
        <v>130</v>
      </c>
      <c r="I69" s="6" t="s">
        <v>131</v>
      </c>
      <c r="J69" s="6" t="s">
        <v>96</v>
      </c>
      <c r="K69" s="6" t="s">
        <v>150</v>
      </c>
      <c r="L69" s="6">
        <v>1991</v>
      </c>
      <c r="M69" s="6" t="s">
        <v>97</v>
      </c>
      <c r="N69" s="6" t="s">
        <v>37</v>
      </c>
      <c r="O69" s="6" t="s">
        <v>74</v>
      </c>
      <c r="P69" s="7">
        <f>R69/1.01*1.08</f>
        <v>48.653465346534652</v>
      </c>
      <c r="Q69" s="6"/>
      <c r="R69" s="6">
        <v>45.5</v>
      </c>
      <c r="S69" s="6">
        <v>7</v>
      </c>
      <c r="T69" s="6">
        <f t="shared" si="46"/>
        <v>61</v>
      </c>
      <c r="U69" s="6">
        <v>4</v>
      </c>
      <c r="V69" s="13">
        <v>8.8102571203145104</v>
      </c>
      <c r="W69" s="10">
        <v>33329</v>
      </c>
      <c r="X69" s="10">
        <v>33389</v>
      </c>
      <c r="Y69" s="12"/>
      <c r="Z69" s="6"/>
      <c r="AA69" s="6"/>
      <c r="AB69" s="6"/>
      <c r="AC69" s="12"/>
      <c r="AD69" s="7"/>
      <c r="AE69" s="6"/>
      <c r="AF69" s="6"/>
      <c r="AG69" s="12"/>
      <c r="AH69" s="6"/>
      <c r="AI69" s="6"/>
      <c r="AJ69" s="6"/>
      <c r="AK69" s="12"/>
      <c r="AL69" s="6"/>
      <c r="AM69" s="6"/>
      <c r="AN69" s="6"/>
      <c r="AO69" s="12"/>
      <c r="AP69" s="6"/>
      <c r="AQ69" s="6"/>
      <c r="AR69" s="6"/>
      <c r="AS69" s="30">
        <f>39+2/60</f>
        <v>39.033333333333331</v>
      </c>
      <c r="AT69" s="30">
        <f>-(76+53/60)</f>
        <v>-76.88333333333334</v>
      </c>
      <c r="AU69" s="27">
        <v>33161</v>
      </c>
      <c r="AV69" s="25">
        <v>33389</v>
      </c>
      <c r="AW69" s="25">
        <v>33329</v>
      </c>
      <c r="AX69" s="25">
        <v>33389</v>
      </c>
      <c r="AY69" s="28">
        <f t="shared" si="52"/>
        <v>-77</v>
      </c>
      <c r="AZ69" s="28">
        <f t="shared" si="42"/>
        <v>151</v>
      </c>
      <c r="BA69" s="37">
        <f t="shared" si="53"/>
        <v>229</v>
      </c>
      <c r="BB69" s="28">
        <f t="shared" si="51"/>
        <v>91</v>
      </c>
      <c r="BC69" s="28">
        <f t="shared" si="43"/>
        <v>151</v>
      </c>
      <c r="BD69" s="26">
        <f t="shared" si="44"/>
        <v>61</v>
      </c>
      <c r="BE69" s="26"/>
      <c r="BF69" s="26"/>
      <c r="BG69" s="26"/>
      <c r="BH69" s="26"/>
    </row>
    <row r="70" spans="1:62" ht="15.6" x14ac:dyDescent="0.3">
      <c r="A70" s="6">
        <v>0</v>
      </c>
      <c r="B70" s="6"/>
      <c r="C70" s="6"/>
      <c r="D70" s="6" t="s">
        <v>147</v>
      </c>
      <c r="E70" s="9" t="s">
        <v>152</v>
      </c>
      <c r="F70" s="9" t="str">
        <f t="shared" si="54"/>
        <v>1996-89/91Saluda1992OTC</v>
      </c>
      <c r="G70" s="6" t="s">
        <v>149</v>
      </c>
      <c r="H70" s="6" t="s">
        <v>130</v>
      </c>
      <c r="I70" s="6" t="s">
        <v>131</v>
      </c>
      <c r="J70" s="6" t="s">
        <v>96</v>
      </c>
      <c r="K70" s="6" t="s">
        <v>153</v>
      </c>
      <c r="L70" s="6">
        <v>1992</v>
      </c>
      <c r="M70" s="6" t="s">
        <v>97</v>
      </c>
      <c r="N70" s="6" t="s">
        <v>37</v>
      </c>
      <c r="O70" s="6" t="s">
        <v>74</v>
      </c>
      <c r="P70" s="7">
        <f>R70/1.01*1.08</f>
        <v>43.520792079207929</v>
      </c>
      <c r="Q70" s="6"/>
      <c r="R70" s="6">
        <v>40.700000000000003</v>
      </c>
      <c r="S70" s="6">
        <v>7</v>
      </c>
      <c r="T70" s="6">
        <f t="shared" si="46"/>
        <v>71</v>
      </c>
      <c r="U70" s="6">
        <v>4</v>
      </c>
      <c r="V70" s="13">
        <v>5.3473211011920796</v>
      </c>
      <c r="W70" s="10">
        <v>33708</v>
      </c>
      <c r="X70" s="10">
        <v>33778</v>
      </c>
      <c r="Y70" s="12"/>
      <c r="Z70" s="6"/>
      <c r="AA70" s="6"/>
      <c r="AB70" s="6"/>
      <c r="AC70" s="12"/>
      <c r="AD70" s="7"/>
      <c r="AE70" s="6"/>
      <c r="AF70" s="6"/>
      <c r="AG70" s="12"/>
      <c r="AH70" s="6"/>
      <c r="AI70" s="6"/>
      <c r="AJ70" s="6"/>
      <c r="AK70" s="12"/>
      <c r="AL70" s="6"/>
      <c r="AM70" s="6"/>
      <c r="AN70" s="6"/>
      <c r="AO70" s="12"/>
      <c r="AP70" s="6"/>
      <c r="AQ70" s="6"/>
      <c r="AR70" s="6"/>
      <c r="AS70" s="30">
        <f>39+2/60</f>
        <v>39.033333333333331</v>
      </c>
      <c r="AT70" s="30">
        <f>-(76+53/60)</f>
        <v>-76.88333333333334</v>
      </c>
      <c r="AU70" s="27">
        <v>33526</v>
      </c>
      <c r="AV70" s="25">
        <v>33778</v>
      </c>
      <c r="AW70" s="25">
        <v>33708</v>
      </c>
      <c r="AX70" s="25">
        <v>33778</v>
      </c>
      <c r="AY70" s="28">
        <f t="shared" si="52"/>
        <v>-77</v>
      </c>
      <c r="AZ70" s="28">
        <f t="shared" si="42"/>
        <v>175</v>
      </c>
      <c r="BA70" s="37">
        <f t="shared" si="53"/>
        <v>253</v>
      </c>
      <c r="BB70" s="28">
        <f t="shared" si="51"/>
        <v>105</v>
      </c>
      <c r="BC70" s="28">
        <f t="shared" si="43"/>
        <v>175</v>
      </c>
      <c r="BD70" s="26">
        <f t="shared" si="44"/>
        <v>71</v>
      </c>
      <c r="BE70" s="26"/>
      <c r="BF70" s="26"/>
      <c r="BG70" s="26"/>
      <c r="BH70" s="26"/>
    </row>
    <row r="71" spans="1:62" ht="15.6" x14ac:dyDescent="0.3">
      <c r="A71" s="6">
        <v>1</v>
      </c>
      <c r="B71" s="6"/>
      <c r="C71" s="6"/>
      <c r="D71" s="6" t="s">
        <v>154</v>
      </c>
      <c r="E71" s="6" t="s">
        <v>155</v>
      </c>
      <c r="F71" s="9" t="str">
        <f t="shared" si="54"/>
        <v>1985-119Albis1986OTC</v>
      </c>
      <c r="G71" s="6" t="s">
        <v>156</v>
      </c>
      <c r="H71" s="6" t="s">
        <v>157</v>
      </c>
      <c r="I71" s="6" t="s">
        <v>158</v>
      </c>
      <c r="J71" s="6" t="s">
        <v>96</v>
      </c>
      <c r="K71" s="6" t="s">
        <v>159</v>
      </c>
      <c r="L71" s="6">
        <v>1986</v>
      </c>
      <c r="M71" s="6" t="s">
        <v>36</v>
      </c>
      <c r="N71" s="6" t="s">
        <v>51</v>
      </c>
      <c r="O71" s="6" t="s">
        <v>132</v>
      </c>
      <c r="P71" s="6">
        <f>(8 * R71+ 4 * 0.97*R71) / 12*T71*12/1000+R72/1.01*(90-T71)*12/1000</f>
        <v>20.528982178217824</v>
      </c>
      <c r="Q71" s="6"/>
      <c r="R71" s="6">
        <v>20</v>
      </c>
      <c r="S71" s="6">
        <v>8</v>
      </c>
      <c r="T71" s="6">
        <f t="shared" si="46"/>
        <v>72</v>
      </c>
      <c r="U71" s="9">
        <v>4</v>
      </c>
      <c r="V71" s="13">
        <v>0.13472763978990401</v>
      </c>
      <c r="W71" s="10">
        <v>31553</v>
      </c>
      <c r="X71" s="10">
        <v>31624</v>
      </c>
      <c r="Y71" s="12">
        <v>664</v>
      </c>
      <c r="Z71" s="6" t="s">
        <v>53</v>
      </c>
      <c r="AA71" s="6"/>
      <c r="AB71" s="6"/>
      <c r="AC71" s="12">
        <v>33.5</v>
      </c>
      <c r="AD71" s="7" t="s">
        <v>39</v>
      </c>
      <c r="AE71" s="6"/>
      <c r="AF71" s="6"/>
      <c r="AG71" s="12">
        <v>41.1</v>
      </c>
      <c r="AH71" s="6" t="s">
        <v>134</v>
      </c>
      <c r="AI71" s="6"/>
      <c r="AJ71" s="6"/>
      <c r="AK71" s="12">
        <v>501.3</v>
      </c>
      <c r="AL71" s="6" t="s">
        <v>54</v>
      </c>
      <c r="AM71" s="6"/>
      <c r="AN71" s="6"/>
      <c r="AO71" s="12">
        <f t="shared" ref="AO71:AO87" si="55">Y71/AC71*1000</f>
        <v>19820.895522388058</v>
      </c>
      <c r="AP71" s="6" t="s">
        <v>54</v>
      </c>
      <c r="AQ71" s="6"/>
      <c r="AR71" s="6"/>
      <c r="AS71" s="30">
        <f>47+7/60</f>
        <v>47.116666666666667</v>
      </c>
      <c r="AT71" s="30">
        <f>7+37/60</f>
        <v>7.6166666666666671</v>
      </c>
      <c r="AU71" s="27">
        <v>31511</v>
      </c>
      <c r="AV71" s="25">
        <v>31624</v>
      </c>
      <c r="AW71" s="25">
        <v>31553</v>
      </c>
      <c r="AX71" s="25">
        <v>31624</v>
      </c>
      <c r="AY71" s="28">
        <f t="shared" si="52"/>
        <v>99</v>
      </c>
      <c r="AZ71" s="28">
        <f t="shared" si="42"/>
        <v>212</v>
      </c>
      <c r="BA71" s="37">
        <f t="shared" si="53"/>
        <v>114</v>
      </c>
      <c r="BB71" s="28">
        <f t="shared" si="51"/>
        <v>141</v>
      </c>
      <c r="BC71" s="28">
        <f t="shared" si="43"/>
        <v>212</v>
      </c>
      <c r="BD71" s="26">
        <f t="shared" si="44"/>
        <v>72</v>
      </c>
      <c r="BE71" s="26"/>
      <c r="BF71" s="36">
        <v>31591</v>
      </c>
      <c r="BG71" s="26">
        <f t="shared" ref="BG71:BG77" si="56">AV71-BF71+1</f>
        <v>34</v>
      </c>
      <c r="BH71" s="26"/>
      <c r="BI71">
        <f t="shared" ref="BI71:BI77" si="57">BF71-AW71</f>
        <v>38</v>
      </c>
      <c r="BJ71">
        <f t="shared" ref="BJ71:BJ77" si="58">AX71-BF71</f>
        <v>33</v>
      </c>
    </row>
    <row r="72" spans="1:62" ht="15.6" x14ac:dyDescent="0.3">
      <c r="A72" s="6">
        <v>1</v>
      </c>
      <c r="B72" s="6"/>
      <c r="C72" s="6"/>
      <c r="D72" s="6" t="s">
        <v>154</v>
      </c>
      <c r="E72" s="6" t="s">
        <v>155</v>
      </c>
      <c r="F72" s="9" t="str">
        <f t="shared" si="54"/>
        <v>1985-119Albis1987OTC</v>
      </c>
      <c r="G72" s="6" t="s">
        <v>156</v>
      </c>
      <c r="H72" s="6" t="s">
        <v>157</v>
      </c>
      <c r="I72" s="6" t="s">
        <v>158</v>
      </c>
      <c r="J72" s="6" t="s">
        <v>96</v>
      </c>
      <c r="K72" s="6" t="s">
        <v>159</v>
      </c>
      <c r="L72" s="6">
        <v>1987</v>
      </c>
      <c r="M72" s="6" t="s">
        <v>36</v>
      </c>
      <c r="N72" s="6" t="s">
        <v>51</v>
      </c>
      <c r="O72" s="6" t="s">
        <v>132</v>
      </c>
      <c r="P72" s="7">
        <f>(8 * R72+ 4 * 0.97*R72) / 12*1.08</f>
        <v>17.107199999999999</v>
      </c>
      <c r="Q72" s="6"/>
      <c r="R72" s="6">
        <v>16</v>
      </c>
      <c r="S72" s="6">
        <v>8</v>
      </c>
      <c r="T72" s="6">
        <f t="shared" si="46"/>
        <v>90</v>
      </c>
      <c r="U72" s="9">
        <v>4</v>
      </c>
      <c r="V72" s="13">
        <v>0</v>
      </c>
      <c r="W72" s="10">
        <v>31910</v>
      </c>
      <c r="X72" s="10">
        <v>31999</v>
      </c>
      <c r="Y72" s="12">
        <v>617</v>
      </c>
      <c r="Z72" s="6" t="s">
        <v>53</v>
      </c>
      <c r="AA72" s="6"/>
      <c r="AB72" s="6"/>
      <c r="AC72" s="12">
        <v>33.700000000000003</v>
      </c>
      <c r="AD72" s="7" t="s">
        <v>39</v>
      </c>
      <c r="AE72" s="6"/>
      <c r="AF72" s="6"/>
      <c r="AG72" s="12">
        <v>34.6</v>
      </c>
      <c r="AH72" s="6" t="s">
        <v>134</v>
      </c>
      <c r="AI72" s="6"/>
      <c r="AJ72" s="6"/>
      <c r="AK72" s="12">
        <v>530</v>
      </c>
      <c r="AL72" s="6" t="s">
        <v>54</v>
      </c>
      <c r="AM72" s="6"/>
      <c r="AN72" s="6"/>
      <c r="AO72" s="12">
        <f t="shared" si="55"/>
        <v>18308.60534124629</v>
      </c>
      <c r="AP72" s="6" t="s">
        <v>54</v>
      </c>
      <c r="AQ72" s="6"/>
      <c r="AR72" s="6"/>
      <c r="AS72" s="30">
        <f>47+7/60</f>
        <v>47.116666666666667</v>
      </c>
      <c r="AT72" s="30">
        <f>7+37/60</f>
        <v>7.6166666666666671</v>
      </c>
      <c r="AU72" s="27">
        <v>31870</v>
      </c>
      <c r="AV72" s="25">
        <v>31999</v>
      </c>
      <c r="AW72" s="25">
        <v>31910</v>
      </c>
      <c r="AX72" s="25">
        <v>31999</v>
      </c>
      <c r="AY72" s="28">
        <f t="shared" si="52"/>
        <v>93</v>
      </c>
      <c r="AZ72" s="28">
        <f t="shared" si="42"/>
        <v>222</v>
      </c>
      <c r="BA72" s="37">
        <f t="shared" si="53"/>
        <v>130</v>
      </c>
      <c r="BB72" s="28">
        <f t="shared" si="51"/>
        <v>133</v>
      </c>
      <c r="BC72" s="28">
        <f t="shared" si="43"/>
        <v>222</v>
      </c>
      <c r="BD72" s="26">
        <f t="shared" si="44"/>
        <v>90</v>
      </c>
      <c r="BE72" s="26"/>
      <c r="BF72" s="36">
        <v>31962</v>
      </c>
      <c r="BG72" s="26">
        <f t="shared" si="56"/>
        <v>38</v>
      </c>
      <c r="BH72" s="26"/>
      <c r="BI72">
        <f t="shared" si="57"/>
        <v>52</v>
      </c>
      <c r="BJ72">
        <f t="shared" si="58"/>
        <v>37</v>
      </c>
    </row>
    <row r="73" spans="1:62" ht="15.6" x14ac:dyDescent="0.3">
      <c r="A73" s="6">
        <v>1</v>
      </c>
      <c r="B73" s="6"/>
      <c r="C73" s="6"/>
      <c r="D73" s="6" t="s">
        <v>154</v>
      </c>
      <c r="E73" s="6" t="s">
        <v>155</v>
      </c>
      <c r="F73" s="9" t="str">
        <f t="shared" si="54"/>
        <v>1985-119Albis1988OTC</v>
      </c>
      <c r="G73" s="6" t="s">
        <v>156</v>
      </c>
      <c r="H73" s="6" t="s">
        <v>157</v>
      </c>
      <c r="I73" s="6" t="s">
        <v>158</v>
      </c>
      <c r="J73" s="6" t="s">
        <v>96</v>
      </c>
      <c r="K73" s="6" t="s">
        <v>159</v>
      </c>
      <c r="L73" s="6">
        <v>1988</v>
      </c>
      <c r="M73" s="6" t="s">
        <v>36</v>
      </c>
      <c r="N73" s="6" t="s">
        <v>51</v>
      </c>
      <c r="O73" s="6" t="s">
        <v>132</v>
      </c>
      <c r="P73" s="6">
        <f>(8 * R73+ 4 * 0.97*R73) / 12*T73*12/1000+R74/1.01*(90-T73)*12/1000</f>
        <v>21.490952079207919</v>
      </c>
      <c r="Q73" s="6"/>
      <c r="R73" s="6">
        <v>22</v>
      </c>
      <c r="S73" s="6">
        <v>8</v>
      </c>
      <c r="T73" s="6">
        <f t="shared" si="46"/>
        <v>81</v>
      </c>
      <c r="U73" s="9">
        <v>4</v>
      </c>
      <c r="V73" s="13">
        <v>0.16916951417220799</v>
      </c>
      <c r="W73" s="10">
        <v>32276</v>
      </c>
      <c r="X73" s="10">
        <v>32356</v>
      </c>
      <c r="Y73" s="12">
        <v>668</v>
      </c>
      <c r="Z73" s="6" t="s">
        <v>53</v>
      </c>
      <c r="AA73" s="6"/>
      <c r="AB73" s="6"/>
      <c r="AC73" s="12">
        <v>36.1</v>
      </c>
      <c r="AD73" s="7" t="s">
        <v>39</v>
      </c>
      <c r="AE73" s="6"/>
      <c r="AF73" s="6"/>
      <c r="AG73" s="12">
        <v>34.799999999999997</v>
      </c>
      <c r="AH73" s="6" t="s">
        <v>134</v>
      </c>
      <c r="AI73" s="6"/>
      <c r="AJ73" s="6"/>
      <c r="AK73" s="12">
        <v>528</v>
      </c>
      <c r="AL73" s="6" t="s">
        <v>54</v>
      </c>
      <c r="AM73" s="6"/>
      <c r="AN73" s="6"/>
      <c r="AO73" s="12">
        <f t="shared" si="55"/>
        <v>18504.155124653738</v>
      </c>
      <c r="AP73" s="6" t="s">
        <v>54</v>
      </c>
      <c r="AQ73" s="6"/>
      <c r="AR73" s="6"/>
      <c r="AS73" s="30">
        <f>47+7/60</f>
        <v>47.116666666666667</v>
      </c>
      <c r="AT73" s="30">
        <f>7+37/60</f>
        <v>7.6166666666666671</v>
      </c>
      <c r="AU73" s="27">
        <v>32267</v>
      </c>
      <c r="AV73" s="27">
        <v>32356</v>
      </c>
      <c r="AW73" s="25">
        <v>32276</v>
      </c>
      <c r="AX73" s="25">
        <v>32356</v>
      </c>
      <c r="AY73" s="28">
        <f t="shared" si="52"/>
        <v>125</v>
      </c>
      <c r="AZ73" s="28">
        <f t="shared" si="42"/>
        <v>214</v>
      </c>
      <c r="BA73" s="37">
        <f t="shared" si="53"/>
        <v>90</v>
      </c>
      <c r="BB73" s="28">
        <f t="shared" si="51"/>
        <v>134</v>
      </c>
      <c r="BC73" s="28">
        <f t="shared" si="43"/>
        <v>214</v>
      </c>
      <c r="BD73" s="26">
        <f t="shared" si="44"/>
        <v>81</v>
      </c>
      <c r="BE73" s="26"/>
      <c r="BF73" s="36">
        <v>32314</v>
      </c>
      <c r="BG73" s="26">
        <f t="shared" si="56"/>
        <v>43</v>
      </c>
      <c r="BH73" s="26"/>
      <c r="BI73">
        <f t="shared" si="57"/>
        <v>38</v>
      </c>
      <c r="BJ73">
        <f t="shared" si="58"/>
        <v>42</v>
      </c>
    </row>
    <row r="74" spans="1:62" ht="15.6" x14ac:dyDescent="0.3">
      <c r="A74" s="6">
        <v>1</v>
      </c>
      <c r="B74" s="6"/>
      <c r="C74" s="6"/>
      <c r="D74" s="6" t="s">
        <v>160</v>
      </c>
      <c r="E74" s="9" t="s">
        <v>161</v>
      </c>
      <c r="F74" s="9" t="str">
        <f t="shared" si="54"/>
        <v>1991-89Drabant1987OTC</v>
      </c>
      <c r="G74" s="6" t="s">
        <v>162</v>
      </c>
      <c r="H74" s="6" t="s">
        <v>157</v>
      </c>
      <c r="I74" s="9" t="s">
        <v>163</v>
      </c>
      <c r="J74" s="6" t="s">
        <v>96</v>
      </c>
      <c r="K74" s="9" t="s">
        <v>164</v>
      </c>
      <c r="L74" s="9">
        <v>1987</v>
      </c>
      <c r="M74" s="9" t="s">
        <v>36</v>
      </c>
      <c r="N74" s="9" t="s">
        <v>51</v>
      </c>
      <c r="O74" s="9" t="s">
        <v>38</v>
      </c>
      <c r="P74" s="6">
        <f>(7*R74+5*0.976*R74)/12*T74*12/1000+R75/1.01*(90-T74)*12/1000</f>
        <v>4.2057196039603966</v>
      </c>
      <c r="Q74" s="6"/>
      <c r="R74" s="9">
        <v>3</v>
      </c>
      <c r="S74" s="6">
        <v>7</v>
      </c>
      <c r="T74" s="6">
        <f t="shared" si="46"/>
        <v>62</v>
      </c>
      <c r="U74" s="9">
        <v>7</v>
      </c>
      <c r="V74" s="13">
        <v>0</v>
      </c>
      <c r="W74" s="10">
        <v>31974</v>
      </c>
      <c r="X74" s="10">
        <v>32035</v>
      </c>
      <c r="Y74" s="12">
        <v>423</v>
      </c>
      <c r="Z74" s="6" t="s">
        <v>53</v>
      </c>
      <c r="AA74" s="6" t="s">
        <v>165</v>
      </c>
      <c r="AB74" s="6">
        <v>17</v>
      </c>
      <c r="AC74" s="12">
        <v>39</v>
      </c>
      <c r="AD74" s="7" t="s">
        <v>39</v>
      </c>
      <c r="AE74" s="6"/>
      <c r="AF74" s="6"/>
      <c r="AG74" s="12">
        <f>Y74/AC74*1000/AK74</f>
        <v>22.363203806502778</v>
      </c>
      <c r="AH74" s="6" t="s">
        <v>134</v>
      </c>
      <c r="AI74" s="6"/>
      <c r="AJ74" s="6"/>
      <c r="AK74" s="12">
        <v>485</v>
      </c>
      <c r="AL74" s="6" t="s">
        <v>166</v>
      </c>
      <c r="AM74" s="6"/>
      <c r="AN74" s="6">
        <v>36</v>
      </c>
      <c r="AO74" s="12">
        <f t="shared" si="55"/>
        <v>10846.153846153848</v>
      </c>
      <c r="AP74" s="6" t="s">
        <v>54</v>
      </c>
      <c r="AQ74" s="6"/>
      <c r="AR74" s="6"/>
      <c r="AS74" s="30">
        <f>57+54/60</f>
        <v>57.9</v>
      </c>
      <c r="AT74" s="30">
        <f>12+24/60</f>
        <v>12.4</v>
      </c>
      <c r="AU74" s="27">
        <v>31898</v>
      </c>
      <c r="AV74" s="27">
        <v>32050</v>
      </c>
      <c r="AW74" s="25">
        <v>31974</v>
      </c>
      <c r="AX74" s="25">
        <v>32035</v>
      </c>
      <c r="AY74" s="28">
        <f t="shared" si="52"/>
        <v>121</v>
      </c>
      <c r="AZ74" s="28">
        <f t="shared" si="42"/>
        <v>273</v>
      </c>
      <c r="BA74" s="37">
        <f t="shared" si="53"/>
        <v>153</v>
      </c>
      <c r="BB74" s="28">
        <f t="shared" si="51"/>
        <v>197</v>
      </c>
      <c r="BC74" s="28">
        <f t="shared" si="43"/>
        <v>258</v>
      </c>
      <c r="BD74" s="26">
        <f t="shared" si="44"/>
        <v>62</v>
      </c>
      <c r="BE74" s="26"/>
      <c r="BF74" s="36">
        <v>31979</v>
      </c>
      <c r="BG74" s="26">
        <f t="shared" si="56"/>
        <v>72</v>
      </c>
      <c r="BH74" s="26"/>
      <c r="BI74">
        <f t="shared" si="57"/>
        <v>5</v>
      </c>
      <c r="BJ74">
        <f t="shared" si="58"/>
        <v>56</v>
      </c>
    </row>
    <row r="75" spans="1:62" ht="15.6" x14ac:dyDescent="0.3">
      <c r="A75" s="6">
        <v>1</v>
      </c>
      <c r="B75" s="6"/>
      <c r="C75" s="6"/>
      <c r="D75" s="6" t="s">
        <v>160</v>
      </c>
      <c r="E75" s="9" t="s">
        <v>161</v>
      </c>
      <c r="F75" s="9" t="str">
        <f t="shared" si="54"/>
        <v>1991-89Drabant1988OTC</v>
      </c>
      <c r="G75" s="6" t="s">
        <v>162</v>
      </c>
      <c r="H75" s="6" t="s">
        <v>157</v>
      </c>
      <c r="I75" s="9" t="s">
        <v>163</v>
      </c>
      <c r="J75" s="6" t="s">
        <v>96</v>
      </c>
      <c r="K75" s="9" t="s">
        <v>164</v>
      </c>
      <c r="L75" s="9">
        <v>1988</v>
      </c>
      <c r="M75" s="9" t="s">
        <v>36</v>
      </c>
      <c r="N75" s="9" t="s">
        <v>51</v>
      </c>
      <c r="O75" s="9" t="s">
        <v>38</v>
      </c>
      <c r="P75" s="6">
        <f>(7*R75+5*0.976*R75)/12*T75*12/1000+R76/1.01*(90-T75)*12/1000</f>
        <v>12.071110002652606</v>
      </c>
      <c r="Q75" s="6"/>
      <c r="R75" s="9">
        <v>6</v>
      </c>
      <c r="S75" s="6">
        <v>7</v>
      </c>
      <c r="T75" s="6">
        <f t="shared" si="46"/>
        <v>56</v>
      </c>
      <c r="U75" s="9">
        <v>5</v>
      </c>
      <c r="V75" s="13">
        <v>0</v>
      </c>
      <c r="W75" s="10">
        <v>32330</v>
      </c>
      <c r="X75" s="10">
        <v>32385</v>
      </c>
      <c r="Y75" s="12">
        <v>615</v>
      </c>
      <c r="Z75" s="6" t="s">
        <v>53</v>
      </c>
      <c r="AA75" s="6" t="s">
        <v>165</v>
      </c>
      <c r="AB75" s="6">
        <v>58</v>
      </c>
      <c r="AC75" s="12">
        <v>41.2</v>
      </c>
      <c r="AD75" s="7" t="s">
        <v>39</v>
      </c>
      <c r="AE75" s="6"/>
      <c r="AF75" s="6"/>
      <c r="AG75" s="12">
        <f>Y75/AC75*1000/AK75</f>
        <v>23.107096696624485</v>
      </c>
      <c r="AH75" s="6" t="s">
        <v>134</v>
      </c>
      <c r="AI75" s="6"/>
      <c r="AJ75" s="6"/>
      <c r="AK75" s="12">
        <v>646</v>
      </c>
      <c r="AL75" s="6" t="s">
        <v>166</v>
      </c>
      <c r="AM75" s="6"/>
      <c r="AN75" s="6">
        <v>52</v>
      </c>
      <c r="AO75" s="12">
        <f t="shared" si="55"/>
        <v>14927.184466019417</v>
      </c>
      <c r="AP75" s="6" t="s">
        <v>54</v>
      </c>
      <c r="AQ75" s="6"/>
      <c r="AR75" s="6"/>
      <c r="AS75" s="30">
        <f>57+54/60</f>
        <v>57.9</v>
      </c>
      <c r="AT75" s="30">
        <f>12+24/60</f>
        <v>12.4</v>
      </c>
      <c r="AU75" s="27">
        <v>32262</v>
      </c>
      <c r="AV75" s="27">
        <v>32386</v>
      </c>
      <c r="AW75" s="25">
        <v>32330</v>
      </c>
      <c r="AX75" s="25">
        <v>32385</v>
      </c>
      <c r="AY75" s="28">
        <f t="shared" si="52"/>
        <v>120</v>
      </c>
      <c r="AZ75" s="28">
        <f t="shared" si="42"/>
        <v>244</v>
      </c>
      <c r="BA75" s="37">
        <f t="shared" si="53"/>
        <v>125</v>
      </c>
      <c r="BB75" s="28">
        <f t="shared" si="51"/>
        <v>188</v>
      </c>
      <c r="BC75" s="28">
        <f t="shared" si="43"/>
        <v>243</v>
      </c>
      <c r="BD75" s="26">
        <f t="shared" si="44"/>
        <v>56</v>
      </c>
      <c r="BE75" s="26"/>
      <c r="BF75" s="36">
        <v>32335</v>
      </c>
      <c r="BG75" s="26">
        <f t="shared" si="56"/>
        <v>52</v>
      </c>
      <c r="BH75" s="26"/>
      <c r="BI75">
        <f t="shared" si="57"/>
        <v>5</v>
      </c>
      <c r="BJ75">
        <f t="shared" si="58"/>
        <v>50</v>
      </c>
    </row>
    <row r="76" spans="1:62" ht="15.6" x14ac:dyDescent="0.3">
      <c r="A76" s="6">
        <v>1</v>
      </c>
      <c r="B76" s="6"/>
      <c r="C76" s="6"/>
      <c r="D76" s="6" t="s">
        <v>167</v>
      </c>
      <c r="E76" s="9" t="s">
        <v>168</v>
      </c>
      <c r="F76" s="9" t="str">
        <f t="shared" si="54"/>
        <v>1992-37Albis1989OTC</v>
      </c>
      <c r="G76" s="6" t="s">
        <v>156</v>
      </c>
      <c r="H76" s="6" t="s">
        <v>157</v>
      </c>
      <c r="I76" s="9" t="s">
        <v>169</v>
      </c>
      <c r="J76" s="6" t="s">
        <v>96</v>
      </c>
      <c r="K76" s="9" t="s">
        <v>159</v>
      </c>
      <c r="L76" s="9">
        <v>1989</v>
      </c>
      <c r="M76" s="9" t="s">
        <v>36</v>
      </c>
      <c r="N76" s="9" t="s">
        <v>51</v>
      </c>
      <c r="O76" s="9" t="s">
        <v>38</v>
      </c>
      <c r="P76" s="7">
        <f>(7*R76+5*0.976*R76)/12*1.08</f>
        <v>21.384587804962081</v>
      </c>
      <c r="Q76" s="6"/>
      <c r="R76" s="9">
        <v>20.000549761468459</v>
      </c>
      <c r="S76" s="6">
        <v>7</v>
      </c>
      <c r="T76" s="6">
        <f t="shared" si="46"/>
        <v>91</v>
      </c>
      <c r="U76" s="9">
        <v>3</v>
      </c>
      <c r="V76" s="13">
        <v>0</v>
      </c>
      <c r="W76" s="10">
        <v>32644</v>
      </c>
      <c r="X76" s="10">
        <v>32734</v>
      </c>
      <c r="Y76" s="19">
        <v>661</v>
      </c>
      <c r="Z76" s="6" t="s">
        <v>53</v>
      </c>
      <c r="AA76" s="6" t="s">
        <v>170</v>
      </c>
      <c r="AB76" s="6"/>
      <c r="AC76" s="19">
        <v>37.700000000000003</v>
      </c>
      <c r="AD76" s="7" t="s">
        <v>39</v>
      </c>
      <c r="AE76" s="6"/>
      <c r="AF76" s="6"/>
      <c r="AG76" s="12">
        <v>38.4</v>
      </c>
      <c r="AH76" s="6" t="s">
        <v>134</v>
      </c>
      <c r="AI76" s="6"/>
      <c r="AJ76" s="6"/>
      <c r="AK76" s="12">
        <v>456</v>
      </c>
      <c r="AL76" s="6" t="s">
        <v>166</v>
      </c>
      <c r="AM76" s="6"/>
      <c r="AN76" s="6"/>
      <c r="AO76" s="12">
        <f t="shared" si="55"/>
        <v>17533.156498673739</v>
      </c>
      <c r="AP76" s="6" t="s">
        <v>54</v>
      </c>
      <c r="AQ76" s="6"/>
      <c r="AR76" s="6"/>
      <c r="AS76" s="30">
        <f>46+53/60</f>
        <v>46.883333333333333</v>
      </c>
      <c r="AT76" s="30">
        <f>7+26/7</f>
        <v>10.714285714285715</v>
      </c>
      <c r="AU76" s="27">
        <v>32595</v>
      </c>
      <c r="AV76" s="25">
        <v>32734</v>
      </c>
      <c r="AW76" s="25">
        <v>32644</v>
      </c>
      <c r="AX76" s="25">
        <v>32734</v>
      </c>
      <c r="AY76" s="28">
        <f t="shared" si="52"/>
        <v>87</v>
      </c>
      <c r="AZ76" s="28">
        <f t="shared" si="42"/>
        <v>226</v>
      </c>
      <c r="BA76" s="37">
        <f t="shared" si="53"/>
        <v>140</v>
      </c>
      <c r="BB76" s="28">
        <f t="shared" si="51"/>
        <v>136</v>
      </c>
      <c r="BC76" s="28">
        <f t="shared" si="43"/>
        <v>226</v>
      </c>
      <c r="BD76" s="26">
        <f t="shared" si="44"/>
        <v>91</v>
      </c>
      <c r="BE76" s="26"/>
      <c r="BF76" s="36">
        <v>32686</v>
      </c>
      <c r="BG76" s="26">
        <f t="shared" si="56"/>
        <v>49</v>
      </c>
      <c r="BH76" s="26"/>
      <c r="BI76">
        <f t="shared" si="57"/>
        <v>42</v>
      </c>
      <c r="BJ76">
        <f t="shared" si="58"/>
        <v>48</v>
      </c>
    </row>
    <row r="77" spans="1:62" ht="15.6" x14ac:dyDescent="0.3">
      <c r="A77" s="6">
        <v>1</v>
      </c>
      <c r="B77" s="6"/>
      <c r="C77" s="6"/>
      <c r="D77" s="6" t="s">
        <v>167</v>
      </c>
      <c r="E77" s="9" t="s">
        <v>168</v>
      </c>
      <c r="F77" s="9" t="str">
        <f t="shared" si="54"/>
        <v>1992-37Albis1990OTC</v>
      </c>
      <c r="G77" s="6" t="s">
        <v>156</v>
      </c>
      <c r="H77" s="6" t="s">
        <v>157</v>
      </c>
      <c r="I77" s="9" t="s">
        <v>169</v>
      </c>
      <c r="J77" s="6" t="s">
        <v>96</v>
      </c>
      <c r="K77" s="9" t="s">
        <v>159</v>
      </c>
      <c r="L77" s="9">
        <v>1990</v>
      </c>
      <c r="M77" s="9" t="s">
        <v>36</v>
      </c>
      <c r="N77" s="9" t="s">
        <v>51</v>
      </c>
      <c r="O77" s="9" t="s">
        <v>38</v>
      </c>
      <c r="P77" s="6">
        <f>(7*R77+5*0.976*R77)/12*T77*12/1000+R78/1.01*(90-T77)*12/1000</f>
        <v>19.80636894911353</v>
      </c>
      <c r="Q77" s="6"/>
      <c r="R77" s="9">
        <v>18.81820060661811</v>
      </c>
      <c r="S77" s="6">
        <v>7</v>
      </c>
      <c r="T77" s="6">
        <f t="shared" si="46"/>
        <v>88</v>
      </c>
      <c r="U77" s="9">
        <v>3</v>
      </c>
      <c r="V77" s="13">
        <v>0</v>
      </c>
      <c r="W77" s="10">
        <v>33007</v>
      </c>
      <c r="X77" s="10">
        <v>33094</v>
      </c>
      <c r="Y77" s="19">
        <v>739</v>
      </c>
      <c r="Z77" s="6" t="s">
        <v>53</v>
      </c>
      <c r="AA77" s="6" t="s">
        <v>170</v>
      </c>
      <c r="AB77" s="6"/>
      <c r="AC77" s="19">
        <v>39.1</v>
      </c>
      <c r="AD77" s="7" t="s">
        <v>39</v>
      </c>
      <c r="AE77" s="6"/>
      <c r="AF77" s="6"/>
      <c r="AG77" s="12">
        <v>37.200000000000003</v>
      </c>
      <c r="AH77" s="6" t="s">
        <v>134</v>
      </c>
      <c r="AI77" s="6"/>
      <c r="AJ77" s="6"/>
      <c r="AK77" s="12">
        <v>515</v>
      </c>
      <c r="AL77" s="6" t="s">
        <v>166</v>
      </c>
      <c r="AM77" s="6"/>
      <c r="AN77" s="6"/>
      <c r="AO77" s="12">
        <f t="shared" si="55"/>
        <v>18900.2557544757</v>
      </c>
      <c r="AP77" s="6" t="s">
        <v>54</v>
      </c>
      <c r="AQ77" s="6"/>
      <c r="AR77" s="6"/>
      <c r="AS77" s="30">
        <f>46+53/60</f>
        <v>46.883333333333333</v>
      </c>
      <c r="AT77" s="30">
        <f>7+26/7</f>
        <v>10.714285714285715</v>
      </c>
      <c r="AU77" s="27">
        <v>32951</v>
      </c>
      <c r="AV77" s="25">
        <v>33094</v>
      </c>
      <c r="AW77" s="25">
        <v>33007</v>
      </c>
      <c r="AX77" s="25">
        <v>33094</v>
      </c>
      <c r="AY77" s="28">
        <f t="shared" si="52"/>
        <v>78</v>
      </c>
      <c r="AZ77" s="28">
        <f t="shared" si="42"/>
        <v>221</v>
      </c>
      <c r="BA77" s="37">
        <f t="shared" si="53"/>
        <v>144</v>
      </c>
      <c r="BB77" s="28">
        <f t="shared" si="51"/>
        <v>134</v>
      </c>
      <c r="BC77" s="28">
        <f t="shared" si="43"/>
        <v>221</v>
      </c>
      <c r="BD77" s="26">
        <f t="shared" si="44"/>
        <v>88</v>
      </c>
      <c r="BE77" s="26"/>
      <c r="BF77" s="36">
        <v>33055</v>
      </c>
      <c r="BG77" s="26">
        <f t="shared" si="56"/>
        <v>40</v>
      </c>
      <c r="BH77" s="26"/>
      <c r="BI77">
        <f t="shared" si="57"/>
        <v>48</v>
      </c>
      <c r="BJ77">
        <f t="shared" si="58"/>
        <v>39</v>
      </c>
    </row>
    <row r="78" spans="1:62" ht="15.6" x14ac:dyDescent="0.3">
      <c r="A78" s="6">
        <v>1</v>
      </c>
      <c r="B78" s="6"/>
      <c r="C78" s="6"/>
      <c r="D78" s="6" t="s">
        <v>171</v>
      </c>
      <c r="E78" s="9" t="s">
        <v>172</v>
      </c>
      <c r="F78" s="9" t="str">
        <f t="shared" si="54"/>
        <v>1996-30Promessa1991OTC</v>
      </c>
      <c r="G78" s="6" t="s">
        <v>173</v>
      </c>
      <c r="H78" s="6" t="s">
        <v>157</v>
      </c>
      <c r="I78" s="6" t="s">
        <v>174</v>
      </c>
      <c r="J78" s="6" t="s">
        <v>96</v>
      </c>
      <c r="K78" s="6" t="s">
        <v>175</v>
      </c>
      <c r="L78" s="6">
        <v>1991</v>
      </c>
      <c r="M78" s="6" t="s">
        <v>97</v>
      </c>
      <c r="N78" s="6" t="s">
        <v>37</v>
      </c>
      <c r="O78" s="6" t="s">
        <v>132</v>
      </c>
      <c r="P78" s="6">
        <f>R78/1.01*1.08</f>
        <v>5.9881188118811881</v>
      </c>
      <c r="Q78" s="6"/>
      <c r="R78" s="6">
        <v>5.6</v>
      </c>
      <c r="S78" s="6">
        <v>12</v>
      </c>
      <c r="T78" s="6">
        <f t="shared" si="46"/>
        <v>102</v>
      </c>
      <c r="U78" s="6">
        <v>3</v>
      </c>
      <c r="V78" s="13">
        <v>0</v>
      </c>
      <c r="W78" s="10">
        <v>33359</v>
      </c>
      <c r="X78" s="10">
        <v>33460</v>
      </c>
      <c r="Y78" s="12">
        <f>4.04*400</f>
        <v>1616</v>
      </c>
      <c r="Z78" s="6" t="s">
        <v>53</v>
      </c>
      <c r="AA78" s="6" t="s">
        <v>216</v>
      </c>
      <c r="AB78" s="6">
        <v>0.34</v>
      </c>
      <c r="AC78" s="12">
        <v>51.66</v>
      </c>
      <c r="AD78" s="7" t="s">
        <v>39</v>
      </c>
      <c r="AE78" s="6"/>
      <c r="AF78" s="6">
        <v>0.88</v>
      </c>
      <c r="AG78" s="12">
        <v>38.33</v>
      </c>
      <c r="AH78" s="6" t="s">
        <v>134</v>
      </c>
      <c r="AI78" s="6"/>
      <c r="AJ78" s="6">
        <v>0.56999999999999995</v>
      </c>
      <c r="AK78" s="12">
        <v>2.39</v>
      </c>
      <c r="AL78" s="6" t="s">
        <v>67</v>
      </c>
      <c r="AM78" s="6"/>
      <c r="AN78" s="6">
        <v>0.13</v>
      </c>
      <c r="AO78" s="12">
        <f t="shared" si="55"/>
        <v>31281.455671699576</v>
      </c>
      <c r="AP78" s="6" t="s">
        <v>67</v>
      </c>
      <c r="AQ78" s="6"/>
      <c r="AR78" s="6"/>
      <c r="AS78" s="30">
        <f>52+51/60+12/3600</f>
        <v>52.853333333333332</v>
      </c>
      <c r="AT78" s="30">
        <v>-6.9041666666666703</v>
      </c>
      <c r="AU78" s="27">
        <v>33355</v>
      </c>
      <c r="AV78" s="27">
        <v>33482</v>
      </c>
      <c r="AW78" s="25">
        <v>33359</v>
      </c>
      <c r="AX78" s="25">
        <v>33460</v>
      </c>
      <c r="AY78" s="28">
        <f t="shared" si="52"/>
        <v>117</v>
      </c>
      <c r="AZ78" s="28">
        <f t="shared" si="42"/>
        <v>244</v>
      </c>
      <c r="BA78" s="37">
        <f t="shared" si="53"/>
        <v>128</v>
      </c>
      <c r="BB78" s="28">
        <f t="shared" si="51"/>
        <v>121</v>
      </c>
      <c r="BC78" s="28">
        <f t="shared" si="43"/>
        <v>222</v>
      </c>
      <c r="BD78" s="26">
        <f t="shared" si="44"/>
        <v>102</v>
      </c>
      <c r="BE78" s="26"/>
      <c r="BF78" s="26"/>
      <c r="BG78" s="26"/>
      <c r="BH78" s="26"/>
    </row>
    <row r="79" spans="1:62" ht="15.6" x14ac:dyDescent="0.3">
      <c r="A79" s="6">
        <v>1</v>
      </c>
      <c r="B79" s="6"/>
      <c r="C79" s="6"/>
      <c r="D79" s="6" t="s">
        <v>171</v>
      </c>
      <c r="E79" s="9" t="s">
        <v>172</v>
      </c>
      <c r="F79" s="9" t="str">
        <f t="shared" si="54"/>
        <v>1996-30Promessa1992OTC</v>
      </c>
      <c r="G79" s="6" t="s">
        <v>173</v>
      </c>
      <c r="H79" s="6" t="s">
        <v>157</v>
      </c>
      <c r="I79" s="6" t="s">
        <v>174</v>
      </c>
      <c r="J79" s="6" t="s">
        <v>96</v>
      </c>
      <c r="K79" s="6" t="s">
        <v>175</v>
      </c>
      <c r="L79" s="6">
        <v>1992</v>
      </c>
      <c r="M79" s="6" t="s">
        <v>97</v>
      </c>
      <c r="N79" s="6" t="s">
        <v>37</v>
      </c>
      <c r="O79" s="6" t="s">
        <v>132</v>
      </c>
      <c r="P79" s="6">
        <f>R79/1.01*1.08</f>
        <v>6.662744554455446</v>
      </c>
      <c r="Q79" s="6"/>
      <c r="R79" s="6">
        <v>6.2309000000000001</v>
      </c>
      <c r="S79" s="6">
        <v>12</v>
      </c>
      <c r="T79" s="6">
        <f t="shared" si="46"/>
        <v>102</v>
      </c>
      <c r="U79" s="6">
        <v>3</v>
      </c>
      <c r="V79" s="13">
        <v>0</v>
      </c>
      <c r="W79" s="10">
        <v>33725</v>
      </c>
      <c r="X79" s="10">
        <v>33826</v>
      </c>
      <c r="Y79" s="12">
        <f>3.22*400</f>
        <v>1288</v>
      </c>
      <c r="Z79" s="6" t="s">
        <v>53</v>
      </c>
      <c r="AA79" s="6" t="s">
        <v>216</v>
      </c>
      <c r="AB79" s="6">
        <v>0.25</v>
      </c>
      <c r="AC79" s="12">
        <v>47.33</v>
      </c>
      <c r="AD79" s="7" t="s">
        <v>39</v>
      </c>
      <c r="AE79" s="6"/>
      <c r="AF79" s="6">
        <v>2.33</v>
      </c>
      <c r="AG79" s="12">
        <v>38.33</v>
      </c>
      <c r="AH79" s="6" t="s">
        <v>134</v>
      </c>
      <c r="AI79" s="6"/>
      <c r="AJ79" s="6">
        <v>2.91</v>
      </c>
      <c r="AK79" s="12">
        <v>2.1</v>
      </c>
      <c r="AL79" s="6" t="s">
        <v>67</v>
      </c>
      <c r="AM79" s="6"/>
      <c r="AN79" s="6">
        <v>0.11</v>
      </c>
      <c r="AO79" s="12">
        <f t="shared" si="55"/>
        <v>27213.184027044161</v>
      </c>
      <c r="AP79" s="6" t="s">
        <v>67</v>
      </c>
      <c r="AQ79" s="6"/>
      <c r="AR79" s="6"/>
      <c r="AS79" s="30">
        <f>52+51/60+12/3600</f>
        <v>52.853333333333332</v>
      </c>
      <c r="AT79" s="30">
        <v>-6.9041666666666703</v>
      </c>
      <c r="AU79" s="27">
        <v>33702</v>
      </c>
      <c r="AV79" s="27">
        <v>33835</v>
      </c>
      <c r="AW79" s="25">
        <v>33725</v>
      </c>
      <c r="AX79" s="25">
        <v>33826</v>
      </c>
      <c r="AY79" s="28">
        <f t="shared" si="52"/>
        <v>99</v>
      </c>
      <c r="AZ79" s="28">
        <f t="shared" si="42"/>
        <v>232</v>
      </c>
      <c r="BA79" s="37">
        <f t="shared" si="53"/>
        <v>134</v>
      </c>
      <c r="BB79" s="28">
        <f t="shared" si="51"/>
        <v>122</v>
      </c>
      <c r="BC79" s="28">
        <f t="shared" si="43"/>
        <v>223</v>
      </c>
      <c r="BD79" s="26">
        <f t="shared" si="44"/>
        <v>102</v>
      </c>
      <c r="BE79" s="26"/>
      <c r="BF79" s="26"/>
      <c r="BG79" s="26"/>
      <c r="BH79" s="26"/>
    </row>
    <row r="80" spans="1:62" ht="15.6" x14ac:dyDescent="0.3">
      <c r="A80" s="6">
        <v>1</v>
      </c>
      <c r="B80" s="6"/>
      <c r="C80" s="6"/>
      <c r="D80" s="6" t="s">
        <v>171</v>
      </c>
      <c r="E80" s="9" t="s">
        <v>172</v>
      </c>
      <c r="F80" s="9" t="str">
        <f t="shared" si="54"/>
        <v>1996-30Promessa1993OTC</v>
      </c>
      <c r="G80" s="6" t="s">
        <v>173</v>
      </c>
      <c r="H80" s="6" t="s">
        <v>157</v>
      </c>
      <c r="I80" s="6" t="s">
        <v>174</v>
      </c>
      <c r="J80" s="6" t="s">
        <v>96</v>
      </c>
      <c r="K80" s="6" t="s">
        <v>175</v>
      </c>
      <c r="L80" s="6">
        <v>1993</v>
      </c>
      <c r="M80" s="6" t="s">
        <v>97</v>
      </c>
      <c r="N80" s="6" t="s">
        <v>37</v>
      </c>
      <c r="O80" s="6" t="s">
        <v>132</v>
      </c>
      <c r="P80" s="6">
        <f>R80/1.01*1.08</f>
        <v>7.1645702970297025</v>
      </c>
      <c r="Q80" s="6"/>
      <c r="R80" s="6">
        <v>6.7001999999999997</v>
      </c>
      <c r="S80" s="6">
        <v>12</v>
      </c>
      <c r="T80" s="6">
        <f t="shared" si="46"/>
        <v>102</v>
      </c>
      <c r="U80" s="6">
        <v>3</v>
      </c>
      <c r="V80" s="13">
        <v>0</v>
      </c>
      <c r="W80" s="10">
        <v>34090</v>
      </c>
      <c r="X80" s="10">
        <v>34191</v>
      </c>
      <c r="Y80" s="12">
        <f>4.05*400</f>
        <v>1620</v>
      </c>
      <c r="Z80" s="6" t="s">
        <v>53</v>
      </c>
      <c r="AA80" s="6" t="s">
        <v>216</v>
      </c>
      <c r="AB80" s="6">
        <v>0.09</v>
      </c>
      <c r="AC80" s="12">
        <v>54.66</v>
      </c>
      <c r="AD80" s="7" t="s">
        <v>39</v>
      </c>
      <c r="AE80" s="6"/>
      <c r="AF80" s="6">
        <v>0.88</v>
      </c>
      <c r="AG80" s="12">
        <v>36.82</v>
      </c>
      <c r="AH80" s="6" t="s">
        <v>134</v>
      </c>
      <c r="AI80" s="6"/>
      <c r="AJ80" s="6">
        <v>1.38</v>
      </c>
      <c r="AK80" s="12">
        <v>2.38</v>
      </c>
      <c r="AL80" s="6" t="s">
        <v>67</v>
      </c>
      <c r="AM80" s="6"/>
      <c r="AN80" s="6">
        <v>0.08</v>
      </c>
      <c r="AO80" s="12">
        <f t="shared" si="55"/>
        <v>29637.760702524702</v>
      </c>
      <c r="AP80" s="6" t="s">
        <v>67</v>
      </c>
      <c r="AQ80" s="6"/>
      <c r="AR80" s="6"/>
      <c r="AS80" s="30">
        <f>52+51/60+12/3600</f>
        <v>52.853333333333332</v>
      </c>
      <c r="AT80" s="30">
        <v>-6.9041666666666703</v>
      </c>
      <c r="AU80" s="27">
        <v>34087</v>
      </c>
      <c r="AV80" s="27">
        <v>34227</v>
      </c>
      <c r="AW80" s="25">
        <v>34090</v>
      </c>
      <c r="AX80" s="25">
        <v>34191</v>
      </c>
      <c r="AY80" s="28">
        <f t="shared" si="52"/>
        <v>118</v>
      </c>
      <c r="AZ80" s="28">
        <f t="shared" si="42"/>
        <v>258</v>
      </c>
      <c r="BA80" s="37">
        <f t="shared" si="53"/>
        <v>141</v>
      </c>
      <c r="BB80" s="28">
        <f t="shared" si="51"/>
        <v>121</v>
      </c>
      <c r="BC80" s="28">
        <f t="shared" si="43"/>
        <v>222</v>
      </c>
      <c r="BD80" s="26">
        <f t="shared" si="44"/>
        <v>102</v>
      </c>
      <c r="BE80" s="26"/>
      <c r="BF80" s="26"/>
      <c r="BG80" s="26"/>
      <c r="BH80" s="26"/>
    </row>
    <row r="81" spans="1:62" ht="15.6" x14ac:dyDescent="0.3">
      <c r="A81" s="6">
        <v>1</v>
      </c>
      <c r="B81" s="6"/>
      <c r="C81" s="6"/>
      <c r="D81" s="6" t="s">
        <v>176</v>
      </c>
      <c r="E81" s="9" t="s">
        <v>177</v>
      </c>
      <c r="F81" s="9" t="str">
        <f t="shared" si="54"/>
        <v>1997-75Minaret1995OTC</v>
      </c>
      <c r="G81" s="6" t="s">
        <v>178</v>
      </c>
      <c r="H81" s="6" t="s">
        <v>157</v>
      </c>
      <c r="I81" s="6" t="s">
        <v>179</v>
      </c>
      <c r="J81" s="6" t="s">
        <v>96</v>
      </c>
      <c r="K81" s="6" t="s">
        <v>180</v>
      </c>
      <c r="L81" s="6">
        <v>1995</v>
      </c>
      <c r="M81" s="6" t="s">
        <v>97</v>
      </c>
      <c r="N81" s="6" t="s">
        <v>37</v>
      </c>
      <c r="O81" s="6" t="s">
        <v>74</v>
      </c>
      <c r="P81" s="7">
        <f>R81/1.01*1.08</f>
        <v>27.801980198019805</v>
      </c>
      <c r="Q81" s="6">
        <v>1.357</v>
      </c>
      <c r="R81" s="6">
        <v>26</v>
      </c>
      <c r="S81" s="6">
        <v>7</v>
      </c>
      <c r="T81" s="6">
        <f t="shared" si="46"/>
        <v>104</v>
      </c>
      <c r="U81" s="6">
        <v>3</v>
      </c>
      <c r="V81" s="6">
        <f>IF(T81&lt;=90,Q81,Q81/T81*90)</f>
        <v>1.1743269230769231</v>
      </c>
      <c r="W81" s="10">
        <v>34809</v>
      </c>
      <c r="X81" s="10">
        <v>34912</v>
      </c>
      <c r="Y81" s="12">
        <v>627.4</v>
      </c>
      <c r="Z81" s="6" t="s">
        <v>80</v>
      </c>
      <c r="AA81" s="6" t="s">
        <v>181</v>
      </c>
      <c r="AB81" s="6"/>
      <c r="AC81" s="12">
        <v>39.200000000000003</v>
      </c>
      <c r="AD81" s="7" t="s">
        <v>39</v>
      </c>
      <c r="AE81" s="6"/>
      <c r="AF81" s="6"/>
      <c r="AG81" s="12">
        <v>35.299999999999997</v>
      </c>
      <c r="AH81" s="6" t="s">
        <v>134</v>
      </c>
      <c r="AI81" s="6"/>
      <c r="AJ81" s="6"/>
      <c r="AK81" s="12">
        <v>466</v>
      </c>
      <c r="AL81" s="6" t="s">
        <v>54</v>
      </c>
      <c r="AM81" s="6"/>
      <c r="AN81" s="6"/>
      <c r="AO81" s="12">
        <f t="shared" si="55"/>
        <v>16005.102040816326</v>
      </c>
      <c r="AP81" s="6" t="s">
        <v>54</v>
      </c>
      <c r="AQ81" s="6"/>
      <c r="AR81" s="6"/>
      <c r="AS81" s="30">
        <v>52</v>
      </c>
      <c r="AT81" s="30">
        <f>1+15/60</f>
        <v>1.25</v>
      </c>
      <c r="AU81" s="27">
        <v>34778</v>
      </c>
      <c r="AV81" s="25">
        <v>34912</v>
      </c>
      <c r="AW81" s="25">
        <v>34809</v>
      </c>
      <c r="AX81" s="25">
        <v>34912</v>
      </c>
      <c r="AY81" s="28">
        <f t="shared" si="52"/>
        <v>79</v>
      </c>
      <c r="AZ81" s="28">
        <f t="shared" si="42"/>
        <v>213</v>
      </c>
      <c r="BA81" s="37">
        <f t="shared" si="53"/>
        <v>135</v>
      </c>
      <c r="BB81" s="28">
        <f t="shared" si="51"/>
        <v>110</v>
      </c>
      <c r="BC81" s="28">
        <f t="shared" si="43"/>
        <v>213</v>
      </c>
      <c r="BD81" s="26">
        <f t="shared" si="44"/>
        <v>104</v>
      </c>
      <c r="BE81" s="26"/>
      <c r="BF81" s="36">
        <f>AU81+90+5</f>
        <v>34873</v>
      </c>
      <c r="BG81" s="26">
        <f>AV81-BF81+1</f>
        <v>40</v>
      </c>
      <c r="BH81" s="26"/>
      <c r="BI81">
        <f t="shared" ref="BI81:BI83" si="59">BF81-AW81</f>
        <v>64</v>
      </c>
      <c r="BJ81">
        <f t="shared" ref="BJ81:BJ83" si="60">AX81-BF81</f>
        <v>39</v>
      </c>
    </row>
    <row r="82" spans="1:62" ht="15.6" x14ac:dyDescent="0.3">
      <c r="A82" s="6">
        <v>1</v>
      </c>
      <c r="B82" s="6"/>
      <c r="C82" s="6"/>
      <c r="D82" s="6" t="s">
        <v>183</v>
      </c>
      <c r="E82" s="9" t="s">
        <v>184</v>
      </c>
      <c r="F82" s="9" t="str">
        <f t="shared" si="54"/>
        <v>1998-73Minaret1996OTC</v>
      </c>
      <c r="G82" s="6" t="s">
        <v>178</v>
      </c>
      <c r="H82" s="6" t="s">
        <v>157</v>
      </c>
      <c r="I82" s="6" t="s">
        <v>179</v>
      </c>
      <c r="J82" s="6" t="s">
        <v>96</v>
      </c>
      <c r="K82" s="6" t="s">
        <v>180</v>
      </c>
      <c r="L82" s="6">
        <v>1996</v>
      </c>
      <c r="M82" s="6" t="s">
        <v>97</v>
      </c>
      <c r="N82" s="6" t="s">
        <v>37</v>
      </c>
      <c r="O82" s="6" t="s">
        <v>74</v>
      </c>
      <c r="P82" s="7">
        <f>R82/1.01*1.08</f>
        <v>27.801980198019805</v>
      </c>
      <c r="Q82" s="6">
        <v>1.887</v>
      </c>
      <c r="R82" s="6">
        <v>26</v>
      </c>
      <c r="S82" s="6">
        <v>7</v>
      </c>
      <c r="T82" s="6">
        <f t="shared" si="46"/>
        <v>115</v>
      </c>
      <c r="U82" s="6">
        <v>3</v>
      </c>
      <c r="V82" s="6">
        <f>IF(T82&lt;=90,Q82,Q82/T82*90)</f>
        <v>1.4767826086956521</v>
      </c>
      <c r="W82" s="10">
        <v>35171</v>
      </c>
      <c r="X82" s="10">
        <v>35285</v>
      </c>
      <c r="Y82" s="12">
        <v>918</v>
      </c>
      <c r="Z82" s="6" t="s">
        <v>80</v>
      </c>
      <c r="AA82" s="6" t="s">
        <v>185</v>
      </c>
      <c r="AB82" s="6"/>
      <c r="AC82" s="12">
        <v>38.200000000000003</v>
      </c>
      <c r="AD82" s="7" t="s">
        <v>39</v>
      </c>
      <c r="AE82" s="6"/>
      <c r="AF82" s="6"/>
      <c r="AG82" s="12">
        <v>46</v>
      </c>
      <c r="AH82" s="6" t="s">
        <v>134</v>
      </c>
      <c r="AI82" s="6"/>
      <c r="AJ82" s="6"/>
      <c r="AK82" s="12">
        <v>635</v>
      </c>
      <c r="AL82" s="6" t="s">
        <v>54</v>
      </c>
      <c r="AM82" s="6"/>
      <c r="AN82" s="6"/>
      <c r="AO82" s="12">
        <f t="shared" si="55"/>
        <v>24031.413612565444</v>
      </c>
      <c r="AP82" s="6" t="s">
        <v>54</v>
      </c>
      <c r="AQ82" s="6"/>
      <c r="AR82" s="6"/>
      <c r="AS82" s="30">
        <v>52</v>
      </c>
      <c r="AT82" s="30">
        <f>1+15/60</f>
        <v>1.25</v>
      </c>
      <c r="AU82" s="27">
        <v>35144</v>
      </c>
      <c r="AV82" s="25">
        <v>35285</v>
      </c>
      <c r="AW82" s="25">
        <v>35171</v>
      </c>
      <c r="AX82" s="25">
        <v>35285</v>
      </c>
      <c r="AY82" s="28">
        <f t="shared" si="52"/>
        <v>80</v>
      </c>
      <c r="AZ82" s="28">
        <f t="shared" si="42"/>
        <v>221</v>
      </c>
      <c r="BA82" s="37">
        <f t="shared" si="53"/>
        <v>142</v>
      </c>
      <c r="BB82" s="28">
        <f t="shared" si="51"/>
        <v>107</v>
      </c>
      <c r="BC82" s="28">
        <f t="shared" si="43"/>
        <v>221</v>
      </c>
      <c r="BD82" s="26">
        <f t="shared" si="44"/>
        <v>115</v>
      </c>
      <c r="BE82" s="26"/>
      <c r="BF82" s="36">
        <f>AU82+97</f>
        <v>35241</v>
      </c>
      <c r="BG82" s="26">
        <f>AV82-BF82+1</f>
        <v>45</v>
      </c>
      <c r="BH82" s="26"/>
      <c r="BI82">
        <f t="shared" si="59"/>
        <v>70</v>
      </c>
      <c r="BJ82">
        <f t="shared" si="60"/>
        <v>44</v>
      </c>
    </row>
    <row r="83" spans="1:62" ht="15.6" x14ac:dyDescent="0.3">
      <c r="A83" s="6">
        <v>1</v>
      </c>
      <c r="B83" s="6"/>
      <c r="C83" s="6"/>
      <c r="D83" s="6" t="s">
        <v>187</v>
      </c>
      <c r="E83" s="9" t="s">
        <v>188</v>
      </c>
      <c r="F83" s="9" t="str">
        <f t="shared" si="54"/>
        <v>1995-120Ralle1991OTC</v>
      </c>
      <c r="G83" s="6" t="s">
        <v>189</v>
      </c>
      <c r="H83" s="6" t="s">
        <v>157</v>
      </c>
      <c r="I83" s="6" t="s">
        <v>190</v>
      </c>
      <c r="J83" s="6" t="s">
        <v>96</v>
      </c>
      <c r="K83" s="6" t="s">
        <v>191</v>
      </c>
      <c r="L83" s="6">
        <v>1991</v>
      </c>
      <c r="M83" s="6" t="s">
        <v>97</v>
      </c>
      <c r="N83" s="6" t="s">
        <v>37</v>
      </c>
      <c r="O83" s="10" t="s">
        <v>132</v>
      </c>
      <c r="P83" s="6">
        <f>(8 * R83+ 4 * 0.97*R83) / 12*T83*12/1000+R84/1.01*(90-T83)*12/1000</f>
        <v>17.357062574257426</v>
      </c>
      <c r="Q83" s="6"/>
      <c r="R83" s="6">
        <v>17</v>
      </c>
      <c r="S83" s="6">
        <v>8</v>
      </c>
      <c r="T83" s="6">
        <f t="shared" si="46"/>
        <v>67</v>
      </c>
      <c r="U83" s="6">
        <v>5</v>
      </c>
      <c r="V83" s="13">
        <v>0</v>
      </c>
      <c r="W83" s="10">
        <v>33412</v>
      </c>
      <c r="X83" s="10">
        <v>33478</v>
      </c>
      <c r="Y83" s="12">
        <f>3.7*400</f>
        <v>1480</v>
      </c>
      <c r="Z83" s="6" t="s">
        <v>80</v>
      </c>
      <c r="AA83" s="6" t="s">
        <v>192</v>
      </c>
      <c r="AB83" s="6"/>
      <c r="AC83" s="12">
        <v>47.9</v>
      </c>
      <c r="AD83" s="7" t="s">
        <v>39</v>
      </c>
      <c r="AE83" s="6"/>
      <c r="AF83" s="6"/>
      <c r="AG83" s="12"/>
      <c r="AH83" s="6"/>
      <c r="AI83" s="6"/>
      <c r="AJ83" s="6"/>
      <c r="AK83" s="12"/>
      <c r="AL83" s="6"/>
      <c r="AM83" s="6"/>
      <c r="AN83" s="6"/>
      <c r="AO83" s="12">
        <f t="shared" si="55"/>
        <v>30897.703549060545</v>
      </c>
      <c r="AP83" s="6" t="s">
        <v>67</v>
      </c>
      <c r="AQ83" s="6"/>
      <c r="AR83" s="6"/>
      <c r="AS83" s="30">
        <f>55+41/60</f>
        <v>55.68333333333333</v>
      </c>
      <c r="AT83" s="30">
        <f>12+6/60</f>
        <v>12.1</v>
      </c>
      <c r="AU83" s="27">
        <v>33368</v>
      </c>
      <c r="AV83" s="25">
        <v>33478</v>
      </c>
      <c r="AW83" s="25">
        <v>33412</v>
      </c>
      <c r="AX83" s="25">
        <v>33478</v>
      </c>
      <c r="AY83" s="28">
        <f t="shared" si="52"/>
        <v>130</v>
      </c>
      <c r="AZ83" s="28">
        <f t="shared" si="42"/>
        <v>240</v>
      </c>
      <c r="BA83" s="37">
        <f t="shared" si="53"/>
        <v>111</v>
      </c>
      <c r="BB83" s="28">
        <f t="shared" si="51"/>
        <v>174</v>
      </c>
      <c r="BC83" s="28">
        <f t="shared" si="43"/>
        <v>240</v>
      </c>
      <c r="BD83" s="26">
        <f t="shared" si="44"/>
        <v>67</v>
      </c>
      <c r="BE83" s="26"/>
      <c r="BF83" s="36">
        <v>33435</v>
      </c>
      <c r="BG83" s="26">
        <f>AV83-BF83+1</f>
        <v>44</v>
      </c>
      <c r="BH83" s="26"/>
      <c r="BI83">
        <f t="shared" si="59"/>
        <v>23</v>
      </c>
      <c r="BJ83">
        <f t="shared" si="60"/>
        <v>43</v>
      </c>
    </row>
    <row r="84" spans="1:62" ht="15.6" x14ac:dyDescent="0.3">
      <c r="A84" s="6">
        <v>1</v>
      </c>
      <c r="B84" s="6"/>
      <c r="C84" s="6"/>
      <c r="D84" s="6" t="s">
        <v>193</v>
      </c>
      <c r="E84" s="9" t="s">
        <v>194</v>
      </c>
      <c r="F84" s="9" t="str">
        <f t="shared" si="54"/>
        <v>1998-75Satu1992OTC</v>
      </c>
      <c r="G84" s="9" t="s">
        <v>195</v>
      </c>
      <c r="H84" s="6" t="s">
        <v>157</v>
      </c>
      <c r="I84" s="9" t="s">
        <v>259</v>
      </c>
      <c r="J84" s="6" t="s">
        <v>96</v>
      </c>
      <c r="K84" s="17" t="s">
        <v>197</v>
      </c>
      <c r="L84" s="17">
        <v>1992</v>
      </c>
      <c r="M84" s="9" t="s">
        <v>36</v>
      </c>
      <c r="N84" s="9" t="s">
        <v>51</v>
      </c>
      <c r="O84" s="17" t="s">
        <v>132</v>
      </c>
      <c r="P84" s="6">
        <f>(8 * R84+ 4 * 0.97*R84) / 12*T84*12/1000+R85/1.01*(90-T84)*12/1000</f>
        <v>14.256128316831681</v>
      </c>
      <c r="Q84" s="6">
        <v>0</v>
      </c>
      <c r="R84" s="6">
        <v>14</v>
      </c>
      <c r="S84" s="6">
        <v>8</v>
      </c>
      <c r="T84" s="6">
        <f t="shared" si="46"/>
        <v>78</v>
      </c>
      <c r="U84" s="6">
        <v>5</v>
      </c>
      <c r="V84" s="6">
        <f t="shared" ref="V84:V92" si="61">IF(T84&lt;=90,Q84,Q84/T84*90)</f>
        <v>0</v>
      </c>
      <c r="W84" s="10">
        <v>33773</v>
      </c>
      <c r="X84" s="10">
        <v>33850</v>
      </c>
      <c r="Y84" s="12">
        <v>350</v>
      </c>
      <c r="Z84" s="6" t="s">
        <v>53</v>
      </c>
      <c r="AA84" s="6"/>
      <c r="AB84" s="6"/>
      <c r="AC84" s="12">
        <v>33.799999999999997</v>
      </c>
      <c r="AD84" s="7" t="s">
        <v>39</v>
      </c>
      <c r="AE84" s="6"/>
      <c r="AF84" s="6"/>
      <c r="AG84" s="12"/>
      <c r="AH84" s="6"/>
      <c r="AI84" s="6"/>
      <c r="AJ84" s="6"/>
      <c r="AK84" s="12"/>
      <c r="AL84" s="6"/>
      <c r="AM84" s="6"/>
      <c r="AN84" s="6"/>
      <c r="AO84" s="12">
        <f t="shared" si="55"/>
        <v>10355.029585798817</v>
      </c>
      <c r="AP84" s="6" t="s">
        <v>54</v>
      </c>
      <c r="AQ84" s="6"/>
      <c r="AR84" s="6"/>
      <c r="AS84" s="30">
        <f>60+49/60</f>
        <v>60.81666666666667</v>
      </c>
      <c r="AT84" s="30">
        <f>23+29/60</f>
        <v>23.483333333333334</v>
      </c>
      <c r="AU84" s="29"/>
      <c r="AV84" s="29"/>
      <c r="AW84" s="25">
        <v>33773</v>
      </c>
      <c r="AX84" s="25">
        <v>33850</v>
      </c>
      <c r="AY84" s="28"/>
      <c r="AZ84" s="28"/>
      <c r="BA84" s="37"/>
      <c r="BB84" s="28">
        <f t="shared" si="51"/>
        <v>170</v>
      </c>
      <c r="BC84" s="28">
        <f t="shared" si="43"/>
        <v>247</v>
      </c>
      <c r="BD84" s="26">
        <f t="shared" si="44"/>
        <v>78</v>
      </c>
      <c r="BE84" s="26"/>
      <c r="BF84" s="36">
        <f>AW84-14</f>
        <v>33759</v>
      </c>
      <c r="BG84" s="26"/>
      <c r="BH84" s="26"/>
    </row>
    <row r="85" spans="1:62" ht="15.6" x14ac:dyDescent="0.3">
      <c r="A85" s="6">
        <v>1</v>
      </c>
      <c r="B85" s="6"/>
      <c r="C85" s="6"/>
      <c r="D85" s="6" t="s">
        <v>193</v>
      </c>
      <c r="E85" s="9" t="s">
        <v>194</v>
      </c>
      <c r="F85" s="9" t="str">
        <f t="shared" si="54"/>
        <v>1998-75Satu1993OTC</v>
      </c>
      <c r="G85" s="9" t="s">
        <v>195</v>
      </c>
      <c r="H85" s="6" t="s">
        <v>157</v>
      </c>
      <c r="I85" s="9" t="s">
        <v>196</v>
      </c>
      <c r="J85" s="6" t="s">
        <v>96</v>
      </c>
      <c r="K85" s="9" t="s">
        <v>197</v>
      </c>
      <c r="L85" s="9">
        <v>1993</v>
      </c>
      <c r="M85" s="9" t="s">
        <v>36</v>
      </c>
      <c r="N85" s="9" t="s">
        <v>51</v>
      </c>
      <c r="O85" s="9" t="s">
        <v>38</v>
      </c>
      <c r="P85" s="6">
        <f>(8 * R85+ 4 * 0.97*R85) / 12*T85*12/1000+R86/1.01*(90-T85)*12/1000</f>
        <v>10.805003790664781</v>
      </c>
      <c r="Q85" s="6">
        <v>0</v>
      </c>
      <c r="R85" s="6">
        <v>9</v>
      </c>
      <c r="S85" s="6">
        <v>8</v>
      </c>
      <c r="T85" s="6">
        <f t="shared" si="46"/>
        <v>82</v>
      </c>
      <c r="U85" s="6">
        <v>5</v>
      </c>
      <c r="V85" s="6">
        <f t="shared" si="61"/>
        <v>0</v>
      </c>
      <c r="W85" s="10">
        <v>34139</v>
      </c>
      <c r="X85" s="10">
        <v>34220</v>
      </c>
      <c r="Y85" s="12">
        <v>480</v>
      </c>
      <c r="Z85" s="6" t="s">
        <v>53</v>
      </c>
      <c r="AA85" s="6"/>
      <c r="AB85" s="6"/>
      <c r="AC85" s="12">
        <v>36.4</v>
      </c>
      <c r="AD85" s="7" t="s">
        <v>39</v>
      </c>
      <c r="AE85" s="6"/>
      <c r="AF85" s="6"/>
      <c r="AG85" s="12"/>
      <c r="AH85" s="6"/>
      <c r="AI85" s="6"/>
      <c r="AJ85" s="6"/>
      <c r="AK85" s="12"/>
      <c r="AL85" s="6"/>
      <c r="AM85" s="6"/>
      <c r="AN85" s="6"/>
      <c r="AO85" s="12">
        <f t="shared" si="55"/>
        <v>13186.813186813188</v>
      </c>
      <c r="AP85" s="6" t="s">
        <v>54</v>
      </c>
      <c r="AQ85" s="6"/>
      <c r="AR85" s="6"/>
      <c r="AS85" s="30">
        <f>60+47/60</f>
        <v>60.783333333333331</v>
      </c>
      <c r="AT85" s="30">
        <f>23+28/60</f>
        <v>23.466666666666665</v>
      </c>
      <c r="AU85" s="29"/>
      <c r="AV85" s="29"/>
      <c r="AW85" s="25">
        <v>34139</v>
      </c>
      <c r="AX85" s="25">
        <v>34220</v>
      </c>
      <c r="AY85" s="28"/>
      <c r="AZ85" s="28"/>
      <c r="BA85" s="37"/>
      <c r="BB85" s="28">
        <f t="shared" si="51"/>
        <v>170</v>
      </c>
      <c r="BC85" s="28">
        <f t="shared" si="43"/>
        <v>251</v>
      </c>
      <c r="BD85" s="26">
        <f t="shared" si="44"/>
        <v>82</v>
      </c>
      <c r="BE85" s="26"/>
      <c r="BF85" s="36">
        <f>AW85-14</f>
        <v>34125</v>
      </c>
      <c r="BG85" s="26"/>
      <c r="BH85" s="26"/>
    </row>
    <row r="86" spans="1:62" ht="15.6" x14ac:dyDescent="0.3">
      <c r="A86" s="6">
        <v>1</v>
      </c>
      <c r="B86" s="6"/>
      <c r="C86" s="6"/>
      <c r="D86" s="6" t="s">
        <v>198</v>
      </c>
      <c r="E86" s="9" t="s">
        <v>199</v>
      </c>
      <c r="F86" s="9" t="str">
        <f t="shared" si="54"/>
        <v>1998-84Dragon1995OTC</v>
      </c>
      <c r="G86" s="9" t="s">
        <v>162</v>
      </c>
      <c r="H86" s="6" t="s">
        <v>157</v>
      </c>
      <c r="I86" s="9" t="s">
        <v>163</v>
      </c>
      <c r="J86" s="6" t="s">
        <v>96</v>
      </c>
      <c r="K86" s="9" t="s">
        <v>200</v>
      </c>
      <c r="L86" s="6">
        <v>1995</v>
      </c>
      <c r="M86" s="9" t="s">
        <v>36</v>
      </c>
      <c r="N86" s="9" t="s">
        <v>51</v>
      </c>
      <c r="O86" s="6" t="s">
        <v>103</v>
      </c>
      <c r="P86" s="7">
        <f>R86*1.08</f>
        <v>23.151818571428581</v>
      </c>
      <c r="Q86" s="20">
        <v>1.3093750000000003E-2</v>
      </c>
      <c r="R86" s="21">
        <v>21.436869047619055</v>
      </c>
      <c r="S86" s="6">
        <v>12</v>
      </c>
      <c r="T86" s="6">
        <v>98</v>
      </c>
      <c r="U86" s="6">
        <v>5</v>
      </c>
      <c r="V86" s="6">
        <f t="shared" si="61"/>
        <v>1.2024872448979594E-2</v>
      </c>
      <c r="W86" s="10"/>
      <c r="X86" s="10"/>
      <c r="Y86" s="22">
        <v>590</v>
      </c>
      <c r="Z86" s="6" t="s">
        <v>53</v>
      </c>
      <c r="AA86" s="6"/>
      <c r="AB86" s="6"/>
      <c r="AC86" s="12">
        <v>41.7</v>
      </c>
      <c r="AD86" s="7" t="s">
        <v>39</v>
      </c>
      <c r="AE86" s="6"/>
      <c r="AF86" s="6">
        <v>0.7</v>
      </c>
      <c r="AG86" s="12">
        <f>Y86/AC86*1000/AK86</f>
        <v>23.043454487224551</v>
      </c>
      <c r="AH86" s="6" t="s">
        <v>134</v>
      </c>
      <c r="AI86" s="6"/>
      <c r="AJ86" s="6"/>
      <c r="AK86" s="12">
        <v>614</v>
      </c>
      <c r="AL86" s="6" t="s">
        <v>54</v>
      </c>
      <c r="AM86" s="6"/>
      <c r="AN86" s="6"/>
      <c r="AO86" s="12">
        <f t="shared" si="55"/>
        <v>14148.681055155874</v>
      </c>
      <c r="AP86" s="6" t="s">
        <v>54</v>
      </c>
      <c r="AQ86" s="6"/>
      <c r="AR86" s="6"/>
      <c r="AS86" s="30">
        <f>57+54/60</f>
        <v>57.9</v>
      </c>
      <c r="AT86" s="30">
        <f>12+24/60</f>
        <v>12.4</v>
      </c>
      <c r="AU86" s="27">
        <v>34822</v>
      </c>
      <c r="AV86" s="25">
        <v>34914</v>
      </c>
      <c r="AW86" s="25">
        <v>34850</v>
      </c>
      <c r="AX86" s="25">
        <v>34914</v>
      </c>
      <c r="AY86" s="28">
        <f t="shared" ref="AY86:AY92" si="62">AU86-INT(YEAR(AV86)&amp;"/1/1")+1</f>
        <v>123</v>
      </c>
      <c r="AZ86" s="28">
        <f t="shared" ref="AZ86:AZ92" si="63">AV86-INT(YEAR(AV86)&amp;"/1/1")+1</f>
        <v>215</v>
      </c>
      <c r="BA86" s="37">
        <f t="shared" ref="BA86:BA92" si="64">AZ86-AY86+1</f>
        <v>93</v>
      </c>
      <c r="BB86" s="28">
        <f t="shared" si="51"/>
        <v>151</v>
      </c>
      <c r="BC86" s="28">
        <f t="shared" ref="BC86:BC92" si="65">AX86-INT(YEAR(AX86)&amp;"/1/1")+1</f>
        <v>215</v>
      </c>
      <c r="BD86" s="26">
        <f t="shared" ref="BD86:BD92" si="66">BC86-BB86+1</f>
        <v>65</v>
      </c>
      <c r="BE86" s="26"/>
      <c r="BF86" s="36">
        <f>AW86+38</f>
        <v>34888</v>
      </c>
      <c r="BG86" s="26">
        <f t="shared" ref="BG86:BG92" si="67">AV86-BF86+1</f>
        <v>27</v>
      </c>
      <c r="BH86" s="26"/>
      <c r="BI86">
        <f t="shared" ref="BI86:BI92" si="68">BF86-AW86</f>
        <v>38</v>
      </c>
      <c r="BJ86">
        <f t="shared" ref="BJ86:BJ92" si="69">AX86-BF86</f>
        <v>26</v>
      </c>
    </row>
    <row r="87" spans="1:62" ht="15.6" x14ac:dyDescent="0.3">
      <c r="A87" s="6">
        <v>1</v>
      </c>
      <c r="B87" s="6"/>
      <c r="C87" s="6"/>
      <c r="D87" s="6" t="s">
        <v>201</v>
      </c>
      <c r="E87" s="9" t="s">
        <v>202</v>
      </c>
      <c r="F87" s="9" t="str">
        <f t="shared" si="54"/>
        <v>2000-X96Dragon1994OTC</v>
      </c>
      <c r="G87" s="6" t="s">
        <v>203</v>
      </c>
      <c r="H87" s="6" t="s">
        <v>157</v>
      </c>
      <c r="I87" s="9" t="s">
        <v>163</v>
      </c>
      <c r="J87" s="6" t="s">
        <v>96</v>
      </c>
      <c r="K87" s="17" t="s">
        <v>200</v>
      </c>
      <c r="L87" s="17">
        <v>1994</v>
      </c>
      <c r="M87" s="9" t="s">
        <v>36</v>
      </c>
      <c r="N87" s="9" t="s">
        <v>51</v>
      </c>
      <c r="O87" s="17" t="s">
        <v>42</v>
      </c>
      <c r="P87" s="6">
        <f>R87/1.01*T87*12/1000+R87/1.01*(90-T87)*12/1000</f>
        <v>35.287128712871286</v>
      </c>
      <c r="Q87" s="6">
        <v>2.2709999999999999</v>
      </c>
      <c r="R87" s="6">
        <v>33</v>
      </c>
      <c r="S87" s="6">
        <v>12</v>
      </c>
      <c r="T87" s="6">
        <f t="shared" ref="T87:T92" si="70">X87-W87+1</f>
        <v>71</v>
      </c>
      <c r="U87" s="17">
        <v>3</v>
      </c>
      <c r="V87" s="6">
        <f t="shared" si="61"/>
        <v>2.2709999999999999</v>
      </c>
      <c r="W87" s="6">
        <v>165</v>
      </c>
      <c r="X87" s="6">
        <v>235</v>
      </c>
      <c r="Y87" s="12">
        <v>568.32181018227504</v>
      </c>
      <c r="Z87" s="6" t="s">
        <v>53</v>
      </c>
      <c r="AA87" s="6"/>
      <c r="AB87" s="6">
        <v>37.837837837837981</v>
      </c>
      <c r="AC87" s="12">
        <v>35.761674718196502</v>
      </c>
      <c r="AD87" s="7" t="s">
        <v>39</v>
      </c>
      <c r="AE87" s="6"/>
      <c r="AF87" s="6">
        <v>0.79999999999999716</v>
      </c>
      <c r="AG87" s="12">
        <f>Y87/AC87*1000/AK87</f>
        <v>35.214813556589355</v>
      </c>
      <c r="AH87" s="6" t="s">
        <v>134</v>
      </c>
      <c r="AI87" s="6"/>
      <c r="AJ87" s="6"/>
      <c r="AK87" s="12">
        <v>451.285189718482</v>
      </c>
      <c r="AL87" s="6" t="s">
        <v>54</v>
      </c>
      <c r="AM87" s="6"/>
      <c r="AN87" s="6"/>
      <c r="AO87" s="12">
        <f t="shared" si="55"/>
        <v>15891.923816786399</v>
      </c>
      <c r="AP87" s="6" t="s">
        <v>54</v>
      </c>
      <c r="AQ87" s="6"/>
      <c r="AR87" s="6"/>
      <c r="AS87" s="30">
        <f>57+54/60</f>
        <v>57.9</v>
      </c>
      <c r="AT87" s="30">
        <f>12+24/60</f>
        <v>12.4</v>
      </c>
      <c r="AU87" s="29">
        <v>118</v>
      </c>
      <c r="AV87" s="29">
        <v>235</v>
      </c>
      <c r="AW87" s="12">
        <v>165</v>
      </c>
      <c r="AX87" s="12">
        <v>235</v>
      </c>
      <c r="AY87" s="28">
        <f t="shared" si="62"/>
        <v>118</v>
      </c>
      <c r="AZ87" s="28">
        <f t="shared" si="63"/>
        <v>235</v>
      </c>
      <c r="BA87" s="37">
        <f t="shared" si="64"/>
        <v>118</v>
      </c>
      <c r="BB87" s="28">
        <f t="shared" si="51"/>
        <v>165</v>
      </c>
      <c r="BC87" s="28">
        <f t="shared" si="65"/>
        <v>235</v>
      </c>
      <c r="BD87" s="26">
        <f t="shared" si="66"/>
        <v>71</v>
      </c>
      <c r="BE87" s="26"/>
      <c r="BF87" s="28">
        <f>AU87+65</f>
        <v>183</v>
      </c>
      <c r="BG87" s="26">
        <f t="shared" si="67"/>
        <v>53</v>
      </c>
      <c r="BH87" s="26"/>
      <c r="BI87">
        <f t="shared" si="68"/>
        <v>18</v>
      </c>
      <c r="BJ87">
        <f t="shared" si="69"/>
        <v>52</v>
      </c>
    </row>
    <row r="88" spans="1:62" ht="15.6" x14ac:dyDescent="0.3">
      <c r="A88" s="6">
        <v>1</v>
      </c>
      <c r="B88" s="6"/>
      <c r="C88" s="6"/>
      <c r="D88" s="6" t="s">
        <v>204</v>
      </c>
      <c r="E88" s="9" t="s">
        <v>205</v>
      </c>
      <c r="F88" s="9" t="str">
        <f t="shared" si="54"/>
        <v>2006-90Dragon1999OTC</v>
      </c>
      <c r="G88" s="6" t="s">
        <v>203</v>
      </c>
      <c r="H88" s="6" t="s">
        <v>157</v>
      </c>
      <c r="I88" s="9" t="s">
        <v>163</v>
      </c>
      <c r="J88" s="6" t="s">
        <v>96</v>
      </c>
      <c r="K88" s="9" t="s">
        <v>200</v>
      </c>
      <c r="L88" s="9">
        <v>1999</v>
      </c>
      <c r="M88" s="9" t="s">
        <v>36</v>
      </c>
      <c r="N88" s="9" t="s">
        <v>51</v>
      </c>
      <c r="O88" s="9" t="s">
        <v>38</v>
      </c>
      <c r="P88" s="6">
        <f>R88/1.01*T88*12/1000+R88/1.01*(90-T88)*12/1000</f>
        <v>9.6237623762376252</v>
      </c>
      <c r="Q88" s="6">
        <v>0</v>
      </c>
      <c r="R88" s="9">
        <v>9</v>
      </c>
      <c r="S88" s="6">
        <v>12</v>
      </c>
      <c r="T88" s="6">
        <f t="shared" si="70"/>
        <v>70</v>
      </c>
      <c r="U88" s="6">
        <v>6</v>
      </c>
      <c r="V88" s="6">
        <f t="shared" si="61"/>
        <v>0</v>
      </c>
      <c r="W88" s="10">
        <v>36327</v>
      </c>
      <c r="X88" s="10">
        <v>36396</v>
      </c>
      <c r="Y88" s="12"/>
      <c r="Z88" s="6"/>
      <c r="AA88" s="6"/>
      <c r="AB88" s="6"/>
      <c r="AC88" s="12">
        <v>38.6666666666667</v>
      </c>
      <c r="AD88" s="7" t="s">
        <v>39</v>
      </c>
      <c r="AE88" s="6"/>
      <c r="AF88" s="6">
        <v>3</v>
      </c>
      <c r="AG88" s="12"/>
      <c r="AH88" s="6"/>
      <c r="AI88" s="6"/>
      <c r="AJ88" s="6"/>
      <c r="AK88" s="12"/>
      <c r="AL88" s="6"/>
      <c r="AM88" s="6"/>
      <c r="AN88" s="6"/>
      <c r="AO88" s="12"/>
      <c r="AP88" s="6"/>
      <c r="AQ88" s="6"/>
      <c r="AR88" s="6"/>
      <c r="AS88" s="30">
        <f>57+54/60</f>
        <v>57.9</v>
      </c>
      <c r="AT88" s="30">
        <f>12+24/60</f>
        <v>12.4</v>
      </c>
      <c r="AU88" s="27">
        <v>36285</v>
      </c>
      <c r="AV88" s="27">
        <v>36402</v>
      </c>
      <c r="AW88" s="25">
        <v>36327</v>
      </c>
      <c r="AX88" s="25">
        <v>36396</v>
      </c>
      <c r="AY88" s="28">
        <f t="shared" si="62"/>
        <v>125</v>
      </c>
      <c r="AZ88" s="28">
        <f t="shared" si="63"/>
        <v>242</v>
      </c>
      <c r="BA88" s="37">
        <f t="shared" si="64"/>
        <v>118</v>
      </c>
      <c r="BB88" s="28">
        <f t="shared" si="51"/>
        <v>167</v>
      </c>
      <c r="BC88" s="28">
        <f t="shared" si="65"/>
        <v>236</v>
      </c>
      <c r="BD88" s="26">
        <f t="shared" si="66"/>
        <v>70</v>
      </c>
      <c r="BE88" s="26"/>
      <c r="BF88" s="36">
        <v>36355</v>
      </c>
      <c r="BG88" s="26">
        <f t="shared" si="67"/>
        <v>48</v>
      </c>
      <c r="BH88" s="26"/>
      <c r="BI88">
        <f t="shared" si="68"/>
        <v>28</v>
      </c>
      <c r="BJ88">
        <f t="shared" si="69"/>
        <v>41</v>
      </c>
    </row>
    <row r="89" spans="1:62" ht="15.6" x14ac:dyDescent="0.3">
      <c r="A89" s="6">
        <v>1</v>
      </c>
      <c r="B89" s="6"/>
      <c r="C89" s="6"/>
      <c r="D89" s="6" t="s">
        <v>204</v>
      </c>
      <c r="E89" s="9" t="s">
        <v>205</v>
      </c>
      <c r="F89" s="9" t="str">
        <f t="shared" si="54"/>
        <v>2006-90Lantvete1999OTC</v>
      </c>
      <c r="G89" s="6" t="s">
        <v>203</v>
      </c>
      <c r="H89" s="6" t="s">
        <v>157</v>
      </c>
      <c r="I89" s="9" t="s">
        <v>163</v>
      </c>
      <c r="J89" s="6" t="s">
        <v>96</v>
      </c>
      <c r="K89" s="9" t="s">
        <v>206</v>
      </c>
      <c r="L89" s="9">
        <v>1999</v>
      </c>
      <c r="M89" s="9" t="s">
        <v>36</v>
      </c>
      <c r="N89" s="9" t="s">
        <v>51</v>
      </c>
      <c r="O89" s="9" t="s">
        <v>38</v>
      </c>
      <c r="P89" s="6">
        <f>R89/1.01*T89*12/1000+R89/1.01*(90-T89)*12/1000</f>
        <v>9.6237623762376252</v>
      </c>
      <c r="Q89" s="6">
        <v>0</v>
      </c>
      <c r="R89" s="9">
        <v>9</v>
      </c>
      <c r="S89" s="6">
        <v>12</v>
      </c>
      <c r="T89" s="6">
        <f t="shared" si="70"/>
        <v>70</v>
      </c>
      <c r="U89" s="6">
        <v>6</v>
      </c>
      <c r="V89" s="6">
        <f t="shared" si="61"/>
        <v>0</v>
      </c>
      <c r="W89" s="10">
        <v>36327</v>
      </c>
      <c r="X89" s="10">
        <v>36396</v>
      </c>
      <c r="Y89" s="12"/>
      <c r="Z89" s="6"/>
      <c r="AA89" s="6"/>
      <c r="AB89" s="6"/>
      <c r="AC89" s="12">
        <v>34.3333333333333</v>
      </c>
      <c r="AD89" s="7" t="s">
        <v>39</v>
      </c>
      <c r="AE89" s="6"/>
      <c r="AF89" s="6">
        <v>2.1666666666666998</v>
      </c>
      <c r="AG89" s="12"/>
      <c r="AH89" s="6"/>
      <c r="AI89" s="6"/>
      <c r="AJ89" s="6"/>
      <c r="AK89" s="12"/>
      <c r="AL89" s="6"/>
      <c r="AM89" s="6"/>
      <c r="AN89" s="6"/>
      <c r="AO89" s="12"/>
      <c r="AP89" s="6"/>
      <c r="AQ89" s="6"/>
      <c r="AR89" s="6"/>
      <c r="AS89" s="30">
        <f>57+54/60</f>
        <v>57.9</v>
      </c>
      <c r="AT89" s="30">
        <f>12+24/60</f>
        <v>12.4</v>
      </c>
      <c r="AU89" s="27">
        <v>36285</v>
      </c>
      <c r="AV89" s="27">
        <v>36403</v>
      </c>
      <c r="AW89" s="25">
        <v>36327</v>
      </c>
      <c r="AX89" s="25">
        <v>36396</v>
      </c>
      <c r="AY89" s="28">
        <f t="shared" si="62"/>
        <v>125</v>
      </c>
      <c r="AZ89" s="28">
        <f t="shared" si="63"/>
        <v>243</v>
      </c>
      <c r="BA89" s="37">
        <f t="shared" si="64"/>
        <v>119</v>
      </c>
      <c r="BB89" s="28">
        <f t="shared" si="51"/>
        <v>167</v>
      </c>
      <c r="BC89" s="28">
        <f t="shared" si="65"/>
        <v>236</v>
      </c>
      <c r="BD89" s="26">
        <f t="shared" si="66"/>
        <v>70</v>
      </c>
      <c r="BE89" s="26"/>
      <c r="BF89" s="36">
        <v>36356</v>
      </c>
      <c r="BG89" s="26">
        <f t="shared" si="67"/>
        <v>48</v>
      </c>
      <c r="BH89" s="26"/>
      <c r="BI89">
        <f t="shared" si="68"/>
        <v>29</v>
      </c>
      <c r="BJ89">
        <f t="shared" si="69"/>
        <v>40</v>
      </c>
    </row>
    <row r="90" spans="1:62" ht="15.6" x14ac:dyDescent="0.3">
      <c r="A90" s="6">
        <v>1</v>
      </c>
      <c r="B90" s="6"/>
      <c r="C90" s="6"/>
      <c r="D90" s="6" t="s">
        <v>207</v>
      </c>
      <c r="E90" s="9" t="s">
        <v>208</v>
      </c>
      <c r="F90" s="9" t="str">
        <f t="shared" si="54"/>
        <v>2013-18Astron2006OTC</v>
      </c>
      <c r="G90" s="6" t="s">
        <v>209</v>
      </c>
      <c r="H90" s="6" t="s">
        <v>219</v>
      </c>
      <c r="I90" s="6" t="s">
        <v>210</v>
      </c>
      <c r="J90" s="6" t="s">
        <v>96</v>
      </c>
      <c r="K90" s="9" t="s">
        <v>211</v>
      </c>
      <c r="L90" s="6">
        <v>2006</v>
      </c>
      <c r="M90" s="9" t="s">
        <v>36</v>
      </c>
      <c r="N90" s="9" t="s">
        <v>51</v>
      </c>
      <c r="O90" s="6" t="s">
        <v>103</v>
      </c>
      <c r="P90" s="6">
        <f>R90/1.01*T90*12/1000+R90/1.01*(90-T90)*12/1000</f>
        <v>38.495049504950501</v>
      </c>
      <c r="Q90" s="6">
        <v>1.7</v>
      </c>
      <c r="R90" s="6">
        <v>36</v>
      </c>
      <c r="S90" s="6">
        <v>8</v>
      </c>
      <c r="T90" s="6">
        <f t="shared" si="70"/>
        <v>55</v>
      </c>
      <c r="U90" s="6">
        <v>4</v>
      </c>
      <c r="V90" s="6">
        <f t="shared" si="61"/>
        <v>1.7</v>
      </c>
      <c r="W90" s="10">
        <v>38846</v>
      </c>
      <c r="X90" s="10">
        <v>38900</v>
      </c>
      <c r="Y90" s="12">
        <v>688.1</v>
      </c>
      <c r="Z90" s="6" t="s">
        <v>53</v>
      </c>
      <c r="AA90" s="6"/>
      <c r="AB90" s="6">
        <v>30.1</v>
      </c>
      <c r="AC90" s="12"/>
      <c r="AD90" s="6"/>
      <c r="AE90" s="6"/>
      <c r="AF90" s="6"/>
      <c r="AG90" s="12"/>
      <c r="AH90" s="6"/>
      <c r="AI90" s="6"/>
      <c r="AJ90" s="6"/>
      <c r="AK90" s="12"/>
      <c r="AL90" s="6"/>
      <c r="AM90" s="6"/>
      <c r="AN90" s="6"/>
      <c r="AO90" s="12"/>
      <c r="AP90" s="6"/>
      <c r="AQ90" s="6"/>
      <c r="AR90" s="6"/>
      <c r="AS90" s="30">
        <f>52+18/60</f>
        <v>52.3</v>
      </c>
      <c r="AT90" s="30">
        <f>10+26/60</f>
        <v>10.433333333333334</v>
      </c>
      <c r="AU90" s="27">
        <v>38632</v>
      </c>
      <c r="AV90" s="25">
        <v>38920</v>
      </c>
      <c r="AW90" s="25">
        <v>38846</v>
      </c>
      <c r="AX90" s="25">
        <v>38900</v>
      </c>
      <c r="AY90" s="28">
        <f t="shared" si="62"/>
        <v>-85</v>
      </c>
      <c r="AZ90" s="28">
        <f t="shared" si="63"/>
        <v>203</v>
      </c>
      <c r="BA90" s="37">
        <f t="shared" si="64"/>
        <v>289</v>
      </c>
      <c r="BB90" s="28">
        <f t="shared" si="51"/>
        <v>129</v>
      </c>
      <c r="BC90" s="28">
        <f t="shared" si="65"/>
        <v>183</v>
      </c>
      <c r="BD90" s="26">
        <f t="shared" si="66"/>
        <v>55</v>
      </c>
      <c r="BE90" s="26"/>
      <c r="BF90" s="36">
        <v>38882</v>
      </c>
      <c r="BG90" s="26">
        <f t="shared" si="67"/>
        <v>39</v>
      </c>
      <c r="BH90" s="26"/>
      <c r="BI90">
        <f t="shared" si="68"/>
        <v>36</v>
      </c>
      <c r="BJ90">
        <f t="shared" si="69"/>
        <v>18</v>
      </c>
    </row>
    <row r="91" spans="1:62" ht="15.6" x14ac:dyDescent="0.3">
      <c r="A91" s="6">
        <v>1</v>
      </c>
      <c r="B91" s="6"/>
      <c r="C91" s="6"/>
      <c r="D91" s="6" t="s">
        <v>207</v>
      </c>
      <c r="E91" s="9" t="s">
        <v>208</v>
      </c>
      <c r="F91" s="9" t="str">
        <f t="shared" si="54"/>
        <v>2013-18Pegasus2006OTC</v>
      </c>
      <c r="G91" s="6" t="s">
        <v>209</v>
      </c>
      <c r="H91" s="6" t="s">
        <v>219</v>
      </c>
      <c r="I91" s="6" t="s">
        <v>210</v>
      </c>
      <c r="J91" s="6" t="s">
        <v>96</v>
      </c>
      <c r="K91" s="9" t="s">
        <v>212</v>
      </c>
      <c r="L91" s="6">
        <v>2006</v>
      </c>
      <c r="M91" s="9" t="s">
        <v>36</v>
      </c>
      <c r="N91" s="9" t="s">
        <v>51</v>
      </c>
      <c r="O91" s="6" t="s">
        <v>103</v>
      </c>
      <c r="P91" s="6">
        <f>R91/1.01*T91*12/1000+R91/1.01*(90-T91)*12/1000</f>
        <v>38.495049504950501</v>
      </c>
      <c r="Q91" s="6">
        <v>1.7</v>
      </c>
      <c r="R91" s="6">
        <v>36</v>
      </c>
      <c r="S91" s="6">
        <v>8</v>
      </c>
      <c r="T91" s="6">
        <f t="shared" si="70"/>
        <v>55</v>
      </c>
      <c r="U91" s="6">
        <v>4</v>
      </c>
      <c r="V91" s="6">
        <f t="shared" si="61"/>
        <v>1.7</v>
      </c>
      <c r="W91" s="10">
        <v>38846</v>
      </c>
      <c r="X91" s="10">
        <v>38900</v>
      </c>
      <c r="Y91" s="12">
        <v>888.4</v>
      </c>
      <c r="Z91" s="6" t="s">
        <v>53</v>
      </c>
      <c r="AA91" s="6"/>
      <c r="AB91" s="6">
        <v>30.4</v>
      </c>
      <c r="AC91" s="12"/>
      <c r="AD91" s="6"/>
      <c r="AE91" s="6"/>
      <c r="AF91" s="6"/>
      <c r="AG91" s="12"/>
      <c r="AH91" s="6"/>
      <c r="AI91" s="6"/>
      <c r="AJ91" s="6"/>
      <c r="AK91" s="12"/>
      <c r="AL91" s="6"/>
      <c r="AM91" s="6"/>
      <c r="AN91" s="6"/>
      <c r="AO91" s="12"/>
      <c r="AP91" s="6"/>
      <c r="AQ91" s="6"/>
      <c r="AR91" s="6"/>
      <c r="AS91" s="30">
        <f>52+18/60</f>
        <v>52.3</v>
      </c>
      <c r="AT91" s="30">
        <f>10+26/60</f>
        <v>10.433333333333334</v>
      </c>
      <c r="AU91" s="27">
        <v>38632</v>
      </c>
      <c r="AV91" s="25">
        <v>38920</v>
      </c>
      <c r="AW91" s="25">
        <v>38846</v>
      </c>
      <c r="AX91" s="25">
        <v>38900</v>
      </c>
      <c r="AY91" s="28">
        <f t="shared" si="62"/>
        <v>-85</v>
      </c>
      <c r="AZ91" s="28">
        <f t="shared" si="63"/>
        <v>203</v>
      </c>
      <c r="BA91" s="37">
        <f t="shared" si="64"/>
        <v>289</v>
      </c>
      <c r="BB91" s="28">
        <f t="shared" si="51"/>
        <v>129</v>
      </c>
      <c r="BC91" s="28">
        <f t="shared" si="65"/>
        <v>183</v>
      </c>
      <c r="BD91" s="26">
        <f t="shared" si="66"/>
        <v>55</v>
      </c>
      <c r="BE91" s="26"/>
      <c r="BF91" s="36">
        <v>38882</v>
      </c>
      <c r="BG91" s="26">
        <f t="shared" si="67"/>
        <v>39</v>
      </c>
      <c r="BH91" s="26"/>
      <c r="BI91">
        <f t="shared" si="68"/>
        <v>36</v>
      </c>
      <c r="BJ91">
        <f t="shared" si="69"/>
        <v>18</v>
      </c>
    </row>
    <row r="92" spans="1:62" ht="15.6" x14ac:dyDescent="0.3">
      <c r="A92" s="6">
        <v>1</v>
      </c>
      <c r="B92" s="26"/>
      <c r="C92" s="26" t="s">
        <v>221</v>
      </c>
      <c r="D92" s="6" t="s">
        <v>220</v>
      </c>
      <c r="E92" s="13" t="s">
        <v>223</v>
      </c>
      <c r="F92" s="9" t="str">
        <f t="shared" si="54"/>
        <v>In ChineseBeinong 95492010OTC</v>
      </c>
      <c r="G92" s="6" t="s">
        <v>221</v>
      </c>
      <c r="H92" s="6" t="s">
        <v>222</v>
      </c>
      <c r="I92" s="6" t="s">
        <v>222</v>
      </c>
      <c r="J92" s="6" t="s">
        <v>96</v>
      </c>
      <c r="K92" s="7" t="s">
        <v>224</v>
      </c>
      <c r="L92" s="6">
        <v>2010</v>
      </c>
      <c r="M92" s="7" t="s">
        <v>97</v>
      </c>
      <c r="N92" s="7" t="s">
        <v>51</v>
      </c>
      <c r="O92" s="7" t="s">
        <v>103</v>
      </c>
      <c r="P92" s="26"/>
      <c r="Q92" s="26">
        <v>5.6845238095238075</v>
      </c>
      <c r="R92" s="26"/>
      <c r="S92" s="7">
        <v>10</v>
      </c>
      <c r="T92" s="26">
        <f t="shared" si="70"/>
        <v>69</v>
      </c>
      <c r="U92" s="6">
        <v>3</v>
      </c>
      <c r="V92" s="6">
        <f t="shared" si="61"/>
        <v>5.6845238095238075</v>
      </c>
      <c r="W92" s="36">
        <v>40273</v>
      </c>
      <c r="X92" s="36">
        <v>40341</v>
      </c>
      <c r="Y92" s="26">
        <v>0.97416666666666596</v>
      </c>
      <c r="Z92" s="38" t="s">
        <v>229</v>
      </c>
      <c r="AA92" s="26">
        <v>0.1611802533627304</v>
      </c>
      <c r="AB92" s="26"/>
      <c r="AC92" s="29"/>
      <c r="AD92" s="26"/>
      <c r="AE92" s="26"/>
      <c r="AF92" s="26"/>
      <c r="AG92" s="29"/>
      <c r="AH92" s="26"/>
      <c r="AI92" s="26"/>
      <c r="AJ92" s="26"/>
      <c r="AK92" s="26"/>
      <c r="AL92" s="26"/>
      <c r="AM92" s="26"/>
      <c r="AN92" s="26"/>
      <c r="AO92" s="26"/>
      <c r="AP92" s="26"/>
      <c r="AQ92" s="26"/>
      <c r="AR92" s="26"/>
      <c r="AS92" s="32">
        <f>40+12/60</f>
        <v>40.200000000000003</v>
      </c>
      <c r="AT92" s="32">
        <f>116+8/60</f>
        <v>116.13333333333334</v>
      </c>
      <c r="AU92" s="27">
        <v>40084</v>
      </c>
      <c r="AV92" s="27">
        <v>40352</v>
      </c>
      <c r="AW92" s="27">
        <v>40273</v>
      </c>
      <c r="AX92" s="27">
        <v>40341</v>
      </c>
      <c r="AY92" s="28">
        <f t="shared" si="62"/>
        <v>-94</v>
      </c>
      <c r="AZ92" s="28">
        <f t="shared" si="63"/>
        <v>174</v>
      </c>
      <c r="BA92" s="37">
        <f t="shared" si="64"/>
        <v>269</v>
      </c>
      <c r="BB92" s="28">
        <f t="shared" si="51"/>
        <v>95</v>
      </c>
      <c r="BC92" s="28">
        <f t="shared" si="65"/>
        <v>163</v>
      </c>
      <c r="BD92" s="26">
        <f t="shared" si="66"/>
        <v>69</v>
      </c>
      <c r="BE92" s="26"/>
      <c r="BF92" s="36">
        <v>40318</v>
      </c>
      <c r="BG92" s="26">
        <f t="shared" si="67"/>
        <v>35</v>
      </c>
      <c r="BH92" s="26" t="s">
        <v>275</v>
      </c>
      <c r="BI92">
        <f t="shared" si="68"/>
        <v>45</v>
      </c>
      <c r="BJ92">
        <f t="shared" si="69"/>
        <v>23</v>
      </c>
    </row>
    <row r="210" spans="16:16" x14ac:dyDescent="0.25"/>
    <row r="212" spans="16:16" x14ac:dyDescent="0.25"/>
  </sheetData>
  <phoneticPr fontId="3" type="noConversion"/>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820BA08774933E43BDBF8EB4DF8F5CEC" ma:contentTypeVersion="0" ma:contentTypeDescription="新建文档。" ma:contentTypeScope="" ma:versionID="dc5f2eb0f04c0edcf820bdbd2177c965">
  <xsd:schema xmlns:xsd="http://www.w3.org/2001/XMLSchema" xmlns:xs="http://www.w3.org/2001/XMLSchema" xmlns:p="http://schemas.microsoft.com/office/2006/metadata/properties" targetNamespace="http://schemas.microsoft.com/office/2006/metadata/properties" ma:root="true" ma:fieldsID="d1f498723cae5d6c4125846a5f63af6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3B076E-4F7A-4979-BA4A-72E6542E6566}">
  <ds:schemaRefs>
    <ds:schemaRef ds:uri="http://purl.org/dc/elements/1.1/"/>
    <ds:schemaRef ds:uri="http://schemas.microsoft.com/office/2006/documentManagement/types"/>
    <ds:schemaRef ds:uri="http://purl.org/dc/dcmitype/"/>
    <ds:schemaRef ds:uri="http://www.w3.org/XML/1998/namespace"/>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2B1AF79-EC10-484B-8AF0-087EF82BD4DE}">
  <ds:schemaRefs>
    <ds:schemaRef ds:uri="http://schemas.microsoft.com/sharepoint/v3/contenttype/forms"/>
  </ds:schemaRefs>
</ds:datastoreItem>
</file>

<file path=customXml/itemProps3.xml><?xml version="1.0" encoding="utf-8"?>
<ds:datastoreItem xmlns:ds="http://schemas.openxmlformats.org/officeDocument/2006/customXml" ds:itemID="{2F7C447E-5695-45DB-A6F4-1B9662D767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Wheat data</vt:lpstr>
      <vt:lpstr>All wheat data_other variable</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YansenXu</dc:creator>
  <cp:lastModifiedBy>YansenXu</cp:lastModifiedBy>
  <dcterms:created xsi:type="dcterms:W3CDTF">2015-06-05T18:19:34Z</dcterms:created>
  <dcterms:modified xsi:type="dcterms:W3CDTF">2023-04-15T10:11:51Z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0x010100820BA08774933E43BDBF8EB4DF8F5CEC</vt:lpwstr>
  </property>
</Properties>
</file>