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nuistedu-my.sharepoint.cn/personal/003485_nuist_edu_cn/Documents/2022年/00实验数据处理/meta分析O3对作物产量/05estimated Dose relationship/Input result/"/>
    </mc:Choice>
  </mc:AlternateContent>
  <xr:revisionPtr revIDLastSave="72" documentId="14_{5F4208D0-F5D9-461E-BE38-03BCD3E2DFB5}" xr6:coauthVersionLast="45" xr6:coauthVersionMax="45" xr10:uidLastSave="{CB487DC4-4E4D-4521-91A6-6275E0CB531B}"/>
  <bookViews>
    <workbookView xWindow="-108" yWindow="-108" windowWidth="23256" windowHeight="12456" xr2:uid="{00000000-000D-0000-FFFF-FFFF00000000}"/>
  </bookViews>
  <sheets>
    <sheet name="Wheat data"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0" hidden="1">'Wheat data'!$A$1:$CR$259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65" i="2" l="1"/>
  <c r="F42" i="2" l="1"/>
  <c r="CA42" i="2" s="1"/>
  <c r="F43" i="2"/>
  <c r="CA43" i="2" s="1"/>
  <c r="F44" i="2"/>
  <c r="CA44" i="2" s="1"/>
  <c r="F45" i="2"/>
  <c r="CA45" i="2" s="1"/>
  <c r="F46" i="2"/>
  <c r="CA46" i="2" s="1"/>
  <c r="F47" i="2"/>
  <c r="CA47" i="2" s="1"/>
  <c r="F48" i="2"/>
  <c r="BP48" i="2" s="1"/>
  <c r="F49" i="2"/>
  <c r="CA49" i="2" s="1"/>
  <c r="F50" i="2"/>
  <c r="CA50" i="2" s="1"/>
  <c r="F51" i="2"/>
  <c r="CA51" i="2" s="1"/>
  <c r="F52" i="2"/>
  <c r="CA52" i="2" s="1"/>
  <c r="F53" i="2"/>
  <c r="CA53" i="2" s="1"/>
  <c r="F54" i="2"/>
  <c r="CA54" i="2" s="1"/>
  <c r="F55" i="2"/>
  <c r="CA55" i="2" s="1"/>
  <c r="F56" i="2"/>
  <c r="BP56" i="2" s="1"/>
  <c r="F57" i="2"/>
  <c r="CA57" i="2" s="1"/>
  <c r="F58" i="2"/>
  <c r="CA58" i="2" s="1"/>
  <c r="F59" i="2"/>
  <c r="CA59" i="2" s="1"/>
  <c r="F60" i="2"/>
  <c r="CA60" i="2" s="1"/>
  <c r="F61" i="2"/>
  <c r="CA61" i="2" s="1"/>
  <c r="F62" i="2"/>
  <c r="CA62" i="2" s="1"/>
  <c r="F63" i="2"/>
  <c r="CA63" i="2" s="1"/>
  <c r="F64" i="2"/>
  <c r="BP64" i="2" s="1"/>
  <c r="F65" i="2"/>
  <c r="F66" i="2"/>
  <c r="CA66" i="2" s="1"/>
  <c r="F67" i="2"/>
  <c r="CA67" i="2" s="1"/>
  <c r="F68" i="2"/>
  <c r="CA68" i="2" s="1"/>
  <c r="F69" i="2"/>
  <c r="CA69" i="2" s="1"/>
  <c r="F70" i="2"/>
  <c r="CA70" i="2" s="1"/>
  <c r="F71" i="2"/>
  <c r="CA71" i="2" s="1"/>
  <c r="F72" i="2"/>
  <c r="BP72" i="2" s="1"/>
  <c r="F73" i="2"/>
  <c r="CA73" i="2" s="1"/>
  <c r="F74" i="2"/>
  <c r="CA74" i="2" s="1"/>
  <c r="F75" i="2"/>
  <c r="CA75" i="2" s="1"/>
  <c r="F76" i="2"/>
  <c r="CA76" i="2" s="1"/>
  <c r="F77" i="2"/>
  <c r="CA77" i="2" s="1"/>
  <c r="F78" i="2"/>
  <c r="CA78" i="2" s="1"/>
  <c r="F79" i="2"/>
  <c r="CA79" i="2" s="1"/>
  <c r="F80" i="2"/>
  <c r="BP80" i="2" s="1"/>
  <c r="F81" i="2"/>
  <c r="CA81" i="2" s="1"/>
  <c r="F82" i="2"/>
  <c r="CA82" i="2" s="1"/>
  <c r="F83" i="2"/>
  <c r="CA83" i="2" s="1"/>
  <c r="F84" i="2"/>
  <c r="CA84" i="2" s="1"/>
  <c r="F85" i="2"/>
  <c r="CA85" i="2" s="1"/>
  <c r="F86" i="2"/>
  <c r="CA86" i="2" s="1"/>
  <c r="F87" i="2"/>
  <c r="CA87" i="2" s="1"/>
  <c r="F88" i="2"/>
  <c r="BP88" i="2" s="1"/>
  <c r="F89" i="2"/>
  <c r="CA89" i="2" s="1"/>
  <c r="F90" i="2"/>
  <c r="CA90" i="2" s="1"/>
  <c r="F91" i="2"/>
  <c r="CA91" i="2" s="1"/>
  <c r="F92" i="2"/>
  <c r="CA92" i="2" s="1"/>
  <c r="F93" i="2"/>
  <c r="CA93" i="2" s="1"/>
  <c r="F94" i="2"/>
  <c r="CA94" i="2" s="1"/>
  <c r="F95" i="2"/>
  <c r="CA95" i="2" s="1"/>
  <c r="F96" i="2"/>
  <c r="BP96" i="2" s="1"/>
  <c r="F97" i="2"/>
  <c r="CA97" i="2" s="1"/>
  <c r="F98" i="2"/>
  <c r="CA98" i="2" s="1"/>
  <c r="F99" i="2"/>
  <c r="CA99" i="2" s="1"/>
  <c r="CB99" i="2" s="1"/>
  <c r="F100" i="2"/>
  <c r="CA100" i="2" s="1"/>
  <c r="F101" i="2"/>
  <c r="CA101" i="2" s="1"/>
  <c r="F102" i="2"/>
  <c r="CA102" i="2" s="1"/>
  <c r="F103" i="2"/>
  <c r="CA103" i="2" s="1"/>
  <c r="F104" i="2"/>
  <c r="BP104" i="2" s="1"/>
  <c r="F105" i="2"/>
  <c r="CA105" i="2" s="1"/>
  <c r="F106" i="2"/>
  <c r="CA106" i="2" s="1"/>
  <c r="F107" i="2"/>
  <c r="CA107" i="2" s="1"/>
  <c r="F108" i="2"/>
  <c r="CA108" i="2" s="1"/>
  <c r="F109" i="2"/>
  <c r="CA109" i="2" s="1"/>
  <c r="F110" i="2"/>
  <c r="CA110" i="2" s="1"/>
  <c r="F111" i="2"/>
  <c r="CA111" i="2" s="1"/>
  <c r="F112" i="2"/>
  <c r="BP112" i="2" s="1"/>
  <c r="F113" i="2"/>
  <c r="CA113" i="2" s="1"/>
  <c r="F114" i="2"/>
  <c r="CA114" i="2" s="1"/>
  <c r="F115" i="2"/>
  <c r="CA115" i="2" s="1"/>
  <c r="F116" i="2"/>
  <c r="CA116" i="2" s="1"/>
  <c r="F117" i="2"/>
  <c r="CA117" i="2" s="1"/>
  <c r="F118" i="2"/>
  <c r="CA118" i="2" s="1"/>
  <c r="F119" i="2"/>
  <c r="CA119" i="2" s="1"/>
  <c r="F120" i="2"/>
  <c r="BP120" i="2" s="1"/>
  <c r="F121" i="2"/>
  <c r="CA121" i="2" s="1"/>
  <c r="F122" i="2"/>
  <c r="CA122" i="2" s="1"/>
  <c r="F123" i="2"/>
  <c r="CA123" i="2" s="1"/>
  <c r="F124" i="2"/>
  <c r="CA124" i="2" s="1"/>
  <c r="F125" i="2"/>
  <c r="CA125" i="2" s="1"/>
  <c r="F126" i="2"/>
  <c r="CA126" i="2" s="1"/>
  <c r="F127" i="2"/>
  <c r="CA127" i="2" s="1"/>
  <c r="F128" i="2"/>
  <c r="BP128" i="2" s="1"/>
  <c r="F129" i="2"/>
  <c r="CA129" i="2" s="1"/>
  <c r="F130" i="2"/>
  <c r="CA130" i="2" s="1"/>
  <c r="F41" i="2"/>
  <c r="CA41" i="2" s="1"/>
  <c r="BP42" i="2"/>
  <c r="BP43" i="2"/>
  <c r="BP44" i="2"/>
  <c r="BP46" i="2"/>
  <c r="BP47" i="2"/>
  <c r="BP50" i="2"/>
  <c r="BP51" i="2"/>
  <c r="BP52" i="2"/>
  <c r="BP54" i="2"/>
  <c r="BP55" i="2"/>
  <c r="BP58" i="2"/>
  <c r="BP59" i="2"/>
  <c r="BP60" i="2"/>
  <c r="BP62" i="2"/>
  <c r="BP63" i="2"/>
  <c r="BP66" i="2"/>
  <c r="BP67" i="2"/>
  <c r="BP68" i="2"/>
  <c r="BP70" i="2"/>
  <c r="BP71" i="2"/>
  <c r="BP74" i="2"/>
  <c r="BP75" i="2"/>
  <c r="BP76" i="2"/>
  <c r="BP78" i="2"/>
  <c r="BP79" i="2"/>
  <c r="BP82" i="2"/>
  <c r="BP83" i="2"/>
  <c r="BP84" i="2"/>
  <c r="BP86" i="2"/>
  <c r="BP87" i="2"/>
  <c r="BP90" i="2"/>
  <c r="BP91" i="2"/>
  <c r="BP92" i="2"/>
  <c r="BP94" i="2"/>
  <c r="BP95" i="2"/>
  <c r="BP98" i="2"/>
  <c r="BP99" i="2"/>
  <c r="BP100" i="2"/>
  <c r="BP102" i="2"/>
  <c r="BP103" i="2"/>
  <c r="BP106" i="2"/>
  <c r="BP107" i="2"/>
  <c r="BP108" i="2"/>
  <c r="BP110" i="2"/>
  <c r="BP114" i="2"/>
  <c r="BP115" i="2"/>
  <c r="BP116" i="2"/>
  <c r="BP118" i="2"/>
  <c r="BP119" i="2"/>
  <c r="BP122" i="2"/>
  <c r="BP123" i="2"/>
  <c r="BP124" i="2"/>
  <c r="BP126" i="2"/>
  <c r="BP127" i="2"/>
  <c r="BP130" i="2"/>
  <c r="BP41" i="2"/>
  <c r="BE42" i="2"/>
  <c r="BE43" i="2"/>
  <c r="BE44" i="2"/>
  <c r="BE45" i="2"/>
  <c r="BE46" i="2"/>
  <c r="BE47" i="2"/>
  <c r="BE48" i="2"/>
  <c r="BE49" i="2"/>
  <c r="BE50" i="2"/>
  <c r="BE51" i="2"/>
  <c r="BE52" i="2"/>
  <c r="BE53" i="2"/>
  <c r="BE54" i="2"/>
  <c r="BE55" i="2"/>
  <c r="BE56" i="2"/>
  <c r="BE57" i="2"/>
  <c r="BE58" i="2"/>
  <c r="BE59" i="2"/>
  <c r="BE60" i="2"/>
  <c r="BE61" i="2"/>
  <c r="BE62" i="2"/>
  <c r="BE63" i="2"/>
  <c r="BE64" i="2"/>
  <c r="BE65" i="2"/>
  <c r="BE66" i="2"/>
  <c r="BE67" i="2"/>
  <c r="BE68" i="2"/>
  <c r="BE69" i="2"/>
  <c r="BE70" i="2"/>
  <c r="BE71" i="2"/>
  <c r="BE72" i="2"/>
  <c r="BE73" i="2"/>
  <c r="BE74" i="2"/>
  <c r="BE75" i="2"/>
  <c r="BE76" i="2"/>
  <c r="BE77" i="2"/>
  <c r="BE78" i="2"/>
  <c r="BE79" i="2"/>
  <c r="BE80" i="2"/>
  <c r="BE81" i="2"/>
  <c r="BF81" i="2" s="1"/>
  <c r="BE82" i="2"/>
  <c r="BE83" i="2"/>
  <c r="BE84" i="2"/>
  <c r="BE85" i="2"/>
  <c r="BE86" i="2"/>
  <c r="BE87" i="2"/>
  <c r="BE88" i="2"/>
  <c r="BE89" i="2"/>
  <c r="BF89" i="2" s="1"/>
  <c r="BE90" i="2"/>
  <c r="BE91" i="2"/>
  <c r="BE92" i="2"/>
  <c r="BE93" i="2"/>
  <c r="BE94" i="2"/>
  <c r="BE95" i="2"/>
  <c r="BF95" i="2" s="1"/>
  <c r="BE96" i="2"/>
  <c r="BE97" i="2"/>
  <c r="BE98" i="2"/>
  <c r="BF98" i="2" s="1"/>
  <c r="BE99" i="2"/>
  <c r="BF99" i="2" s="1"/>
  <c r="BE100" i="2"/>
  <c r="BF100" i="2" s="1"/>
  <c r="BE101" i="2"/>
  <c r="BE102" i="2"/>
  <c r="BE103" i="2"/>
  <c r="BF103" i="2" s="1"/>
  <c r="BE104" i="2"/>
  <c r="BF104" i="2" s="1"/>
  <c r="BE105" i="2"/>
  <c r="BF105" i="2" s="1"/>
  <c r="BE106" i="2"/>
  <c r="BE107" i="2"/>
  <c r="BF107" i="2" s="1"/>
  <c r="BE108" i="2"/>
  <c r="BF108" i="2" s="1"/>
  <c r="BE109" i="2"/>
  <c r="BE110" i="2"/>
  <c r="BF110" i="2" s="1"/>
  <c r="BE111" i="2"/>
  <c r="BF111" i="2" s="1"/>
  <c r="BE112" i="2"/>
  <c r="BE113" i="2"/>
  <c r="BF113" i="2" s="1"/>
  <c r="BE114" i="2"/>
  <c r="BE115" i="2"/>
  <c r="BE116" i="2"/>
  <c r="BE117" i="2"/>
  <c r="BE118" i="2"/>
  <c r="BE119" i="2"/>
  <c r="BF119" i="2" s="1"/>
  <c r="BE120" i="2"/>
  <c r="BF120" i="2" s="1"/>
  <c r="BE121" i="2"/>
  <c r="BF121" i="2" s="1"/>
  <c r="BE122" i="2"/>
  <c r="BF122" i="2" s="1"/>
  <c r="BE123" i="2"/>
  <c r="BE124" i="2"/>
  <c r="BE125" i="2"/>
  <c r="BE126" i="2"/>
  <c r="BF126" i="2" s="1"/>
  <c r="BE127" i="2"/>
  <c r="BF127" i="2" s="1"/>
  <c r="BE128" i="2"/>
  <c r="BF128" i="2" s="1"/>
  <c r="BE129" i="2"/>
  <c r="BF129" i="2" s="1"/>
  <c r="BE130" i="2"/>
  <c r="BE41" i="2"/>
  <c r="BF41" i="2" s="1"/>
  <c r="AT42" i="2"/>
  <c r="AT43" i="2"/>
  <c r="AT44" i="2"/>
  <c r="AU44" i="2" s="1"/>
  <c r="AT45" i="2"/>
  <c r="AU45" i="2" s="1"/>
  <c r="AT46" i="2"/>
  <c r="AU46" i="2" s="1"/>
  <c r="AT47" i="2"/>
  <c r="AU47" i="2" s="1"/>
  <c r="AT48" i="2"/>
  <c r="AU48" i="2" s="1"/>
  <c r="AT49" i="2"/>
  <c r="AT50" i="2"/>
  <c r="AT51" i="2"/>
  <c r="AT52" i="2"/>
  <c r="AU52" i="2" s="1"/>
  <c r="AT53" i="2"/>
  <c r="AU53" i="2" s="1"/>
  <c r="AT54" i="2"/>
  <c r="AU54" i="2" s="1"/>
  <c r="AT55" i="2"/>
  <c r="AU55" i="2" s="1"/>
  <c r="AT56" i="2"/>
  <c r="AT57" i="2"/>
  <c r="AU57" i="2" s="1"/>
  <c r="AT58" i="2"/>
  <c r="AU58" i="2" s="1"/>
  <c r="AT59" i="2"/>
  <c r="AT60" i="2"/>
  <c r="AU60" i="2" s="1"/>
  <c r="AT61" i="2"/>
  <c r="AU61" i="2" s="1"/>
  <c r="AT62" i="2"/>
  <c r="AU62" i="2" s="1"/>
  <c r="AT63" i="2"/>
  <c r="AU63" i="2" s="1"/>
  <c r="AT64" i="2"/>
  <c r="AU64" i="2" s="1"/>
  <c r="AT66" i="2"/>
  <c r="AT67" i="2"/>
  <c r="AT68" i="2"/>
  <c r="AT69" i="2"/>
  <c r="AU69" i="2" s="1"/>
  <c r="AT70" i="2"/>
  <c r="AU70" i="2" s="1"/>
  <c r="AT71" i="2"/>
  <c r="AU71" i="2" s="1"/>
  <c r="AT72" i="2"/>
  <c r="AU72" i="2" s="1"/>
  <c r="AT73" i="2"/>
  <c r="AU73" i="2" s="1"/>
  <c r="AT74" i="2"/>
  <c r="AU74" i="2" s="1"/>
  <c r="AT75" i="2"/>
  <c r="AU75" i="2" s="1"/>
  <c r="AT76" i="2"/>
  <c r="AT77" i="2"/>
  <c r="AU77" i="2" s="1"/>
  <c r="AT78" i="2"/>
  <c r="AU78" i="2" s="1"/>
  <c r="AT79" i="2"/>
  <c r="AU79" i="2" s="1"/>
  <c r="AT80" i="2"/>
  <c r="AU80" i="2" s="1"/>
  <c r="AT81" i="2"/>
  <c r="AT82" i="2"/>
  <c r="AU82" i="2" s="1"/>
  <c r="AT83" i="2"/>
  <c r="AU83" i="2" s="1"/>
  <c r="AT84" i="2"/>
  <c r="AT85" i="2"/>
  <c r="AU85" i="2" s="1"/>
  <c r="AT86" i="2"/>
  <c r="AU86" i="2" s="1"/>
  <c r="AT87" i="2"/>
  <c r="AU87" i="2" s="1"/>
  <c r="AT88" i="2"/>
  <c r="AU88" i="2" s="1"/>
  <c r="AT89" i="2"/>
  <c r="AU89" i="2" s="1"/>
  <c r="AT90" i="2"/>
  <c r="AT91" i="2"/>
  <c r="AT92" i="2"/>
  <c r="AU92" i="2" s="1"/>
  <c r="AT93" i="2"/>
  <c r="AU93" i="2" s="1"/>
  <c r="AT94" i="2"/>
  <c r="AU94" i="2" s="1"/>
  <c r="AT95" i="2"/>
  <c r="AU95" i="2" s="1"/>
  <c r="AT96" i="2"/>
  <c r="AU96" i="2" s="1"/>
  <c r="AT97" i="2"/>
  <c r="AU97" i="2" s="1"/>
  <c r="AT98" i="2"/>
  <c r="AU98" i="2" s="1"/>
  <c r="AT99" i="2"/>
  <c r="AU99" i="2" s="1"/>
  <c r="AT100" i="2"/>
  <c r="AU100" i="2" s="1"/>
  <c r="AT101" i="2"/>
  <c r="AU101" i="2" s="1"/>
  <c r="AT102" i="2"/>
  <c r="AU102" i="2" s="1"/>
  <c r="AT103" i="2"/>
  <c r="AU103" i="2" s="1"/>
  <c r="AT104" i="2"/>
  <c r="AU104" i="2" s="1"/>
  <c r="AT105" i="2"/>
  <c r="AU105" i="2" s="1"/>
  <c r="AT106" i="2"/>
  <c r="AU106" i="2" s="1"/>
  <c r="AT107" i="2"/>
  <c r="AU107" i="2" s="1"/>
  <c r="AT108" i="2"/>
  <c r="AU108" i="2" s="1"/>
  <c r="AT109" i="2"/>
  <c r="AU109" i="2" s="1"/>
  <c r="AT110" i="2"/>
  <c r="AU110" i="2" s="1"/>
  <c r="AT111" i="2"/>
  <c r="AU111" i="2" s="1"/>
  <c r="AT112" i="2"/>
  <c r="AU112" i="2" s="1"/>
  <c r="AT113" i="2"/>
  <c r="AU113" i="2" s="1"/>
  <c r="AT114" i="2"/>
  <c r="AU114" i="2" s="1"/>
  <c r="AT115" i="2"/>
  <c r="AU115" i="2" s="1"/>
  <c r="AT116" i="2"/>
  <c r="AU116" i="2" s="1"/>
  <c r="AT117" i="2"/>
  <c r="AU117" i="2" s="1"/>
  <c r="AT118" i="2"/>
  <c r="AU118" i="2" s="1"/>
  <c r="AT119" i="2"/>
  <c r="AU119" i="2" s="1"/>
  <c r="AT120" i="2"/>
  <c r="AU120" i="2" s="1"/>
  <c r="AT121" i="2"/>
  <c r="AU121" i="2" s="1"/>
  <c r="AT122" i="2"/>
  <c r="AU122" i="2" s="1"/>
  <c r="AT123" i="2"/>
  <c r="AU123" i="2" s="1"/>
  <c r="AT124" i="2"/>
  <c r="AU124" i="2" s="1"/>
  <c r="AT125" i="2"/>
  <c r="AU125" i="2" s="1"/>
  <c r="AT126" i="2"/>
  <c r="AU126" i="2" s="1"/>
  <c r="AT127" i="2"/>
  <c r="AU127" i="2" s="1"/>
  <c r="AT128" i="2"/>
  <c r="AU128" i="2" s="1"/>
  <c r="AT129" i="2"/>
  <c r="AU129" i="2" s="1"/>
  <c r="AT130" i="2"/>
  <c r="AU130" i="2" s="1"/>
  <c r="AT41" i="2"/>
  <c r="AU41" i="2" s="1"/>
  <c r="AI42" i="2"/>
  <c r="AJ42" i="2" s="1"/>
  <c r="AI43" i="2"/>
  <c r="AJ43" i="2" s="1"/>
  <c r="AI44" i="2"/>
  <c r="AJ44" i="2" s="1"/>
  <c r="AI45" i="2"/>
  <c r="AJ45" i="2" s="1"/>
  <c r="AI46" i="2"/>
  <c r="AJ46" i="2" s="1"/>
  <c r="AI47" i="2"/>
  <c r="AJ47" i="2" s="1"/>
  <c r="AI48" i="2"/>
  <c r="AJ48" i="2" s="1"/>
  <c r="AI49" i="2"/>
  <c r="AJ49" i="2" s="1"/>
  <c r="AI50" i="2"/>
  <c r="AJ50" i="2" s="1"/>
  <c r="AI51" i="2"/>
  <c r="AJ51" i="2" s="1"/>
  <c r="AI52" i="2"/>
  <c r="AI53" i="2"/>
  <c r="AJ53" i="2" s="1"/>
  <c r="AI54" i="2"/>
  <c r="AJ54" i="2" s="1"/>
  <c r="AI55" i="2"/>
  <c r="AJ55" i="2" s="1"/>
  <c r="AI56" i="2"/>
  <c r="AJ56" i="2" s="1"/>
  <c r="AI57" i="2"/>
  <c r="AI58" i="2"/>
  <c r="AI59" i="2"/>
  <c r="AJ59" i="2" s="1"/>
  <c r="AI60" i="2"/>
  <c r="AJ60" i="2" s="1"/>
  <c r="AI61" i="2"/>
  <c r="AJ61" i="2" s="1"/>
  <c r="AI62" i="2"/>
  <c r="AJ62" i="2" s="1"/>
  <c r="AI63" i="2"/>
  <c r="AJ63" i="2" s="1"/>
  <c r="AI64" i="2"/>
  <c r="AJ64" i="2" s="1"/>
  <c r="AI65" i="2"/>
  <c r="AJ65" i="2" s="1"/>
  <c r="AI66" i="2"/>
  <c r="AJ66" i="2" s="1"/>
  <c r="AI67" i="2"/>
  <c r="AJ67" i="2" s="1"/>
  <c r="AI68" i="2"/>
  <c r="AJ68" i="2" s="1"/>
  <c r="AI69" i="2"/>
  <c r="AJ69" i="2" s="1"/>
  <c r="AI70" i="2"/>
  <c r="AJ70" i="2" s="1"/>
  <c r="AI71" i="2"/>
  <c r="AJ71" i="2" s="1"/>
  <c r="AI72" i="2"/>
  <c r="AJ72" i="2" s="1"/>
  <c r="AI73" i="2"/>
  <c r="AJ73" i="2" s="1"/>
  <c r="AI74" i="2"/>
  <c r="AJ74" i="2" s="1"/>
  <c r="AI75" i="2"/>
  <c r="AJ75" i="2" s="1"/>
  <c r="AI76" i="2"/>
  <c r="AJ76" i="2" s="1"/>
  <c r="AI77" i="2"/>
  <c r="AJ77" i="2" s="1"/>
  <c r="AI78" i="2"/>
  <c r="AJ78" i="2" s="1"/>
  <c r="AI79" i="2"/>
  <c r="AJ79" i="2" s="1"/>
  <c r="AI80" i="2"/>
  <c r="AJ80" i="2" s="1"/>
  <c r="AI81" i="2"/>
  <c r="AJ81" i="2" s="1"/>
  <c r="AI82" i="2"/>
  <c r="AJ82" i="2" s="1"/>
  <c r="AI83" i="2"/>
  <c r="AJ83" i="2" s="1"/>
  <c r="AI84" i="2"/>
  <c r="AJ84" i="2" s="1"/>
  <c r="AI85" i="2"/>
  <c r="AJ85" i="2" s="1"/>
  <c r="AI86" i="2"/>
  <c r="AJ86" i="2" s="1"/>
  <c r="AI87" i="2"/>
  <c r="AJ87" i="2" s="1"/>
  <c r="AI88" i="2"/>
  <c r="AJ88" i="2" s="1"/>
  <c r="AI89" i="2"/>
  <c r="AJ89" i="2" s="1"/>
  <c r="AI90" i="2"/>
  <c r="AJ90" i="2" s="1"/>
  <c r="AI91" i="2"/>
  <c r="AJ91" i="2" s="1"/>
  <c r="AI92" i="2"/>
  <c r="AJ92" i="2" s="1"/>
  <c r="AI93" i="2"/>
  <c r="AJ93" i="2" s="1"/>
  <c r="AI94" i="2"/>
  <c r="AJ94" i="2" s="1"/>
  <c r="AI95" i="2"/>
  <c r="AJ95" i="2" s="1"/>
  <c r="AI96" i="2"/>
  <c r="AJ96" i="2" s="1"/>
  <c r="AI97" i="2"/>
  <c r="AJ97" i="2" s="1"/>
  <c r="AI98" i="2"/>
  <c r="AJ98" i="2" s="1"/>
  <c r="AI99" i="2"/>
  <c r="AJ99" i="2" s="1"/>
  <c r="AI100" i="2"/>
  <c r="AJ100" i="2" s="1"/>
  <c r="AI101" i="2"/>
  <c r="AJ101" i="2" s="1"/>
  <c r="AI102" i="2"/>
  <c r="AJ102" i="2" s="1"/>
  <c r="AI103" i="2"/>
  <c r="AJ103" i="2" s="1"/>
  <c r="AI104" i="2"/>
  <c r="AJ104" i="2" s="1"/>
  <c r="AI105" i="2"/>
  <c r="AJ105" i="2" s="1"/>
  <c r="AI106" i="2"/>
  <c r="AJ106" i="2" s="1"/>
  <c r="AI107" i="2"/>
  <c r="AJ107" i="2" s="1"/>
  <c r="AI108" i="2"/>
  <c r="AJ108" i="2" s="1"/>
  <c r="AI109" i="2"/>
  <c r="AJ109" i="2" s="1"/>
  <c r="AI110" i="2"/>
  <c r="AJ110" i="2" s="1"/>
  <c r="AI111" i="2"/>
  <c r="AJ111" i="2" s="1"/>
  <c r="AI112" i="2"/>
  <c r="AJ112" i="2" s="1"/>
  <c r="AI113" i="2"/>
  <c r="AJ113" i="2" s="1"/>
  <c r="AI114" i="2"/>
  <c r="AJ114" i="2" s="1"/>
  <c r="AI115" i="2"/>
  <c r="AJ115" i="2" s="1"/>
  <c r="AI116" i="2"/>
  <c r="AJ116" i="2" s="1"/>
  <c r="AI117" i="2"/>
  <c r="AJ117" i="2" s="1"/>
  <c r="AI118" i="2"/>
  <c r="AJ118" i="2" s="1"/>
  <c r="AI119" i="2"/>
  <c r="AJ119" i="2" s="1"/>
  <c r="AI120" i="2"/>
  <c r="AJ120" i="2" s="1"/>
  <c r="AI121" i="2"/>
  <c r="AJ121" i="2" s="1"/>
  <c r="AI122" i="2"/>
  <c r="AJ122" i="2" s="1"/>
  <c r="AI123" i="2"/>
  <c r="AJ123" i="2" s="1"/>
  <c r="AI124" i="2"/>
  <c r="AJ124" i="2" s="1"/>
  <c r="AI125" i="2"/>
  <c r="AJ125" i="2" s="1"/>
  <c r="AI126" i="2"/>
  <c r="AJ126" i="2" s="1"/>
  <c r="AI127" i="2"/>
  <c r="AJ127" i="2" s="1"/>
  <c r="AI128" i="2"/>
  <c r="AJ128" i="2" s="1"/>
  <c r="AI129" i="2"/>
  <c r="AJ129" i="2" s="1"/>
  <c r="AI130" i="2"/>
  <c r="AJ130" i="2" s="1"/>
  <c r="AI41" i="2"/>
  <c r="AJ41" i="2" s="1"/>
  <c r="F193" i="2"/>
  <c r="AI193" i="2" s="1"/>
  <c r="AJ193" i="2" s="1"/>
  <c r="CA193" i="2"/>
  <c r="F194" i="2"/>
  <c r="F195" i="2"/>
  <c r="AI195" i="2" s="1"/>
  <c r="AJ195" i="2" s="1"/>
  <c r="F196" i="2"/>
  <c r="CA196" i="2" s="1"/>
  <c r="F197" i="2"/>
  <c r="BE197" i="2" s="1"/>
  <c r="BF197" i="2" s="1"/>
  <c r="F198" i="2"/>
  <c r="AT198" i="2" s="1"/>
  <c r="AU198" i="2" s="1"/>
  <c r="F199" i="2"/>
  <c r="AI199" i="2" s="1"/>
  <c r="AJ199" i="2" s="1"/>
  <c r="F200" i="2"/>
  <c r="F201" i="2"/>
  <c r="CA201" i="2" s="1"/>
  <c r="F202" i="2"/>
  <c r="BE202" i="2" s="1"/>
  <c r="BF202" i="2" s="1"/>
  <c r="F203" i="2"/>
  <c r="AT203" i="2" s="1"/>
  <c r="AU203" i="2" s="1"/>
  <c r="F204" i="2"/>
  <c r="CA204" i="2" s="1"/>
  <c r="F205" i="2"/>
  <c r="F206" i="2"/>
  <c r="F207" i="2"/>
  <c r="CA207" i="2" s="1"/>
  <c r="F208" i="2"/>
  <c r="F209" i="2"/>
  <c r="AT209" i="2" s="1"/>
  <c r="AU209" i="2" s="1"/>
  <c r="F210" i="2"/>
  <c r="CA210" i="2" s="1"/>
  <c r="F211" i="2"/>
  <c r="F212" i="2"/>
  <c r="BE212" i="2" s="1"/>
  <c r="BF212" i="2" s="1"/>
  <c r="F213" i="2"/>
  <c r="CA213" i="2" s="1"/>
  <c r="F214" i="2"/>
  <c r="BP214" i="2" s="1"/>
  <c r="BQ214" i="2" s="1"/>
  <c r="F215" i="2"/>
  <c r="CA215" i="2" s="1"/>
  <c r="F216" i="2"/>
  <c r="F217" i="2"/>
  <c r="BP217" i="2" s="1"/>
  <c r="BQ217" i="2" s="1"/>
  <c r="F218" i="2"/>
  <c r="BE218" i="2" s="1"/>
  <c r="BF218" i="2" s="1"/>
  <c r="F219" i="2"/>
  <c r="F220" i="2"/>
  <c r="AT220" i="2" s="1"/>
  <c r="AU220" i="2" s="1"/>
  <c r="F221" i="2"/>
  <c r="CA221" i="2" s="1"/>
  <c r="F222" i="2"/>
  <c r="AI222" i="2" s="1"/>
  <c r="AJ222" i="2" s="1"/>
  <c r="F223" i="2"/>
  <c r="F224" i="2"/>
  <c r="F225" i="2"/>
  <c r="CA225" i="2"/>
  <c r="F226" i="2"/>
  <c r="BE226" i="2" s="1"/>
  <c r="BF226" i="2" s="1"/>
  <c r="CA226" i="2"/>
  <c r="F227" i="2"/>
  <c r="AI227" i="2" s="1"/>
  <c r="AJ227" i="2" s="1"/>
  <c r="F228" i="2"/>
  <c r="F229" i="2"/>
  <c r="F230" i="2"/>
  <c r="CA230" i="2" s="1"/>
  <c r="F231" i="2"/>
  <c r="CA231" i="2"/>
  <c r="F232" i="2"/>
  <c r="F233" i="2"/>
  <c r="AT233" i="2" s="1"/>
  <c r="AU233" i="2" s="1"/>
  <c r="F234" i="2"/>
  <c r="CA234" i="2" s="1"/>
  <c r="F235" i="2"/>
  <c r="AI235" i="2" s="1"/>
  <c r="AJ235" i="2" s="1"/>
  <c r="F236" i="2"/>
  <c r="AI236" i="2" s="1"/>
  <c r="AJ236" i="2" s="1"/>
  <c r="F237" i="2"/>
  <c r="F238" i="2"/>
  <c r="CA238" i="2" s="1"/>
  <c r="F239" i="2"/>
  <c r="CA239" i="2" s="1"/>
  <c r="F240" i="2"/>
  <c r="F241" i="2"/>
  <c r="AT241" i="2" s="1"/>
  <c r="AU241" i="2" s="1"/>
  <c r="F242" i="2"/>
  <c r="F243" i="2"/>
  <c r="CA243" i="2" s="1"/>
  <c r="F244" i="2"/>
  <c r="CA244" i="2" s="1"/>
  <c r="F245" i="2"/>
  <c r="CA245" i="2" s="1"/>
  <c r="F246" i="2"/>
  <c r="F247" i="2"/>
  <c r="F248" i="2"/>
  <c r="F249" i="2"/>
  <c r="BP249" i="2" s="1"/>
  <c r="BQ249" i="2" s="1"/>
  <c r="F250" i="2"/>
  <c r="F251" i="2"/>
  <c r="AT251" i="2" s="1"/>
  <c r="AU251" i="2" s="1"/>
  <c r="F252" i="2"/>
  <c r="F253" i="2"/>
  <c r="AT253" i="2" s="1"/>
  <c r="AU253" i="2" s="1"/>
  <c r="F254" i="2"/>
  <c r="F255" i="2"/>
  <c r="CA255" i="2" s="1"/>
  <c r="CB255" i="2" s="1"/>
  <c r="F192" i="2"/>
  <c r="BP204" i="2"/>
  <c r="BQ204" i="2" s="1"/>
  <c r="BP207" i="2"/>
  <c r="BQ207" i="2" s="1"/>
  <c r="BP213" i="2"/>
  <c r="BQ213" i="2" s="1"/>
  <c r="BP244" i="2"/>
  <c r="BQ244" i="2" s="1"/>
  <c r="BP245" i="2"/>
  <c r="BQ245" i="2" s="1"/>
  <c r="BE193" i="2"/>
  <c r="BF193" i="2" s="1"/>
  <c r="AT207" i="2"/>
  <c r="AU207" i="2" s="1"/>
  <c r="AT223" i="2"/>
  <c r="AU223" i="2" s="1"/>
  <c r="AT226" i="2"/>
  <c r="AU226" i="2" s="1"/>
  <c r="AT245" i="2"/>
  <c r="AU245" i="2" s="1"/>
  <c r="AI244" i="2"/>
  <c r="AJ244" i="2" s="1"/>
  <c r="AI245" i="2"/>
  <c r="AJ245" i="2" s="1"/>
  <c r="AI253" i="2"/>
  <c r="AJ253" i="2" s="1"/>
  <c r="F259" i="2"/>
  <c r="AI259" i="2" s="1"/>
  <c r="AJ259" i="2" s="1"/>
  <c r="F258" i="2"/>
  <c r="AI258" i="2" s="1"/>
  <c r="AJ258" i="2" s="1"/>
  <c r="F257" i="2"/>
  <c r="BE257" i="2" s="1"/>
  <c r="BF257" i="2" s="1"/>
  <c r="F256" i="2"/>
  <c r="AT256" i="2" s="1"/>
  <c r="AU256" i="2" s="1"/>
  <c r="F40" i="2"/>
  <c r="AI40" i="2" s="1"/>
  <c r="AJ40" i="2" s="1"/>
  <c r="F39" i="2"/>
  <c r="AI39" i="2" s="1"/>
  <c r="AJ39" i="2" s="1"/>
  <c r="F38" i="2"/>
  <c r="AT38" i="2" s="1"/>
  <c r="AU38" i="2" s="1"/>
  <c r="F37" i="2"/>
  <c r="BE37" i="2" s="1"/>
  <c r="BF37" i="2" s="1"/>
  <c r="F36" i="2"/>
  <c r="AT36" i="2" s="1"/>
  <c r="AU36" i="2" s="1"/>
  <c r="F35" i="2"/>
  <c r="BP35" i="2" s="1"/>
  <c r="BQ35" i="2" s="1"/>
  <c r="F34" i="2"/>
  <c r="AI34" i="2" s="1"/>
  <c r="AJ34" i="2" s="1"/>
  <c r="F33" i="2"/>
  <c r="F32" i="2"/>
  <c r="F31" i="2"/>
  <c r="F30" i="2"/>
  <c r="BE30" i="2" s="1"/>
  <c r="BF30" i="2" s="1"/>
  <c r="F29" i="2"/>
  <c r="AT29" i="2" s="1"/>
  <c r="AU29" i="2" s="1"/>
  <c r="F28" i="2"/>
  <c r="AI28" i="2"/>
  <c r="AJ28" i="2" s="1"/>
  <c r="F27" i="2"/>
  <c r="F26" i="2"/>
  <c r="AT26" i="2" s="1"/>
  <c r="AU26" i="2" s="1"/>
  <c r="F25" i="2"/>
  <c r="AT25" i="2" s="1"/>
  <c r="AU25" i="2" s="1"/>
  <c r="F24" i="2"/>
  <c r="BP24" i="2" s="1"/>
  <c r="BQ24" i="2" s="1"/>
  <c r="F23" i="2"/>
  <c r="AT23" i="2" s="1"/>
  <c r="AU23" i="2" s="1"/>
  <c r="F22" i="2"/>
  <c r="F21" i="2"/>
  <c r="BE21" i="2" s="1"/>
  <c r="BF21" i="2" s="1"/>
  <c r="F20" i="2"/>
  <c r="F19" i="2"/>
  <c r="F18" i="2"/>
  <c r="AT18" i="2" s="1"/>
  <c r="AU18" i="2" s="1"/>
  <c r="F17" i="2"/>
  <c r="F16" i="2"/>
  <c r="BE16" i="2" s="1"/>
  <c r="BF16" i="2" s="1"/>
  <c r="F15" i="2"/>
  <c r="F14" i="2"/>
  <c r="BE14" i="2" s="1"/>
  <c r="BF14" i="2" s="1"/>
  <c r="F13" i="2"/>
  <c r="CA13" i="2" s="1"/>
  <c r="F12" i="2"/>
  <c r="F11" i="2"/>
  <c r="BP11" i="2" s="1"/>
  <c r="BQ11" i="2" s="1"/>
  <c r="F10" i="2"/>
  <c r="F9" i="2"/>
  <c r="CA9" i="2" s="1"/>
  <c r="F8" i="2"/>
  <c r="CA8" i="2" s="1"/>
  <c r="F7" i="2"/>
  <c r="BP7" i="2" s="1"/>
  <c r="BQ7" i="2" s="1"/>
  <c r="F6" i="2"/>
  <c r="F5" i="2"/>
  <c r="F4" i="2"/>
  <c r="BE4" i="2" s="1"/>
  <c r="BF4" i="2" s="1"/>
  <c r="F3" i="2"/>
  <c r="F2" i="2"/>
  <c r="BE2" i="2" s="1"/>
  <c r="BF2" i="2" s="1"/>
  <c r="BE259" i="2"/>
  <c r="BF259" i="2" s="1"/>
  <c r="BR4" i="2"/>
  <c r="BV4" i="2"/>
  <c r="AH4" i="2"/>
  <c r="BR3"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Z34" i="2" s="1"/>
  <c r="BR35" i="2"/>
  <c r="BR36" i="2"/>
  <c r="BR37" i="2"/>
  <c r="BR38" i="2"/>
  <c r="BR39" i="2"/>
  <c r="BR40" i="2"/>
  <c r="BR41" i="2"/>
  <c r="BR42" i="2"/>
  <c r="CB42" i="2" s="1"/>
  <c r="BR43" i="2"/>
  <c r="CB43" i="2" s="1"/>
  <c r="BR44" i="2"/>
  <c r="CB44" i="2" s="1"/>
  <c r="BR45" i="2"/>
  <c r="CB45" i="2" s="1"/>
  <c r="BR46" i="2"/>
  <c r="CB46" i="2"/>
  <c r="BR47" i="2"/>
  <c r="BR48" i="2"/>
  <c r="CB49" i="2"/>
  <c r="CB50" i="2"/>
  <c r="CB51" i="2"/>
  <c r="CB52" i="2"/>
  <c r="CB53" i="2"/>
  <c r="CB54" i="2"/>
  <c r="BR55" i="2"/>
  <c r="CB55" i="2" s="1"/>
  <c r="BR56" i="2"/>
  <c r="BR57" i="2"/>
  <c r="BR58" i="2"/>
  <c r="CB58" i="2"/>
  <c r="BR59" i="2"/>
  <c r="BR60" i="2"/>
  <c r="CB60" i="2" s="1"/>
  <c r="BR61" i="2"/>
  <c r="CB61" i="2" s="1"/>
  <c r="BR62" i="2"/>
  <c r="CB62" i="2" s="1"/>
  <c r="BR63" i="2"/>
  <c r="BR64" i="2"/>
  <c r="CB66" i="2"/>
  <c r="CB67" i="2"/>
  <c r="CB68" i="2"/>
  <c r="BR69" i="2"/>
  <c r="CB69" i="2" s="1"/>
  <c r="BR70" i="2"/>
  <c r="BR71" i="2"/>
  <c r="CB71" i="2"/>
  <c r="BR72" i="2"/>
  <c r="BR73" i="2"/>
  <c r="CB73" i="2"/>
  <c r="BR74" i="2"/>
  <c r="CB74" i="2" s="1"/>
  <c r="BR75" i="2"/>
  <c r="CB75" i="2" s="1"/>
  <c r="BR76" i="2"/>
  <c r="CB76" i="2" s="1"/>
  <c r="BR77" i="2"/>
  <c r="BR78" i="2"/>
  <c r="CB78" i="2" s="1"/>
  <c r="CB79" i="2"/>
  <c r="CB81" i="2"/>
  <c r="CB82" i="2"/>
  <c r="CB83" i="2"/>
  <c r="CB84" i="2"/>
  <c r="CB85" i="2"/>
  <c r="CB86" i="2"/>
  <c r="CB87" i="2"/>
  <c r="CB89" i="2"/>
  <c r="CB90" i="2"/>
  <c r="CB91" i="2"/>
  <c r="CB92" i="2"/>
  <c r="CB93" i="2"/>
  <c r="CB94" i="2"/>
  <c r="CB95" i="2"/>
  <c r="CB97" i="2"/>
  <c r="CB98" i="2"/>
  <c r="CB100" i="2"/>
  <c r="CB101" i="2"/>
  <c r="CB102" i="2"/>
  <c r="CB103" i="2"/>
  <c r="CB105" i="2"/>
  <c r="CB106" i="2"/>
  <c r="BR107" i="2"/>
  <c r="CB107" i="2" s="1"/>
  <c r="BR108" i="2"/>
  <c r="BR109" i="2"/>
  <c r="CB109" i="2" s="1"/>
  <c r="BR110" i="2"/>
  <c r="CB110" i="2" s="1"/>
  <c r="BR111" i="2"/>
  <c r="CB111" i="2" s="1"/>
  <c r="BR112" i="2"/>
  <c r="BR113" i="2"/>
  <c r="CB113" i="2" s="1"/>
  <c r="BR114" i="2"/>
  <c r="CB114" i="2"/>
  <c r="BR115" i="2"/>
  <c r="CB115" i="2" s="1"/>
  <c r="BR116" i="2"/>
  <c r="CB116" i="2" s="1"/>
  <c r="BR117" i="2"/>
  <c r="BR118" i="2"/>
  <c r="CB118" i="2" s="1"/>
  <c r="BR119" i="2"/>
  <c r="BR120" i="2"/>
  <c r="BR121" i="2"/>
  <c r="CB121" i="2" s="1"/>
  <c r="BR122" i="2"/>
  <c r="BR123" i="2"/>
  <c r="CB123" i="2" s="1"/>
  <c r="BR124" i="2"/>
  <c r="CB124" i="2"/>
  <c r="BR125" i="2"/>
  <c r="CB125" i="2" s="1"/>
  <c r="BR126" i="2"/>
  <c r="CB126" i="2" s="1"/>
  <c r="CB127" i="2"/>
  <c r="CB129" i="2"/>
  <c r="CB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BR156" i="2"/>
  <c r="F157" i="2"/>
  <c r="BR157" i="2"/>
  <c r="F158" i="2"/>
  <c r="BR158" i="2"/>
  <c r="F159" i="2"/>
  <c r="BR159" i="2"/>
  <c r="F160" i="2"/>
  <c r="BR160" i="2"/>
  <c r="F161" i="2"/>
  <c r="BR161" i="2"/>
  <c r="F162" i="2"/>
  <c r="BR162" i="2"/>
  <c r="F163" i="2"/>
  <c r="BR163" i="2"/>
  <c r="F164" i="2"/>
  <c r="BR164" i="2"/>
  <c r="F165" i="2"/>
  <c r="BR165" i="2"/>
  <c r="F166" i="2"/>
  <c r="BR166" i="2"/>
  <c r="F167" i="2"/>
  <c r="BR167" i="2"/>
  <c r="F168" i="2"/>
  <c r="BR168" i="2"/>
  <c r="F169" i="2"/>
  <c r="BR169" i="2"/>
  <c r="F170" i="2"/>
  <c r="BR170" i="2"/>
  <c r="F171" i="2"/>
  <c r="BR171" i="2"/>
  <c r="F172" i="2"/>
  <c r="BR172" i="2"/>
  <c r="F173" i="2"/>
  <c r="BR173" i="2"/>
  <c r="F174" i="2"/>
  <c r="BR174" i="2"/>
  <c r="F175" i="2"/>
  <c r="BR175" i="2"/>
  <c r="F176" i="2"/>
  <c r="BR176" i="2"/>
  <c r="F177" i="2"/>
  <c r="BR177" i="2"/>
  <c r="F178" i="2"/>
  <c r="BR178" i="2"/>
  <c r="F179" i="2"/>
  <c r="BR179" i="2"/>
  <c r="BZ179" i="2" s="1"/>
  <c r="F180" i="2"/>
  <c r="BR180" i="2"/>
  <c r="F181" i="2"/>
  <c r="BR181" i="2"/>
  <c r="F182" i="2"/>
  <c r="BR182" i="2"/>
  <c r="F183" i="2"/>
  <c r="BR183" i="2"/>
  <c r="F184" i="2"/>
  <c r="BR184" i="2"/>
  <c r="F185" i="2"/>
  <c r="BR185" i="2"/>
  <c r="F186" i="2"/>
  <c r="F187" i="2"/>
  <c r="F188" i="2"/>
  <c r="F189" i="2"/>
  <c r="F190" i="2"/>
  <c r="F191" i="2"/>
  <c r="BR192" i="2"/>
  <c r="BR193" i="2"/>
  <c r="BR194" i="2"/>
  <c r="BR195" i="2"/>
  <c r="BR196" i="2"/>
  <c r="BR197" i="2"/>
  <c r="BR198" i="2"/>
  <c r="BR199" i="2"/>
  <c r="BR200" i="2"/>
  <c r="BR201" i="2"/>
  <c r="BR202" i="2"/>
  <c r="BR203" i="2"/>
  <c r="BR204" i="2"/>
  <c r="BR205" i="2"/>
  <c r="BR206" i="2"/>
  <c r="BR207" i="2"/>
  <c r="CB207" i="2" s="1"/>
  <c r="BR208" i="2"/>
  <c r="BR209" i="2"/>
  <c r="BR210" i="2"/>
  <c r="BR211" i="2"/>
  <c r="BR212" i="2"/>
  <c r="BR213" i="2"/>
  <c r="BR214" i="2"/>
  <c r="BR215" i="2"/>
  <c r="BR216" i="2"/>
  <c r="BR217" i="2"/>
  <c r="BR218" i="2"/>
  <c r="BR219" i="2"/>
  <c r="BR220" i="2"/>
  <c r="BR221" i="2"/>
  <c r="BR222" i="2"/>
  <c r="BR223" i="2"/>
  <c r="BR224" i="2"/>
  <c r="BR225" i="2"/>
  <c r="BR226" i="2"/>
  <c r="BR227" i="2"/>
  <c r="BR228" i="2"/>
  <c r="BR229" i="2"/>
  <c r="BR230" i="2"/>
  <c r="BR231" i="2"/>
  <c r="BR232" i="2"/>
  <c r="BR233" i="2"/>
  <c r="BR234" i="2"/>
  <c r="BR235" i="2"/>
  <c r="BR236" i="2"/>
  <c r="BR237" i="2"/>
  <c r="BR238" i="2"/>
  <c r="BR239" i="2"/>
  <c r="BR240" i="2"/>
  <c r="BR241" i="2"/>
  <c r="BR242" i="2"/>
  <c r="BR243" i="2"/>
  <c r="BR244" i="2"/>
  <c r="CB244" i="2" s="1"/>
  <c r="BR245" i="2"/>
  <c r="BR2" i="2"/>
  <c r="BQ41" i="2"/>
  <c r="BQ42" i="2"/>
  <c r="BQ43" i="2"/>
  <c r="BQ44" i="2"/>
  <c r="BQ46" i="2"/>
  <c r="BQ47" i="2"/>
  <c r="BQ48" i="2"/>
  <c r="BQ50" i="2"/>
  <c r="BQ51" i="2"/>
  <c r="BQ52" i="2"/>
  <c r="BQ54" i="2"/>
  <c r="BQ55" i="2"/>
  <c r="BQ56" i="2"/>
  <c r="BQ58" i="2"/>
  <c r="BQ59" i="2"/>
  <c r="BQ60" i="2"/>
  <c r="BQ62" i="2"/>
  <c r="BQ63" i="2"/>
  <c r="BQ64" i="2"/>
  <c r="BQ66" i="2"/>
  <c r="BQ67" i="2"/>
  <c r="BQ68" i="2"/>
  <c r="BQ70" i="2"/>
  <c r="BQ71" i="2"/>
  <c r="BQ72" i="2"/>
  <c r="BQ74" i="2"/>
  <c r="BQ75" i="2"/>
  <c r="BQ76" i="2"/>
  <c r="BQ78" i="2"/>
  <c r="BQ79" i="2"/>
  <c r="BQ80" i="2"/>
  <c r="BQ82" i="2"/>
  <c r="BQ83" i="2"/>
  <c r="BQ84" i="2"/>
  <c r="BQ86" i="2"/>
  <c r="BQ87" i="2"/>
  <c r="BQ88" i="2"/>
  <c r="BQ90" i="2"/>
  <c r="BQ91" i="2"/>
  <c r="BQ92" i="2"/>
  <c r="BQ94" i="2"/>
  <c r="BQ95" i="2"/>
  <c r="BQ96" i="2"/>
  <c r="BQ98" i="2"/>
  <c r="BQ99" i="2"/>
  <c r="BQ100" i="2"/>
  <c r="BQ102" i="2"/>
  <c r="BQ103" i="2"/>
  <c r="BQ104" i="2"/>
  <c r="BQ106" i="2"/>
  <c r="BQ107" i="2"/>
  <c r="BQ108" i="2"/>
  <c r="BQ110" i="2"/>
  <c r="BQ112" i="2"/>
  <c r="BQ114" i="2"/>
  <c r="BQ115" i="2"/>
  <c r="BQ116" i="2"/>
  <c r="BQ118" i="2"/>
  <c r="BQ119" i="2"/>
  <c r="BQ120" i="2"/>
  <c r="BQ122" i="2"/>
  <c r="BQ123" i="2"/>
  <c r="BQ124" i="2"/>
  <c r="BQ126" i="2"/>
  <c r="BQ127" i="2"/>
  <c r="BQ128" i="2"/>
  <c r="BQ130" i="2"/>
  <c r="AJ52" i="2"/>
  <c r="AJ57" i="2"/>
  <c r="AJ58" i="2"/>
  <c r="AU42" i="2"/>
  <c r="AU43" i="2"/>
  <c r="AU49" i="2"/>
  <c r="AU50" i="2"/>
  <c r="AU51" i="2"/>
  <c r="AU56" i="2"/>
  <c r="AU59" i="2"/>
  <c r="AU66" i="2"/>
  <c r="AU67" i="2"/>
  <c r="AU68" i="2"/>
  <c r="AU76" i="2"/>
  <c r="AU81" i="2"/>
  <c r="AU84" i="2"/>
  <c r="AU90" i="2"/>
  <c r="AU9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2" i="2"/>
  <c r="BF83" i="2"/>
  <c r="BF84" i="2"/>
  <c r="BF85" i="2"/>
  <c r="BF86" i="2"/>
  <c r="BF87" i="2"/>
  <c r="BF88" i="2"/>
  <c r="BF90" i="2"/>
  <c r="BF91" i="2"/>
  <c r="BF92" i="2"/>
  <c r="BF93" i="2"/>
  <c r="BF94" i="2"/>
  <c r="BF96" i="2"/>
  <c r="BF97" i="2"/>
  <c r="BF101" i="2"/>
  <c r="BF102" i="2"/>
  <c r="BF106" i="2"/>
  <c r="BF109" i="2"/>
  <c r="BF112" i="2"/>
  <c r="BF114" i="2"/>
  <c r="BF115" i="2"/>
  <c r="BF116" i="2"/>
  <c r="BF117" i="2"/>
  <c r="BF118" i="2"/>
  <c r="BF123" i="2"/>
  <c r="BF124" i="2"/>
  <c r="BF125" i="2"/>
  <c r="BF130" i="2"/>
  <c r="AH151" i="2"/>
  <c r="Z2" i="2"/>
  <c r="Z3" i="2"/>
  <c r="Z4" i="2"/>
  <c r="Z5" i="2"/>
  <c r="Z6" i="2"/>
  <c r="Z7" i="2"/>
  <c r="Z8" i="2"/>
  <c r="Z9" i="2"/>
  <c r="Z10" i="2"/>
  <c r="Z11" i="2"/>
  <c r="Z12" i="2"/>
  <c r="Z13" i="2"/>
  <c r="Z14" i="2"/>
  <c r="Z15" i="2"/>
  <c r="Z16" i="2"/>
  <c r="Z55" i="2"/>
  <c r="Z56" i="2"/>
  <c r="Z57" i="2"/>
  <c r="Z58" i="2"/>
  <c r="Z65" i="2"/>
  <c r="Z66" i="2"/>
  <c r="Z67" i="2"/>
  <c r="Z68" i="2"/>
  <c r="Z77" i="2"/>
  <c r="Z78" i="2"/>
  <c r="Z218" i="2"/>
  <c r="Z219" i="2"/>
  <c r="Z220" i="2"/>
  <c r="Z221" i="2"/>
  <c r="Z222" i="2"/>
  <c r="Z223" i="2"/>
  <c r="Z224" i="2"/>
  <c r="Z225" i="2"/>
  <c r="Z226" i="2"/>
  <c r="Z231" i="2"/>
  <c r="Z232" i="2"/>
  <c r="Z233" i="2"/>
  <c r="BZ49" i="2"/>
  <c r="BZ50" i="2"/>
  <c r="BZ51" i="2"/>
  <c r="BZ52" i="2"/>
  <c r="BZ53" i="2"/>
  <c r="BZ54" i="2"/>
  <c r="BZ79" i="2"/>
  <c r="BZ80" i="2"/>
  <c r="BZ81" i="2"/>
  <c r="BZ82" i="2"/>
  <c r="BZ83" i="2"/>
  <c r="BZ84" i="2"/>
  <c r="BZ85" i="2"/>
  <c r="BZ86" i="2"/>
  <c r="BZ87" i="2"/>
  <c r="BZ88" i="2"/>
  <c r="BZ89" i="2"/>
  <c r="BZ90" i="2"/>
  <c r="BZ91" i="2"/>
  <c r="BZ92" i="2"/>
  <c r="BZ93" i="2"/>
  <c r="BZ94" i="2"/>
  <c r="BZ95" i="2"/>
  <c r="BZ96" i="2"/>
  <c r="BZ97" i="2"/>
  <c r="BZ98" i="2"/>
  <c r="BZ99" i="2"/>
  <c r="BZ100" i="2"/>
  <c r="BZ101" i="2"/>
  <c r="BZ102" i="2"/>
  <c r="BZ103" i="2"/>
  <c r="BZ104" i="2"/>
  <c r="BZ105" i="2"/>
  <c r="BZ106" i="2"/>
  <c r="BZ127" i="2"/>
  <c r="BZ128" i="2"/>
  <c r="BZ129" i="2"/>
  <c r="BZ130" i="2"/>
  <c r="BZ131" i="2"/>
  <c r="BZ132" i="2"/>
  <c r="BZ133" i="2"/>
  <c r="BZ134" i="2"/>
  <c r="BZ135" i="2"/>
  <c r="BZ136" i="2"/>
  <c r="BZ137" i="2"/>
  <c r="BZ138" i="2"/>
  <c r="BZ139" i="2"/>
  <c r="BZ140" i="2"/>
  <c r="BZ141" i="2"/>
  <c r="BZ142" i="2"/>
  <c r="BZ143" i="2"/>
  <c r="BZ144" i="2"/>
  <c r="BZ145" i="2"/>
  <c r="BZ146" i="2"/>
  <c r="BZ147" i="2"/>
  <c r="BZ148" i="2"/>
  <c r="BZ149" i="2"/>
  <c r="BZ150" i="2"/>
  <c r="BZ151" i="2"/>
  <c r="BZ152" i="2"/>
  <c r="BZ153" i="2"/>
  <c r="BZ154" i="2"/>
  <c r="BZ155" i="2"/>
  <c r="BZ186" i="2"/>
  <c r="BZ187" i="2"/>
  <c r="BZ188" i="2"/>
  <c r="BZ189" i="2"/>
  <c r="BZ190" i="2"/>
  <c r="BZ191" i="2"/>
  <c r="BZ246" i="2"/>
  <c r="BZ247" i="2"/>
  <c r="BZ248" i="2"/>
  <c r="BZ249" i="2"/>
  <c r="BZ250" i="2"/>
  <c r="BZ251" i="2"/>
  <c r="BZ252" i="2"/>
  <c r="BZ253" i="2"/>
  <c r="BZ254" i="2"/>
  <c r="BZ255" i="2"/>
  <c r="BZ256" i="2"/>
  <c r="BZ257" i="2"/>
  <c r="BZ258" i="2"/>
  <c r="BZ259"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71" i="2"/>
  <c r="BO72" i="2"/>
  <c r="BO73" i="2"/>
  <c r="BO74" i="2"/>
  <c r="BO75" i="2"/>
  <c r="BO76" i="2"/>
  <c r="BO77" i="2"/>
  <c r="BO78" i="2"/>
  <c r="BO79" i="2"/>
  <c r="BO80" i="2"/>
  <c r="BO81" i="2"/>
  <c r="BO82" i="2"/>
  <c r="BO83" i="2"/>
  <c r="BO84" i="2"/>
  <c r="BO85" i="2"/>
  <c r="BO86" i="2"/>
  <c r="BO87" i="2"/>
  <c r="BO88" i="2"/>
  <c r="BO89" i="2"/>
  <c r="BO90" i="2"/>
  <c r="BO91" i="2"/>
  <c r="BO92" i="2"/>
  <c r="BO93" i="2"/>
  <c r="BO94" i="2"/>
  <c r="BO95" i="2"/>
  <c r="BO96" i="2"/>
  <c r="BO97" i="2"/>
  <c r="BO98" i="2"/>
  <c r="BO99" i="2"/>
  <c r="BO100" i="2"/>
  <c r="BO101" i="2"/>
  <c r="BO102" i="2"/>
  <c r="BO103" i="2"/>
  <c r="BO104" i="2"/>
  <c r="BO105" i="2"/>
  <c r="BO106" i="2"/>
  <c r="BO107" i="2"/>
  <c r="BO108" i="2"/>
  <c r="BO109" i="2"/>
  <c r="BO110" i="2"/>
  <c r="BO111" i="2"/>
  <c r="BO112" i="2"/>
  <c r="BO113" i="2"/>
  <c r="BO114" i="2"/>
  <c r="BO115" i="2"/>
  <c r="BO116" i="2"/>
  <c r="BO117" i="2"/>
  <c r="BO118" i="2"/>
  <c r="BO119" i="2"/>
  <c r="BO120" i="2"/>
  <c r="BO121" i="2"/>
  <c r="BO122" i="2"/>
  <c r="BO123" i="2"/>
  <c r="BO124" i="2"/>
  <c r="BO125" i="2"/>
  <c r="BO126" i="2"/>
  <c r="BO127" i="2"/>
  <c r="BO128" i="2"/>
  <c r="BO129" i="2"/>
  <c r="BO130" i="2"/>
  <c r="BO131" i="2"/>
  <c r="BO132" i="2"/>
  <c r="BO133" i="2"/>
  <c r="BO134" i="2"/>
  <c r="BO135" i="2"/>
  <c r="BO136" i="2"/>
  <c r="BO137" i="2"/>
  <c r="BO138" i="2"/>
  <c r="BO139" i="2"/>
  <c r="BO140" i="2"/>
  <c r="BO141" i="2"/>
  <c r="BO142" i="2"/>
  <c r="BO143" i="2"/>
  <c r="BO144" i="2"/>
  <c r="BO145" i="2"/>
  <c r="BO146" i="2"/>
  <c r="BO147" i="2"/>
  <c r="BO148" i="2"/>
  <c r="BO149" i="2"/>
  <c r="BO150" i="2"/>
  <c r="BO151" i="2"/>
  <c r="BO152" i="2"/>
  <c r="BO153" i="2"/>
  <c r="BO154" i="2"/>
  <c r="BO155" i="2"/>
  <c r="BO161" i="2"/>
  <c r="BO162" i="2"/>
  <c r="BO163" i="2"/>
  <c r="BO164" i="2"/>
  <c r="BO165" i="2"/>
  <c r="BO166" i="2"/>
  <c r="BO167" i="2"/>
  <c r="BO168" i="2"/>
  <c r="BO169" i="2"/>
  <c r="BO170" i="2"/>
  <c r="BO171" i="2"/>
  <c r="BO172" i="2"/>
  <c r="BO173" i="2"/>
  <c r="BO174" i="2"/>
  <c r="BO175" i="2"/>
  <c r="BO176" i="2"/>
  <c r="BO177" i="2"/>
  <c r="BO178" i="2"/>
  <c r="BO179" i="2"/>
  <c r="BO180" i="2"/>
  <c r="BO181" i="2"/>
  <c r="BO182" i="2"/>
  <c r="BO183" i="2"/>
  <c r="BO184" i="2"/>
  <c r="BO185" i="2"/>
  <c r="BO186" i="2"/>
  <c r="BO187" i="2"/>
  <c r="BO188" i="2"/>
  <c r="BO189" i="2"/>
  <c r="BO190" i="2"/>
  <c r="BO191" i="2"/>
  <c r="BO192" i="2"/>
  <c r="BO193" i="2"/>
  <c r="BO194" i="2"/>
  <c r="BO195" i="2"/>
  <c r="BO196" i="2"/>
  <c r="BO197" i="2"/>
  <c r="BO198" i="2"/>
  <c r="BO199" i="2"/>
  <c r="BO200" i="2"/>
  <c r="BO201" i="2"/>
  <c r="BO202" i="2"/>
  <c r="BO203" i="2"/>
  <c r="BO204" i="2"/>
  <c r="BO205" i="2"/>
  <c r="BO206" i="2"/>
  <c r="BO207" i="2"/>
  <c r="BO208" i="2"/>
  <c r="BO209" i="2"/>
  <c r="BO210" i="2"/>
  <c r="BO211" i="2"/>
  <c r="BO212" i="2"/>
  <c r="BO213" i="2"/>
  <c r="BO214" i="2"/>
  <c r="BO215" i="2"/>
  <c r="BO216" i="2"/>
  <c r="BO217" i="2"/>
  <c r="BO218" i="2"/>
  <c r="BO219" i="2"/>
  <c r="BO220" i="2"/>
  <c r="BO221" i="2"/>
  <c r="BO222" i="2"/>
  <c r="BO223" i="2"/>
  <c r="BO224" i="2"/>
  <c r="BO225" i="2"/>
  <c r="BO226" i="2"/>
  <c r="BO227" i="2"/>
  <c r="BO228" i="2"/>
  <c r="BO229" i="2"/>
  <c r="BO230" i="2"/>
  <c r="BO231" i="2"/>
  <c r="BO232" i="2"/>
  <c r="BO233" i="2"/>
  <c r="BO234" i="2"/>
  <c r="BO235" i="2"/>
  <c r="BO236" i="2"/>
  <c r="BO237" i="2"/>
  <c r="BO238" i="2"/>
  <c r="BO239" i="2"/>
  <c r="BO240" i="2"/>
  <c r="BO241" i="2"/>
  <c r="BO242" i="2"/>
  <c r="BO243" i="2"/>
  <c r="BO244" i="2"/>
  <c r="BO245" i="2"/>
  <c r="BO246" i="2"/>
  <c r="BO247" i="2"/>
  <c r="BO248" i="2"/>
  <c r="BO249" i="2"/>
  <c r="BO250" i="2"/>
  <c r="BO251" i="2"/>
  <c r="BO252" i="2"/>
  <c r="BO253" i="2"/>
  <c r="BO254" i="2"/>
  <c r="BO255" i="2"/>
  <c r="BO256" i="2"/>
  <c r="BO257" i="2"/>
  <c r="BO258" i="2"/>
  <c r="BO259" i="2"/>
  <c r="BD3"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BD91" i="2"/>
  <c r="BD92" i="2"/>
  <c r="BD93" i="2"/>
  <c r="BD94" i="2"/>
  <c r="BD95" i="2"/>
  <c r="BD96" i="2"/>
  <c r="BD97" i="2"/>
  <c r="BD98" i="2"/>
  <c r="BD99" i="2"/>
  <c r="BD100" i="2"/>
  <c r="BD101" i="2"/>
  <c r="BD102" i="2"/>
  <c r="BD103" i="2"/>
  <c r="BD104" i="2"/>
  <c r="BD105" i="2"/>
  <c r="BD106" i="2"/>
  <c r="BD111" i="2"/>
  <c r="BD112" i="2"/>
  <c r="BD113" i="2"/>
  <c r="BD114" i="2"/>
  <c r="BD115" i="2"/>
  <c r="BD116" i="2"/>
  <c r="BD117" i="2"/>
  <c r="BD118" i="2"/>
  <c r="BD119" i="2"/>
  <c r="BD120" i="2"/>
  <c r="BD121" i="2"/>
  <c r="BD122" i="2"/>
  <c r="BD123" i="2"/>
  <c r="BD124" i="2"/>
  <c r="BD125" i="2"/>
  <c r="BD126" i="2"/>
  <c r="BD127" i="2"/>
  <c r="BD128" i="2"/>
  <c r="BD129" i="2"/>
  <c r="BD130" i="2"/>
  <c r="BD131" i="2"/>
  <c r="BD132" i="2"/>
  <c r="BD133" i="2"/>
  <c r="BD134" i="2"/>
  <c r="BD135" i="2"/>
  <c r="BD136" i="2"/>
  <c r="BD137" i="2"/>
  <c r="BD138" i="2"/>
  <c r="BD139" i="2"/>
  <c r="BD140" i="2"/>
  <c r="BD141" i="2"/>
  <c r="BD142" i="2"/>
  <c r="BD143" i="2"/>
  <c r="BD144" i="2"/>
  <c r="BD145" i="2"/>
  <c r="BD146" i="2"/>
  <c r="BD147" i="2"/>
  <c r="BD148" i="2"/>
  <c r="BD149" i="2"/>
  <c r="BD150" i="2"/>
  <c r="BD151" i="2"/>
  <c r="BD152" i="2"/>
  <c r="BD153" i="2"/>
  <c r="BD154" i="2"/>
  <c r="BD155" i="2"/>
  <c r="BD161" i="2"/>
  <c r="BD162" i="2"/>
  <c r="BD163" i="2"/>
  <c r="BD164" i="2"/>
  <c r="BD165" i="2"/>
  <c r="BD166" i="2"/>
  <c r="BD167" i="2"/>
  <c r="BD168" i="2"/>
  <c r="BD169" i="2"/>
  <c r="BD170" i="2"/>
  <c r="BD171" i="2"/>
  <c r="BD172" i="2"/>
  <c r="BD173" i="2"/>
  <c r="BD174" i="2"/>
  <c r="BD175" i="2"/>
  <c r="BD176" i="2"/>
  <c r="BD177" i="2"/>
  <c r="BD178" i="2"/>
  <c r="BD179" i="2"/>
  <c r="BD180" i="2"/>
  <c r="BD181" i="2"/>
  <c r="BD182" i="2"/>
  <c r="BD183" i="2"/>
  <c r="BD184" i="2"/>
  <c r="BD185" i="2"/>
  <c r="BD186" i="2"/>
  <c r="BD187" i="2"/>
  <c r="BD188" i="2"/>
  <c r="BD189" i="2"/>
  <c r="BD190" i="2"/>
  <c r="BD191" i="2"/>
  <c r="BD192" i="2"/>
  <c r="BD193" i="2"/>
  <c r="BD194" i="2"/>
  <c r="BD195" i="2"/>
  <c r="BD196" i="2"/>
  <c r="BD197" i="2"/>
  <c r="BD198" i="2"/>
  <c r="BD199" i="2"/>
  <c r="BD200" i="2"/>
  <c r="BD201" i="2"/>
  <c r="BD202" i="2"/>
  <c r="BD210" i="2"/>
  <c r="BD211" i="2"/>
  <c r="BD212" i="2"/>
  <c r="BD213" i="2"/>
  <c r="BD214" i="2"/>
  <c r="BD215" i="2"/>
  <c r="BD216" i="2"/>
  <c r="BD217" i="2"/>
  <c r="BD218" i="2"/>
  <c r="BD219" i="2"/>
  <c r="BD220" i="2"/>
  <c r="BD221" i="2"/>
  <c r="BD222" i="2"/>
  <c r="BD223" i="2"/>
  <c r="BD224" i="2"/>
  <c r="BD225" i="2"/>
  <c r="BD226" i="2"/>
  <c r="BD227" i="2"/>
  <c r="BD228" i="2"/>
  <c r="BD229" i="2"/>
  <c r="BD230" i="2"/>
  <c r="BD231" i="2"/>
  <c r="BD232" i="2"/>
  <c r="BD233" i="2"/>
  <c r="BD234" i="2"/>
  <c r="BD235" i="2"/>
  <c r="BD236" i="2"/>
  <c r="BD237" i="2"/>
  <c r="BD238" i="2"/>
  <c r="BD239" i="2"/>
  <c r="BD246" i="2"/>
  <c r="BD247" i="2"/>
  <c r="BD248" i="2"/>
  <c r="BD249" i="2"/>
  <c r="BD250" i="2"/>
  <c r="BD251" i="2"/>
  <c r="BD252" i="2"/>
  <c r="BD253" i="2"/>
  <c r="BD254" i="2"/>
  <c r="BD255" i="2"/>
  <c r="BD256" i="2"/>
  <c r="BD257" i="2"/>
  <c r="BD258" i="2"/>
  <c r="BD259" i="2"/>
  <c r="BD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S127" i="2"/>
  <c r="AS128" i="2"/>
  <c r="AS129" i="2"/>
  <c r="AS130" i="2"/>
  <c r="AS131" i="2"/>
  <c r="AS132" i="2"/>
  <c r="AS133" i="2"/>
  <c r="AS134" i="2"/>
  <c r="AS135" i="2"/>
  <c r="AS136" i="2"/>
  <c r="AS137" i="2"/>
  <c r="AS138" i="2"/>
  <c r="AS139" i="2"/>
  <c r="AS140" i="2"/>
  <c r="AS141" i="2"/>
  <c r="AS142" i="2"/>
  <c r="AS143" i="2"/>
  <c r="AS144" i="2"/>
  <c r="AS145" i="2"/>
  <c r="AS146" i="2"/>
  <c r="AS147" i="2"/>
  <c r="AS148" i="2"/>
  <c r="AS149" i="2"/>
  <c r="AS150" i="2"/>
  <c r="AS151" i="2"/>
  <c r="AS152" i="2"/>
  <c r="AS153" i="2"/>
  <c r="AS154" i="2"/>
  <c r="AS155" i="2"/>
  <c r="AS156" i="2"/>
  <c r="AS157" i="2"/>
  <c r="AS158" i="2"/>
  <c r="AS159" i="2"/>
  <c r="AS160" i="2"/>
  <c r="AS161" i="2"/>
  <c r="AS162" i="2"/>
  <c r="AS163" i="2"/>
  <c r="AS164" i="2"/>
  <c r="AS165" i="2"/>
  <c r="AS166" i="2"/>
  <c r="AS167" i="2"/>
  <c r="AS168" i="2"/>
  <c r="AS169" i="2"/>
  <c r="AS170" i="2"/>
  <c r="AS171" i="2"/>
  <c r="AS172" i="2"/>
  <c r="AS173" i="2"/>
  <c r="AS174" i="2"/>
  <c r="AS175" i="2"/>
  <c r="AS176" i="2"/>
  <c r="AS177" i="2"/>
  <c r="AS178" i="2"/>
  <c r="AS179" i="2"/>
  <c r="AS180" i="2"/>
  <c r="AS181" i="2"/>
  <c r="AS182" i="2"/>
  <c r="AS183" i="2"/>
  <c r="AS184" i="2"/>
  <c r="AS185" i="2"/>
  <c r="AS186" i="2"/>
  <c r="AS187" i="2"/>
  <c r="AS188" i="2"/>
  <c r="AS189" i="2"/>
  <c r="AS190" i="2"/>
  <c r="AS191" i="2"/>
  <c r="AS192" i="2"/>
  <c r="AS193" i="2"/>
  <c r="AS194" i="2"/>
  <c r="AS195" i="2"/>
  <c r="AS196" i="2"/>
  <c r="AS197" i="2"/>
  <c r="AS198" i="2"/>
  <c r="AS199" i="2"/>
  <c r="AS200" i="2"/>
  <c r="AS201" i="2"/>
  <c r="AS202" i="2"/>
  <c r="AS203" i="2"/>
  <c r="AS204" i="2"/>
  <c r="AS205" i="2"/>
  <c r="AS206" i="2"/>
  <c r="AS207" i="2"/>
  <c r="AS208" i="2"/>
  <c r="AS209" i="2"/>
  <c r="AS210" i="2"/>
  <c r="AS211" i="2"/>
  <c r="AS212" i="2"/>
  <c r="AS213" i="2"/>
  <c r="AS214" i="2"/>
  <c r="AS215" i="2"/>
  <c r="AS216" i="2"/>
  <c r="AS217" i="2"/>
  <c r="AS218" i="2"/>
  <c r="AS219" i="2"/>
  <c r="AS220" i="2"/>
  <c r="AS221" i="2"/>
  <c r="AS222" i="2"/>
  <c r="AS223" i="2"/>
  <c r="AS224" i="2"/>
  <c r="AS225" i="2"/>
  <c r="AS226" i="2"/>
  <c r="AS227" i="2"/>
  <c r="AS228" i="2"/>
  <c r="AS229" i="2"/>
  <c r="AS230" i="2"/>
  <c r="AS231" i="2"/>
  <c r="AS232" i="2"/>
  <c r="AS233" i="2"/>
  <c r="AS234" i="2"/>
  <c r="AS235" i="2"/>
  <c r="AS236" i="2"/>
  <c r="AS237" i="2"/>
  <c r="AS238" i="2"/>
  <c r="AS239" i="2"/>
  <c r="AS240" i="2"/>
  <c r="AS241" i="2"/>
  <c r="AS242" i="2"/>
  <c r="AS243" i="2"/>
  <c r="AS244" i="2"/>
  <c r="AS245" i="2"/>
  <c r="AS246" i="2"/>
  <c r="AS247" i="2"/>
  <c r="AS248" i="2"/>
  <c r="AS249" i="2"/>
  <c r="AS250" i="2"/>
  <c r="AS251" i="2"/>
  <c r="AS252" i="2"/>
  <c r="AS253" i="2"/>
  <c r="AS254" i="2"/>
  <c r="AS255" i="2"/>
  <c r="AS256" i="2"/>
  <c r="AS257" i="2"/>
  <c r="AS258" i="2"/>
  <c r="AS259" i="2"/>
  <c r="AS2"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9" i="2"/>
  <c r="AH60" i="2"/>
  <c r="AH61" i="2"/>
  <c r="AH62" i="2"/>
  <c r="AH63" i="2"/>
  <c r="AH64" i="2"/>
  <c r="AH69" i="2"/>
  <c r="AH70" i="2"/>
  <c r="AH71" i="2"/>
  <c r="AH72" i="2"/>
  <c r="AH73" i="2"/>
  <c r="AH74" i="2"/>
  <c r="AH75" i="2"/>
  <c r="AH76"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27" i="2"/>
  <c r="AH228" i="2"/>
  <c r="AH229" i="2"/>
  <c r="AH230" i="2"/>
  <c r="AH234" i="2"/>
  <c r="AH235" i="2"/>
  <c r="AH236" i="2"/>
  <c r="AH237" i="2"/>
  <c r="AH238" i="2"/>
  <c r="AH239" i="2"/>
  <c r="AH240" i="2"/>
  <c r="AH241" i="2"/>
  <c r="AH242" i="2"/>
  <c r="AH243" i="2"/>
  <c r="AH244" i="2"/>
  <c r="AH245" i="2"/>
  <c r="AH246" i="2"/>
  <c r="AH247" i="2"/>
  <c r="AH248" i="2"/>
  <c r="AH249" i="2"/>
  <c r="AH250" i="2"/>
  <c r="AH251" i="2"/>
  <c r="AH252" i="2"/>
  <c r="AH253" i="2"/>
  <c r="AH254" i="2"/>
  <c r="AH255" i="2"/>
  <c r="AH256" i="2"/>
  <c r="AH257" i="2"/>
  <c r="AH258" i="2"/>
  <c r="AH259" i="2"/>
  <c r="BV245" i="2"/>
  <c r="BV244" i="2"/>
  <c r="BV243" i="2"/>
  <c r="BV242" i="2"/>
  <c r="BV241" i="2"/>
  <c r="BV240" i="2"/>
  <c r="BV239" i="2"/>
  <c r="BV238" i="2"/>
  <c r="BV237" i="2"/>
  <c r="BV236" i="2"/>
  <c r="BV235" i="2"/>
  <c r="BV234" i="2"/>
  <c r="BV230" i="2"/>
  <c r="BV229" i="2"/>
  <c r="BV228" i="2"/>
  <c r="BV227" i="2"/>
  <c r="BV217" i="2"/>
  <c r="BV216" i="2"/>
  <c r="BV215" i="2"/>
  <c r="BV214" i="2"/>
  <c r="BV213" i="2"/>
  <c r="BV212" i="2"/>
  <c r="BV211" i="2"/>
  <c r="BV210" i="2"/>
  <c r="BV209" i="2"/>
  <c r="BV208" i="2"/>
  <c r="BV207" i="2"/>
  <c r="BV206" i="2"/>
  <c r="BV205" i="2"/>
  <c r="BV204" i="2"/>
  <c r="BV203" i="2"/>
  <c r="BV202" i="2"/>
  <c r="BV201" i="2"/>
  <c r="BV200" i="2"/>
  <c r="BV199" i="2"/>
  <c r="BV198" i="2"/>
  <c r="BV197" i="2"/>
  <c r="BV196" i="2"/>
  <c r="BV195" i="2"/>
  <c r="BV194" i="2"/>
  <c r="BV193" i="2"/>
  <c r="BV192" i="2"/>
  <c r="BV185" i="2"/>
  <c r="BV184" i="2"/>
  <c r="BV183" i="2"/>
  <c r="BV182" i="2"/>
  <c r="BV181" i="2"/>
  <c r="BV180" i="2"/>
  <c r="BV179" i="2"/>
  <c r="BV178" i="2"/>
  <c r="BV177" i="2"/>
  <c r="BV176" i="2"/>
  <c r="BV175" i="2"/>
  <c r="BV174" i="2"/>
  <c r="BV173" i="2"/>
  <c r="BV172" i="2"/>
  <c r="BV171" i="2"/>
  <c r="BV170" i="2"/>
  <c r="BV169" i="2"/>
  <c r="BV168" i="2"/>
  <c r="BV167" i="2"/>
  <c r="BV166" i="2"/>
  <c r="BV165" i="2"/>
  <c r="BV164" i="2"/>
  <c r="BV163" i="2"/>
  <c r="BV162" i="2"/>
  <c r="BV161" i="2"/>
  <c r="BV160" i="2"/>
  <c r="BV159" i="2"/>
  <c r="BV158" i="2"/>
  <c r="BV157" i="2"/>
  <c r="BV156" i="2"/>
  <c r="BV126" i="2"/>
  <c r="BV125" i="2"/>
  <c r="BV124" i="2"/>
  <c r="BV123" i="2"/>
  <c r="BV122" i="2"/>
  <c r="BV121" i="2"/>
  <c r="BV120" i="2"/>
  <c r="BV119" i="2"/>
  <c r="BV118" i="2"/>
  <c r="BV117" i="2"/>
  <c r="BV116" i="2"/>
  <c r="BV115" i="2"/>
  <c r="BV114" i="2"/>
  <c r="BV113" i="2"/>
  <c r="BV112" i="2"/>
  <c r="BV111" i="2"/>
  <c r="BV110" i="2"/>
  <c r="BV109" i="2"/>
  <c r="BV108" i="2"/>
  <c r="BV107" i="2"/>
  <c r="BV76" i="2"/>
  <c r="BV75" i="2"/>
  <c r="BV74" i="2"/>
  <c r="BZ74" i="2" s="1"/>
  <c r="BV73" i="2"/>
  <c r="BV72" i="2"/>
  <c r="BV71" i="2"/>
  <c r="BV70" i="2"/>
  <c r="BV69" i="2"/>
  <c r="BV64" i="2"/>
  <c r="BV63" i="2"/>
  <c r="BV62" i="2"/>
  <c r="BV61" i="2"/>
  <c r="BV60" i="2"/>
  <c r="BV59" i="2"/>
  <c r="BV48" i="2"/>
  <c r="BV47" i="2"/>
  <c r="BV46" i="2"/>
  <c r="BV45" i="2"/>
  <c r="BV44" i="2"/>
  <c r="BV43" i="2"/>
  <c r="BV42" i="2"/>
  <c r="BV41" i="2"/>
  <c r="BV40" i="2"/>
  <c r="BV39" i="2"/>
  <c r="BV38" i="2"/>
  <c r="BV37" i="2"/>
  <c r="BV36" i="2"/>
  <c r="BV35" i="2"/>
  <c r="BV34" i="2"/>
  <c r="BV33" i="2"/>
  <c r="BV32" i="2"/>
  <c r="BV31" i="2"/>
  <c r="BV30" i="2"/>
  <c r="BV29" i="2"/>
  <c r="BV28" i="2"/>
  <c r="BV27" i="2"/>
  <c r="BV26" i="2"/>
  <c r="BV25" i="2"/>
  <c r="BV24" i="2"/>
  <c r="BV23" i="2"/>
  <c r="BV22" i="2"/>
  <c r="BV21" i="2"/>
  <c r="BV20" i="2"/>
  <c r="BV19" i="2"/>
  <c r="BV18" i="2"/>
  <c r="BV17" i="2"/>
  <c r="BK160" i="2"/>
  <c r="BO160" i="2" s="1"/>
  <c r="BK159" i="2"/>
  <c r="BO159" i="2" s="1"/>
  <c r="BK158" i="2"/>
  <c r="BO158" i="2" s="1"/>
  <c r="BK157" i="2"/>
  <c r="BO157" i="2" s="1"/>
  <c r="BK156" i="2"/>
  <c r="BO156" i="2" s="1"/>
  <c r="AD233" i="2"/>
  <c r="BV233" i="2"/>
  <c r="AD232" i="2"/>
  <c r="BV232" i="2"/>
  <c r="AD231" i="2"/>
  <c r="BV231" i="2"/>
  <c r="AD226" i="2"/>
  <c r="BV226" i="2"/>
  <c r="AD225" i="2"/>
  <c r="BV225" i="2"/>
  <c r="AD224" i="2"/>
  <c r="BV224" i="2"/>
  <c r="AD223" i="2"/>
  <c r="BV223" i="2"/>
  <c r="AD222" i="2"/>
  <c r="BV222" i="2"/>
  <c r="AD221" i="2"/>
  <c r="BV221" i="2"/>
  <c r="AD220" i="2"/>
  <c r="BV220" i="2"/>
  <c r="AD219" i="2"/>
  <c r="BV219" i="2"/>
  <c r="AD218" i="2"/>
  <c r="BV218" i="2"/>
  <c r="AD78" i="2"/>
  <c r="BV78" i="2"/>
  <c r="AD77" i="2"/>
  <c r="BV77" i="2"/>
  <c r="AD68" i="2"/>
  <c r="BZ68" i="2"/>
  <c r="AD67" i="2"/>
  <c r="BZ67" i="2"/>
  <c r="AD66" i="2"/>
  <c r="BZ66" i="2"/>
  <c r="AD65" i="2"/>
  <c r="AD58" i="2"/>
  <c r="BV58" i="2"/>
  <c r="AD57" i="2"/>
  <c r="BV57" i="2"/>
  <c r="AD56" i="2"/>
  <c r="BV56" i="2"/>
  <c r="AD55" i="2"/>
  <c r="BV55" i="2"/>
  <c r="AD16" i="2"/>
  <c r="BV16" i="2"/>
  <c r="AD15" i="2"/>
  <c r="BV15" i="2"/>
  <c r="AD14" i="2"/>
  <c r="BK14" i="2"/>
  <c r="BO14" i="2" s="1"/>
  <c r="AD13" i="2"/>
  <c r="BV13" i="2"/>
  <c r="AD12" i="2"/>
  <c r="BK12" i="2"/>
  <c r="BO12" i="2" s="1"/>
  <c r="AD11" i="2"/>
  <c r="BK11" i="2"/>
  <c r="BO11" i="2" s="1"/>
  <c r="AD10" i="2"/>
  <c r="BV10" i="2"/>
  <c r="AD9" i="2"/>
  <c r="BK9" i="2"/>
  <c r="BO9" i="2" s="1"/>
  <c r="AD8" i="2"/>
  <c r="BV8" i="2"/>
  <c r="AD7" i="2"/>
  <c r="BV7" i="2"/>
  <c r="AD6" i="2"/>
  <c r="BK6" i="2"/>
  <c r="BO6" i="2" s="1"/>
  <c r="AD5" i="2"/>
  <c r="BK5" i="2"/>
  <c r="BO5" i="2" s="1"/>
  <c r="AD4" i="2"/>
  <c r="BK4" i="2"/>
  <c r="BO4" i="2" s="1"/>
  <c r="AD3" i="2"/>
  <c r="BK3" i="2"/>
  <c r="BO3" i="2" s="1"/>
  <c r="AD2" i="2"/>
  <c r="BV2" i="2"/>
  <c r="BV9" i="2"/>
  <c r="BV5" i="2"/>
  <c r="BK13" i="2"/>
  <c r="BO13" i="2" s="1"/>
  <c r="BK7" i="2"/>
  <c r="BO7" i="2" s="1"/>
  <c r="BV3" i="2"/>
  <c r="BV11" i="2"/>
  <c r="BK15" i="2"/>
  <c r="BO15" i="2" s="1"/>
  <c r="BK8" i="2"/>
  <c r="BO8" i="2" s="1"/>
  <c r="BK16" i="2"/>
  <c r="BO16" i="2" s="1"/>
  <c r="BV12" i="2"/>
  <c r="BK2" i="2"/>
  <c r="BO2" i="2" s="1"/>
  <c r="BK10" i="2"/>
  <c r="BO10" i="2" s="1"/>
  <c r="BV6" i="2"/>
  <c r="BV14" i="2"/>
  <c r="CP69" i="2"/>
  <c r="CQ69" i="2" s="1"/>
  <c r="CQ255" i="2"/>
  <c r="CQ254" i="2"/>
  <c r="CQ253" i="2"/>
  <c r="CQ252" i="2"/>
  <c r="CQ251" i="2"/>
  <c r="CQ250" i="2"/>
  <c r="CQ249" i="2"/>
  <c r="CQ248" i="2"/>
  <c r="CQ247" i="2"/>
  <c r="CQ246" i="2"/>
  <c r="CP245" i="2"/>
  <c r="CQ245" i="2" s="1"/>
  <c r="CP244" i="2"/>
  <c r="CQ244" i="2" s="1"/>
  <c r="CP243" i="2"/>
  <c r="CQ243" i="2" s="1"/>
  <c r="CP240" i="2"/>
  <c r="CQ240" i="2" s="1"/>
  <c r="CP241" i="2"/>
  <c r="CQ241" i="2" s="1"/>
  <c r="CP242" i="2"/>
  <c r="CQ242" i="2" s="1"/>
  <c r="CP239" i="2"/>
  <c r="CP238" i="2"/>
  <c r="CP237" i="2"/>
  <c r="CP236" i="2"/>
  <c r="CP235" i="2"/>
  <c r="CP234" i="2"/>
  <c r="CQ233" i="2"/>
  <c r="CQ232" i="2"/>
  <c r="CQ231" i="2"/>
  <c r="CP230" i="2"/>
  <c r="CQ230" i="2" s="1"/>
  <c r="CP229" i="2"/>
  <c r="CQ229" i="2" s="1"/>
  <c r="CP228" i="2"/>
  <c r="CQ228" i="2" s="1"/>
  <c r="CP227" i="2"/>
  <c r="CQ227" i="2" s="1"/>
  <c r="CP155" i="2"/>
  <c r="CQ155" i="2" s="1"/>
  <c r="CP154" i="2"/>
  <c r="CQ154" i="2" s="1"/>
  <c r="CP153" i="2"/>
  <c r="CQ153" i="2" s="1"/>
  <c r="CP152" i="2"/>
  <c r="CQ152" i="2" s="1"/>
  <c r="CP151" i="2"/>
  <c r="CQ151" i="2" s="1"/>
  <c r="CP150" i="2"/>
  <c r="CQ150" i="2" s="1"/>
  <c r="CP149" i="2"/>
  <c r="CQ149" i="2" s="1"/>
  <c r="CP148" i="2"/>
  <c r="CQ148" i="2" s="1"/>
  <c r="CP147" i="2"/>
  <c r="CQ147" i="2" s="1"/>
  <c r="CP146" i="2"/>
  <c r="CQ146" i="2" s="1"/>
  <c r="CP145" i="2"/>
  <c r="CQ145" i="2"/>
  <c r="CP144" i="2"/>
  <c r="CQ144" i="2" s="1"/>
  <c r="CP143" i="2"/>
  <c r="CQ143" i="2" s="1"/>
  <c r="CP142" i="2"/>
  <c r="CQ142" i="2" s="1"/>
  <c r="CP141" i="2"/>
  <c r="CQ141" i="2" s="1"/>
  <c r="CP140" i="2"/>
  <c r="CQ140" i="2" s="1"/>
  <c r="CP139" i="2"/>
  <c r="CQ139" i="2" s="1"/>
  <c r="CP138" i="2"/>
  <c r="CQ138" i="2" s="1"/>
  <c r="CP137" i="2"/>
  <c r="CQ137" i="2" s="1"/>
  <c r="CP136" i="2"/>
  <c r="CQ136" i="2" s="1"/>
  <c r="CP135" i="2"/>
  <c r="CQ135" i="2" s="1"/>
  <c r="CP134" i="2"/>
  <c r="CQ134" i="2" s="1"/>
  <c r="CP133" i="2"/>
  <c r="CQ133" i="2" s="1"/>
  <c r="CP132" i="2"/>
  <c r="CQ132" i="2" s="1"/>
  <c r="CP131" i="2"/>
  <c r="CQ131" i="2" s="1"/>
  <c r="CQ217" i="2"/>
  <c r="CQ216" i="2"/>
  <c r="CQ215" i="2"/>
  <c r="CQ214" i="2"/>
  <c r="CQ213" i="2"/>
  <c r="CQ212" i="2"/>
  <c r="CQ211" i="2"/>
  <c r="CQ210" i="2"/>
  <c r="CQ209" i="2"/>
  <c r="CQ208" i="2"/>
  <c r="CQ207" i="2"/>
  <c r="CQ206" i="2"/>
  <c r="CQ205" i="2"/>
  <c r="CQ204" i="2"/>
  <c r="CQ203" i="2"/>
  <c r="CQ193" i="2"/>
  <c r="CQ194" i="2"/>
  <c r="CQ195" i="2"/>
  <c r="CQ196" i="2"/>
  <c r="CQ197" i="2"/>
  <c r="CQ198" i="2"/>
  <c r="CQ199" i="2"/>
  <c r="CQ200" i="2"/>
  <c r="CQ201" i="2"/>
  <c r="CQ202" i="2"/>
  <c r="CQ192" i="2"/>
  <c r="CP160" i="2"/>
  <c r="CQ160" i="2" s="1"/>
  <c r="CP159" i="2"/>
  <c r="CQ159" i="2" s="1"/>
  <c r="CP158" i="2"/>
  <c r="CQ158" i="2" s="1"/>
  <c r="CP157" i="2"/>
  <c r="CQ157" i="2" s="1"/>
  <c r="CP156" i="2"/>
  <c r="CQ156" i="2"/>
  <c r="CJ160" i="2"/>
  <c r="CJ159" i="2"/>
  <c r="CJ158" i="2"/>
  <c r="CJ157" i="2"/>
  <c r="CJ156" i="2"/>
  <c r="CQ126" i="2"/>
  <c r="CQ125" i="2"/>
  <c r="CQ124" i="2"/>
  <c r="CQ123" i="2"/>
  <c r="CQ122" i="2"/>
  <c r="CQ121" i="2"/>
  <c r="CQ120" i="2"/>
  <c r="CQ119" i="2"/>
  <c r="CQ118" i="2"/>
  <c r="CQ117" i="2"/>
  <c r="CQ116" i="2"/>
  <c r="CQ115" i="2"/>
  <c r="CQ114" i="2"/>
  <c r="CQ113" i="2"/>
  <c r="CQ112" i="2"/>
  <c r="CQ111" i="2"/>
  <c r="CP110" i="2"/>
  <c r="CQ110" i="2" s="1"/>
  <c r="CP109" i="2"/>
  <c r="CQ109" i="2" s="1"/>
  <c r="CP108" i="2"/>
  <c r="CQ108" i="2" s="1"/>
  <c r="CP107" i="2"/>
  <c r="CQ107" i="2" s="1"/>
  <c r="CP76" i="2"/>
  <c r="CQ76" i="2" s="1"/>
  <c r="CP75" i="2"/>
  <c r="CQ75" i="2" s="1"/>
  <c r="CP74" i="2"/>
  <c r="CQ74" i="2" s="1"/>
  <c r="CP73" i="2"/>
  <c r="CQ73" i="2" s="1"/>
  <c r="CP72" i="2"/>
  <c r="CQ72" i="2" s="1"/>
  <c r="CP71" i="2"/>
  <c r="CQ71" i="2" s="1"/>
  <c r="CP70" i="2"/>
  <c r="CQ70" i="2" s="1"/>
  <c r="CP58" i="2"/>
  <c r="CQ58" i="2" s="1"/>
  <c r="CP56" i="2"/>
  <c r="CQ56" i="2" s="1"/>
  <c r="CQ32" i="2"/>
  <c r="CQ31" i="2"/>
  <c r="CQ30" i="2"/>
  <c r="CQ29" i="2"/>
  <c r="CQ28" i="2"/>
  <c r="CQ27" i="2"/>
  <c r="CQ26" i="2"/>
  <c r="CQ25" i="2"/>
  <c r="CQ257" i="2"/>
  <c r="CQ258" i="2"/>
  <c r="CQ259" i="2"/>
  <c r="CQ256" i="2"/>
  <c r="CQ8" i="2"/>
  <c r="CQ7" i="2"/>
  <c r="CQ6" i="2"/>
  <c r="CQ5" i="2"/>
  <c r="CQ184" i="2"/>
  <c r="CQ183" i="2"/>
  <c r="CQ182" i="2"/>
  <c r="CQ181" i="2"/>
  <c r="CQ180" i="2"/>
  <c r="CQ179" i="2"/>
  <c r="CQ178" i="2"/>
  <c r="CQ177" i="2"/>
  <c r="CQ176" i="2"/>
  <c r="CQ175" i="2"/>
  <c r="CQ174" i="2"/>
  <c r="CQ173" i="2"/>
  <c r="CQ172" i="2"/>
  <c r="CQ171" i="2"/>
  <c r="CQ170" i="2"/>
  <c r="CQ169" i="2"/>
  <c r="CQ168" i="2"/>
  <c r="CQ167" i="2"/>
  <c r="CQ166" i="2"/>
  <c r="CQ165" i="2"/>
  <c r="CQ164" i="2"/>
  <c r="CQ163" i="2"/>
  <c r="CQ162" i="2"/>
  <c r="CQ161" i="2"/>
  <c r="CQ185" i="2"/>
  <c r="CM155" i="2"/>
  <c r="CL155" i="2"/>
  <c r="CJ155" i="2"/>
  <c r="CI155" i="2"/>
  <c r="CM154" i="2"/>
  <c r="CL154" i="2"/>
  <c r="CJ154" i="2"/>
  <c r="CI154" i="2"/>
  <c r="CM150" i="2"/>
  <c r="CL150" i="2"/>
  <c r="CJ150" i="2"/>
  <c r="CI150" i="2"/>
  <c r="CM149" i="2"/>
  <c r="CL149" i="2"/>
  <c r="CJ149" i="2"/>
  <c r="CI149" i="2"/>
  <c r="U155" i="2"/>
  <c r="Q155" i="2" s="1"/>
  <c r="U154" i="2"/>
  <c r="Q154" i="2" s="1"/>
  <c r="CM153" i="2"/>
  <c r="CL153" i="2"/>
  <c r="CJ153" i="2"/>
  <c r="CI153" i="2"/>
  <c r="U153" i="2"/>
  <c r="Q153" i="2" s="1"/>
  <c r="CM152" i="2"/>
  <c r="CL152" i="2"/>
  <c r="CJ152" i="2"/>
  <c r="CI152" i="2"/>
  <c r="U152" i="2"/>
  <c r="Q152" i="2"/>
  <c r="CM151" i="2"/>
  <c r="CN151" i="2" s="1"/>
  <c r="CL151" i="2"/>
  <c r="CJ151" i="2"/>
  <c r="CI151" i="2"/>
  <c r="U151" i="2"/>
  <c r="Q151" i="2" s="1"/>
  <c r="U150" i="2"/>
  <c r="Q150" i="2"/>
  <c r="U149" i="2"/>
  <c r="Q149" i="2" s="1"/>
  <c r="U148" i="2"/>
  <c r="Q148" i="2" s="1"/>
  <c r="U147" i="2"/>
  <c r="U146" i="2"/>
  <c r="Q146" i="2"/>
  <c r="U145" i="2"/>
  <c r="Q145" i="2" s="1"/>
  <c r="U144" i="2"/>
  <c r="Q144" i="2" s="1"/>
  <c r="U143" i="2"/>
  <c r="Q143" i="2" s="1"/>
  <c r="U142" i="2"/>
  <c r="U141" i="2"/>
  <c r="Q141" i="2" s="1"/>
  <c r="U140" i="2"/>
  <c r="Q140" i="2" s="1"/>
  <c r="U139" i="2"/>
  <c r="Q139" i="2" s="1"/>
  <c r="U138" i="2"/>
  <c r="Q138" i="2" s="1"/>
  <c r="U137" i="2"/>
  <c r="U136" i="2"/>
  <c r="Q136" i="2" s="1"/>
  <c r="U135" i="2"/>
  <c r="Q135" i="2" s="1"/>
  <c r="U134" i="2"/>
  <c r="Q134" i="2" s="1"/>
  <c r="U133" i="2"/>
  <c r="Q133" i="2" s="1"/>
  <c r="U132" i="2"/>
  <c r="U131" i="2"/>
  <c r="Q131" i="2" s="1"/>
  <c r="CM142" i="2"/>
  <c r="CL142" i="2"/>
  <c r="CN142" i="2" s="1"/>
  <c r="CJ142" i="2"/>
  <c r="CI142" i="2"/>
  <c r="CM140" i="2"/>
  <c r="CL140" i="2"/>
  <c r="CN140" i="2" s="1"/>
  <c r="CJ140" i="2"/>
  <c r="CI140" i="2"/>
  <c r="CM139" i="2"/>
  <c r="CL139" i="2"/>
  <c r="CJ139" i="2"/>
  <c r="CI139" i="2"/>
  <c r="CM132" i="2"/>
  <c r="CL132" i="2"/>
  <c r="CN132" i="2" s="1"/>
  <c r="CJ132" i="2"/>
  <c r="CI132" i="2"/>
  <c r="W130" i="2"/>
  <c r="Q130" i="2"/>
  <c r="CM138" i="2"/>
  <c r="CL138" i="2"/>
  <c r="CJ138" i="2"/>
  <c r="CI138" i="2"/>
  <c r="CM137" i="2"/>
  <c r="CL137" i="2"/>
  <c r="CJ137" i="2"/>
  <c r="CI137" i="2"/>
  <c r="Q137" i="2"/>
  <c r="CM136" i="2"/>
  <c r="CL136" i="2"/>
  <c r="CJ136" i="2"/>
  <c r="CI136" i="2"/>
  <c r="CM135" i="2"/>
  <c r="CL135" i="2"/>
  <c r="CJ135" i="2"/>
  <c r="CI135" i="2"/>
  <c r="CM134" i="2"/>
  <c r="CL134" i="2"/>
  <c r="CJ134" i="2"/>
  <c r="CI134" i="2"/>
  <c r="CM133" i="2"/>
  <c r="CL133" i="2"/>
  <c r="CJ133" i="2"/>
  <c r="CI133" i="2"/>
  <c r="Q132" i="2"/>
  <c r="CM131" i="2"/>
  <c r="CL131" i="2"/>
  <c r="CJ131" i="2"/>
  <c r="CI131" i="2"/>
  <c r="CI141" i="2"/>
  <c r="CJ141" i="2"/>
  <c r="CL141" i="2"/>
  <c r="CM141" i="2"/>
  <c r="Q147" i="2"/>
  <c r="Q142" i="2"/>
  <c r="CM148" i="2"/>
  <c r="CL148" i="2"/>
  <c r="CJ148" i="2"/>
  <c r="CM147" i="2"/>
  <c r="CL147" i="2"/>
  <c r="CJ147" i="2"/>
  <c r="CM146" i="2"/>
  <c r="CL146" i="2"/>
  <c r="CJ146" i="2"/>
  <c r="CM145" i="2"/>
  <c r="CL145" i="2"/>
  <c r="CJ145" i="2"/>
  <c r="CM144" i="2"/>
  <c r="CL144" i="2"/>
  <c r="CJ144" i="2"/>
  <c r="CM143" i="2"/>
  <c r="CL143" i="2"/>
  <c r="CJ143" i="2"/>
  <c r="CI143" i="2"/>
  <c r="CI144" i="2"/>
  <c r="CI145" i="2"/>
  <c r="CI146" i="2"/>
  <c r="CI147" i="2"/>
  <c r="CI148" i="2"/>
  <c r="CD230" i="2"/>
  <c r="CD229" i="2"/>
  <c r="CD228" i="2"/>
  <c r="CD227" i="2"/>
  <c r="CL130" i="2"/>
  <c r="CL129" i="2"/>
  <c r="CL128" i="2"/>
  <c r="CL127" i="2"/>
  <c r="CL126" i="2"/>
  <c r="CL125" i="2"/>
  <c r="CL124" i="2"/>
  <c r="CL123" i="2"/>
  <c r="CL122" i="2"/>
  <c r="CL121" i="2"/>
  <c r="CL120" i="2"/>
  <c r="CL119" i="2"/>
  <c r="CL118" i="2"/>
  <c r="CL117" i="2"/>
  <c r="CL116" i="2"/>
  <c r="CL115" i="2"/>
  <c r="CL114" i="2"/>
  <c r="CL113" i="2"/>
  <c r="CL112" i="2"/>
  <c r="CL111" i="2"/>
  <c r="CL110" i="2"/>
  <c r="CL109" i="2"/>
  <c r="CL108" i="2"/>
  <c r="CL107" i="2"/>
  <c r="CL76" i="2"/>
  <c r="CL75" i="2"/>
  <c r="CL74" i="2"/>
  <c r="CL73" i="2"/>
  <c r="CL72" i="2"/>
  <c r="CL71" i="2"/>
  <c r="CL70" i="2"/>
  <c r="CL69" i="2"/>
  <c r="CL64" i="2"/>
  <c r="CL63" i="2"/>
  <c r="CL62" i="2"/>
  <c r="CL61" i="2"/>
  <c r="CL60" i="2"/>
  <c r="CL59" i="2"/>
  <c r="CL58" i="2"/>
  <c r="CL57" i="2"/>
  <c r="CL56" i="2"/>
  <c r="CL55" i="2"/>
  <c r="CM3" i="2"/>
  <c r="CM4" i="2"/>
  <c r="CM5" i="2"/>
  <c r="CM6" i="2"/>
  <c r="CM7" i="2"/>
  <c r="CM8" i="2"/>
  <c r="CM9" i="2"/>
  <c r="CM10"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N39" i="2" s="1"/>
  <c r="CM40" i="2"/>
  <c r="CM55" i="2"/>
  <c r="CM56" i="2"/>
  <c r="CN56" i="2" s="1"/>
  <c r="CM57" i="2"/>
  <c r="CM58" i="2"/>
  <c r="CM59" i="2"/>
  <c r="CM60" i="2"/>
  <c r="CM61" i="2"/>
  <c r="CM62" i="2"/>
  <c r="CM63" i="2"/>
  <c r="CM64" i="2"/>
  <c r="CN64" i="2" s="1"/>
  <c r="CM65" i="2"/>
  <c r="CM66" i="2"/>
  <c r="CM67" i="2"/>
  <c r="CM68" i="2"/>
  <c r="CM69" i="2"/>
  <c r="CM70" i="2"/>
  <c r="CM71" i="2"/>
  <c r="CM72" i="2"/>
  <c r="CM73" i="2"/>
  <c r="CM74" i="2"/>
  <c r="CM75" i="2"/>
  <c r="CM76" i="2"/>
  <c r="CM77" i="2"/>
  <c r="CM78" i="2"/>
  <c r="CM79" i="2"/>
  <c r="CM80" i="2"/>
  <c r="CM81" i="2"/>
  <c r="CM82" i="2"/>
  <c r="CM83" i="2"/>
  <c r="CM84" i="2"/>
  <c r="CM85" i="2"/>
  <c r="CM86" i="2"/>
  <c r="CM87" i="2"/>
  <c r="CM88" i="2"/>
  <c r="CM89" i="2"/>
  <c r="CM90" i="2"/>
  <c r="CM91" i="2"/>
  <c r="CM92" i="2"/>
  <c r="CM93" i="2"/>
  <c r="CM94" i="2"/>
  <c r="CM95" i="2"/>
  <c r="CM96" i="2"/>
  <c r="CM97" i="2"/>
  <c r="CM98" i="2"/>
  <c r="CM99" i="2"/>
  <c r="CM100" i="2"/>
  <c r="CM101" i="2"/>
  <c r="CM102" i="2"/>
  <c r="CM103" i="2"/>
  <c r="CM104" i="2"/>
  <c r="CM105" i="2"/>
  <c r="CM106" i="2"/>
  <c r="CM107" i="2"/>
  <c r="CM108" i="2"/>
  <c r="CM109" i="2"/>
  <c r="CM110" i="2"/>
  <c r="CM111" i="2"/>
  <c r="CM112" i="2"/>
  <c r="CM113" i="2"/>
  <c r="CM114" i="2"/>
  <c r="CM115" i="2"/>
  <c r="CM116" i="2"/>
  <c r="CM117" i="2"/>
  <c r="CN117" i="2" s="1"/>
  <c r="CM118" i="2"/>
  <c r="CM119" i="2"/>
  <c r="CM120" i="2"/>
  <c r="CM121" i="2"/>
  <c r="CM122" i="2"/>
  <c r="CM123" i="2"/>
  <c r="CM124" i="2"/>
  <c r="CM125" i="2"/>
  <c r="CM126" i="2"/>
  <c r="CM127" i="2"/>
  <c r="CM128" i="2"/>
  <c r="CM129" i="2"/>
  <c r="CM130" i="2"/>
  <c r="CM156" i="2"/>
  <c r="CM157" i="2"/>
  <c r="CM158" i="2"/>
  <c r="CM159" i="2"/>
  <c r="CM160" i="2"/>
  <c r="CM161" i="2"/>
  <c r="CM162" i="2"/>
  <c r="CM163" i="2"/>
  <c r="CM164" i="2"/>
  <c r="CM165" i="2"/>
  <c r="CM166" i="2"/>
  <c r="CM167" i="2"/>
  <c r="CM168" i="2"/>
  <c r="CM169" i="2"/>
  <c r="CM170" i="2"/>
  <c r="CM171" i="2"/>
  <c r="CM172" i="2"/>
  <c r="CM173" i="2"/>
  <c r="CM174" i="2"/>
  <c r="CM175" i="2"/>
  <c r="CM176" i="2"/>
  <c r="CM177" i="2"/>
  <c r="CM178" i="2"/>
  <c r="CM179" i="2"/>
  <c r="CM180" i="2"/>
  <c r="CM181" i="2"/>
  <c r="CM182" i="2"/>
  <c r="CN182" i="2" s="1"/>
  <c r="CM183" i="2"/>
  <c r="CM184" i="2"/>
  <c r="CM185" i="2"/>
  <c r="CM186" i="2"/>
  <c r="CM187" i="2"/>
  <c r="CM188" i="2"/>
  <c r="CM189" i="2"/>
  <c r="CM190" i="2"/>
  <c r="CM191" i="2"/>
  <c r="CM192" i="2"/>
  <c r="CM193" i="2"/>
  <c r="CM194" i="2"/>
  <c r="CM195" i="2"/>
  <c r="CM196" i="2"/>
  <c r="CM197" i="2"/>
  <c r="CM198" i="2"/>
  <c r="CM199" i="2"/>
  <c r="CM200" i="2"/>
  <c r="CM201" i="2"/>
  <c r="CM202" i="2"/>
  <c r="CM203" i="2"/>
  <c r="CM204" i="2"/>
  <c r="CM205" i="2"/>
  <c r="CM206" i="2"/>
  <c r="CM207" i="2"/>
  <c r="CM208" i="2"/>
  <c r="CM209" i="2"/>
  <c r="CM210" i="2"/>
  <c r="CM211" i="2"/>
  <c r="CM212" i="2"/>
  <c r="CM213" i="2"/>
  <c r="CM214" i="2"/>
  <c r="CM215" i="2"/>
  <c r="CM216" i="2"/>
  <c r="CN216" i="2" s="1"/>
  <c r="CM217" i="2"/>
  <c r="CM218" i="2"/>
  <c r="CM219" i="2"/>
  <c r="CM220" i="2"/>
  <c r="CM221" i="2"/>
  <c r="CM222" i="2"/>
  <c r="CM223" i="2"/>
  <c r="CM224" i="2"/>
  <c r="CN224" i="2" s="1"/>
  <c r="CM225" i="2"/>
  <c r="CM226" i="2"/>
  <c r="CM227" i="2"/>
  <c r="CM228" i="2"/>
  <c r="CM229" i="2"/>
  <c r="CM230" i="2"/>
  <c r="CM231" i="2"/>
  <c r="CM232" i="2"/>
  <c r="CM233" i="2"/>
  <c r="CM234" i="2"/>
  <c r="CM235" i="2"/>
  <c r="CM236" i="2"/>
  <c r="CM237" i="2"/>
  <c r="CM238" i="2"/>
  <c r="CM239" i="2"/>
  <c r="CM240" i="2"/>
  <c r="CM241" i="2"/>
  <c r="CM242" i="2"/>
  <c r="CM243" i="2"/>
  <c r="CM244" i="2"/>
  <c r="CM245" i="2"/>
  <c r="CM246" i="2"/>
  <c r="CM247" i="2"/>
  <c r="CM248" i="2"/>
  <c r="CN248" i="2" s="1"/>
  <c r="CM249" i="2"/>
  <c r="CM250" i="2"/>
  <c r="CM251" i="2"/>
  <c r="CM252" i="2"/>
  <c r="CM253" i="2"/>
  <c r="CM254" i="2"/>
  <c r="CM255" i="2"/>
  <c r="CM256" i="2"/>
  <c r="CM257" i="2"/>
  <c r="CM258" i="2"/>
  <c r="CM259" i="2"/>
  <c r="CL3" i="2"/>
  <c r="CL4" i="2"/>
  <c r="CL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156" i="2"/>
  <c r="CL157" i="2"/>
  <c r="CL158" i="2"/>
  <c r="CL159" i="2"/>
  <c r="CL160" i="2"/>
  <c r="CL161" i="2"/>
  <c r="CL162" i="2"/>
  <c r="CL163" i="2"/>
  <c r="CL164" i="2"/>
  <c r="CL165" i="2"/>
  <c r="CL166" i="2"/>
  <c r="CL167" i="2"/>
  <c r="CL168" i="2"/>
  <c r="CL169" i="2"/>
  <c r="CL170" i="2"/>
  <c r="CL171" i="2"/>
  <c r="CL172" i="2"/>
  <c r="CL173" i="2"/>
  <c r="CL174" i="2"/>
  <c r="CL175" i="2"/>
  <c r="CL176" i="2"/>
  <c r="CL177" i="2"/>
  <c r="CL178" i="2"/>
  <c r="CL179" i="2"/>
  <c r="CL180" i="2"/>
  <c r="CL181" i="2"/>
  <c r="CL182" i="2"/>
  <c r="CL183" i="2"/>
  <c r="CL184" i="2"/>
  <c r="CL185" i="2"/>
  <c r="CL186" i="2"/>
  <c r="CL187" i="2"/>
  <c r="CL188" i="2"/>
  <c r="CL189" i="2"/>
  <c r="CL190" i="2"/>
  <c r="CL191" i="2"/>
  <c r="CL192" i="2"/>
  <c r="CL193" i="2"/>
  <c r="CL194" i="2"/>
  <c r="CL195" i="2"/>
  <c r="CL196" i="2"/>
  <c r="CL197" i="2"/>
  <c r="CL198" i="2"/>
  <c r="CL199" i="2"/>
  <c r="CL200" i="2"/>
  <c r="CL201" i="2"/>
  <c r="CL202" i="2"/>
  <c r="CL203" i="2"/>
  <c r="CL204" i="2"/>
  <c r="CL205" i="2"/>
  <c r="CL206" i="2"/>
  <c r="CL207" i="2"/>
  <c r="CL208" i="2"/>
  <c r="CL209" i="2"/>
  <c r="CL210" i="2"/>
  <c r="CL211" i="2"/>
  <c r="CL212" i="2"/>
  <c r="CL213" i="2"/>
  <c r="CL214" i="2"/>
  <c r="CL215" i="2"/>
  <c r="CL216" i="2"/>
  <c r="CL217" i="2"/>
  <c r="CL218" i="2"/>
  <c r="CL219" i="2"/>
  <c r="CL220" i="2"/>
  <c r="CL221" i="2"/>
  <c r="CL222" i="2"/>
  <c r="CL223" i="2"/>
  <c r="CL224" i="2"/>
  <c r="CL225" i="2"/>
  <c r="CL226" i="2"/>
  <c r="CL227" i="2"/>
  <c r="CL228" i="2"/>
  <c r="CL229" i="2"/>
  <c r="CL230" i="2"/>
  <c r="CL231" i="2"/>
  <c r="CL232" i="2"/>
  <c r="CL233" i="2"/>
  <c r="CL234" i="2"/>
  <c r="CL235" i="2"/>
  <c r="CL236" i="2"/>
  <c r="CL237" i="2"/>
  <c r="CL238" i="2"/>
  <c r="CL239" i="2"/>
  <c r="CL240" i="2"/>
  <c r="CL241" i="2"/>
  <c r="CL242" i="2"/>
  <c r="CL243" i="2"/>
  <c r="CL244" i="2"/>
  <c r="CL245" i="2"/>
  <c r="CL246" i="2"/>
  <c r="CL247" i="2"/>
  <c r="CL248" i="2"/>
  <c r="CL249" i="2"/>
  <c r="CL250" i="2"/>
  <c r="CL251" i="2"/>
  <c r="CL252" i="2"/>
  <c r="CL253" i="2"/>
  <c r="CL254" i="2"/>
  <c r="CL255" i="2"/>
  <c r="CL256" i="2"/>
  <c r="CL257" i="2"/>
  <c r="CL258" i="2"/>
  <c r="CL259" i="2"/>
  <c r="CJ3" i="2"/>
  <c r="CJ4" i="2"/>
  <c r="CJ5" i="2"/>
  <c r="CJ6" i="2"/>
  <c r="CJ7" i="2"/>
  <c r="CJ8" i="2"/>
  <c r="CJ9" i="2"/>
  <c r="CJ10" i="2"/>
  <c r="CK10" i="2" s="1"/>
  <c r="CJ11" i="2"/>
  <c r="CJ12" i="2"/>
  <c r="CJ13" i="2"/>
  <c r="CJ14" i="2"/>
  <c r="CJ15" i="2"/>
  <c r="CJ16" i="2"/>
  <c r="CJ17" i="2"/>
  <c r="CJ18" i="2"/>
  <c r="CJ19" i="2"/>
  <c r="CJ20" i="2"/>
  <c r="CK20" i="2" s="1"/>
  <c r="CJ21" i="2"/>
  <c r="CJ22" i="2"/>
  <c r="CJ23" i="2"/>
  <c r="CJ24" i="2"/>
  <c r="CJ25" i="2"/>
  <c r="CJ26" i="2"/>
  <c r="CJ27" i="2"/>
  <c r="CJ28" i="2"/>
  <c r="CJ29" i="2"/>
  <c r="CJ30" i="2"/>
  <c r="CJ31" i="2"/>
  <c r="CJ32" i="2"/>
  <c r="CJ33" i="2"/>
  <c r="CJ34" i="2"/>
  <c r="CJ35" i="2"/>
  <c r="CJ36" i="2"/>
  <c r="CJ37" i="2"/>
  <c r="CJ38" i="2"/>
  <c r="CJ39" i="2"/>
  <c r="CJ40" i="2"/>
  <c r="CJ55" i="2"/>
  <c r="CJ56" i="2"/>
  <c r="CK56" i="2" s="1"/>
  <c r="CJ57" i="2"/>
  <c r="CJ58" i="2"/>
  <c r="CJ59" i="2"/>
  <c r="CJ60" i="2"/>
  <c r="CJ61" i="2"/>
  <c r="CJ62" i="2"/>
  <c r="CJ63" i="2"/>
  <c r="CJ64" i="2"/>
  <c r="CJ65" i="2"/>
  <c r="CJ66" i="2"/>
  <c r="CJ67" i="2"/>
  <c r="CJ68" i="2"/>
  <c r="CJ69" i="2"/>
  <c r="CJ70" i="2"/>
  <c r="CJ71" i="2"/>
  <c r="CK71" i="2" s="1"/>
  <c r="CJ72" i="2"/>
  <c r="CJ73" i="2"/>
  <c r="CJ74" i="2"/>
  <c r="CJ75" i="2"/>
  <c r="CJ76" i="2"/>
  <c r="CJ77" i="2"/>
  <c r="CJ78" i="2"/>
  <c r="CJ79" i="2"/>
  <c r="CJ80" i="2"/>
  <c r="CJ81" i="2"/>
  <c r="CJ82" i="2"/>
  <c r="CJ83" i="2"/>
  <c r="CJ84" i="2"/>
  <c r="CJ85" i="2"/>
  <c r="CJ86" i="2"/>
  <c r="CJ87" i="2"/>
  <c r="CJ88" i="2"/>
  <c r="CJ89" i="2"/>
  <c r="CJ90" i="2"/>
  <c r="CJ91" i="2"/>
  <c r="CJ92" i="2"/>
  <c r="CJ93" i="2"/>
  <c r="CJ94" i="2"/>
  <c r="CJ95" i="2"/>
  <c r="CJ96" i="2"/>
  <c r="CJ97" i="2"/>
  <c r="CJ98" i="2"/>
  <c r="CJ99" i="2"/>
  <c r="CJ100" i="2"/>
  <c r="CJ101" i="2"/>
  <c r="CJ102" i="2"/>
  <c r="CJ103" i="2"/>
  <c r="CJ104" i="2"/>
  <c r="CJ105" i="2"/>
  <c r="CJ106" i="2"/>
  <c r="CJ107" i="2"/>
  <c r="CJ108" i="2"/>
  <c r="CJ109" i="2"/>
  <c r="CJ110" i="2"/>
  <c r="CJ111" i="2"/>
  <c r="CJ112" i="2"/>
  <c r="CJ113" i="2"/>
  <c r="CJ114" i="2"/>
  <c r="CJ115" i="2"/>
  <c r="CJ116" i="2"/>
  <c r="CJ117" i="2"/>
  <c r="CJ118" i="2"/>
  <c r="CJ119" i="2"/>
  <c r="CJ120" i="2"/>
  <c r="CJ121" i="2"/>
  <c r="CJ122" i="2"/>
  <c r="CJ123" i="2"/>
  <c r="CJ124" i="2"/>
  <c r="CJ125" i="2"/>
  <c r="CJ126" i="2"/>
  <c r="CJ127" i="2"/>
  <c r="CJ128" i="2"/>
  <c r="CJ129" i="2"/>
  <c r="CJ130" i="2"/>
  <c r="CJ161" i="2"/>
  <c r="CJ162" i="2"/>
  <c r="CJ163" i="2"/>
  <c r="CJ164" i="2"/>
  <c r="CJ165" i="2"/>
  <c r="CK165" i="2" s="1"/>
  <c r="CJ166" i="2"/>
  <c r="CJ167" i="2"/>
  <c r="CJ168" i="2"/>
  <c r="CJ169" i="2"/>
  <c r="CJ170" i="2"/>
  <c r="CJ171" i="2"/>
  <c r="CJ172" i="2"/>
  <c r="CJ173" i="2"/>
  <c r="CJ174" i="2"/>
  <c r="CJ175" i="2"/>
  <c r="CJ176" i="2"/>
  <c r="CJ177" i="2"/>
  <c r="CJ178" i="2"/>
  <c r="CJ179" i="2"/>
  <c r="CJ180" i="2"/>
  <c r="CJ181" i="2"/>
  <c r="CJ182" i="2"/>
  <c r="CJ183" i="2"/>
  <c r="CJ184" i="2"/>
  <c r="CJ185" i="2"/>
  <c r="CJ186" i="2"/>
  <c r="CJ187" i="2"/>
  <c r="CJ188" i="2"/>
  <c r="CJ189" i="2"/>
  <c r="CJ190" i="2"/>
  <c r="CJ191" i="2"/>
  <c r="CJ192" i="2"/>
  <c r="CJ193" i="2"/>
  <c r="CJ194" i="2"/>
  <c r="CJ195" i="2"/>
  <c r="CJ196" i="2"/>
  <c r="CJ197" i="2"/>
  <c r="CJ198" i="2"/>
  <c r="CJ199" i="2"/>
  <c r="CJ200" i="2"/>
  <c r="CJ201" i="2"/>
  <c r="CJ202" i="2"/>
  <c r="CJ203" i="2"/>
  <c r="CJ204" i="2"/>
  <c r="CJ205" i="2"/>
  <c r="CJ206" i="2"/>
  <c r="CJ207" i="2"/>
  <c r="CJ208" i="2"/>
  <c r="CJ209" i="2"/>
  <c r="CJ210" i="2"/>
  <c r="CJ211" i="2"/>
  <c r="CJ212" i="2"/>
  <c r="CJ213" i="2"/>
  <c r="CK213" i="2" s="1"/>
  <c r="CJ214" i="2"/>
  <c r="CJ215" i="2"/>
  <c r="CJ216" i="2"/>
  <c r="CJ217" i="2"/>
  <c r="CJ218" i="2"/>
  <c r="CJ219" i="2"/>
  <c r="CJ220" i="2"/>
  <c r="CJ221" i="2"/>
  <c r="CJ222" i="2"/>
  <c r="CJ223" i="2"/>
  <c r="CJ224" i="2"/>
  <c r="CJ225" i="2"/>
  <c r="CJ226" i="2"/>
  <c r="CJ227" i="2"/>
  <c r="CJ228" i="2"/>
  <c r="CJ229" i="2"/>
  <c r="CJ230" i="2"/>
  <c r="CJ231" i="2"/>
  <c r="CJ232" i="2"/>
  <c r="CJ233" i="2"/>
  <c r="CJ240" i="2"/>
  <c r="CJ241" i="2"/>
  <c r="CJ242" i="2"/>
  <c r="CJ243" i="2"/>
  <c r="CJ244" i="2"/>
  <c r="CJ245" i="2"/>
  <c r="CJ246" i="2"/>
  <c r="CJ247" i="2"/>
  <c r="CJ248" i="2"/>
  <c r="CJ249" i="2"/>
  <c r="CJ250" i="2"/>
  <c r="CJ251" i="2"/>
  <c r="CJ252" i="2"/>
  <c r="CJ253" i="2"/>
  <c r="CJ254" i="2"/>
  <c r="CJ255" i="2"/>
  <c r="CJ256" i="2"/>
  <c r="CJ257" i="2"/>
  <c r="CJ258" i="2"/>
  <c r="CJ259" i="2"/>
  <c r="CI18" i="2"/>
  <c r="CI19" i="2"/>
  <c r="CI20" i="2"/>
  <c r="CI21" i="2"/>
  <c r="CI22" i="2"/>
  <c r="CI23" i="2"/>
  <c r="CI24" i="2"/>
  <c r="CI25" i="2"/>
  <c r="CK25" i="2" s="1"/>
  <c r="CI26" i="2"/>
  <c r="CI27" i="2"/>
  <c r="CI28" i="2"/>
  <c r="CI29" i="2"/>
  <c r="CI30" i="2"/>
  <c r="CI31" i="2"/>
  <c r="CI32" i="2"/>
  <c r="CI33" i="2"/>
  <c r="CI34" i="2"/>
  <c r="CI35" i="2"/>
  <c r="CI36" i="2"/>
  <c r="CI37" i="2"/>
  <c r="CI38" i="2"/>
  <c r="CI39" i="2"/>
  <c r="CI40" i="2"/>
  <c r="CI56" i="2"/>
  <c r="CI58" i="2"/>
  <c r="CI69" i="2"/>
  <c r="CI70" i="2"/>
  <c r="CI71" i="2"/>
  <c r="CI72" i="2"/>
  <c r="CI73" i="2"/>
  <c r="CI74" i="2"/>
  <c r="CI75" i="2"/>
  <c r="CI76" i="2"/>
  <c r="CI107" i="2"/>
  <c r="CI108" i="2"/>
  <c r="CI109" i="2"/>
  <c r="CI110" i="2"/>
  <c r="CI111" i="2"/>
  <c r="CI112" i="2"/>
  <c r="CI113" i="2"/>
  <c r="CI114" i="2"/>
  <c r="CI115" i="2"/>
  <c r="CI116" i="2"/>
  <c r="CI117" i="2"/>
  <c r="CI118" i="2"/>
  <c r="CI119" i="2"/>
  <c r="CI120" i="2"/>
  <c r="CI121" i="2"/>
  <c r="CI122" i="2"/>
  <c r="CI123" i="2"/>
  <c r="CI124" i="2"/>
  <c r="CI125" i="2"/>
  <c r="CI126" i="2"/>
  <c r="CI127" i="2"/>
  <c r="CI128" i="2"/>
  <c r="CI129" i="2"/>
  <c r="CI130" i="2"/>
  <c r="CI161" i="2"/>
  <c r="CI162" i="2"/>
  <c r="CI163" i="2"/>
  <c r="CI164" i="2"/>
  <c r="CI165" i="2"/>
  <c r="CI166" i="2"/>
  <c r="CI167" i="2"/>
  <c r="CI168" i="2"/>
  <c r="CI169" i="2"/>
  <c r="CI170" i="2"/>
  <c r="CI171" i="2"/>
  <c r="CI172" i="2"/>
  <c r="CI173" i="2"/>
  <c r="CI174" i="2"/>
  <c r="CI175" i="2"/>
  <c r="CI176" i="2"/>
  <c r="CI177" i="2"/>
  <c r="CI178" i="2"/>
  <c r="CI179" i="2"/>
  <c r="CI180" i="2"/>
  <c r="CI181" i="2"/>
  <c r="CI182" i="2"/>
  <c r="CI183" i="2"/>
  <c r="CI184" i="2"/>
  <c r="CI185" i="2"/>
  <c r="CI186" i="2"/>
  <c r="CI187" i="2"/>
  <c r="CI188" i="2"/>
  <c r="CI189" i="2"/>
  <c r="CI190" i="2"/>
  <c r="CI191" i="2"/>
  <c r="CI192" i="2"/>
  <c r="CI193" i="2"/>
  <c r="CI194" i="2"/>
  <c r="CI195" i="2"/>
  <c r="CI196" i="2"/>
  <c r="CI197" i="2"/>
  <c r="CI198" i="2"/>
  <c r="CI199" i="2"/>
  <c r="CI200" i="2"/>
  <c r="CI201" i="2"/>
  <c r="CI202" i="2"/>
  <c r="CI203" i="2"/>
  <c r="CI204" i="2"/>
  <c r="CI205" i="2"/>
  <c r="CI206" i="2"/>
  <c r="CI207" i="2"/>
  <c r="CI208" i="2"/>
  <c r="CI209" i="2"/>
  <c r="CI210" i="2"/>
  <c r="CI211" i="2"/>
  <c r="CI212" i="2"/>
  <c r="CI213" i="2"/>
  <c r="CI214" i="2"/>
  <c r="CI215" i="2"/>
  <c r="CI216" i="2"/>
  <c r="CI217" i="2"/>
  <c r="CI218" i="2"/>
  <c r="CI219" i="2"/>
  <c r="CI220" i="2"/>
  <c r="CI221" i="2"/>
  <c r="CI222" i="2"/>
  <c r="CI223" i="2"/>
  <c r="CI224" i="2"/>
  <c r="CI225" i="2"/>
  <c r="CI226" i="2"/>
  <c r="CI227" i="2"/>
  <c r="CI228" i="2"/>
  <c r="CI229" i="2"/>
  <c r="CI230" i="2"/>
  <c r="CI231" i="2"/>
  <c r="CI232" i="2"/>
  <c r="CI233" i="2"/>
  <c r="CI240" i="2"/>
  <c r="CI241" i="2"/>
  <c r="CI242" i="2"/>
  <c r="CI243" i="2"/>
  <c r="CI244" i="2"/>
  <c r="CI245" i="2"/>
  <c r="CI246" i="2"/>
  <c r="CI247" i="2"/>
  <c r="CI248" i="2"/>
  <c r="CI249" i="2"/>
  <c r="CI250" i="2"/>
  <c r="CI251" i="2"/>
  <c r="CI252" i="2"/>
  <c r="CI253" i="2"/>
  <c r="CI254" i="2"/>
  <c r="CI255" i="2"/>
  <c r="CI256" i="2"/>
  <c r="CI257" i="2"/>
  <c r="CI258" i="2"/>
  <c r="CI259" i="2"/>
  <c r="CI3" i="2"/>
  <c r="CI4" i="2"/>
  <c r="CI5" i="2"/>
  <c r="CI6" i="2"/>
  <c r="CI7" i="2"/>
  <c r="CI8" i="2"/>
  <c r="CI9" i="2"/>
  <c r="CI10" i="2"/>
  <c r="CI11" i="2"/>
  <c r="CI12" i="2"/>
  <c r="CI13" i="2"/>
  <c r="CI14" i="2"/>
  <c r="CI15" i="2"/>
  <c r="CI16" i="2"/>
  <c r="CI17" i="2"/>
  <c r="CI2" i="2"/>
  <c r="CM2" i="2"/>
  <c r="CL2" i="2"/>
  <c r="CJ2" i="2"/>
  <c r="CK2" i="2" s="1"/>
  <c r="CE106" i="2"/>
  <c r="CI106" i="2" s="1"/>
  <c r="CE105" i="2"/>
  <c r="CI105" i="2" s="1"/>
  <c r="CE104" i="2"/>
  <c r="CI104" i="2" s="1"/>
  <c r="CE103" i="2"/>
  <c r="CI103" i="2" s="1"/>
  <c r="CE102" i="2"/>
  <c r="CI102" i="2" s="1"/>
  <c r="CE101" i="2"/>
  <c r="CI101" i="2" s="1"/>
  <c r="CK101" i="2" s="1"/>
  <c r="CE100" i="2"/>
  <c r="CI100" i="2" s="1"/>
  <c r="CE99" i="2"/>
  <c r="CI99" i="2" s="1"/>
  <c r="CE98" i="2"/>
  <c r="CI98" i="2" s="1"/>
  <c r="CE97" i="2"/>
  <c r="CI97" i="2" s="1"/>
  <c r="CE96" i="2"/>
  <c r="CI96" i="2"/>
  <c r="CE95" i="2"/>
  <c r="CI95" i="2" s="1"/>
  <c r="CE94" i="2"/>
  <c r="CI94" i="2" s="1"/>
  <c r="CE93" i="2"/>
  <c r="CI93" i="2" s="1"/>
  <c r="CE92" i="2"/>
  <c r="CI92" i="2" s="1"/>
  <c r="CE91" i="2"/>
  <c r="CI91" i="2" s="1"/>
  <c r="CE90" i="2"/>
  <c r="CI90" i="2" s="1"/>
  <c r="CE89" i="2"/>
  <c r="CI89" i="2" s="1"/>
  <c r="CE88" i="2"/>
  <c r="CI88" i="2" s="1"/>
  <c r="CE87" i="2"/>
  <c r="CI87" i="2" s="1"/>
  <c r="CE86" i="2"/>
  <c r="CI86" i="2" s="1"/>
  <c r="CE85" i="2"/>
  <c r="CI85" i="2" s="1"/>
  <c r="CE84" i="2"/>
  <c r="CI84" i="2" s="1"/>
  <c r="CE83" i="2"/>
  <c r="CI83" i="2" s="1"/>
  <c r="CE82" i="2"/>
  <c r="CI82" i="2" s="1"/>
  <c r="CE81" i="2"/>
  <c r="CI81" i="2" s="1"/>
  <c r="CE80" i="2"/>
  <c r="CI80" i="2" s="1"/>
  <c r="CE79" i="2"/>
  <c r="CI79" i="2" s="1"/>
  <c r="CE78" i="2"/>
  <c r="CI78" i="2" s="1"/>
  <c r="CE77" i="2"/>
  <c r="CI77" i="2" s="1"/>
  <c r="CE68" i="2"/>
  <c r="CI68" i="2" s="1"/>
  <c r="CE67" i="2"/>
  <c r="CI67" i="2" s="1"/>
  <c r="CE66" i="2"/>
  <c r="CI66" i="2" s="1"/>
  <c r="CE65" i="2"/>
  <c r="CI65" i="2" s="1"/>
  <c r="CE64" i="2"/>
  <c r="CP64" i="2" s="1"/>
  <c r="CQ64" i="2" s="1"/>
  <c r="CE63" i="2"/>
  <c r="CE62" i="2"/>
  <c r="CI62" i="2" s="1"/>
  <c r="CE61" i="2"/>
  <c r="CI61" i="2" s="1"/>
  <c r="CE60" i="2"/>
  <c r="CE59" i="2"/>
  <c r="CE57" i="2"/>
  <c r="CP57" i="2" s="1"/>
  <c r="CQ57" i="2" s="1"/>
  <c r="CE55" i="2"/>
  <c r="CP55" i="2" s="1"/>
  <c r="CG106" i="2"/>
  <c r="CL106" i="2" s="1"/>
  <c r="CG105" i="2"/>
  <c r="CL105" i="2" s="1"/>
  <c r="CG104" i="2"/>
  <c r="CL104" i="2" s="1"/>
  <c r="CG103" i="2"/>
  <c r="CL103" i="2" s="1"/>
  <c r="CG102" i="2"/>
  <c r="CL102" i="2" s="1"/>
  <c r="CG101" i="2"/>
  <c r="CL101" i="2" s="1"/>
  <c r="CG100" i="2"/>
  <c r="CL100" i="2" s="1"/>
  <c r="CG99" i="2"/>
  <c r="CL99" i="2"/>
  <c r="CG98" i="2"/>
  <c r="CL98" i="2" s="1"/>
  <c r="CG97" i="2"/>
  <c r="CL97" i="2" s="1"/>
  <c r="CG96" i="2"/>
  <c r="CL96" i="2" s="1"/>
  <c r="CG95" i="2"/>
  <c r="CL95" i="2"/>
  <c r="CG94" i="2"/>
  <c r="CL94" i="2" s="1"/>
  <c r="CG93" i="2"/>
  <c r="CL93" i="2" s="1"/>
  <c r="CG92" i="2"/>
  <c r="CL92" i="2"/>
  <c r="CN92" i="2" s="1"/>
  <c r="CG91" i="2"/>
  <c r="CL91" i="2" s="1"/>
  <c r="CG90" i="2"/>
  <c r="CL90" i="2" s="1"/>
  <c r="CG89" i="2"/>
  <c r="CL89" i="2" s="1"/>
  <c r="CG88" i="2"/>
  <c r="CL88" i="2" s="1"/>
  <c r="CG87" i="2"/>
  <c r="CL87" i="2" s="1"/>
  <c r="CG86" i="2"/>
  <c r="CL86" i="2" s="1"/>
  <c r="CG85" i="2"/>
  <c r="CL85" i="2"/>
  <c r="CN85" i="2" s="1"/>
  <c r="CG84" i="2"/>
  <c r="CL84" i="2" s="1"/>
  <c r="CG83" i="2"/>
  <c r="CL83" i="2" s="1"/>
  <c r="CG82" i="2"/>
  <c r="CL82" i="2" s="1"/>
  <c r="CG81" i="2"/>
  <c r="CL81" i="2" s="1"/>
  <c r="CG80" i="2"/>
  <c r="CL80" i="2" s="1"/>
  <c r="CG79" i="2"/>
  <c r="CL79" i="2" s="1"/>
  <c r="CG78" i="2"/>
  <c r="CL78" i="2" s="1"/>
  <c r="CG77" i="2"/>
  <c r="CL77" i="2" s="1"/>
  <c r="CN77" i="2" s="1"/>
  <c r="CG68" i="2"/>
  <c r="CL68" i="2" s="1"/>
  <c r="CG67" i="2"/>
  <c r="CL67" i="2" s="1"/>
  <c r="CG66" i="2"/>
  <c r="CL66" i="2" s="1"/>
  <c r="CG65" i="2"/>
  <c r="CL65" i="2" s="1"/>
  <c r="CI55" i="2"/>
  <c r="CQ55" i="2"/>
  <c r="CD259" i="2"/>
  <c r="CC259" i="2"/>
  <c r="CD258" i="2"/>
  <c r="CC258" i="2"/>
  <c r="CD257" i="2"/>
  <c r="CC257" i="2"/>
  <c r="CD256" i="2"/>
  <c r="CC256" i="2"/>
  <c r="U259" i="2"/>
  <c r="W259" i="2" s="1"/>
  <c r="U258" i="2"/>
  <c r="W258" i="2" s="1"/>
  <c r="U257" i="2"/>
  <c r="W257" i="2" s="1"/>
  <c r="U256" i="2"/>
  <c r="W256" i="2" s="1"/>
  <c r="CD191" i="2"/>
  <c r="CD190" i="2"/>
  <c r="CD189" i="2"/>
  <c r="CD188" i="2"/>
  <c r="CD187" i="2"/>
  <c r="CD186" i="2"/>
  <c r="CC191" i="2"/>
  <c r="CC190" i="2"/>
  <c r="CC189" i="2"/>
  <c r="CC188" i="2"/>
  <c r="CC187" i="2"/>
  <c r="CC186" i="2"/>
  <c r="CD255" i="2"/>
  <c r="CC255" i="2"/>
  <c r="CD254" i="2"/>
  <c r="CC254" i="2"/>
  <c r="CD253" i="2"/>
  <c r="CC253" i="2"/>
  <c r="CD252" i="2"/>
  <c r="CC252" i="2"/>
  <c r="CD251" i="2"/>
  <c r="CC251" i="2"/>
  <c r="CD250" i="2"/>
  <c r="CC250" i="2"/>
  <c r="CD249" i="2"/>
  <c r="CC249" i="2"/>
  <c r="CD248" i="2"/>
  <c r="CC248" i="2"/>
  <c r="CD247" i="2"/>
  <c r="CC247" i="2"/>
  <c r="CD246" i="2"/>
  <c r="CC246" i="2"/>
  <c r="CD245" i="2"/>
  <c r="CC245" i="2"/>
  <c r="CD244" i="2"/>
  <c r="CC244" i="2"/>
  <c r="CD243" i="2"/>
  <c r="CC243" i="2"/>
  <c r="CD242" i="2"/>
  <c r="CC242" i="2"/>
  <c r="CD241" i="2"/>
  <c r="CC241" i="2"/>
  <c r="CD240" i="2"/>
  <c r="CC240" i="2"/>
  <c r="CD239" i="2"/>
  <c r="CC239" i="2"/>
  <c r="CD238" i="2"/>
  <c r="CC238" i="2"/>
  <c r="CD237" i="2"/>
  <c r="CC237" i="2"/>
  <c r="CD236" i="2"/>
  <c r="CC236" i="2"/>
  <c r="CD235" i="2"/>
  <c r="CC235" i="2"/>
  <c r="CD234" i="2"/>
  <c r="CC234" i="2"/>
  <c r="CD233" i="2"/>
  <c r="CC233" i="2"/>
  <c r="CD232" i="2"/>
  <c r="CC232" i="2"/>
  <c r="CD231" i="2"/>
  <c r="CC231" i="2"/>
  <c r="CC226" i="2"/>
  <c r="CC225" i="2"/>
  <c r="CC224" i="2"/>
  <c r="CC223" i="2"/>
  <c r="CC222" i="2"/>
  <c r="CC221" i="2"/>
  <c r="CC220" i="2"/>
  <c r="CC219" i="2"/>
  <c r="CC218" i="2"/>
  <c r="CD217" i="2"/>
  <c r="CC217" i="2"/>
  <c r="CD216" i="2"/>
  <c r="CC216" i="2"/>
  <c r="CD215" i="2"/>
  <c r="CC215" i="2"/>
  <c r="CD214" i="2"/>
  <c r="CC214" i="2"/>
  <c r="CD213" i="2"/>
  <c r="CC213" i="2"/>
  <c r="CD212" i="2"/>
  <c r="CC212" i="2"/>
  <c r="CD211" i="2"/>
  <c r="CC211" i="2"/>
  <c r="CD210" i="2"/>
  <c r="CC210" i="2"/>
  <c r="CD209" i="2"/>
  <c r="CC209" i="2"/>
  <c r="CD208" i="2"/>
  <c r="CC208" i="2"/>
  <c r="CD207" i="2"/>
  <c r="CC207" i="2"/>
  <c r="CD206" i="2"/>
  <c r="CC206" i="2"/>
  <c r="CD205" i="2"/>
  <c r="CC205" i="2"/>
  <c r="CD204" i="2"/>
  <c r="CC204" i="2"/>
  <c r="CD203" i="2"/>
  <c r="CC203" i="2"/>
  <c r="CD202" i="2"/>
  <c r="CC202" i="2"/>
  <c r="CD201" i="2"/>
  <c r="CC201" i="2"/>
  <c r="CD200" i="2"/>
  <c r="CC200" i="2"/>
  <c r="CD199" i="2"/>
  <c r="CC199" i="2"/>
  <c r="CD198" i="2"/>
  <c r="CC198" i="2"/>
  <c r="CD197" i="2"/>
  <c r="CC197" i="2"/>
  <c r="CD196" i="2"/>
  <c r="CC196" i="2"/>
  <c r="CD195" i="2"/>
  <c r="CC195" i="2"/>
  <c r="CD194" i="2"/>
  <c r="CC194" i="2"/>
  <c r="CD193" i="2"/>
  <c r="CC193" i="2"/>
  <c r="CD192" i="2"/>
  <c r="CC192" i="2"/>
  <c r="CD126" i="2"/>
  <c r="CC126" i="2"/>
  <c r="CD125" i="2"/>
  <c r="CC125" i="2"/>
  <c r="CD124" i="2"/>
  <c r="CC124" i="2"/>
  <c r="CD123" i="2"/>
  <c r="CC123" i="2"/>
  <c r="CD122" i="2"/>
  <c r="CC122" i="2"/>
  <c r="CD121" i="2"/>
  <c r="CC121" i="2"/>
  <c r="CD120" i="2"/>
  <c r="CC120" i="2"/>
  <c r="CD119" i="2"/>
  <c r="CC119" i="2"/>
  <c r="CD118" i="2"/>
  <c r="CC118" i="2"/>
  <c r="CD117" i="2"/>
  <c r="CC117" i="2"/>
  <c r="CD116" i="2"/>
  <c r="CC116" i="2"/>
  <c r="CD115" i="2"/>
  <c r="CC115" i="2"/>
  <c r="CD114" i="2"/>
  <c r="CC114" i="2"/>
  <c r="CD113" i="2"/>
  <c r="CC113" i="2"/>
  <c r="CD112" i="2"/>
  <c r="CC112" i="2"/>
  <c r="CD111" i="2"/>
  <c r="CC111" i="2"/>
  <c r="CD110" i="2"/>
  <c r="CC110" i="2"/>
  <c r="CD109" i="2"/>
  <c r="CC109" i="2"/>
  <c r="CD108" i="2"/>
  <c r="CC108" i="2"/>
  <c r="CD107" i="2"/>
  <c r="CC107" i="2"/>
  <c r="CD106" i="2"/>
  <c r="CC106" i="2"/>
  <c r="CD105" i="2"/>
  <c r="CC105" i="2"/>
  <c r="CD104" i="2"/>
  <c r="CC104" i="2"/>
  <c r="CD103" i="2"/>
  <c r="CC103" i="2"/>
  <c r="CD102" i="2"/>
  <c r="CC102" i="2"/>
  <c r="CD101" i="2"/>
  <c r="CC101" i="2"/>
  <c r="CD100" i="2"/>
  <c r="CC100" i="2"/>
  <c r="CD99" i="2"/>
  <c r="CC99" i="2"/>
  <c r="CD98" i="2"/>
  <c r="CC98" i="2"/>
  <c r="CD97" i="2"/>
  <c r="CC97" i="2"/>
  <c r="CD96" i="2"/>
  <c r="CC96" i="2"/>
  <c r="CD95" i="2"/>
  <c r="CC95" i="2"/>
  <c r="CD94" i="2"/>
  <c r="CC94" i="2"/>
  <c r="CD93" i="2"/>
  <c r="CC93" i="2"/>
  <c r="CD92" i="2"/>
  <c r="CC92" i="2"/>
  <c r="CD91" i="2"/>
  <c r="CC91" i="2"/>
  <c r="CD90" i="2"/>
  <c r="CC90" i="2"/>
  <c r="CD89" i="2"/>
  <c r="CC89" i="2"/>
  <c r="CD88" i="2"/>
  <c r="CC88" i="2"/>
  <c r="CD87" i="2"/>
  <c r="CC87" i="2"/>
  <c r="CD86" i="2"/>
  <c r="CC86" i="2"/>
  <c r="CD85" i="2"/>
  <c r="CC85" i="2"/>
  <c r="CD84" i="2"/>
  <c r="CC84" i="2"/>
  <c r="CD83" i="2"/>
  <c r="CC83" i="2"/>
  <c r="CD82" i="2"/>
  <c r="CC82" i="2"/>
  <c r="CD81" i="2"/>
  <c r="CC81" i="2"/>
  <c r="CD80" i="2"/>
  <c r="CC80" i="2"/>
  <c r="CD79" i="2"/>
  <c r="CC79" i="2"/>
  <c r="CD78" i="2"/>
  <c r="CC78" i="2"/>
  <c r="CD77" i="2"/>
  <c r="CC77" i="2"/>
  <c r="CD76" i="2"/>
  <c r="CC76" i="2"/>
  <c r="CD75" i="2"/>
  <c r="CC75" i="2"/>
  <c r="CD74" i="2"/>
  <c r="CC74" i="2"/>
  <c r="CD73" i="2"/>
  <c r="CC73" i="2"/>
  <c r="CD72" i="2"/>
  <c r="CC72" i="2"/>
  <c r="CD71" i="2"/>
  <c r="CC71" i="2"/>
  <c r="CD70" i="2"/>
  <c r="CC70" i="2"/>
  <c r="CD69" i="2"/>
  <c r="CC69" i="2"/>
  <c r="CD68" i="2"/>
  <c r="CC68" i="2"/>
  <c r="CD67" i="2"/>
  <c r="CC67" i="2"/>
  <c r="CD66" i="2"/>
  <c r="CC66" i="2"/>
  <c r="CD65" i="2"/>
  <c r="CC65" i="2"/>
  <c r="CD64" i="2"/>
  <c r="CC64" i="2"/>
  <c r="CD63" i="2"/>
  <c r="CC63" i="2"/>
  <c r="CD62" i="2"/>
  <c r="CC62" i="2"/>
  <c r="CD61" i="2"/>
  <c r="CC61" i="2"/>
  <c r="CD60" i="2"/>
  <c r="CC60" i="2"/>
  <c r="CD59" i="2"/>
  <c r="CC59" i="2"/>
  <c r="CD58" i="2"/>
  <c r="CC58" i="2"/>
  <c r="CD57" i="2"/>
  <c r="CC57" i="2"/>
  <c r="CD56" i="2"/>
  <c r="CC56" i="2"/>
  <c r="CD55" i="2"/>
  <c r="CC55" i="2"/>
  <c r="CD54" i="2"/>
  <c r="CC54" i="2"/>
  <c r="CD53" i="2"/>
  <c r="CC53" i="2"/>
  <c r="CD52" i="2"/>
  <c r="CC52" i="2"/>
  <c r="CD51" i="2"/>
  <c r="CC51" i="2"/>
  <c r="CD50" i="2"/>
  <c r="CC50" i="2"/>
  <c r="CD49" i="2"/>
  <c r="CC49" i="2"/>
  <c r="CD48" i="2"/>
  <c r="CC48" i="2"/>
  <c r="CD47" i="2"/>
  <c r="CC47" i="2"/>
  <c r="CD46" i="2"/>
  <c r="CC46" i="2"/>
  <c r="CD45" i="2"/>
  <c r="CC45" i="2"/>
  <c r="CD44" i="2"/>
  <c r="CC44" i="2"/>
  <c r="CD43" i="2"/>
  <c r="CC43" i="2"/>
  <c r="CD42" i="2"/>
  <c r="CC42" i="2"/>
  <c r="CD41" i="2"/>
  <c r="CC41" i="2"/>
  <c r="CD40" i="2"/>
  <c r="CC40" i="2"/>
  <c r="CD39" i="2"/>
  <c r="CC39" i="2"/>
  <c r="CD38" i="2"/>
  <c r="CC38" i="2"/>
  <c r="CD37" i="2"/>
  <c r="CC37" i="2"/>
  <c r="CD36" i="2"/>
  <c r="CC36" i="2"/>
  <c r="CD35" i="2"/>
  <c r="CC35" i="2"/>
  <c r="CD34" i="2"/>
  <c r="CC34" i="2"/>
  <c r="CD33" i="2"/>
  <c r="CC33" i="2"/>
  <c r="CD32" i="2"/>
  <c r="CC32" i="2"/>
  <c r="CD31" i="2"/>
  <c r="CC31" i="2"/>
  <c r="CD30" i="2"/>
  <c r="CC30" i="2"/>
  <c r="CD29" i="2"/>
  <c r="CC29" i="2"/>
  <c r="CD28" i="2"/>
  <c r="CC28" i="2"/>
  <c r="CD27" i="2"/>
  <c r="CC27" i="2"/>
  <c r="CD26" i="2"/>
  <c r="CC26" i="2"/>
  <c r="CD25" i="2"/>
  <c r="CC25" i="2"/>
  <c r="CD24" i="2"/>
  <c r="CC24" i="2"/>
  <c r="CD23" i="2"/>
  <c r="CC23" i="2"/>
  <c r="CD22" i="2"/>
  <c r="CC22" i="2"/>
  <c r="CD21" i="2"/>
  <c r="CC21" i="2"/>
  <c r="CD20" i="2"/>
  <c r="CC20" i="2"/>
  <c r="CD19" i="2"/>
  <c r="CC19" i="2"/>
  <c r="CD18" i="2"/>
  <c r="CC18" i="2"/>
  <c r="CD17" i="2"/>
  <c r="CC17" i="2"/>
  <c r="CD16" i="2"/>
  <c r="CC16" i="2"/>
  <c r="CD15" i="2"/>
  <c r="CC15" i="2"/>
  <c r="CD14" i="2"/>
  <c r="CC14" i="2"/>
  <c r="CD13" i="2"/>
  <c r="CC13" i="2"/>
  <c r="CD12" i="2"/>
  <c r="CC12" i="2"/>
  <c r="CD11" i="2"/>
  <c r="CC11" i="2"/>
  <c r="CD10" i="2"/>
  <c r="CC10" i="2"/>
  <c r="CD9" i="2"/>
  <c r="CC9" i="2"/>
  <c r="CD8" i="2"/>
  <c r="CC8" i="2"/>
  <c r="CD7" i="2"/>
  <c r="CC7" i="2"/>
  <c r="CD6" i="2"/>
  <c r="CC6" i="2"/>
  <c r="CD5" i="2"/>
  <c r="CC5" i="2"/>
  <c r="CD4" i="2"/>
  <c r="CC4" i="2"/>
  <c r="CD3" i="2"/>
  <c r="CC3" i="2"/>
  <c r="CD2" i="2"/>
  <c r="CC2" i="2"/>
  <c r="AH6" i="2"/>
  <c r="Q127" i="2"/>
  <c r="W127" i="2"/>
  <c r="Q128" i="2"/>
  <c r="W128" i="2"/>
  <c r="Q129" i="2"/>
  <c r="W129" i="2"/>
  <c r="AH233" i="2"/>
  <c r="AH232" i="2"/>
  <c r="AH231" i="2"/>
  <c r="AH226" i="2"/>
  <c r="AH221" i="2"/>
  <c r="AH219" i="2"/>
  <c r="U255" i="2"/>
  <c r="U254" i="2"/>
  <c r="Q254" i="2" s="1"/>
  <c r="W254" i="2"/>
  <c r="U253" i="2"/>
  <c r="W253" i="2" s="1"/>
  <c r="U252" i="2"/>
  <c r="W252" i="2" s="1"/>
  <c r="U251" i="2"/>
  <c r="W251" i="2" s="1"/>
  <c r="Q251" i="2"/>
  <c r="U250" i="2"/>
  <c r="Q250" i="2" s="1"/>
  <c r="U249" i="2"/>
  <c r="W249" i="2" s="1"/>
  <c r="U248" i="2"/>
  <c r="W248" i="2" s="1"/>
  <c r="U247" i="2"/>
  <c r="W247" i="2" s="1"/>
  <c r="U246" i="2"/>
  <c r="Q246" i="2" s="1"/>
  <c r="W246" i="2"/>
  <c r="BD245" i="2"/>
  <c r="U245" i="2"/>
  <c r="W245" i="2" s="1"/>
  <c r="BD244" i="2"/>
  <c r="U244" i="2"/>
  <c r="W244" i="2" s="1"/>
  <c r="BD243" i="2"/>
  <c r="U243" i="2"/>
  <c r="W243" i="2" s="1"/>
  <c r="BD242" i="2"/>
  <c r="W242" i="2"/>
  <c r="Q242" i="2"/>
  <c r="BD241" i="2"/>
  <c r="W241" i="2"/>
  <c r="Q241" i="2"/>
  <c r="BD240" i="2"/>
  <c r="W240" i="2"/>
  <c r="Q240" i="2"/>
  <c r="U239" i="2"/>
  <c r="U238" i="2"/>
  <c r="W238" i="2" s="1"/>
  <c r="U237" i="2"/>
  <c r="Q237" i="2" s="1"/>
  <c r="W237" i="2"/>
  <c r="U236" i="2"/>
  <c r="Q236" i="2" s="1"/>
  <c r="W236" i="2"/>
  <c r="U235" i="2"/>
  <c r="Q235" i="2" s="1"/>
  <c r="U234" i="2"/>
  <c r="Q234" i="2" s="1"/>
  <c r="U233" i="2"/>
  <c r="Q233" i="2" s="1"/>
  <c r="U232" i="2"/>
  <c r="Q232" i="2" s="1"/>
  <c r="U231" i="2"/>
  <c r="Q231" i="2"/>
  <c r="U230" i="2"/>
  <c r="W230" i="2" s="1"/>
  <c r="Q230" i="2"/>
  <c r="U229" i="2"/>
  <c r="W229" i="2" s="1"/>
  <c r="Q229" i="2"/>
  <c r="U228" i="2"/>
  <c r="W228" i="2" s="1"/>
  <c r="Q228" i="2"/>
  <c r="U227" i="2"/>
  <c r="W227" i="2" s="1"/>
  <c r="Q227" i="2"/>
  <c r="U226" i="2"/>
  <c r="Q226" i="2"/>
  <c r="U225" i="2"/>
  <c r="Q225" i="2"/>
  <c r="U224" i="2"/>
  <c r="Q224" i="2"/>
  <c r="U223" i="2"/>
  <c r="Q223" i="2"/>
  <c r="U222" i="2"/>
  <c r="Q222" i="2"/>
  <c r="U221" i="2"/>
  <c r="Q221" i="2"/>
  <c r="U220" i="2"/>
  <c r="Q220" i="2"/>
  <c r="U219" i="2"/>
  <c r="Q219" i="2"/>
  <c r="U218" i="2"/>
  <c r="Q218" i="2"/>
  <c r="U217" i="2"/>
  <c r="Q217" i="2" s="1"/>
  <c r="U216" i="2"/>
  <c r="Q216" i="2" s="1"/>
  <c r="U215" i="2"/>
  <c r="Q215" i="2"/>
  <c r="U214" i="2"/>
  <c r="Q214" i="2" s="1"/>
  <c r="U213" i="2"/>
  <c r="Q213" i="2"/>
  <c r="U212" i="2"/>
  <c r="Q212" i="2"/>
  <c r="U211" i="2"/>
  <c r="Q211" i="2"/>
  <c r="U210" i="2"/>
  <c r="Q210" i="2"/>
  <c r="BD209" i="2"/>
  <c r="U209" i="2"/>
  <c r="Q209" i="2" s="1"/>
  <c r="BD208" i="2"/>
  <c r="U208" i="2"/>
  <c r="Q208" i="2" s="1"/>
  <c r="BD207" i="2"/>
  <c r="U207" i="2"/>
  <c r="Q207" i="2"/>
  <c r="BD206" i="2"/>
  <c r="U206" i="2"/>
  <c r="Q206" i="2" s="1"/>
  <c r="BD205" i="2"/>
  <c r="U205" i="2"/>
  <c r="Q205" i="2" s="1"/>
  <c r="BD204" i="2"/>
  <c r="U204" i="2"/>
  <c r="Q204" i="2"/>
  <c r="BD203" i="2"/>
  <c r="U203" i="2"/>
  <c r="Q203" i="2" s="1"/>
  <c r="U202" i="2"/>
  <c r="Q202" i="2" s="1"/>
  <c r="U201" i="2"/>
  <c r="Q201" i="2" s="1"/>
  <c r="U200" i="2"/>
  <c r="Q200" i="2" s="1"/>
  <c r="U199" i="2"/>
  <c r="Q199" i="2" s="1"/>
  <c r="U198" i="2"/>
  <c r="Q198" i="2"/>
  <c r="U197" i="2"/>
  <c r="Q197" i="2"/>
  <c r="U196" i="2"/>
  <c r="Q196" i="2"/>
  <c r="U195" i="2"/>
  <c r="Q195" i="2"/>
  <c r="U194" i="2"/>
  <c r="Q194" i="2" s="1"/>
  <c r="U193" i="2"/>
  <c r="Q193" i="2" s="1"/>
  <c r="U192" i="2"/>
  <c r="Q192" i="2" s="1"/>
  <c r="U191" i="2"/>
  <c r="Q191" i="2" s="1"/>
  <c r="U190" i="2"/>
  <c r="Q190" i="2" s="1"/>
  <c r="U189" i="2"/>
  <c r="Q189" i="2"/>
  <c r="U188" i="2"/>
  <c r="Q188" i="2" s="1"/>
  <c r="U187" i="2"/>
  <c r="Q187" i="2" s="1"/>
  <c r="U186" i="2"/>
  <c r="Q186" i="2"/>
  <c r="U185" i="2"/>
  <c r="Q185" i="2" s="1"/>
  <c r="U184" i="2"/>
  <c r="Q184" i="2" s="1"/>
  <c r="U183" i="2"/>
  <c r="Q183" i="2" s="1"/>
  <c r="U182" i="2"/>
  <c r="Q182" i="2"/>
  <c r="U181" i="2"/>
  <c r="Q181" i="2"/>
  <c r="U180" i="2"/>
  <c r="Q180" i="2" s="1"/>
  <c r="U179" i="2"/>
  <c r="Q179" i="2" s="1"/>
  <c r="U178" i="2"/>
  <c r="Q178" i="2" s="1"/>
  <c r="U177" i="2"/>
  <c r="Q177" i="2"/>
  <c r="U176" i="2"/>
  <c r="Q176" i="2" s="1"/>
  <c r="U175" i="2"/>
  <c r="Q175" i="2" s="1"/>
  <c r="U174" i="2"/>
  <c r="Q174" i="2" s="1"/>
  <c r="U173" i="2"/>
  <c r="Q173" i="2" s="1"/>
  <c r="U172" i="2"/>
  <c r="Q172" i="2"/>
  <c r="U171" i="2"/>
  <c r="Q171" i="2" s="1"/>
  <c r="U170" i="2"/>
  <c r="Q170" i="2" s="1"/>
  <c r="U169" i="2"/>
  <c r="Q169" i="2" s="1"/>
  <c r="U168" i="2"/>
  <c r="Q168" i="2" s="1"/>
  <c r="U167" i="2"/>
  <c r="Q167" i="2"/>
  <c r="U166" i="2"/>
  <c r="Q166" i="2" s="1"/>
  <c r="U165" i="2"/>
  <c r="Q165" i="2" s="1"/>
  <c r="U164" i="2"/>
  <c r="Q164" i="2" s="1"/>
  <c r="U163" i="2"/>
  <c r="Q163" i="2" s="1"/>
  <c r="U162" i="2"/>
  <c r="Q162" i="2"/>
  <c r="U161" i="2"/>
  <c r="Q161" i="2" s="1"/>
  <c r="U160" i="2"/>
  <c r="Q160" i="2" s="1"/>
  <c r="U159" i="2"/>
  <c r="Q159" i="2" s="1"/>
  <c r="U158" i="2"/>
  <c r="Q158" i="2" s="1"/>
  <c r="U157" i="2"/>
  <c r="Q157" i="2"/>
  <c r="U156" i="2"/>
  <c r="Q156" i="2" s="1"/>
  <c r="W126" i="2"/>
  <c r="Q126" i="2"/>
  <c r="W125" i="2"/>
  <c r="Q125" i="2"/>
  <c r="W124" i="2"/>
  <c r="Q124" i="2"/>
  <c r="W123" i="2"/>
  <c r="Q123" i="2"/>
  <c r="W122" i="2"/>
  <c r="Q122" i="2"/>
  <c r="W121" i="2"/>
  <c r="Q121" i="2"/>
  <c r="W120" i="2"/>
  <c r="Q120" i="2"/>
  <c r="W119" i="2"/>
  <c r="Q119" i="2"/>
  <c r="W118" i="2"/>
  <c r="Q118" i="2"/>
  <c r="W117" i="2"/>
  <c r="Q117" i="2"/>
  <c r="W116" i="2"/>
  <c r="Q116" i="2"/>
  <c r="W115" i="2"/>
  <c r="Q115" i="2"/>
  <c r="W114" i="2"/>
  <c r="Q114" i="2"/>
  <c r="W113" i="2"/>
  <c r="Q113" i="2"/>
  <c r="W112" i="2"/>
  <c r="Q112" i="2"/>
  <c r="W111" i="2"/>
  <c r="Q111" i="2"/>
  <c r="Q110" i="2"/>
  <c r="Q109" i="2"/>
  <c r="Q108" i="2"/>
  <c r="Q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Q78" i="2"/>
  <c r="W77" i="2"/>
  <c r="Q77" i="2"/>
  <c r="W76" i="2"/>
  <c r="Q76" i="2"/>
  <c r="Q75" i="2"/>
  <c r="W74" i="2"/>
  <c r="Q74" i="2"/>
  <c r="Q73" i="2"/>
  <c r="W72" i="2"/>
  <c r="Q72" i="2"/>
  <c r="Q71" i="2"/>
  <c r="W70" i="2"/>
  <c r="Q70" i="2"/>
  <c r="Q69" i="2"/>
  <c r="W68" i="2"/>
  <c r="Q68" i="2"/>
  <c r="W67" i="2"/>
  <c r="Q67" i="2"/>
  <c r="W66" i="2"/>
  <c r="Q66" i="2"/>
  <c r="W65" i="2"/>
  <c r="Q65" i="2"/>
  <c r="W64" i="2"/>
  <c r="Q64" i="2"/>
  <c r="W63" i="2"/>
  <c r="Q63" i="2"/>
  <c r="W62" i="2"/>
  <c r="Q62" i="2"/>
  <c r="W61" i="2"/>
  <c r="Q61" i="2"/>
  <c r="W60" i="2"/>
  <c r="Q60" i="2"/>
  <c r="W59" i="2"/>
  <c r="Q59" i="2"/>
  <c r="W58" i="2"/>
  <c r="Q58" i="2"/>
  <c r="W57" i="2"/>
  <c r="Q57" i="2"/>
  <c r="W56" i="2"/>
  <c r="Q56" i="2"/>
  <c r="W55" i="2"/>
  <c r="Q55" i="2"/>
  <c r="W54" i="2"/>
  <c r="Q54" i="2"/>
  <c r="W53" i="2"/>
  <c r="Q53" i="2"/>
  <c r="W52" i="2"/>
  <c r="Q52" i="2"/>
  <c r="W51" i="2"/>
  <c r="Q51" i="2"/>
  <c r="W50" i="2"/>
  <c r="Q50" i="2"/>
  <c r="W49" i="2"/>
  <c r="Q49" i="2"/>
  <c r="W48" i="2"/>
  <c r="Q48" i="2"/>
  <c r="W47" i="2"/>
  <c r="Q47" i="2"/>
  <c r="W46" i="2"/>
  <c r="Q46" i="2"/>
  <c r="W45" i="2"/>
  <c r="Q45" i="2"/>
  <c r="W44" i="2"/>
  <c r="Q44" i="2"/>
  <c r="W43" i="2"/>
  <c r="Q43" i="2"/>
  <c r="W42" i="2"/>
  <c r="Q42" i="2"/>
  <c r="W41" i="2"/>
  <c r="Q41" i="2"/>
  <c r="W40" i="2"/>
  <c r="Q40" i="2"/>
  <c r="W39" i="2"/>
  <c r="Q39" i="2"/>
  <c r="W38" i="2"/>
  <c r="Q38" i="2"/>
  <c r="W37" i="2"/>
  <c r="Q37" i="2"/>
  <c r="W36" i="2"/>
  <c r="Q36" i="2"/>
  <c r="W35" i="2"/>
  <c r="Q35" i="2"/>
  <c r="W34" i="2"/>
  <c r="Q34" i="2"/>
  <c r="W33" i="2"/>
  <c r="Q33" i="2"/>
  <c r="W32" i="2"/>
  <c r="Q32" i="2"/>
  <c r="W31" i="2"/>
  <c r="Q31" i="2"/>
  <c r="W30" i="2"/>
  <c r="Q30" i="2"/>
  <c r="W29" i="2"/>
  <c r="Q29" i="2"/>
  <c r="W28" i="2"/>
  <c r="Q28" i="2"/>
  <c r="W27" i="2"/>
  <c r="Q27" i="2"/>
  <c r="W26" i="2"/>
  <c r="Q26" i="2"/>
  <c r="W25" i="2"/>
  <c r="Q25" i="2"/>
  <c r="W24" i="2"/>
  <c r="Q24" i="2"/>
  <c r="W23" i="2"/>
  <c r="Q23" i="2"/>
  <c r="W22" i="2"/>
  <c r="Q22" i="2"/>
  <c r="W21" i="2"/>
  <c r="Q21" i="2"/>
  <c r="W20" i="2"/>
  <c r="Q20" i="2"/>
  <c r="W19" i="2"/>
  <c r="Q19" i="2"/>
  <c r="W18" i="2"/>
  <c r="Q18" i="2"/>
  <c r="W17" i="2"/>
  <c r="Q17" i="2"/>
  <c r="U16" i="2"/>
  <c r="W16" i="2" s="1"/>
  <c r="U15" i="2"/>
  <c r="W15" i="2" s="1"/>
  <c r="U14" i="2"/>
  <c r="W14" i="2" s="1"/>
  <c r="U13" i="2"/>
  <c r="W13" i="2" s="1"/>
  <c r="U12" i="2"/>
  <c r="W12" i="2"/>
  <c r="U11" i="2"/>
  <c r="W11" i="2" s="1"/>
  <c r="U10" i="2"/>
  <c r="W10" i="2" s="1"/>
  <c r="U9" i="2"/>
  <c r="W9" i="2" s="1"/>
  <c r="U8" i="2"/>
  <c r="W8" i="2" s="1"/>
  <c r="U7" i="2"/>
  <c r="W7" i="2" s="1"/>
  <c r="U6" i="2"/>
  <c r="W6" i="2" s="1"/>
  <c r="U5" i="2"/>
  <c r="W5" i="2" s="1"/>
  <c r="U4" i="2"/>
  <c r="W4" i="2" s="1"/>
  <c r="U3" i="2"/>
  <c r="W3" i="2" s="1"/>
  <c r="U2" i="2"/>
  <c r="W2" i="2" s="1"/>
  <c r="BD157" i="2"/>
  <c r="BD156" i="2"/>
  <c r="BD160" i="2"/>
  <c r="BD159" i="2"/>
  <c r="BD158" i="2"/>
  <c r="AH8" i="2"/>
  <c r="AH16" i="2"/>
  <c r="AH68" i="2"/>
  <c r="AH223" i="2"/>
  <c r="AH222" i="2"/>
  <c r="AH9" i="2"/>
  <c r="AH55" i="2"/>
  <c r="AH77" i="2"/>
  <c r="AH224" i="2"/>
  <c r="AH10" i="2"/>
  <c r="AH56" i="2"/>
  <c r="AH78" i="2"/>
  <c r="AH225" i="2"/>
  <c r="AH7" i="2"/>
  <c r="AH2" i="2"/>
  <c r="AH11" i="2"/>
  <c r="AH57" i="2"/>
  <c r="AH218" i="2"/>
  <c r="AH15" i="2"/>
  <c r="AH3" i="2"/>
  <c r="AH12" i="2"/>
  <c r="AH58" i="2"/>
  <c r="AH67" i="2"/>
  <c r="AH13" i="2"/>
  <c r="BZ65" i="2"/>
  <c r="AH65" i="2"/>
  <c r="AH220" i="2"/>
  <c r="AH5" i="2"/>
  <c r="AH14" i="2"/>
  <c r="AH66" i="2"/>
  <c r="BD110" i="2"/>
  <c r="BD109" i="2"/>
  <c r="BD108" i="2"/>
  <c r="BD107" i="2"/>
  <c r="CB245" i="2" l="1"/>
  <c r="BP36" i="2"/>
  <c r="BQ36" i="2" s="1"/>
  <c r="CN83" i="2"/>
  <c r="BZ215" i="2"/>
  <c r="BZ199" i="2"/>
  <c r="BZ172" i="2"/>
  <c r="BZ164" i="2"/>
  <c r="BZ156" i="2"/>
  <c r="AI233" i="2"/>
  <c r="AJ233" i="2" s="1"/>
  <c r="BZ56" i="2"/>
  <c r="BP259" i="2"/>
  <c r="BQ259" i="2" s="1"/>
  <c r="Q247" i="2"/>
  <c r="CN84" i="2"/>
  <c r="CK61" i="2"/>
  <c r="CK77" i="2"/>
  <c r="CK85" i="2"/>
  <c r="CK93" i="2"/>
  <c r="CK175" i="2"/>
  <c r="CN244" i="2"/>
  <c r="CN194" i="2"/>
  <c r="BZ118" i="2"/>
  <c r="BZ222" i="2"/>
  <c r="BZ206" i="2"/>
  <c r="BZ35" i="2"/>
  <c r="BZ19" i="2"/>
  <c r="AI226" i="2"/>
  <c r="AJ226" i="2" s="1"/>
  <c r="Q248" i="2"/>
  <c r="CK39" i="2"/>
  <c r="CK23" i="2"/>
  <c r="BP21" i="2"/>
  <c r="BQ21" i="2" s="1"/>
  <c r="AT212" i="2"/>
  <c r="AU212" i="2" s="1"/>
  <c r="Q252" i="2"/>
  <c r="CK31" i="2"/>
  <c r="CN7" i="2"/>
  <c r="BZ73" i="2"/>
  <c r="BZ235" i="2"/>
  <c r="BZ40" i="2"/>
  <c r="BZ32" i="2"/>
  <c r="CN101" i="2"/>
  <c r="CK152" i="2"/>
  <c r="CN153" i="2"/>
  <c r="CK150" i="2"/>
  <c r="CK155" i="2"/>
  <c r="BZ11" i="2"/>
  <c r="BZ209" i="2"/>
  <c r="BZ161" i="2"/>
  <c r="BZ157" i="2"/>
  <c r="BE7" i="2"/>
  <c r="BF7" i="2" s="1"/>
  <c r="CA29" i="2"/>
  <c r="BZ62" i="2"/>
  <c r="BZ239" i="2"/>
  <c r="BZ242" i="2"/>
  <c r="BZ23" i="2"/>
  <c r="CA21" i="2"/>
  <c r="AI198" i="2"/>
  <c r="AJ198" i="2" s="1"/>
  <c r="Q243" i="2"/>
  <c r="CK15" i="2"/>
  <c r="CK7" i="2"/>
  <c r="CK178" i="2"/>
  <c r="CK4" i="2"/>
  <c r="CN245" i="2"/>
  <c r="CN130" i="2"/>
  <c r="CN122" i="2"/>
  <c r="CN114" i="2"/>
  <c r="CN58" i="2"/>
  <c r="CN61" i="2"/>
  <c r="CN111" i="2"/>
  <c r="BZ223" i="2"/>
  <c r="BE35" i="2"/>
  <c r="BF35" i="2" s="1"/>
  <c r="AT230" i="2"/>
  <c r="AU230" i="2" s="1"/>
  <c r="CK105" i="2"/>
  <c r="BZ42" i="2"/>
  <c r="BZ220" i="2"/>
  <c r="AI213" i="2"/>
  <c r="AJ213" i="2" s="1"/>
  <c r="AI204" i="2"/>
  <c r="AJ204" i="2" s="1"/>
  <c r="CB221" i="2"/>
  <c r="CB204" i="2"/>
  <c r="CB196" i="2"/>
  <c r="CA247" i="2"/>
  <c r="CB247" i="2" s="1"/>
  <c r="BE247" i="2"/>
  <c r="BF247" i="2" s="1"/>
  <c r="AT247" i="2"/>
  <c r="AU247" i="2" s="1"/>
  <c r="CN104" i="2"/>
  <c r="BP10" i="2"/>
  <c r="BQ10" i="2" s="1"/>
  <c r="BE10" i="2"/>
  <c r="BF10" i="2" s="1"/>
  <c r="CN146" i="2"/>
  <c r="AT195" i="2"/>
  <c r="AU195" i="2" s="1"/>
  <c r="CN235" i="2"/>
  <c r="CK28" i="2"/>
  <c r="BZ15" i="2"/>
  <c r="BZ7" i="2"/>
  <c r="CA211" i="2"/>
  <c r="AT211" i="2"/>
  <c r="AU211" i="2" s="1"/>
  <c r="CK27" i="2"/>
  <c r="BZ218" i="2"/>
  <c r="BZ226" i="2"/>
  <c r="BZ173" i="2"/>
  <c r="CB47" i="2"/>
  <c r="BZ47" i="2"/>
  <c r="BZ14" i="2"/>
  <c r="BP31" i="2"/>
  <c r="BQ31" i="2" s="1"/>
  <c r="AI31" i="2"/>
  <c r="AJ31" i="2" s="1"/>
  <c r="AT31" i="2"/>
  <c r="AU31" i="2" s="1"/>
  <c r="W255" i="2"/>
  <c r="Q255" i="2"/>
  <c r="CA17" i="2"/>
  <c r="BP17" i="2"/>
  <c r="BQ17" i="2" s="1"/>
  <c r="CA254" i="2"/>
  <c r="CB254" i="2" s="1"/>
  <c r="AT254" i="2"/>
  <c r="AU254" i="2" s="1"/>
  <c r="AI231" i="2"/>
  <c r="AJ231" i="2" s="1"/>
  <c r="AT231" i="2"/>
  <c r="AU231" i="2" s="1"/>
  <c r="BE231" i="2"/>
  <c r="BF231" i="2" s="1"/>
  <c r="CN93" i="2"/>
  <c r="CK259" i="2"/>
  <c r="CK251" i="2"/>
  <c r="CK243" i="2"/>
  <c r="CK229" i="2"/>
  <c r="CK221" i="2"/>
  <c r="CK205" i="2"/>
  <c r="CK197" i="2"/>
  <c r="CK189" i="2"/>
  <c r="CK181" i="2"/>
  <c r="CK173" i="2"/>
  <c r="CK127" i="2"/>
  <c r="CK119" i="2"/>
  <c r="CK111" i="2"/>
  <c r="CN31" i="2"/>
  <c r="CN23" i="2"/>
  <c r="CN15" i="2"/>
  <c r="CN256" i="2"/>
  <c r="CN240" i="2"/>
  <c r="CN232" i="2"/>
  <c r="CN208" i="2"/>
  <c r="CN200" i="2"/>
  <c r="CN192" i="2"/>
  <c r="CN184" i="2"/>
  <c r="CN176" i="2"/>
  <c r="CN168" i="2"/>
  <c r="CN160" i="2"/>
  <c r="BZ184" i="2"/>
  <c r="BZ176" i="2"/>
  <c r="BZ168" i="2"/>
  <c r="BZ160" i="2"/>
  <c r="CB29" i="2"/>
  <c r="BZ13" i="2"/>
  <c r="BZ5" i="2"/>
  <c r="AT221" i="2"/>
  <c r="AU221" i="2" s="1"/>
  <c r="BE245" i="2"/>
  <c r="BF245" i="2" s="1"/>
  <c r="CN215" i="2"/>
  <c r="CN70" i="2"/>
  <c r="CN69" i="2"/>
  <c r="CB238" i="2"/>
  <c r="BZ124" i="2"/>
  <c r="BZ28" i="2"/>
  <c r="AT7" i="2"/>
  <c r="AU7" i="2" s="1"/>
  <c r="AI230" i="2"/>
  <c r="AJ230" i="2" s="1"/>
  <c r="AT213" i="2"/>
  <c r="AU213" i="2" s="1"/>
  <c r="BE244" i="2"/>
  <c r="BF244" i="2" s="1"/>
  <c r="BP212" i="2"/>
  <c r="BQ212" i="2" s="1"/>
  <c r="CA214" i="2"/>
  <c r="AT244" i="2"/>
  <c r="AU244" i="2" s="1"/>
  <c r="BE230" i="2"/>
  <c r="BF230" i="2" s="1"/>
  <c r="CK82" i="2"/>
  <c r="CK97" i="2"/>
  <c r="BZ205" i="2"/>
  <c r="BZ57" i="2"/>
  <c r="CK153" i="2"/>
  <c r="CN149" i="2"/>
  <c r="CN154" i="2"/>
  <c r="BZ60" i="2"/>
  <c r="BZ236" i="2"/>
  <c r="CB226" i="2"/>
  <c r="CK84" i="2"/>
  <c r="CK257" i="2"/>
  <c r="CK249" i="2"/>
  <c r="CK241" i="2"/>
  <c r="CK227" i="2"/>
  <c r="CK219" i="2"/>
  <c r="CK211" i="2"/>
  <c r="CK203" i="2"/>
  <c r="CK195" i="2"/>
  <c r="CK187" i="2"/>
  <c r="CK179" i="2"/>
  <c r="CK171" i="2"/>
  <c r="CK163" i="2"/>
  <c r="CK125" i="2"/>
  <c r="CK117" i="2"/>
  <c r="CK109" i="2"/>
  <c r="CK225" i="2"/>
  <c r="CK217" i="2"/>
  <c r="CK161" i="2"/>
  <c r="CK99" i="2"/>
  <c r="CK75" i="2"/>
  <c r="CK21" i="2"/>
  <c r="CN254" i="2"/>
  <c r="CN246" i="2"/>
  <c r="CN230" i="2"/>
  <c r="CN222" i="2"/>
  <c r="CN214" i="2"/>
  <c r="CN206" i="2"/>
  <c r="CN198" i="2"/>
  <c r="CN174" i="2"/>
  <c r="CN166" i="2"/>
  <c r="CN158" i="2"/>
  <c r="CN27" i="2"/>
  <c r="CN19" i="2"/>
  <c r="CN252" i="2"/>
  <c r="CN236" i="2"/>
  <c r="CN204" i="2"/>
  <c r="CN196" i="2"/>
  <c r="CN164" i="2"/>
  <c r="CN99" i="2"/>
  <c r="CN37" i="2"/>
  <c r="CN29" i="2"/>
  <c r="CN21" i="2"/>
  <c r="CN13" i="2"/>
  <c r="CN5" i="2"/>
  <c r="CN143" i="2"/>
  <c r="AI214" i="2"/>
  <c r="AJ214" i="2" s="1"/>
  <c r="BE220" i="2"/>
  <c r="BF220" i="2" s="1"/>
  <c r="CN67" i="2"/>
  <c r="BZ221" i="2"/>
  <c r="BZ178" i="2"/>
  <c r="BZ170" i="2"/>
  <c r="BZ162" i="2"/>
  <c r="BE24" i="2"/>
  <c r="BF24" i="2" s="1"/>
  <c r="CA18" i="2"/>
  <c r="AI202" i="2"/>
  <c r="AJ202" i="2" s="1"/>
  <c r="AT204" i="2"/>
  <c r="AU204" i="2" s="1"/>
  <c r="BE217" i="2"/>
  <c r="BF217" i="2" s="1"/>
  <c r="BP233" i="2"/>
  <c r="BQ233" i="2" s="1"/>
  <c r="BP203" i="2"/>
  <c r="BQ203" i="2" s="1"/>
  <c r="BZ76" i="2"/>
  <c r="CN87" i="2"/>
  <c r="CK148" i="2"/>
  <c r="CN134" i="2"/>
  <c r="BZ123" i="2"/>
  <c r="BZ198" i="2"/>
  <c r="CB239" i="2"/>
  <c r="BZ119" i="2"/>
  <c r="BZ25" i="2"/>
  <c r="AT16" i="2"/>
  <c r="AU16" i="2" s="1"/>
  <c r="CA24" i="2"/>
  <c r="AI239" i="2"/>
  <c r="AJ239" i="2" s="1"/>
  <c r="AI217" i="2"/>
  <c r="AJ217" i="2" s="1"/>
  <c r="AI197" i="2"/>
  <c r="AJ197" i="2" s="1"/>
  <c r="AT238" i="2"/>
  <c r="AU238" i="2" s="1"/>
  <c r="AT218" i="2"/>
  <c r="AU218" i="2" s="1"/>
  <c r="AT197" i="2"/>
  <c r="AU197" i="2" s="1"/>
  <c r="BE238" i="2"/>
  <c r="BF238" i="2" s="1"/>
  <c r="BP230" i="2"/>
  <c r="BQ230" i="2" s="1"/>
  <c r="BP196" i="2"/>
  <c r="BQ196" i="2" s="1"/>
  <c r="AI218" i="2"/>
  <c r="AJ218" i="2" s="1"/>
  <c r="AT239" i="2"/>
  <c r="AU239" i="2" s="1"/>
  <c r="BE241" i="2"/>
  <c r="BF241" i="2" s="1"/>
  <c r="BE203" i="2"/>
  <c r="BF203" i="2" s="1"/>
  <c r="BP231" i="2"/>
  <c r="BQ231" i="2" s="1"/>
  <c r="BP197" i="2"/>
  <c r="BQ197" i="2" s="1"/>
  <c r="BZ69" i="2"/>
  <c r="CK87" i="2"/>
  <c r="CK9" i="2"/>
  <c r="CK14" i="2"/>
  <c r="CK6" i="2"/>
  <c r="CN124" i="2"/>
  <c r="CN116" i="2"/>
  <c r="CN108" i="2"/>
  <c r="CN60" i="2"/>
  <c r="CN38" i="2"/>
  <c r="CN30" i="2"/>
  <c r="CN14" i="2"/>
  <c r="CN6" i="2"/>
  <c r="CN109" i="2"/>
  <c r="CN125" i="2"/>
  <c r="CN145" i="2"/>
  <c r="CK133" i="2"/>
  <c r="CK135" i="2"/>
  <c r="BZ208" i="2"/>
  <c r="BZ200" i="2"/>
  <c r="BZ192" i="2"/>
  <c r="BZ24" i="2"/>
  <c r="AT2" i="2"/>
  <c r="AU2" i="2" s="1"/>
  <c r="BP39" i="2"/>
  <c r="BQ39" i="2" s="1"/>
  <c r="CA26" i="2"/>
  <c r="AI238" i="2"/>
  <c r="AJ238" i="2" s="1"/>
  <c r="AI196" i="2"/>
  <c r="AJ196" i="2" s="1"/>
  <c r="AT217" i="2"/>
  <c r="AU217" i="2" s="1"/>
  <c r="AT196" i="2"/>
  <c r="AU196" i="2" s="1"/>
  <c r="BE235" i="2"/>
  <c r="BF235" i="2" s="1"/>
  <c r="BE196" i="2"/>
  <c r="BF196" i="2" s="1"/>
  <c r="BP226" i="2"/>
  <c r="BQ226" i="2" s="1"/>
  <c r="BP195" i="2"/>
  <c r="BQ195" i="2" s="1"/>
  <c r="BP111" i="2"/>
  <c r="BQ111" i="2" s="1"/>
  <c r="BZ110" i="2"/>
  <c r="W250" i="2"/>
  <c r="CN74" i="2"/>
  <c r="CK137" i="2"/>
  <c r="CN139" i="2"/>
  <c r="BZ171" i="2"/>
  <c r="BZ237" i="2"/>
  <c r="BE8" i="2"/>
  <c r="BF8" i="2" s="1"/>
  <c r="BP2" i="2"/>
  <c r="BQ2" i="2" s="1"/>
  <c r="CA2" i="2"/>
  <c r="AI2" i="2"/>
  <c r="AJ2" i="2" s="1"/>
  <c r="AI254" i="2"/>
  <c r="AJ254" i="2" s="1"/>
  <c r="AI211" i="2"/>
  <c r="AJ211" i="2" s="1"/>
  <c r="AT249" i="2"/>
  <c r="AU249" i="2" s="1"/>
  <c r="BE254" i="2"/>
  <c r="BF254" i="2" s="1"/>
  <c r="BP254" i="2"/>
  <c r="BQ254" i="2" s="1"/>
  <c r="CK13" i="2"/>
  <c r="CK96" i="2"/>
  <c r="CK140" i="2"/>
  <c r="BZ36" i="2"/>
  <c r="BZ44" i="2"/>
  <c r="BZ227" i="2"/>
  <c r="BZ12" i="2"/>
  <c r="BE18" i="2"/>
  <c r="BF18" i="2" s="1"/>
  <c r="CA10" i="2"/>
  <c r="AI247" i="2"/>
  <c r="AJ247" i="2" s="1"/>
  <c r="AI203" i="2"/>
  <c r="AJ203" i="2" s="1"/>
  <c r="BZ55" i="2"/>
  <c r="BZ107" i="2"/>
  <c r="BZ207" i="2"/>
  <c r="CK11" i="2"/>
  <c r="CN62" i="2"/>
  <c r="BZ6" i="2"/>
  <c r="BZ3" i="2"/>
  <c r="BZ219" i="2"/>
  <c r="BZ22" i="2"/>
  <c r="BZ64" i="2"/>
  <c r="BZ114" i="2"/>
  <c r="BZ159" i="2"/>
  <c r="BZ167" i="2"/>
  <c r="BZ175" i="2"/>
  <c r="BZ197" i="2"/>
  <c r="BZ241" i="2"/>
  <c r="CB225" i="2"/>
  <c r="BZ18" i="2"/>
  <c r="CB21" i="2"/>
  <c r="CB13" i="2"/>
  <c r="BP250" i="2"/>
  <c r="BQ250" i="2" s="1"/>
  <c r="BE250" i="2"/>
  <c r="BF250" i="2" s="1"/>
  <c r="AT242" i="2"/>
  <c r="AU242" i="2" s="1"/>
  <c r="AI242" i="2"/>
  <c r="AJ242" i="2" s="1"/>
  <c r="BP222" i="2"/>
  <c r="BQ222" i="2" s="1"/>
  <c r="BE222" i="2"/>
  <c r="BF222" i="2" s="1"/>
  <c r="CB41" i="2"/>
  <c r="BZ41" i="2"/>
  <c r="CB26" i="2"/>
  <c r="BZ26" i="2"/>
  <c r="CB18" i="2"/>
  <c r="AI12" i="2"/>
  <c r="AJ12" i="2" s="1"/>
  <c r="CA12" i="2"/>
  <c r="BP12" i="2"/>
  <c r="BQ12" i="2" s="1"/>
  <c r="CP62" i="2"/>
  <c r="CQ62" i="2" s="1"/>
  <c r="CK88" i="2"/>
  <c r="BZ46" i="2"/>
  <c r="CB108" i="2"/>
  <c r="BZ108" i="2"/>
  <c r="CK218" i="2"/>
  <c r="CK210" i="2"/>
  <c r="CK170" i="2"/>
  <c r="CK162" i="2"/>
  <c r="CK116" i="2"/>
  <c r="CK68" i="2"/>
  <c r="CK38" i="2"/>
  <c r="CK30" i="2"/>
  <c r="CN237" i="2"/>
  <c r="CN173" i="2"/>
  <c r="CN165" i="2"/>
  <c r="CN157" i="2"/>
  <c r="CN59" i="2"/>
  <c r="BZ8" i="2"/>
  <c r="BZ16" i="2"/>
  <c r="BZ58" i="2"/>
  <c r="BZ39" i="2"/>
  <c r="CB211" i="2"/>
  <c r="BZ211" i="2"/>
  <c r="BZ203" i="2"/>
  <c r="BZ195" i="2"/>
  <c r="CI60" i="2"/>
  <c r="CK60" i="2" s="1"/>
  <c r="CP60" i="2"/>
  <c r="CQ60" i="2" s="1"/>
  <c r="AT222" i="2"/>
  <c r="AU222" i="2" s="1"/>
  <c r="CP61" i="2"/>
  <c r="CQ61" i="2" s="1"/>
  <c r="CK37" i="2"/>
  <c r="CK139" i="2"/>
  <c r="BP13" i="2"/>
  <c r="BQ13" i="2" s="1"/>
  <c r="AI26" i="2"/>
  <c r="AJ26" i="2" s="1"/>
  <c r="BE26" i="2"/>
  <c r="BF26" i="2" s="1"/>
  <c r="BP26" i="2"/>
  <c r="BQ26" i="2" s="1"/>
  <c r="AI32" i="2"/>
  <c r="AJ32" i="2" s="1"/>
  <c r="AT32" i="2"/>
  <c r="AU32" i="2" s="1"/>
  <c r="AT235" i="2"/>
  <c r="AU235" i="2" s="1"/>
  <c r="BP242" i="2"/>
  <c r="BQ242" i="2" s="1"/>
  <c r="CB230" i="2"/>
  <c r="BZ230" i="2"/>
  <c r="CB59" i="2"/>
  <c r="BZ59" i="2"/>
  <c r="BZ125" i="2"/>
  <c r="CP78" i="2"/>
  <c r="CQ78" i="2" s="1"/>
  <c r="Q249" i="2"/>
  <c r="Q253" i="2"/>
  <c r="CI59" i="2"/>
  <c r="CK59" i="2" s="1"/>
  <c r="CP59" i="2"/>
  <c r="CQ59" i="2" s="1"/>
  <c r="CK192" i="2"/>
  <c r="CK184" i="2"/>
  <c r="CK90" i="2"/>
  <c r="CK58" i="2"/>
  <c r="CN187" i="2"/>
  <c r="CN179" i="2"/>
  <c r="CN163" i="2"/>
  <c r="CN98" i="2"/>
  <c r="CN82" i="2"/>
  <c r="CN36" i="2"/>
  <c r="CN4" i="2"/>
  <c r="CN148" i="2"/>
  <c r="BZ232" i="2"/>
  <c r="BZ224" i="2"/>
  <c r="CB193" i="2"/>
  <c r="BZ185" i="2"/>
  <c r="BZ181" i="2"/>
  <c r="BZ177" i="2"/>
  <c r="BZ169" i="2"/>
  <c r="BZ165" i="2"/>
  <c r="CB119" i="2"/>
  <c r="BE3" i="2"/>
  <c r="BF3" i="2" s="1"/>
  <c r="BP3" i="2"/>
  <c r="BQ3" i="2" s="1"/>
  <c r="BE27" i="2"/>
  <c r="BF27" i="2" s="1"/>
  <c r="BP27" i="2"/>
  <c r="BQ27" i="2" s="1"/>
  <c r="BP33" i="2"/>
  <c r="BQ33" i="2" s="1"/>
  <c r="AT33" i="2"/>
  <c r="AU33" i="2" s="1"/>
  <c r="CA33" i="2"/>
  <c r="AT250" i="2"/>
  <c r="AU250" i="2" s="1"/>
  <c r="BP235" i="2"/>
  <c r="BQ235" i="2" s="1"/>
  <c r="AT202" i="2"/>
  <c r="AU202" i="2" s="1"/>
  <c r="CA202" i="2"/>
  <c r="CB202" i="2" s="1"/>
  <c r="BP202" i="2"/>
  <c r="BQ202" i="2" s="1"/>
  <c r="CA194" i="2"/>
  <c r="CB194" i="2" s="1"/>
  <c r="BE194" i="2"/>
  <c r="BF194" i="2" s="1"/>
  <c r="AI194" i="2"/>
  <c r="AJ194" i="2" s="1"/>
  <c r="BP209" i="2"/>
  <c r="BQ209" i="2" s="1"/>
  <c r="CA209" i="2"/>
  <c r="BE209" i="2"/>
  <c r="BF209" i="2" s="1"/>
  <c r="AI209" i="2"/>
  <c r="AJ209" i="2" s="1"/>
  <c r="CB24" i="2"/>
  <c r="BE6" i="2"/>
  <c r="BF6" i="2" s="1"/>
  <c r="AT6" i="2"/>
  <c r="AU6" i="2" s="1"/>
  <c r="CA6" i="2"/>
  <c r="CA251" i="2"/>
  <c r="CB251" i="2" s="1"/>
  <c r="AI251" i="2"/>
  <c r="AJ251" i="2" s="1"/>
  <c r="BE251" i="2"/>
  <c r="BF251" i="2" s="1"/>
  <c r="BP251" i="2"/>
  <c r="BQ251" i="2" s="1"/>
  <c r="CA235" i="2"/>
  <c r="CB235" i="2" s="1"/>
  <c r="AT229" i="2"/>
  <c r="AU229" i="2" s="1"/>
  <c r="BE229" i="2"/>
  <c r="BF229" i="2" s="1"/>
  <c r="AI229" i="2"/>
  <c r="AJ229" i="2" s="1"/>
  <c r="AI223" i="2"/>
  <c r="AJ223" i="2" s="1"/>
  <c r="BP223" i="2"/>
  <c r="BQ223" i="2" s="1"/>
  <c r="CB215" i="2"/>
  <c r="BE214" i="2"/>
  <c r="BF214" i="2" s="1"/>
  <c r="BZ214" i="2"/>
  <c r="CB6" i="2"/>
  <c r="BP23" i="2"/>
  <c r="BQ23" i="2" s="1"/>
  <c r="AI23" i="2"/>
  <c r="AJ23" i="2" s="1"/>
  <c r="CA233" i="2"/>
  <c r="CB233" i="2" s="1"/>
  <c r="BE233" i="2"/>
  <c r="BF233" i="2" s="1"/>
  <c r="CA220" i="2"/>
  <c r="CB220" i="2" s="1"/>
  <c r="AI220" i="2"/>
  <c r="AJ220" i="2" s="1"/>
  <c r="BZ116" i="2"/>
  <c r="W234" i="2"/>
  <c r="BZ43" i="2"/>
  <c r="BZ17" i="2"/>
  <c r="BZ33" i="2"/>
  <c r="BZ109" i="2"/>
  <c r="BZ244" i="2"/>
  <c r="AT258" i="2"/>
  <c r="AU258" i="2" s="1"/>
  <c r="BZ228" i="2"/>
  <c r="BZ48" i="2"/>
  <c r="BE23" i="2"/>
  <c r="BF23" i="2" s="1"/>
  <c r="BP25" i="2"/>
  <c r="BQ25" i="2" s="1"/>
  <c r="AI8" i="2"/>
  <c r="AJ8" i="2" s="1"/>
  <c r="AT8" i="2"/>
  <c r="AU8" i="2" s="1"/>
  <c r="AI36" i="2"/>
  <c r="AJ36" i="2" s="1"/>
  <c r="CA36" i="2"/>
  <c r="CB36" i="2" s="1"/>
  <c r="BE36" i="2"/>
  <c r="BF36" i="2" s="1"/>
  <c r="BE249" i="2"/>
  <c r="BF249" i="2" s="1"/>
  <c r="BE213" i="2"/>
  <c r="BF213" i="2" s="1"/>
  <c r="BP205" i="2"/>
  <c r="BQ205" i="2" s="1"/>
  <c r="AI205" i="2"/>
  <c r="AJ205" i="2" s="1"/>
  <c r="CK258" i="2"/>
  <c r="CK242" i="2"/>
  <c r="CK228" i="2"/>
  <c r="CK220" i="2"/>
  <c r="CK212" i="2"/>
  <c r="CK204" i="2"/>
  <c r="CK196" i="2"/>
  <c r="CK188" i="2"/>
  <c r="CK180" i="2"/>
  <c r="CK172" i="2"/>
  <c r="CK164" i="2"/>
  <c r="CK110" i="2"/>
  <c r="CK78" i="2"/>
  <c r="CK70" i="2"/>
  <c r="CK62" i="2"/>
  <c r="CK32" i="2"/>
  <c r="CN209" i="2"/>
  <c r="CN169" i="2"/>
  <c r="CN255" i="2"/>
  <c r="CN247" i="2"/>
  <c r="CN239" i="2"/>
  <c r="CN231" i="2"/>
  <c r="CN223" i="2"/>
  <c r="CN207" i="2"/>
  <c r="CN199" i="2"/>
  <c r="CN183" i="2"/>
  <c r="CN175" i="2"/>
  <c r="CN167" i="2"/>
  <c r="CN159" i="2"/>
  <c r="CN118" i="2"/>
  <c r="CN110" i="2"/>
  <c r="CN115" i="2"/>
  <c r="BZ9" i="2"/>
  <c r="BZ78" i="2"/>
  <c r="BZ233" i="2"/>
  <c r="BZ72" i="2"/>
  <c r="BZ193" i="2"/>
  <c r="BZ217" i="2"/>
  <c r="BZ245" i="2"/>
  <c r="CB234" i="2"/>
  <c r="CB12" i="2"/>
  <c r="AT199" i="2"/>
  <c r="AU199" i="2" s="1"/>
  <c r="CA218" i="2"/>
  <c r="CB218" i="2" s="1"/>
  <c r="BP218" i="2"/>
  <c r="BQ218" i="2" s="1"/>
  <c r="CN91" i="2"/>
  <c r="CK145" i="2"/>
  <c r="CN147" i="2"/>
  <c r="CK131" i="2"/>
  <c r="CN133" i="2"/>
  <c r="CN135" i="2"/>
  <c r="CN137" i="2"/>
  <c r="BZ10" i="2"/>
  <c r="BZ180" i="2"/>
  <c r="BZ27" i="2"/>
  <c r="BP8" i="2"/>
  <c r="BQ8" i="2" s="1"/>
  <c r="AI241" i="2"/>
  <c r="AJ241" i="2" s="1"/>
  <c r="AI207" i="2"/>
  <c r="AJ207" i="2" s="1"/>
  <c r="AT214" i="2"/>
  <c r="AU214" i="2" s="1"/>
  <c r="BE207" i="2"/>
  <c r="BF207" i="2" s="1"/>
  <c r="BP199" i="2"/>
  <c r="BQ199" i="2" s="1"/>
  <c r="BE221" i="2"/>
  <c r="BF221" i="2" s="1"/>
  <c r="BP221" i="2"/>
  <c r="BQ221" i="2" s="1"/>
  <c r="CA241" i="2"/>
  <c r="CB241" i="2" s="1"/>
  <c r="BP241" i="2"/>
  <c r="BQ241" i="2" s="1"/>
  <c r="CA65" i="2"/>
  <c r="CB65" i="2" s="1"/>
  <c r="AT65" i="2"/>
  <c r="AU65" i="2" s="1"/>
  <c r="CA197" i="2"/>
  <c r="CB197" i="2" s="1"/>
  <c r="CK169" i="2"/>
  <c r="CK253" i="2"/>
  <c r="CK191" i="2"/>
  <c r="CK73" i="2"/>
  <c r="CN228" i="2"/>
  <c r="CN220" i="2"/>
  <c r="CN172" i="2"/>
  <c r="CN156" i="2"/>
  <c r="CN33" i="2"/>
  <c r="CN242" i="2"/>
  <c r="CN178" i="2"/>
  <c r="CN162" i="2"/>
  <c r="CN35" i="2"/>
  <c r="CN3" i="2"/>
  <c r="CK151" i="2"/>
  <c r="CN152" i="2"/>
  <c r="CN150" i="2"/>
  <c r="CN155" i="2"/>
  <c r="BZ75" i="2"/>
  <c r="BZ113" i="2"/>
  <c r="BZ121" i="2"/>
  <c r="BZ158" i="2"/>
  <c r="BZ174" i="2"/>
  <c r="BZ182" i="2"/>
  <c r="BZ196" i="2"/>
  <c r="BZ204" i="2"/>
  <c r="BZ229" i="2"/>
  <c r="BZ240" i="2"/>
  <c r="CB209" i="2"/>
  <c r="BZ120" i="2"/>
  <c r="BZ20" i="2"/>
  <c r="CB10" i="2"/>
  <c r="Q245" i="2"/>
  <c r="CK147" i="2"/>
  <c r="BZ202" i="2"/>
  <c r="BZ194" i="2"/>
  <c r="BZ166" i="2"/>
  <c r="BZ38" i="2"/>
  <c r="BZ30" i="2"/>
  <c r="AI15" i="2"/>
  <c r="AJ15" i="2" s="1"/>
  <c r="BP15" i="2"/>
  <c r="BQ15" i="2" s="1"/>
  <c r="BE15" i="2"/>
  <c r="BF15" i="2" s="1"/>
  <c r="AT15" i="2"/>
  <c r="AU15" i="2" s="1"/>
  <c r="AT28" i="2"/>
  <c r="AU28" i="2" s="1"/>
  <c r="BP28" i="2"/>
  <c r="BQ28" i="2" s="1"/>
  <c r="BE28" i="2"/>
  <c r="BF28" i="2" s="1"/>
  <c r="CA28" i="2"/>
  <c r="CB28" i="2" s="1"/>
  <c r="BP34" i="2"/>
  <c r="BQ34" i="2" s="1"/>
  <c r="BE34" i="2"/>
  <c r="BF34" i="2" s="1"/>
  <c r="CA40" i="2"/>
  <c r="CB40" i="2" s="1"/>
  <c r="BE40" i="2"/>
  <c r="BF40" i="2" s="1"/>
  <c r="AT40" i="2"/>
  <c r="AU40" i="2" s="1"/>
  <c r="BP40" i="2"/>
  <c r="BQ40" i="2" s="1"/>
  <c r="BP22" i="2"/>
  <c r="BQ22" i="2" s="1"/>
  <c r="AT22" i="2"/>
  <c r="AU22" i="2" s="1"/>
  <c r="CA22" i="2"/>
  <c r="CB22" i="2" s="1"/>
  <c r="AI22" i="2"/>
  <c r="AJ22" i="2" s="1"/>
  <c r="CK40" i="2"/>
  <c r="CK24" i="2"/>
  <c r="CB2" i="2"/>
  <c r="BZ2" i="2"/>
  <c r="CB214" i="2"/>
  <c r="BE22" i="2"/>
  <c r="BF22" i="2" s="1"/>
  <c r="CN100" i="2"/>
  <c r="BZ243" i="2"/>
  <c r="CB243" i="2"/>
  <c r="BZ31" i="2"/>
  <c r="BZ115" i="2"/>
  <c r="CK102" i="2"/>
  <c r="CN66" i="2"/>
  <c r="CB70" i="2"/>
  <c r="BZ70" i="2"/>
  <c r="CN57" i="2"/>
  <c r="CB231" i="2"/>
  <c r="BZ231" i="2"/>
  <c r="BZ234" i="2"/>
  <c r="CB57" i="2"/>
  <c r="AT10" i="2"/>
  <c r="AU10" i="2" s="1"/>
  <c r="AI10" i="2"/>
  <c r="AJ10" i="2" s="1"/>
  <c r="AI257" i="2"/>
  <c r="AJ257" i="2" s="1"/>
  <c r="AT257" i="2"/>
  <c r="AU257" i="2" s="1"/>
  <c r="CA257" i="2"/>
  <c r="CB257" i="2" s="1"/>
  <c r="BP16" i="2"/>
  <c r="BQ16" i="2" s="1"/>
  <c r="CK240" i="2"/>
  <c r="CK186" i="2"/>
  <c r="CK108" i="2"/>
  <c r="CN253" i="2"/>
  <c r="CN205" i="2"/>
  <c r="CN106" i="2"/>
  <c r="CN12" i="2"/>
  <c r="W235" i="2"/>
  <c r="CN68" i="2"/>
  <c r="CK81" i="2"/>
  <c r="CK35" i="2"/>
  <c r="CB9" i="2"/>
  <c r="AI5" i="2"/>
  <c r="AJ5" i="2" s="1"/>
  <c r="BE5" i="2"/>
  <c r="BF5" i="2" s="1"/>
  <c r="AT5" i="2"/>
  <c r="AU5" i="2" s="1"/>
  <c r="CA5" i="2"/>
  <c r="CB5" i="2" s="1"/>
  <c r="AI19" i="2"/>
  <c r="AJ19" i="2" s="1"/>
  <c r="BP19" i="2"/>
  <c r="BQ19" i="2" s="1"/>
  <c r="CK94" i="2"/>
  <c r="CK250" i="2"/>
  <c r="CK126" i="2"/>
  <c r="CK118" i="2"/>
  <c r="CN191" i="2"/>
  <c r="CN22" i="2"/>
  <c r="CB213" i="2"/>
  <c r="BZ213" i="2"/>
  <c r="CB63" i="2"/>
  <c r="BZ63" i="2"/>
  <c r="CN94" i="2"/>
  <c r="CK256" i="2"/>
  <c r="CK226" i="2"/>
  <c r="CK202" i="2"/>
  <c r="CK124" i="2"/>
  <c r="CN213" i="2"/>
  <c r="CN20" i="2"/>
  <c r="CN86" i="2"/>
  <c r="CK65" i="2"/>
  <c r="CK3" i="2"/>
  <c r="CN138" i="2"/>
  <c r="CK100" i="2"/>
  <c r="CK216" i="2"/>
  <c r="CK208" i="2"/>
  <c r="CK176" i="2"/>
  <c r="CK168" i="2"/>
  <c r="CK130" i="2"/>
  <c r="CK114" i="2"/>
  <c r="CK76" i="2"/>
  <c r="CK149" i="2"/>
  <c r="CK154" i="2"/>
  <c r="BZ71" i="2"/>
  <c r="BE31" i="2"/>
  <c r="BF31" i="2" s="1"/>
  <c r="BP5" i="2"/>
  <c r="BQ5" i="2" s="1"/>
  <c r="CA31" i="2"/>
  <c r="CB31" i="2" s="1"/>
  <c r="CK248" i="2"/>
  <c r="CK194" i="2"/>
  <c r="CK74" i="2"/>
  <c r="CN221" i="2"/>
  <c r="CN197" i="2"/>
  <c r="CN90" i="2"/>
  <c r="CN28" i="2"/>
  <c r="CK19" i="2"/>
  <c r="CN105" i="2"/>
  <c r="CN141" i="2"/>
  <c r="CK142" i="2"/>
  <c r="BZ126" i="2"/>
  <c r="CI57" i="2"/>
  <c r="CK57" i="2" s="1"/>
  <c r="CN78" i="2"/>
  <c r="CK92" i="2"/>
  <c r="CK146" i="2"/>
  <c r="CB210" i="2"/>
  <c r="BZ210" i="2"/>
  <c r="BE19" i="2"/>
  <c r="BF19" i="2" s="1"/>
  <c r="BP257" i="2"/>
  <c r="BQ257" i="2" s="1"/>
  <c r="CA7" i="2"/>
  <c r="CB7" i="2" s="1"/>
  <c r="AI7" i="2"/>
  <c r="AJ7" i="2" s="1"/>
  <c r="AI13" i="2"/>
  <c r="AJ13" i="2" s="1"/>
  <c r="AT13" i="2"/>
  <c r="AU13" i="2" s="1"/>
  <c r="BE13" i="2"/>
  <c r="BF13" i="2" s="1"/>
  <c r="CA259" i="2"/>
  <c r="CB259" i="2" s="1"/>
  <c r="AT259" i="2"/>
  <c r="AU259" i="2" s="1"/>
  <c r="CN102" i="2"/>
  <c r="CK16" i="2"/>
  <c r="CK8" i="2"/>
  <c r="CK255" i="2"/>
  <c r="CK247" i="2"/>
  <c r="CK233" i="2"/>
  <c r="CK209" i="2"/>
  <c r="CK201" i="2"/>
  <c r="CK193" i="2"/>
  <c r="CK185" i="2"/>
  <c r="CK177" i="2"/>
  <c r="CK123" i="2"/>
  <c r="CK115" i="2"/>
  <c r="CK107" i="2"/>
  <c r="CK91" i="2"/>
  <c r="CK83" i="2"/>
  <c r="CK29" i="2"/>
  <c r="CN11" i="2"/>
  <c r="CN212" i="2"/>
  <c r="CN188" i="2"/>
  <c r="CN180" i="2"/>
  <c r="CN123" i="2"/>
  <c r="CN107" i="2"/>
  <c r="CN126" i="2"/>
  <c r="BZ216" i="2"/>
  <c r="BZ163" i="2"/>
  <c r="CB117" i="2"/>
  <c r="BZ117" i="2"/>
  <c r="CB77" i="2"/>
  <c r="BZ77" i="2"/>
  <c r="AT39" i="2"/>
  <c r="AU39" i="2" s="1"/>
  <c r="BE39" i="2"/>
  <c r="BF39" i="2" s="1"/>
  <c r="CA39" i="2"/>
  <c r="CB39" i="2" s="1"/>
  <c r="CK252" i="2"/>
  <c r="CK244" i="2"/>
  <c r="CK230" i="2"/>
  <c r="CK222" i="2"/>
  <c r="CK214" i="2"/>
  <c r="CK206" i="2"/>
  <c r="CK198" i="2"/>
  <c r="CK190" i="2"/>
  <c r="CK182" i="2"/>
  <c r="CK174" i="2"/>
  <c r="CK166" i="2"/>
  <c r="CK128" i="2"/>
  <c r="CK120" i="2"/>
  <c r="CK112" i="2"/>
  <c r="CK104" i="2"/>
  <c r="CK80" i="2"/>
  <c r="CK72" i="2"/>
  <c r="CN243" i="2"/>
  <c r="CN211" i="2"/>
  <c r="CN195" i="2"/>
  <c r="CN171" i="2"/>
  <c r="CN40" i="2"/>
  <c r="CN32" i="2"/>
  <c r="CN24" i="2"/>
  <c r="CN16" i="2"/>
  <c r="CN8" i="2"/>
  <c r="CN257" i="2"/>
  <c r="CN249" i="2"/>
  <c r="CN241" i="2"/>
  <c r="CN233" i="2"/>
  <c r="CN225" i="2"/>
  <c r="CN217" i="2"/>
  <c r="CN201" i="2"/>
  <c r="CN193" i="2"/>
  <c r="CN185" i="2"/>
  <c r="CN177" i="2"/>
  <c r="CN161" i="2"/>
  <c r="CN128" i="2"/>
  <c r="CN120" i="2"/>
  <c r="CN112" i="2"/>
  <c r="CN96" i="2"/>
  <c r="CN88" i="2"/>
  <c r="CN80" i="2"/>
  <c r="CN72" i="2"/>
  <c r="CN34" i="2"/>
  <c r="CN26" i="2"/>
  <c r="CN18" i="2"/>
  <c r="CN10" i="2"/>
  <c r="CN75" i="2"/>
  <c r="CK134" i="2"/>
  <c r="CK136" i="2"/>
  <c r="BZ61" i="2"/>
  <c r="BZ111" i="2"/>
  <c r="BZ238" i="2"/>
  <c r="CB33" i="2"/>
  <c r="CB17" i="2"/>
  <c r="AI18" i="2"/>
  <c r="AJ18" i="2" s="1"/>
  <c r="BP18" i="2"/>
  <c r="BQ18" i="2" s="1"/>
  <c r="CK86" i="2"/>
  <c r="CN2" i="2"/>
  <c r="CK215" i="2"/>
  <c r="CK167" i="2"/>
  <c r="CK129" i="2"/>
  <c r="CK95" i="2"/>
  <c r="CK55" i="2"/>
  <c r="CK17" i="2"/>
  <c r="CN258" i="2"/>
  <c r="CN250" i="2"/>
  <c r="CN127" i="2"/>
  <c r="CN119" i="2"/>
  <c r="CN103" i="2"/>
  <c r="CN95" i="2"/>
  <c r="CN79" i="2"/>
  <c r="CN71" i="2"/>
  <c r="CN63" i="2"/>
  <c r="CN55" i="2"/>
  <c r="CN25" i="2"/>
  <c r="CN17" i="2"/>
  <c r="CN9" i="2"/>
  <c r="CK143" i="2"/>
  <c r="BZ112" i="2"/>
  <c r="CB8" i="2"/>
  <c r="AI30" i="2"/>
  <c r="AJ30" i="2" s="1"/>
  <c r="CA30" i="2"/>
  <c r="CB30" i="2" s="1"/>
  <c r="AI250" i="2"/>
  <c r="AJ250" i="2" s="1"/>
  <c r="AI221" i="2"/>
  <c r="AJ221" i="2" s="1"/>
  <c r="AT205" i="2"/>
  <c r="AU205" i="2" s="1"/>
  <c r="AT194" i="2"/>
  <c r="AU194" i="2" s="1"/>
  <c r="BE199" i="2"/>
  <c r="BF199" i="2" s="1"/>
  <c r="BP247" i="2"/>
  <c r="BQ247" i="2" s="1"/>
  <c r="BE239" i="2"/>
  <c r="BF239" i="2" s="1"/>
  <c r="BE223" i="2"/>
  <c r="BF223" i="2" s="1"/>
  <c r="BE211" i="2"/>
  <c r="BF211" i="2" s="1"/>
  <c r="BP194" i="2"/>
  <c r="BQ194" i="2" s="1"/>
  <c r="CA250" i="2"/>
  <c r="CB250" i="2" s="1"/>
  <c r="CA217" i="2"/>
  <c r="CB217" i="2" s="1"/>
  <c r="CA212" i="2"/>
  <c r="CB212" i="2" s="1"/>
  <c r="AI212" i="2"/>
  <c r="AJ212" i="2" s="1"/>
  <c r="BP229" i="2"/>
  <c r="BQ229" i="2" s="1"/>
  <c r="CA229" i="2"/>
  <c r="CB229" i="2" s="1"/>
  <c r="CA223" i="2"/>
  <c r="CB223" i="2" s="1"/>
  <c r="CA199" i="2"/>
  <c r="CB199" i="2" s="1"/>
  <c r="CA249" i="2"/>
  <c r="CB249" i="2" s="1"/>
  <c r="AI249" i="2"/>
  <c r="AJ249" i="2" s="1"/>
  <c r="BE204" i="2"/>
  <c r="BF204" i="2" s="1"/>
  <c r="BP238" i="2"/>
  <c r="BQ238" i="2" s="1"/>
  <c r="CA227" i="2"/>
  <c r="CB227" i="2" s="1"/>
  <c r="BE227" i="2"/>
  <c r="BF227" i="2" s="1"/>
  <c r="AT227" i="2"/>
  <c r="AU227" i="2" s="1"/>
  <c r="CA203" i="2"/>
  <c r="CB203" i="2" s="1"/>
  <c r="BP193" i="2"/>
  <c r="BQ193" i="2" s="1"/>
  <c r="AT193" i="2"/>
  <c r="AU193" i="2" s="1"/>
  <c r="CN136" i="2"/>
  <c r="CK34" i="2"/>
  <c r="CK67" i="2"/>
  <c r="CK5" i="2"/>
  <c r="CK246" i="2"/>
  <c r="CK224" i="2"/>
  <c r="CK98" i="2"/>
  <c r="CK36" i="2"/>
  <c r="CN259" i="2"/>
  <c r="CN227" i="2"/>
  <c r="CK144" i="2"/>
  <c r="BE171" i="2"/>
  <c r="BF171" i="2" s="1"/>
  <c r="AI171" i="2"/>
  <c r="AJ171" i="2" s="1"/>
  <c r="BP171" i="2"/>
  <c r="BQ171" i="2" s="1"/>
  <c r="AT171" i="2"/>
  <c r="AU171" i="2" s="1"/>
  <c r="CA171" i="2"/>
  <c r="CB171" i="2" s="1"/>
  <c r="CK18" i="2"/>
  <c r="CI63" i="2"/>
  <c r="CK63" i="2" s="1"/>
  <c r="CP63" i="2"/>
  <c r="CQ63" i="2" s="1"/>
  <c r="W239" i="2"/>
  <c r="Q239" i="2"/>
  <c r="CK254" i="2"/>
  <c r="CK232" i="2"/>
  <c r="CK200" i="2"/>
  <c r="CK122" i="2"/>
  <c r="CK106" i="2"/>
  <c r="CK66" i="2"/>
  <c r="CK12" i="2"/>
  <c r="CN251" i="2"/>
  <c r="CN219" i="2"/>
  <c r="CN203" i="2"/>
  <c r="Q244" i="2"/>
  <c r="CK223" i="2"/>
  <c r="CK113" i="2"/>
  <c r="CN226" i="2"/>
  <c r="CN210" i="2"/>
  <c r="BE155" i="2"/>
  <c r="BF155" i="2" s="1"/>
  <c r="AI155" i="2"/>
  <c r="AJ155" i="2" s="1"/>
  <c r="BP155" i="2"/>
  <c r="BQ155" i="2" s="1"/>
  <c r="AT155" i="2"/>
  <c r="AU155" i="2" s="1"/>
  <c r="CA155" i="2"/>
  <c r="CB155" i="2" s="1"/>
  <c r="CK103" i="2"/>
  <c r="BZ183" i="2"/>
  <c r="CA132" i="2"/>
  <c r="CB132" i="2" s="1"/>
  <c r="BE132" i="2"/>
  <c r="BF132" i="2" s="1"/>
  <c r="AI132" i="2"/>
  <c r="BP132" i="2"/>
  <c r="BQ132" i="2" s="1"/>
  <c r="AT132" i="2"/>
  <c r="AU132" i="2" s="1"/>
  <c r="CK79" i="2"/>
  <c r="CK33" i="2"/>
  <c r="CP77" i="2"/>
  <c r="CQ77" i="2" s="1"/>
  <c r="CB201" i="2"/>
  <c r="BZ201" i="2"/>
  <c r="CK26" i="2"/>
  <c r="Q238" i="2"/>
  <c r="CI64" i="2"/>
  <c r="CK64" i="2" s="1"/>
  <c r="BE146" i="2"/>
  <c r="BF146" i="2" s="1"/>
  <c r="AI146" i="2"/>
  <c r="AJ146" i="2" s="1"/>
  <c r="BP146" i="2"/>
  <c r="BQ146" i="2" s="1"/>
  <c r="AT146" i="2"/>
  <c r="AU146" i="2" s="1"/>
  <c r="CA146" i="2"/>
  <c r="CB146" i="2" s="1"/>
  <c r="BP135" i="2"/>
  <c r="BQ135" i="2" s="1"/>
  <c r="AT135" i="2"/>
  <c r="AU135" i="2" s="1"/>
  <c r="CA135" i="2"/>
  <c r="CB135" i="2" s="1"/>
  <c r="BE135" i="2"/>
  <c r="BF135" i="2" s="1"/>
  <c r="AI135" i="2"/>
  <c r="AJ135" i="2" s="1"/>
  <c r="CB122" i="2"/>
  <c r="BZ122" i="2"/>
  <c r="BE20" i="2"/>
  <c r="BF20" i="2" s="1"/>
  <c r="AI20" i="2"/>
  <c r="AJ20" i="2" s="1"/>
  <c r="BP20" i="2"/>
  <c r="BQ20" i="2" s="1"/>
  <c r="AI37" i="2"/>
  <c r="AJ37" i="2" s="1"/>
  <c r="BP37" i="2"/>
  <c r="BQ37" i="2" s="1"/>
  <c r="AT37" i="2"/>
  <c r="AU37" i="2" s="1"/>
  <c r="CA37" i="2"/>
  <c r="CB37" i="2" s="1"/>
  <c r="BZ225" i="2"/>
  <c r="BP151" i="2"/>
  <c r="BQ151" i="2" s="1"/>
  <c r="AT151" i="2"/>
  <c r="AU151" i="2" s="1"/>
  <c r="CA151" i="2"/>
  <c r="CB151" i="2" s="1"/>
  <c r="BE151" i="2"/>
  <c r="BF151" i="2" s="1"/>
  <c r="AI151" i="2"/>
  <c r="AJ151" i="2" s="1"/>
  <c r="BZ29" i="2"/>
  <c r="BP14" i="2"/>
  <c r="BQ14" i="2" s="1"/>
  <c r="AT14" i="2"/>
  <c r="AU14" i="2" s="1"/>
  <c r="AI14" i="2"/>
  <c r="AJ14" i="2" s="1"/>
  <c r="CA14" i="2"/>
  <c r="CB14" i="2" s="1"/>
  <c r="BP38" i="2"/>
  <c r="BQ38" i="2" s="1"/>
  <c r="AI38" i="2"/>
  <c r="AJ38" i="2" s="1"/>
  <c r="BE38" i="2"/>
  <c r="BF38" i="2" s="1"/>
  <c r="CA38" i="2"/>
  <c r="CB38" i="2" s="1"/>
  <c r="CK245" i="2"/>
  <c r="CK231" i="2"/>
  <c r="CK207" i="2"/>
  <c r="CK199" i="2"/>
  <c r="CK183" i="2"/>
  <c r="CK121" i="2"/>
  <c r="CK89" i="2"/>
  <c r="CN234" i="2"/>
  <c r="CN218" i="2"/>
  <c r="CN202" i="2"/>
  <c r="CN186" i="2"/>
  <c r="CN170" i="2"/>
  <c r="CN129" i="2"/>
  <c r="CN121" i="2"/>
  <c r="CN113" i="2"/>
  <c r="CN97" i="2"/>
  <c r="CN89" i="2"/>
  <c r="CN81" i="2"/>
  <c r="CN73" i="2"/>
  <c r="CN65" i="2"/>
  <c r="CK132" i="2"/>
  <c r="BZ212" i="2"/>
  <c r="CA156" i="2"/>
  <c r="CB156" i="2" s="1"/>
  <c r="BE156" i="2"/>
  <c r="BF156" i="2" s="1"/>
  <c r="AI156" i="2"/>
  <c r="AJ156" i="2" s="1"/>
  <c r="BP156" i="2"/>
  <c r="BQ156" i="2" s="1"/>
  <c r="AT156" i="2"/>
  <c r="AU156" i="2" s="1"/>
  <c r="CA140" i="2"/>
  <c r="CB140" i="2" s="1"/>
  <c r="BE140" i="2"/>
  <c r="BF140" i="2" s="1"/>
  <c r="AI140" i="2"/>
  <c r="AJ140" i="2" s="1"/>
  <c r="BP140" i="2"/>
  <c r="BQ140" i="2" s="1"/>
  <c r="AT140" i="2"/>
  <c r="AU140" i="2" s="1"/>
  <c r="CA20" i="2"/>
  <c r="CB20" i="2" s="1"/>
  <c r="BE178" i="2"/>
  <c r="BF178" i="2" s="1"/>
  <c r="AI178" i="2"/>
  <c r="AJ178" i="2" s="1"/>
  <c r="BP178" i="2"/>
  <c r="BQ178" i="2" s="1"/>
  <c r="AT178" i="2"/>
  <c r="AU178" i="2" s="1"/>
  <c r="CA178" i="2"/>
  <c r="CB178" i="2" s="1"/>
  <c r="BP175" i="2"/>
  <c r="BQ175" i="2" s="1"/>
  <c r="AT175" i="2"/>
  <c r="AU175" i="2" s="1"/>
  <c r="CA175" i="2"/>
  <c r="BE175" i="2"/>
  <c r="BF175" i="2" s="1"/>
  <c r="AI175" i="2"/>
  <c r="AJ175" i="2" s="1"/>
  <c r="CA172" i="2"/>
  <c r="BE172" i="2"/>
  <c r="BF172" i="2" s="1"/>
  <c r="AI172" i="2"/>
  <c r="AJ172" i="2" s="1"/>
  <c r="BP172" i="2"/>
  <c r="BQ172" i="2" s="1"/>
  <c r="AT172" i="2"/>
  <c r="AU172" i="2" s="1"/>
  <c r="AI169" i="2"/>
  <c r="AJ169" i="2" s="1"/>
  <c r="BP169" i="2"/>
  <c r="BQ169" i="2" s="1"/>
  <c r="AT169" i="2"/>
  <c r="AU169" i="2" s="1"/>
  <c r="CA169" i="2"/>
  <c r="CB169" i="2" s="1"/>
  <c r="BE169" i="2"/>
  <c r="BF169" i="2" s="1"/>
  <c r="AT150" i="2"/>
  <c r="AU150" i="2" s="1"/>
  <c r="CA150" i="2"/>
  <c r="CB150" i="2" s="1"/>
  <c r="BE150" i="2"/>
  <c r="BF150" i="2" s="1"/>
  <c r="AI150" i="2"/>
  <c r="AJ150" i="2" s="1"/>
  <c r="BP150" i="2"/>
  <c r="BQ150" i="2" s="1"/>
  <c r="BZ45" i="2"/>
  <c r="BZ37" i="2"/>
  <c r="AT20" i="2"/>
  <c r="AU20" i="2" s="1"/>
  <c r="AI184" i="2"/>
  <c r="AJ184" i="2" s="1"/>
  <c r="BP184" i="2"/>
  <c r="BQ184" i="2" s="1"/>
  <c r="AT184" i="2"/>
  <c r="AU184" i="2" s="1"/>
  <c r="CA184" i="2"/>
  <c r="CB184" i="2" s="1"/>
  <c r="BE184" i="2"/>
  <c r="BF184" i="2" s="1"/>
  <c r="AI168" i="2"/>
  <c r="AJ168" i="2" s="1"/>
  <c r="BP168" i="2"/>
  <c r="BQ168" i="2" s="1"/>
  <c r="AT168" i="2"/>
  <c r="AU168" i="2" s="1"/>
  <c r="CA168" i="2"/>
  <c r="CB168" i="2" s="1"/>
  <c r="BE168" i="2"/>
  <c r="BF168" i="2" s="1"/>
  <c r="CA164" i="2"/>
  <c r="CB164" i="2" s="1"/>
  <c r="BE164" i="2"/>
  <c r="BF164" i="2" s="1"/>
  <c r="AI164" i="2"/>
  <c r="AJ164" i="2" s="1"/>
  <c r="BP164" i="2"/>
  <c r="BQ164" i="2" s="1"/>
  <c r="AT164" i="2"/>
  <c r="AU164" i="2" s="1"/>
  <c r="AI161" i="2"/>
  <c r="AJ161" i="2" s="1"/>
  <c r="BP161" i="2"/>
  <c r="BQ161" i="2" s="1"/>
  <c r="AT161" i="2"/>
  <c r="AU161" i="2" s="1"/>
  <c r="CA161" i="2"/>
  <c r="CB161" i="2" s="1"/>
  <c r="BE161" i="2"/>
  <c r="BF161" i="2" s="1"/>
  <c r="AT158" i="2"/>
  <c r="AU158" i="2" s="1"/>
  <c r="CA158" i="2"/>
  <c r="CB158" i="2" s="1"/>
  <c r="BE158" i="2"/>
  <c r="BF158" i="2" s="1"/>
  <c r="AI158" i="2"/>
  <c r="AJ158" i="2" s="1"/>
  <c r="BP158" i="2"/>
  <c r="BQ158" i="2" s="1"/>
  <c r="AI131" i="2"/>
  <c r="AJ131" i="2" s="1"/>
  <c r="BP131" i="2"/>
  <c r="BQ131" i="2" s="1"/>
  <c r="AT131" i="2"/>
  <c r="AU131" i="2" s="1"/>
  <c r="CA131" i="2"/>
  <c r="CB131" i="2" s="1"/>
  <c r="BE131" i="2"/>
  <c r="BF131" i="2" s="1"/>
  <c r="BZ4" i="2"/>
  <c r="CA35" i="2"/>
  <c r="CB35" i="2" s="1"/>
  <c r="AT35" i="2"/>
  <c r="AU35" i="2" s="1"/>
  <c r="AI35" i="2"/>
  <c r="AJ35" i="2" s="1"/>
  <c r="AI256" i="2"/>
  <c r="AJ256" i="2" s="1"/>
  <c r="BE256" i="2"/>
  <c r="BF256" i="2" s="1"/>
  <c r="BP256" i="2"/>
  <c r="BQ256" i="2" s="1"/>
  <c r="CA256" i="2"/>
  <c r="CB256" i="2" s="1"/>
  <c r="CK141" i="2"/>
  <c r="BP183" i="2"/>
  <c r="BQ183" i="2" s="1"/>
  <c r="AT183" i="2"/>
  <c r="AU183" i="2" s="1"/>
  <c r="CA183" i="2"/>
  <c r="CB183" i="2" s="1"/>
  <c r="BE183" i="2"/>
  <c r="BF183" i="2" s="1"/>
  <c r="AI183" i="2"/>
  <c r="AJ183" i="2" s="1"/>
  <c r="AI136" i="2"/>
  <c r="AJ136" i="2" s="1"/>
  <c r="BP136" i="2"/>
  <c r="BQ136" i="2" s="1"/>
  <c r="AT136" i="2"/>
  <c r="AU136" i="2" s="1"/>
  <c r="CA136" i="2"/>
  <c r="CB136" i="2" s="1"/>
  <c r="BE136" i="2"/>
  <c r="BF136" i="2" s="1"/>
  <c r="BZ21" i="2"/>
  <c r="CA3" i="2"/>
  <c r="CB3" i="2" s="1"/>
  <c r="AT3" i="2"/>
  <c r="AU3" i="2" s="1"/>
  <c r="AI3" i="2"/>
  <c r="AJ3" i="2" s="1"/>
  <c r="AI9" i="2"/>
  <c r="AJ9" i="2" s="1"/>
  <c r="BE9" i="2"/>
  <c r="BF9" i="2" s="1"/>
  <c r="CK69" i="2"/>
  <c r="CN238" i="2"/>
  <c r="CN190" i="2"/>
  <c r="CN131" i="2"/>
  <c r="CK138" i="2"/>
  <c r="BP191" i="2"/>
  <c r="BQ191" i="2" s="1"/>
  <c r="AT191" i="2"/>
  <c r="AU191" i="2" s="1"/>
  <c r="CA191" i="2"/>
  <c r="CB191" i="2" s="1"/>
  <c r="BE191" i="2"/>
  <c r="BF191" i="2" s="1"/>
  <c r="AI191" i="2"/>
  <c r="AJ191" i="2" s="1"/>
  <c r="BE179" i="2"/>
  <c r="BF179" i="2" s="1"/>
  <c r="AI179" i="2"/>
  <c r="AJ179" i="2" s="1"/>
  <c r="BP179" i="2"/>
  <c r="BQ179" i="2" s="1"/>
  <c r="AT179" i="2"/>
  <c r="AU179" i="2" s="1"/>
  <c r="CA179" i="2"/>
  <c r="CB179" i="2" s="1"/>
  <c r="BE163" i="2"/>
  <c r="BF163" i="2" s="1"/>
  <c r="AI163" i="2"/>
  <c r="AJ163" i="2" s="1"/>
  <c r="BP163" i="2"/>
  <c r="BQ163" i="2" s="1"/>
  <c r="AT163" i="2"/>
  <c r="AU163" i="2" s="1"/>
  <c r="CA163" i="2"/>
  <c r="CB163" i="2" s="1"/>
  <c r="BE147" i="2"/>
  <c r="BF147" i="2" s="1"/>
  <c r="AI147" i="2"/>
  <c r="BP147" i="2"/>
  <c r="BQ147" i="2" s="1"/>
  <c r="AT147" i="2"/>
  <c r="AU147" i="2" s="1"/>
  <c r="CA147" i="2"/>
  <c r="CB147" i="2" s="1"/>
  <c r="AT9" i="2"/>
  <c r="AU9" i="2" s="1"/>
  <c r="BP9" i="2"/>
  <c r="BQ9" i="2" s="1"/>
  <c r="BP4" i="2"/>
  <c r="BQ4" i="2" s="1"/>
  <c r="AI4" i="2"/>
  <c r="AJ4" i="2" s="1"/>
  <c r="CA4" i="2"/>
  <c r="CB4" i="2" s="1"/>
  <c r="AT4" i="2"/>
  <c r="AU4" i="2" s="1"/>
  <c r="CA16" i="2"/>
  <c r="CB16" i="2" s="1"/>
  <c r="AI16" i="2"/>
  <c r="AJ16" i="2" s="1"/>
  <c r="BE186" i="2"/>
  <c r="BF186" i="2" s="1"/>
  <c r="AI186" i="2"/>
  <c r="BP186" i="2"/>
  <c r="BQ186" i="2" s="1"/>
  <c r="AT186" i="2"/>
  <c r="CA186" i="2"/>
  <c r="AT182" i="2"/>
  <c r="AU182" i="2" s="1"/>
  <c r="CA182" i="2"/>
  <c r="CB182" i="2" s="1"/>
  <c r="BE182" i="2"/>
  <c r="BF182" i="2" s="1"/>
  <c r="AI182" i="2"/>
  <c r="AJ182" i="2" s="1"/>
  <c r="BP182" i="2"/>
  <c r="BQ182" i="2" s="1"/>
  <c r="BP167" i="2"/>
  <c r="BQ167" i="2" s="1"/>
  <c r="AT167" i="2"/>
  <c r="AU167" i="2" s="1"/>
  <c r="CA167" i="2"/>
  <c r="BE167" i="2"/>
  <c r="BF167" i="2" s="1"/>
  <c r="AI167" i="2"/>
  <c r="AJ167" i="2" s="1"/>
  <c r="BE138" i="2"/>
  <c r="BF138" i="2" s="1"/>
  <c r="AI138" i="2"/>
  <c r="AJ138" i="2" s="1"/>
  <c r="BP138" i="2"/>
  <c r="BQ138" i="2" s="1"/>
  <c r="AT138" i="2"/>
  <c r="AU138" i="2" s="1"/>
  <c r="CA138" i="2"/>
  <c r="CB138" i="2" s="1"/>
  <c r="CA27" i="2"/>
  <c r="CB27" i="2" s="1"/>
  <c r="AT27" i="2"/>
  <c r="AU27" i="2" s="1"/>
  <c r="AI27" i="2"/>
  <c r="AJ27" i="2" s="1"/>
  <c r="BP32" i="2"/>
  <c r="BQ32" i="2" s="1"/>
  <c r="BE32" i="2"/>
  <c r="BF32" i="2" s="1"/>
  <c r="CA32" i="2"/>
  <c r="CB32" i="2" s="1"/>
  <c r="CA258" i="2"/>
  <c r="CB258" i="2" s="1"/>
  <c r="BE258" i="2"/>
  <c r="BF258" i="2" s="1"/>
  <c r="BP258" i="2"/>
  <c r="BQ258" i="2" s="1"/>
  <c r="CK22" i="2"/>
  <c r="CN229" i="2"/>
  <c r="CN189" i="2"/>
  <c r="CN181" i="2"/>
  <c r="CN76" i="2"/>
  <c r="CN144" i="2"/>
  <c r="AT190" i="2"/>
  <c r="AU190" i="2" s="1"/>
  <c r="CA190" i="2"/>
  <c r="CB190" i="2" s="1"/>
  <c r="BE190" i="2"/>
  <c r="BF190" i="2" s="1"/>
  <c r="AI190" i="2"/>
  <c r="AJ190" i="2" s="1"/>
  <c r="BP190" i="2"/>
  <c r="BQ190" i="2" s="1"/>
  <c r="AI185" i="2"/>
  <c r="AJ185" i="2" s="1"/>
  <c r="BP185" i="2"/>
  <c r="BQ185" i="2" s="1"/>
  <c r="AT185" i="2"/>
  <c r="AU185" i="2" s="1"/>
  <c r="CA185" i="2"/>
  <c r="CB185" i="2" s="1"/>
  <c r="BE185" i="2"/>
  <c r="BF185" i="2" s="1"/>
  <c r="CB172" i="2"/>
  <c r="AT166" i="2"/>
  <c r="AU166" i="2" s="1"/>
  <c r="CA166" i="2"/>
  <c r="CB166" i="2" s="1"/>
  <c r="BE166" i="2"/>
  <c r="BF166" i="2" s="1"/>
  <c r="AI166" i="2"/>
  <c r="AJ166" i="2" s="1"/>
  <c r="BP166" i="2"/>
  <c r="BQ166" i="2" s="1"/>
  <c r="AI152" i="2"/>
  <c r="AJ152" i="2" s="1"/>
  <c r="BP152" i="2"/>
  <c r="BQ152" i="2" s="1"/>
  <c r="AT152" i="2"/>
  <c r="CA152" i="2"/>
  <c r="BE152" i="2"/>
  <c r="BF152" i="2" s="1"/>
  <c r="AT142" i="2"/>
  <c r="AU142" i="2" s="1"/>
  <c r="CA142" i="2"/>
  <c r="CB142" i="2" s="1"/>
  <c r="BE142" i="2"/>
  <c r="BF142" i="2" s="1"/>
  <c r="AI142" i="2"/>
  <c r="BP142" i="2"/>
  <c r="BQ142" i="2" s="1"/>
  <c r="AI17" i="2"/>
  <c r="AJ17" i="2" s="1"/>
  <c r="BE17" i="2"/>
  <c r="BF17" i="2" s="1"/>
  <c r="AT17" i="2"/>
  <c r="AU17" i="2" s="1"/>
  <c r="CA15" i="2"/>
  <c r="CB15" i="2" s="1"/>
  <c r="CA11" i="2"/>
  <c r="CB11" i="2" s="1"/>
  <c r="AT11" i="2"/>
  <c r="AU11" i="2" s="1"/>
  <c r="BE11" i="2"/>
  <c r="BF11" i="2" s="1"/>
  <c r="AI11" i="2"/>
  <c r="AJ11" i="2" s="1"/>
  <c r="CA242" i="2"/>
  <c r="CB242" i="2" s="1"/>
  <c r="BE242" i="2"/>
  <c r="BF242" i="2" s="1"/>
  <c r="BP219" i="2"/>
  <c r="BQ219" i="2" s="1"/>
  <c r="BE219" i="2"/>
  <c r="BF219" i="2" s="1"/>
  <c r="AT219" i="2"/>
  <c r="AU219" i="2" s="1"/>
  <c r="AI219" i="2"/>
  <c r="AJ219" i="2" s="1"/>
  <c r="CA219" i="2"/>
  <c r="CB219" i="2" s="1"/>
  <c r="CA224" i="2"/>
  <c r="CB224" i="2" s="1"/>
  <c r="BP224" i="2"/>
  <c r="BQ224" i="2" s="1"/>
  <c r="BE224" i="2"/>
  <c r="BF224" i="2" s="1"/>
  <c r="AT224" i="2"/>
  <c r="AU224" i="2" s="1"/>
  <c r="AI224" i="2"/>
  <c r="AJ224" i="2" s="1"/>
  <c r="BE195" i="2"/>
  <c r="BF195" i="2" s="1"/>
  <c r="CA195" i="2"/>
  <c r="CB195" i="2" s="1"/>
  <c r="AT12" i="2"/>
  <c r="AU12" i="2" s="1"/>
  <c r="BE12" i="2"/>
  <c r="BF12" i="2" s="1"/>
  <c r="AI29" i="2"/>
  <c r="AJ29" i="2" s="1"/>
  <c r="BE29" i="2"/>
  <c r="BF29" i="2" s="1"/>
  <c r="BP29" i="2"/>
  <c r="BQ29" i="2" s="1"/>
  <c r="BP253" i="2"/>
  <c r="BQ253" i="2" s="1"/>
  <c r="CA253" i="2"/>
  <c r="CB253" i="2" s="1"/>
  <c r="BE253" i="2"/>
  <c r="BF253" i="2" s="1"/>
  <c r="CA240" i="2"/>
  <c r="CB240" i="2" s="1"/>
  <c r="BP240" i="2"/>
  <c r="BQ240" i="2" s="1"/>
  <c r="BE240" i="2"/>
  <c r="BF240" i="2" s="1"/>
  <c r="AT240" i="2"/>
  <c r="AU240" i="2" s="1"/>
  <c r="AI240" i="2"/>
  <c r="AJ240" i="2" s="1"/>
  <c r="CA200" i="2"/>
  <c r="CB200" i="2" s="1"/>
  <c r="BP200" i="2"/>
  <c r="BQ200" i="2" s="1"/>
  <c r="BE200" i="2"/>
  <c r="BF200" i="2" s="1"/>
  <c r="AT200" i="2"/>
  <c r="AU200" i="2" s="1"/>
  <c r="AI200" i="2"/>
  <c r="AJ200" i="2" s="1"/>
  <c r="CA23" i="2"/>
  <c r="CB23" i="2" s="1"/>
  <c r="AI24" i="2"/>
  <c r="AJ24" i="2" s="1"/>
  <c r="AT24" i="2"/>
  <c r="AU24" i="2" s="1"/>
  <c r="CA34" i="2"/>
  <c r="CB34" i="2" s="1"/>
  <c r="AT34" i="2"/>
  <c r="AU34" i="2" s="1"/>
  <c r="BP246" i="2"/>
  <c r="BQ246" i="2" s="1"/>
  <c r="BE246" i="2"/>
  <c r="BF246" i="2" s="1"/>
  <c r="AT246" i="2"/>
  <c r="AU246" i="2" s="1"/>
  <c r="AI246" i="2"/>
  <c r="AJ246" i="2" s="1"/>
  <c r="CA246" i="2"/>
  <c r="CB246" i="2" s="1"/>
  <c r="BE205" i="2"/>
  <c r="BF205" i="2" s="1"/>
  <c r="CA205" i="2"/>
  <c r="CB205" i="2" s="1"/>
  <c r="AT189" i="2"/>
  <c r="CA189" i="2"/>
  <c r="BE189" i="2"/>
  <c r="BF189" i="2" s="1"/>
  <c r="AI189" i="2"/>
  <c r="BP189" i="2"/>
  <c r="BQ189" i="2" s="1"/>
  <c r="CB175" i="2"/>
  <c r="BE170" i="2"/>
  <c r="BF170" i="2" s="1"/>
  <c r="AI170" i="2"/>
  <c r="AJ170" i="2" s="1"/>
  <c r="BP170" i="2"/>
  <c r="BQ170" i="2" s="1"/>
  <c r="AT170" i="2"/>
  <c r="AU170" i="2" s="1"/>
  <c r="CA170" i="2"/>
  <c r="CB170" i="2" s="1"/>
  <c r="BE154" i="2"/>
  <c r="BF154" i="2" s="1"/>
  <c r="AI154" i="2"/>
  <c r="AJ154" i="2" s="1"/>
  <c r="BP154" i="2"/>
  <c r="BQ154" i="2" s="1"/>
  <c r="AT154" i="2"/>
  <c r="AU154" i="2" s="1"/>
  <c r="CA154" i="2"/>
  <c r="CB154" i="2" s="1"/>
  <c r="AI144" i="2"/>
  <c r="AJ144" i="2" s="1"/>
  <c r="BP144" i="2"/>
  <c r="BQ144" i="2" s="1"/>
  <c r="AT144" i="2"/>
  <c r="AU144" i="2" s="1"/>
  <c r="CA144" i="2"/>
  <c r="CB144" i="2" s="1"/>
  <c r="BE144" i="2"/>
  <c r="BF144" i="2" s="1"/>
  <c r="BE139" i="2"/>
  <c r="BF139" i="2" s="1"/>
  <c r="AI139" i="2"/>
  <c r="AJ139" i="2" s="1"/>
  <c r="BP139" i="2"/>
  <c r="BQ139" i="2" s="1"/>
  <c r="AT139" i="2"/>
  <c r="AU139" i="2" s="1"/>
  <c r="CA139" i="2"/>
  <c r="CB139" i="2" s="1"/>
  <c r="AI25" i="2"/>
  <c r="AJ25" i="2" s="1"/>
  <c r="BE25" i="2"/>
  <c r="BF25" i="2" s="1"/>
  <c r="CA25" i="2"/>
  <c r="CB25" i="2" s="1"/>
  <c r="BP30" i="2"/>
  <c r="BQ30" i="2" s="1"/>
  <c r="AT30" i="2"/>
  <c r="AU30" i="2" s="1"/>
  <c r="CA198" i="2"/>
  <c r="CB198" i="2" s="1"/>
  <c r="BP198" i="2"/>
  <c r="BQ198" i="2" s="1"/>
  <c r="BE198" i="2"/>
  <c r="BF198" i="2" s="1"/>
  <c r="CA236" i="2"/>
  <c r="CB236" i="2" s="1"/>
  <c r="BP236" i="2"/>
  <c r="BQ236" i="2" s="1"/>
  <c r="BE236" i="2"/>
  <c r="BF236" i="2" s="1"/>
  <c r="AT236" i="2"/>
  <c r="AU236" i="2" s="1"/>
  <c r="CA222" i="2"/>
  <c r="CB222" i="2" s="1"/>
  <c r="CA206" i="2"/>
  <c r="CB206" i="2" s="1"/>
  <c r="BP206" i="2"/>
  <c r="BQ206" i="2" s="1"/>
  <c r="BE206" i="2"/>
  <c r="BF206" i="2" s="1"/>
  <c r="AT206" i="2"/>
  <c r="AU206" i="2" s="1"/>
  <c r="AI206" i="2"/>
  <c r="AJ206" i="2" s="1"/>
  <c r="BP220" i="2"/>
  <c r="BQ220" i="2" s="1"/>
  <c r="CA248" i="2"/>
  <c r="CB248" i="2" s="1"/>
  <c r="BP248" i="2"/>
  <c r="BQ248" i="2" s="1"/>
  <c r="BE248" i="2"/>
  <c r="BF248" i="2" s="1"/>
  <c r="AT248" i="2"/>
  <c r="AU248" i="2" s="1"/>
  <c r="AI248" i="2"/>
  <c r="AJ248" i="2" s="1"/>
  <c r="BP243" i="2"/>
  <c r="BQ243" i="2" s="1"/>
  <c r="BE243" i="2"/>
  <c r="BF243" i="2" s="1"/>
  <c r="AT243" i="2"/>
  <c r="AU243" i="2" s="1"/>
  <c r="AI243" i="2"/>
  <c r="AJ243" i="2" s="1"/>
  <c r="CA237" i="2"/>
  <c r="CB237" i="2" s="1"/>
  <c r="BP237" i="2"/>
  <c r="BQ237" i="2" s="1"/>
  <c r="BE237" i="2"/>
  <c r="BF237" i="2" s="1"/>
  <c r="AT237" i="2"/>
  <c r="AU237" i="2" s="1"/>
  <c r="AI237" i="2"/>
  <c r="AJ237" i="2" s="1"/>
  <c r="CA232" i="2"/>
  <c r="CB232" i="2" s="1"/>
  <c r="BP232" i="2"/>
  <c r="BQ232" i="2" s="1"/>
  <c r="BE232" i="2"/>
  <c r="BF232" i="2" s="1"/>
  <c r="AT232" i="2"/>
  <c r="AU232" i="2" s="1"/>
  <c r="AI232" i="2"/>
  <c r="AJ232" i="2" s="1"/>
  <c r="BP201" i="2"/>
  <c r="BQ201" i="2" s="1"/>
  <c r="BE201" i="2"/>
  <c r="BF201" i="2" s="1"/>
  <c r="AT201" i="2"/>
  <c r="AU201" i="2" s="1"/>
  <c r="AI201" i="2"/>
  <c r="AJ201" i="2" s="1"/>
  <c r="CA180" i="2"/>
  <c r="CB180" i="2" s="1"/>
  <c r="BE180" i="2"/>
  <c r="BF180" i="2" s="1"/>
  <c r="AI180" i="2"/>
  <c r="AJ180" i="2" s="1"/>
  <c r="BP180" i="2"/>
  <c r="BQ180" i="2" s="1"/>
  <c r="AT180" i="2"/>
  <c r="AU180" i="2" s="1"/>
  <c r="AI177" i="2"/>
  <c r="AJ177" i="2" s="1"/>
  <c r="BP177" i="2"/>
  <c r="BQ177" i="2" s="1"/>
  <c r="AT177" i="2"/>
  <c r="AU177" i="2" s="1"/>
  <c r="CA177" i="2"/>
  <c r="CB177" i="2" s="1"/>
  <c r="BE177" i="2"/>
  <c r="BF177" i="2" s="1"/>
  <c r="AT174" i="2"/>
  <c r="AU174" i="2" s="1"/>
  <c r="CA174" i="2"/>
  <c r="CB174" i="2" s="1"/>
  <c r="BE174" i="2"/>
  <c r="BF174" i="2" s="1"/>
  <c r="AI174" i="2"/>
  <c r="AJ174" i="2" s="1"/>
  <c r="BP174" i="2"/>
  <c r="BQ174" i="2" s="1"/>
  <c r="AI160" i="2"/>
  <c r="AJ160" i="2" s="1"/>
  <c r="BP160" i="2"/>
  <c r="BQ160" i="2" s="1"/>
  <c r="AT160" i="2"/>
  <c r="AU160" i="2" s="1"/>
  <c r="CA160" i="2"/>
  <c r="CB160" i="2" s="1"/>
  <c r="BE160" i="2"/>
  <c r="BF160" i="2" s="1"/>
  <c r="AI153" i="2"/>
  <c r="AJ153" i="2" s="1"/>
  <c r="BP153" i="2"/>
  <c r="BQ153" i="2" s="1"/>
  <c r="AT153" i="2"/>
  <c r="AU153" i="2" s="1"/>
  <c r="CA153" i="2"/>
  <c r="CB153" i="2" s="1"/>
  <c r="BE153" i="2"/>
  <c r="BF153" i="2" s="1"/>
  <c r="CA148" i="2"/>
  <c r="CB148" i="2" s="1"/>
  <c r="BE148" i="2"/>
  <c r="BF148" i="2" s="1"/>
  <c r="AI148" i="2"/>
  <c r="AJ148" i="2" s="1"/>
  <c r="BP148" i="2"/>
  <c r="BQ148" i="2" s="1"/>
  <c r="AT148" i="2"/>
  <c r="AU148" i="2" s="1"/>
  <c r="BP143" i="2"/>
  <c r="BQ143" i="2" s="1"/>
  <c r="AT143" i="2"/>
  <c r="AU143" i="2" s="1"/>
  <c r="CA143" i="2"/>
  <c r="CB143" i="2" s="1"/>
  <c r="BE143" i="2"/>
  <c r="BF143" i="2" s="1"/>
  <c r="AI143" i="2"/>
  <c r="AJ143" i="2" s="1"/>
  <c r="AT134" i="2"/>
  <c r="AU134" i="2" s="1"/>
  <c r="CA134" i="2"/>
  <c r="CB134" i="2" s="1"/>
  <c r="BE134" i="2"/>
  <c r="BF134" i="2" s="1"/>
  <c r="AI134" i="2"/>
  <c r="AJ134" i="2" s="1"/>
  <c r="BP134" i="2"/>
  <c r="BQ134" i="2" s="1"/>
  <c r="BP6" i="2"/>
  <c r="BQ6" i="2" s="1"/>
  <c r="AI6" i="2"/>
  <c r="AJ6" i="2" s="1"/>
  <c r="AI21" i="2"/>
  <c r="AJ21" i="2" s="1"/>
  <c r="AT21" i="2"/>
  <c r="AU21" i="2" s="1"/>
  <c r="CA252" i="2"/>
  <c r="CB252" i="2" s="1"/>
  <c r="BP252" i="2"/>
  <c r="BQ252" i="2" s="1"/>
  <c r="BE252" i="2"/>
  <c r="BF252" i="2" s="1"/>
  <c r="AT252" i="2"/>
  <c r="AU252" i="2" s="1"/>
  <c r="AI252" i="2"/>
  <c r="AJ252" i="2" s="1"/>
  <c r="BP210" i="2"/>
  <c r="BQ210" i="2" s="1"/>
  <c r="BE210" i="2"/>
  <c r="BF210" i="2" s="1"/>
  <c r="AT210" i="2"/>
  <c r="AU210" i="2" s="1"/>
  <c r="AI210" i="2"/>
  <c r="AJ210" i="2" s="1"/>
  <c r="BP239" i="2"/>
  <c r="BQ239" i="2" s="1"/>
  <c r="BP227" i="2"/>
  <c r="BQ227" i="2" s="1"/>
  <c r="BP225" i="2"/>
  <c r="BQ225" i="2" s="1"/>
  <c r="BE225" i="2"/>
  <c r="BF225" i="2" s="1"/>
  <c r="AT225" i="2"/>
  <c r="AU225" i="2" s="1"/>
  <c r="AI225" i="2"/>
  <c r="AJ225" i="2" s="1"/>
  <c r="BP215" i="2"/>
  <c r="BQ215" i="2" s="1"/>
  <c r="BE215" i="2"/>
  <c r="BF215" i="2" s="1"/>
  <c r="AT215" i="2"/>
  <c r="AU215" i="2" s="1"/>
  <c r="AI215" i="2"/>
  <c r="AJ215" i="2" s="1"/>
  <c r="BP234" i="2"/>
  <c r="BQ234" i="2" s="1"/>
  <c r="BE234" i="2"/>
  <c r="BF234" i="2" s="1"/>
  <c r="AT234" i="2"/>
  <c r="AU234" i="2" s="1"/>
  <c r="AI234" i="2"/>
  <c r="AJ234" i="2" s="1"/>
  <c r="CA208" i="2"/>
  <c r="CB208" i="2" s="1"/>
  <c r="BP208" i="2"/>
  <c r="BQ208" i="2" s="1"/>
  <c r="BE208" i="2"/>
  <c r="BF208" i="2" s="1"/>
  <c r="AT208" i="2"/>
  <c r="AU208" i="2" s="1"/>
  <c r="AI208" i="2"/>
  <c r="AJ208" i="2" s="1"/>
  <c r="BP211" i="2"/>
  <c r="BQ211" i="2" s="1"/>
  <c r="BP255" i="2"/>
  <c r="BQ255" i="2" s="1"/>
  <c r="BE255" i="2"/>
  <c r="BF255" i="2" s="1"/>
  <c r="AT255" i="2"/>
  <c r="AU255" i="2" s="1"/>
  <c r="AI255" i="2"/>
  <c r="AJ255" i="2" s="1"/>
  <c r="CA228" i="2"/>
  <c r="CB228" i="2" s="1"/>
  <c r="BP228" i="2"/>
  <c r="BQ228" i="2" s="1"/>
  <c r="BE228" i="2"/>
  <c r="BF228" i="2" s="1"/>
  <c r="AT228" i="2"/>
  <c r="AU228" i="2" s="1"/>
  <c r="AI228" i="2"/>
  <c r="AJ228" i="2" s="1"/>
  <c r="CA192" i="2"/>
  <c r="CB192" i="2" s="1"/>
  <c r="BP192" i="2"/>
  <c r="BQ192" i="2" s="1"/>
  <c r="BE192" i="2"/>
  <c r="BF192" i="2" s="1"/>
  <c r="AT192" i="2"/>
  <c r="AU192" i="2" s="1"/>
  <c r="AI192" i="2"/>
  <c r="AJ192" i="2" s="1"/>
  <c r="CA188" i="2"/>
  <c r="CB188" i="2" s="1"/>
  <c r="BE188" i="2"/>
  <c r="BF188" i="2" s="1"/>
  <c r="AI188" i="2"/>
  <c r="AJ188" i="2" s="1"/>
  <c r="BP188" i="2"/>
  <c r="BQ188" i="2" s="1"/>
  <c r="AT188" i="2"/>
  <c r="AU188" i="2" s="1"/>
  <c r="AI176" i="2"/>
  <c r="AJ176" i="2" s="1"/>
  <c r="BP176" i="2"/>
  <c r="BQ176" i="2" s="1"/>
  <c r="AT176" i="2"/>
  <c r="AU176" i="2" s="1"/>
  <c r="CA176" i="2"/>
  <c r="CB176" i="2" s="1"/>
  <c r="BE176" i="2"/>
  <c r="BF176" i="2" s="1"/>
  <c r="CB167" i="2"/>
  <c r="BE162" i="2"/>
  <c r="BF162" i="2" s="1"/>
  <c r="AI162" i="2"/>
  <c r="AJ162" i="2" s="1"/>
  <c r="BP162" i="2"/>
  <c r="BQ162" i="2" s="1"/>
  <c r="AT162" i="2"/>
  <c r="AU162" i="2" s="1"/>
  <c r="CA162" i="2"/>
  <c r="CB162" i="2" s="1"/>
  <c r="BP159" i="2"/>
  <c r="BQ159" i="2" s="1"/>
  <c r="AT159" i="2"/>
  <c r="AU159" i="2" s="1"/>
  <c r="CA159" i="2"/>
  <c r="CB159" i="2" s="1"/>
  <c r="BE159" i="2"/>
  <c r="BF159" i="2" s="1"/>
  <c r="AI159" i="2"/>
  <c r="AJ159" i="2" s="1"/>
  <c r="CA19" i="2"/>
  <c r="CB19" i="2" s="1"/>
  <c r="AT19" i="2"/>
  <c r="AU19" i="2" s="1"/>
  <c r="AI33" i="2"/>
  <c r="AJ33" i="2" s="1"/>
  <c r="BE33" i="2"/>
  <c r="BF33" i="2" s="1"/>
  <c r="CA216" i="2"/>
  <c r="CB216" i="2" s="1"/>
  <c r="BP216" i="2"/>
  <c r="BQ216" i="2" s="1"/>
  <c r="BE216" i="2"/>
  <c r="BF216" i="2" s="1"/>
  <c r="AT216" i="2"/>
  <c r="AU216" i="2" s="1"/>
  <c r="AI216" i="2"/>
  <c r="AJ216" i="2" s="1"/>
  <c r="BE187" i="2"/>
  <c r="BF187" i="2" s="1"/>
  <c r="AI187" i="2"/>
  <c r="AJ187" i="2" s="1"/>
  <c r="BP187" i="2"/>
  <c r="BQ187" i="2" s="1"/>
  <c r="AT187" i="2"/>
  <c r="AU187" i="2" s="1"/>
  <c r="CA187" i="2"/>
  <c r="CB187" i="2" s="1"/>
  <c r="AT181" i="2"/>
  <c r="AU181" i="2" s="1"/>
  <c r="CA181" i="2"/>
  <c r="CB181" i="2" s="1"/>
  <c r="BE181" i="2"/>
  <c r="BF181" i="2" s="1"/>
  <c r="AI181" i="2"/>
  <c r="AJ181" i="2" s="1"/>
  <c r="BP181" i="2"/>
  <c r="BQ181" i="2" s="1"/>
  <c r="AT173" i="2"/>
  <c r="AU173" i="2" s="1"/>
  <c r="CA173" i="2"/>
  <c r="CB173" i="2" s="1"/>
  <c r="BE173" i="2"/>
  <c r="BF173" i="2" s="1"/>
  <c r="AI173" i="2"/>
  <c r="AJ173" i="2" s="1"/>
  <c r="BP173" i="2"/>
  <c r="BQ173" i="2" s="1"/>
  <c r="AT165" i="2"/>
  <c r="AU165" i="2" s="1"/>
  <c r="CA165" i="2"/>
  <c r="CB165" i="2" s="1"/>
  <c r="BE165" i="2"/>
  <c r="BF165" i="2" s="1"/>
  <c r="AI165" i="2"/>
  <c r="AJ165" i="2" s="1"/>
  <c r="BP165" i="2"/>
  <c r="BQ165" i="2" s="1"/>
  <c r="AT157" i="2"/>
  <c r="AU157" i="2" s="1"/>
  <c r="CA157" i="2"/>
  <c r="CB157" i="2" s="1"/>
  <c r="BE157" i="2"/>
  <c r="BF157" i="2" s="1"/>
  <c r="AI157" i="2"/>
  <c r="AJ157" i="2" s="1"/>
  <c r="BP157" i="2"/>
  <c r="BQ157" i="2" s="1"/>
  <c r="AT149" i="2"/>
  <c r="AU149" i="2" s="1"/>
  <c r="CA149" i="2"/>
  <c r="CB149" i="2" s="1"/>
  <c r="BE149" i="2"/>
  <c r="BF149" i="2" s="1"/>
  <c r="AI149" i="2"/>
  <c r="AJ149" i="2" s="1"/>
  <c r="BP149" i="2"/>
  <c r="BQ149" i="2" s="1"/>
  <c r="AI145" i="2"/>
  <c r="AJ145" i="2" s="1"/>
  <c r="BP145" i="2"/>
  <c r="BQ145" i="2" s="1"/>
  <c r="AT145" i="2"/>
  <c r="AU145" i="2" s="1"/>
  <c r="CA145" i="2"/>
  <c r="CB145" i="2" s="1"/>
  <c r="BE145" i="2"/>
  <c r="BF145" i="2" s="1"/>
  <c r="AT141" i="2"/>
  <c r="AU141" i="2" s="1"/>
  <c r="CA141" i="2"/>
  <c r="CB141" i="2" s="1"/>
  <c r="BE141" i="2"/>
  <c r="BF141" i="2" s="1"/>
  <c r="AI141" i="2"/>
  <c r="AJ141" i="2" s="1"/>
  <c r="BP141" i="2"/>
  <c r="BQ141" i="2" s="1"/>
  <c r="AI137" i="2"/>
  <c r="BP137" i="2"/>
  <c r="BQ137" i="2" s="1"/>
  <c r="AT137" i="2"/>
  <c r="AU137" i="2" s="1"/>
  <c r="CA137" i="2"/>
  <c r="CB137" i="2" s="1"/>
  <c r="BE137" i="2"/>
  <c r="BF137" i="2" s="1"/>
  <c r="AT133" i="2"/>
  <c r="AU133" i="2" s="1"/>
  <c r="CA133" i="2"/>
  <c r="CB133" i="2" s="1"/>
  <c r="BE133" i="2"/>
  <c r="BF133" i="2" s="1"/>
  <c r="AI133" i="2"/>
  <c r="AJ133" i="2" s="1"/>
  <c r="BP133" i="2"/>
  <c r="BQ133" i="2" s="1"/>
  <c r="CA128" i="2"/>
  <c r="CB128" i="2" s="1"/>
  <c r="CA120" i="2"/>
  <c r="CB120" i="2" s="1"/>
  <c r="CA112" i="2"/>
  <c r="CB112" i="2" s="1"/>
  <c r="CA104" i="2"/>
  <c r="CB104" i="2" s="1"/>
  <c r="CA96" i="2"/>
  <c r="CB96" i="2" s="1"/>
  <c r="CA88" i="2"/>
  <c r="CB88" i="2" s="1"/>
  <c r="CA80" i="2"/>
  <c r="CB80" i="2" s="1"/>
  <c r="CA72" i="2"/>
  <c r="CB72" i="2" s="1"/>
  <c r="CA64" i="2"/>
  <c r="CB64" i="2" s="1"/>
  <c r="CA56" i="2"/>
  <c r="CB56" i="2" s="1"/>
  <c r="CA48" i="2"/>
  <c r="CB48" i="2" s="1"/>
  <c r="BP129" i="2"/>
  <c r="BQ129" i="2" s="1"/>
  <c r="BP121" i="2"/>
  <c r="BQ121" i="2" s="1"/>
  <c r="BP113" i="2"/>
  <c r="BQ113" i="2" s="1"/>
  <c r="BP105" i="2"/>
  <c r="BQ105" i="2" s="1"/>
  <c r="BP97" i="2"/>
  <c r="BQ97" i="2" s="1"/>
  <c r="BP89" i="2"/>
  <c r="BQ89" i="2" s="1"/>
  <c r="BP81" i="2"/>
  <c r="BQ81" i="2" s="1"/>
  <c r="BP73" i="2"/>
  <c r="BQ73" i="2" s="1"/>
  <c r="BP65" i="2"/>
  <c r="BQ65" i="2" s="1"/>
  <c r="BP57" i="2"/>
  <c r="BQ57" i="2" s="1"/>
  <c r="BP49" i="2"/>
  <c r="BQ49" i="2" s="1"/>
  <c r="BP125" i="2"/>
  <c r="BQ125" i="2" s="1"/>
  <c r="BP117" i="2"/>
  <c r="BQ117" i="2" s="1"/>
  <c r="BP109" i="2"/>
  <c r="BQ109" i="2" s="1"/>
  <c r="BP101" i="2"/>
  <c r="BQ101" i="2" s="1"/>
  <c r="BP93" i="2"/>
  <c r="BQ93" i="2" s="1"/>
  <c r="BP85" i="2"/>
  <c r="BQ85" i="2" s="1"/>
  <c r="BP77" i="2"/>
  <c r="BQ77" i="2" s="1"/>
  <c r="BP69" i="2"/>
  <c r="BQ69" i="2" s="1"/>
  <c r="BP61" i="2"/>
  <c r="BQ61" i="2" s="1"/>
  <c r="BP53" i="2"/>
  <c r="BQ53" i="2" s="1"/>
  <c r="BP45" i="2"/>
  <c r="BQ4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tc={61036273-4365-4DA6-8F73-9FE61598D02F}</author>
    <author>tc={F82F8EC6-0DC6-428A-B264-3714E003451C}</author>
    <author>tc={518499B6-A859-4F0B-8635-5154984D7036}</author>
    <author>tc={F31034D1-C855-4A60-8709-BC24D27CB6E5}</author>
    <author>tc={CD335A1E-67A9-48DB-B620-BC2B103803F1}</author>
  </authors>
  <commentList>
    <comment ref="U55" authorId="0" shapeId="0" xr:uid="{108F5593-AF15-467F-A500-ED06D8AFDE25}">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in Fig. 1 of Pandey et al. (2018) for the days of the reported AOT40 values.</t>
        </r>
      </text>
    </comment>
    <comment ref="W55" authorId="1" shapeId="0" xr:uid="{20C684C0-E07F-417E-ADFA-C49376236586}">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AOT40 adjusted is recalculted with the updated number of days for AOT40 accumulation.</t>
        </r>
      </text>
    </comment>
    <comment ref="A156" authorId="2" shapeId="0" xr:uid="{1178F5CB-A575-4439-988B-C0054F05F656}">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This data is marked to see if it largely changes the parameter estimation or not. If not, it is retained, otherwise, it is separated from other data.</t>
        </r>
      </text>
    </comment>
    <comment ref="Q187" authorId="3" shapeId="0" xr:uid="{2309CFA8-FEB5-4789-9956-7408A39950F9}">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1991, all OTCs were supplied with CF air not ambient air. The Est AOT0 is modified accordingly.</t>
        </r>
      </text>
    </comment>
    <comment ref="Q190" authorId="4" shapeId="0" xr:uid="{A84D7B14-0A09-4E04-84E4-7CAD143C07D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1992, CF OTC was supplied with CF air, but EO3 OTC was supplied with nonfilered ambient air. Est AOT0 was modified accordingly.</t>
        </r>
      </text>
    </comment>
  </commentList>
</comments>
</file>

<file path=xl/sharedStrings.xml><?xml version="1.0" encoding="utf-8"?>
<sst xmlns="http://schemas.openxmlformats.org/spreadsheetml/2006/main" count="4875" uniqueCount="283">
  <si>
    <t>Accept</t>
    <phoneticPr fontId="3" type="noConversion"/>
  </si>
  <si>
    <t>Filterreasons</t>
    <phoneticPr fontId="3" type="noConversion"/>
  </si>
  <si>
    <t>Reference</t>
  </si>
  <si>
    <t>PDFnumber</t>
    <phoneticPr fontId="3" type="noConversion"/>
  </si>
  <si>
    <t>DOI</t>
    <phoneticPr fontId="3" type="noConversion"/>
  </si>
  <si>
    <t>Author</t>
  </si>
  <si>
    <t>Area</t>
    <phoneticPr fontId="3" type="noConversion"/>
  </si>
  <si>
    <t>country of experiment</t>
  </si>
  <si>
    <t>species</t>
  </si>
  <si>
    <t>cultivar/genotype</t>
  </si>
  <si>
    <t>exp.Year</t>
  </si>
  <si>
    <t>experimental facility</t>
  </si>
  <si>
    <t>rooting</t>
  </si>
  <si>
    <t>O3Trt</t>
  </si>
  <si>
    <t>Est AOT0</t>
    <phoneticPr fontId="3" type="noConversion"/>
  </si>
  <si>
    <t>AOT40</t>
  </si>
  <si>
    <t>O3 con</t>
    <phoneticPr fontId="3" type="noConversion"/>
  </si>
  <si>
    <t>O3 moniter hour</t>
    <phoneticPr fontId="3" type="noConversion"/>
  </si>
  <si>
    <t>AOT40 Days</t>
    <phoneticPr fontId="3" type="noConversion"/>
  </si>
  <si>
    <t>N</t>
    <phoneticPr fontId="3" type="noConversion"/>
  </si>
  <si>
    <t>AOT40_Adjusted</t>
    <phoneticPr fontId="3" type="noConversion"/>
  </si>
  <si>
    <t>Start day</t>
    <phoneticPr fontId="3" type="noConversion"/>
  </si>
  <si>
    <t>End day</t>
    <phoneticPr fontId="3" type="noConversion"/>
  </si>
  <si>
    <t>yield</t>
  </si>
  <si>
    <t>Units</t>
    <phoneticPr fontId="3" type="noConversion"/>
  </si>
  <si>
    <t>SD</t>
    <phoneticPr fontId="3" type="noConversion"/>
  </si>
  <si>
    <t>SE</t>
    <phoneticPr fontId="3" type="noConversion"/>
  </si>
  <si>
    <t>1000 grain weight</t>
    <phoneticPr fontId="3" type="noConversion"/>
  </si>
  <si>
    <t>2012-118</t>
    <phoneticPr fontId="3" type="noConversion"/>
  </si>
  <si>
    <t>10.1016/j.envpol.2012.07.028</t>
  </si>
  <si>
    <t>Wang</t>
  </si>
  <si>
    <t>China</t>
  </si>
  <si>
    <t>wheat</t>
  </si>
  <si>
    <t>yangmai185</t>
    <phoneticPr fontId="3" type="noConversion"/>
  </si>
  <si>
    <t>OTC</t>
  </si>
  <si>
    <t>field</t>
    <phoneticPr fontId="3" type="noConversion"/>
  </si>
  <si>
    <t>CF</t>
  </si>
  <si>
    <t>g 1000-1</t>
    <phoneticPr fontId="3" type="noConversion"/>
  </si>
  <si>
    <t>no.ear-1</t>
    <phoneticPr fontId="3" type="noConversion"/>
  </si>
  <si>
    <t>no.plant-1</t>
    <phoneticPr fontId="3" type="noConversion"/>
  </si>
  <si>
    <t>NF</t>
  </si>
  <si>
    <t>EO3-1</t>
  </si>
  <si>
    <t>EO3-2</t>
  </si>
  <si>
    <t>jia002</t>
    <phoneticPr fontId="3" type="noConversion"/>
  </si>
  <si>
    <t>2011-133</t>
    <phoneticPr fontId="3" type="noConversion"/>
  </si>
  <si>
    <t>10.1111/j.1365-2486.2011.02400.x</t>
  </si>
  <si>
    <t>Zhu</t>
  </si>
  <si>
    <t>Y15</t>
  </si>
  <si>
    <t>FACE</t>
  </si>
  <si>
    <t>field</t>
  </si>
  <si>
    <t>measured</t>
    <phoneticPr fontId="3" type="noConversion"/>
  </si>
  <si>
    <t>g m-2</t>
  </si>
  <si>
    <t>no. m-2</t>
    <phoneticPr fontId="3" type="noConversion"/>
  </si>
  <si>
    <t>calculate</t>
    <phoneticPr fontId="3" type="noConversion"/>
  </si>
  <si>
    <t>EO3</t>
  </si>
  <si>
    <t>Y16</t>
  </si>
  <si>
    <t>Y19</t>
  </si>
  <si>
    <t>Y2</t>
  </si>
  <si>
    <t>2010-112</t>
  </si>
  <si>
    <t>10.1016/j.envexpbot.2010.04.016</t>
  </si>
  <si>
    <t>Sarkar</t>
  </si>
  <si>
    <t>India</t>
  </si>
  <si>
    <t>HUW510</t>
    <phoneticPr fontId="9"/>
  </si>
  <si>
    <t>estimated days</t>
    <phoneticPr fontId="3" type="noConversion"/>
  </si>
  <si>
    <t>44plant m-2</t>
    <phoneticPr fontId="3" type="noConversion"/>
  </si>
  <si>
    <t>no. plant-1</t>
    <phoneticPr fontId="3" type="noConversion"/>
  </si>
  <si>
    <t>no. hills-1</t>
    <phoneticPr fontId="3" type="noConversion"/>
  </si>
  <si>
    <t>Sonalika</t>
  </si>
  <si>
    <t>2018-139</t>
    <phoneticPr fontId="3" type="noConversion"/>
  </si>
  <si>
    <t>10.1016/j.ecoenv.2018.04.014</t>
  </si>
  <si>
    <t>Pandey</t>
  </si>
  <si>
    <t>HD2967</t>
  </si>
  <si>
    <t>AA</t>
    <phoneticPr fontId="3" type="noConversion"/>
  </si>
  <si>
    <t>EO3</t>
    <phoneticPr fontId="3" type="noConversion"/>
  </si>
  <si>
    <t>2015-100</t>
    <phoneticPr fontId="3" type="noConversion"/>
  </si>
  <si>
    <t>10.4209/aaqr.2013.12.0354</t>
  </si>
  <si>
    <t>Tomer</t>
  </si>
  <si>
    <t>PBW343</t>
  </si>
  <si>
    <t>g m-2</t>
    <phoneticPr fontId="3" type="noConversion"/>
  </si>
  <si>
    <t>2013-76</t>
    <phoneticPr fontId="3" type="noConversion"/>
  </si>
  <si>
    <t>10.1016/j.fcr.2013.02.007</t>
  </si>
  <si>
    <t>Mishra</t>
  </si>
  <si>
    <t>HUW37</t>
    <phoneticPr fontId="3" type="noConversion"/>
  </si>
  <si>
    <t>K9107</t>
    <phoneticPr fontId="3" type="noConversion"/>
  </si>
  <si>
    <t>2019-164</t>
    <phoneticPr fontId="3" type="noConversion"/>
  </si>
  <si>
    <t>10.1016/j.heliyon.2019.e02317</t>
  </si>
  <si>
    <t>Yadav</t>
  </si>
  <si>
    <t>C306</t>
    <phoneticPr fontId="3" type="noConversion"/>
  </si>
  <si>
    <t>HD2967</t>
    <phoneticPr fontId="3" type="noConversion"/>
  </si>
  <si>
    <t>10.1016/j.heliyon.2019.e02317</t>
    <phoneticPr fontId="4"/>
  </si>
  <si>
    <t>2020-13</t>
    <phoneticPr fontId="3" type="noConversion"/>
  </si>
  <si>
    <t>10.1007/s11356-020-08325-y</t>
  </si>
  <si>
    <t>Annesha</t>
    <phoneticPr fontId="3" type="noConversion"/>
  </si>
  <si>
    <t>India</t>
    <phoneticPr fontId="3" type="noConversion"/>
  </si>
  <si>
    <t>wheat</t>
    <phoneticPr fontId="3" type="noConversion"/>
  </si>
  <si>
    <t>OTC</t>
    <phoneticPr fontId="3" type="noConversion"/>
  </si>
  <si>
    <t>no plant-1</t>
    <phoneticPr fontId="3" type="noConversion"/>
  </si>
  <si>
    <t>2019-35</t>
    <phoneticPr fontId="3" type="noConversion"/>
  </si>
  <si>
    <t>10.1016/j.ecoenv.2019.01.030</t>
  </si>
  <si>
    <t>Adeeb</t>
    <phoneticPr fontId="3" type="noConversion"/>
  </si>
  <si>
    <t>DB50</t>
    <phoneticPr fontId="3" type="noConversion"/>
  </si>
  <si>
    <t>NF</t>
    <phoneticPr fontId="3" type="noConversion"/>
  </si>
  <si>
    <t>DB77</t>
    <phoneticPr fontId="3" type="noConversion"/>
  </si>
  <si>
    <t>HD26</t>
    <phoneticPr fontId="3" type="noConversion"/>
  </si>
  <si>
    <t>HD28</t>
    <phoneticPr fontId="3" type="noConversion"/>
  </si>
  <si>
    <t>HD30</t>
    <phoneticPr fontId="3" type="noConversion"/>
  </si>
  <si>
    <t>HU12</t>
    <phoneticPr fontId="3" type="noConversion"/>
  </si>
  <si>
    <t>HU21</t>
    <phoneticPr fontId="3" type="noConversion"/>
  </si>
  <si>
    <t>HU25</t>
    <phoneticPr fontId="3" type="noConversion"/>
  </si>
  <si>
    <t>HU55</t>
    <phoneticPr fontId="3" type="noConversion"/>
  </si>
  <si>
    <t>KH65</t>
    <phoneticPr fontId="3" type="noConversion"/>
  </si>
  <si>
    <t>KUND</t>
    <phoneticPr fontId="3" type="noConversion"/>
  </si>
  <si>
    <t>NI34</t>
    <phoneticPr fontId="3" type="noConversion"/>
  </si>
  <si>
    <t>P502</t>
    <phoneticPr fontId="3" type="noConversion"/>
  </si>
  <si>
    <t>P550</t>
    <phoneticPr fontId="3" type="noConversion"/>
  </si>
  <si>
    <t>2020-48</t>
    <phoneticPr fontId="3" type="noConversion"/>
  </si>
  <si>
    <t>10.1016/j.envpol.2020.113939</t>
  </si>
  <si>
    <t>Durgesh</t>
    <phoneticPr fontId="3" type="noConversion"/>
  </si>
  <si>
    <t>HD3118</t>
    <phoneticPr fontId="3" type="noConversion"/>
  </si>
  <si>
    <t>HUW234</t>
    <phoneticPr fontId="3" type="noConversion"/>
  </si>
  <si>
    <t>2021-X140</t>
    <phoneticPr fontId="3" type="noConversion"/>
  </si>
  <si>
    <t>10.1016/j.fcr.2021.108076</t>
  </si>
  <si>
    <t>HD3086</t>
    <phoneticPr fontId="3" type="noConversion"/>
  </si>
  <si>
    <t>HUW468</t>
    <phoneticPr fontId="3" type="noConversion"/>
  </si>
  <si>
    <t>2020-13</t>
  </si>
  <si>
    <t>1985-207</t>
    <phoneticPr fontId="3" type="noConversion"/>
  </si>
  <si>
    <t>10.1094/Phyto-77-71</t>
  </si>
  <si>
    <t>Kohut</t>
    <phoneticPr fontId="3" type="noConversion"/>
  </si>
  <si>
    <t>North America</t>
    <phoneticPr fontId="3" type="noConversion"/>
  </si>
  <si>
    <t>USA</t>
    <phoneticPr fontId="3" type="noConversion"/>
  </si>
  <si>
    <t>CF</t>
    <phoneticPr fontId="3" type="noConversion"/>
  </si>
  <si>
    <t>row m-2</t>
    <phoneticPr fontId="3" type="noConversion"/>
  </si>
  <si>
    <t>no. ear-1</t>
    <phoneticPr fontId="3" type="noConversion"/>
  </si>
  <si>
    <t>no. m-1</t>
    <phoneticPr fontId="3" type="noConversion"/>
  </si>
  <si>
    <t>EO3-1</t>
    <phoneticPr fontId="3" type="noConversion"/>
  </si>
  <si>
    <t>EO3-2</t>
    <phoneticPr fontId="3" type="noConversion"/>
  </si>
  <si>
    <t>EO3-3</t>
    <phoneticPr fontId="3" type="noConversion"/>
  </si>
  <si>
    <t>1985-215</t>
    <phoneticPr fontId="3" type="noConversion"/>
  </si>
  <si>
    <t>10.1016/0098-8472(85)90005-x</t>
  </si>
  <si>
    <t>Kress</t>
    <phoneticPr fontId="3" type="noConversion"/>
  </si>
  <si>
    <t>Abe</t>
    <phoneticPr fontId="3" type="noConversion"/>
  </si>
  <si>
    <t xml:space="preserve"> no. m-1</t>
    <phoneticPr fontId="3" type="noConversion"/>
  </si>
  <si>
    <t>Arthur-71</t>
    <phoneticPr fontId="3" type="noConversion"/>
  </si>
  <si>
    <t>Roland</t>
    <phoneticPr fontId="3" type="noConversion"/>
  </si>
  <si>
    <t>seeds m-1</t>
    <phoneticPr fontId="3" type="noConversion"/>
  </si>
  <si>
    <t>1996-89/91</t>
    <phoneticPr fontId="3" type="noConversion"/>
  </si>
  <si>
    <t>10.1016/0034-4257(95)00208-1</t>
  </si>
  <si>
    <t>Rudorff</t>
    <phoneticPr fontId="3" type="noConversion"/>
  </si>
  <si>
    <t>Massey</t>
    <phoneticPr fontId="3" type="noConversion"/>
  </si>
  <si>
    <t>EO3(CF)</t>
    <phoneticPr fontId="3" type="noConversion"/>
  </si>
  <si>
    <t>10.1016/0034-4257(95)00208-1</t>
    <phoneticPr fontId="3" type="noConversion"/>
  </si>
  <si>
    <t>Saluda</t>
    <phoneticPr fontId="3" type="noConversion"/>
  </si>
  <si>
    <t>1985-119</t>
    <phoneticPr fontId="3" type="noConversion"/>
  </si>
  <si>
    <t>10.1016/0269-7491(89)90109-7</t>
  </si>
  <si>
    <t>Fuhrer</t>
    <phoneticPr fontId="3" type="noConversion"/>
  </si>
  <si>
    <t xml:space="preserve">Europe </t>
    <phoneticPr fontId="3" type="noConversion"/>
  </si>
  <si>
    <t>Switzerland</t>
    <phoneticPr fontId="3" type="noConversion"/>
  </si>
  <si>
    <t>Albis</t>
  </si>
  <si>
    <t>1991-89</t>
    <phoneticPr fontId="3" type="noConversion"/>
  </si>
  <si>
    <t>10.1016/0269-7491(91)90140-r</t>
  </si>
  <si>
    <t>Pleijel</t>
  </si>
  <si>
    <t>Sweden</t>
  </si>
  <si>
    <t>Drabant</t>
  </si>
  <si>
    <t>8 row m-2</t>
    <phoneticPr fontId="3" type="noConversion"/>
  </si>
  <si>
    <t xml:space="preserve"> no. m-2</t>
    <phoneticPr fontId="3" type="noConversion"/>
  </si>
  <si>
    <t>1992-37</t>
    <phoneticPr fontId="3" type="noConversion"/>
  </si>
  <si>
    <t>10.1111/j.1469-8137.1992.tb01106.x</t>
  </si>
  <si>
    <t>Switzerland</t>
  </si>
  <si>
    <t>5.98 row m-2</t>
    <phoneticPr fontId="3" type="noConversion"/>
  </si>
  <si>
    <t>1996-30</t>
    <phoneticPr fontId="3" type="noConversion"/>
  </si>
  <si>
    <t>10.1016/0167-8809(95)01003-3</t>
  </si>
  <si>
    <t>Finnan</t>
    <phoneticPr fontId="3" type="noConversion"/>
  </si>
  <si>
    <t>Ireland</t>
    <phoneticPr fontId="3" type="noConversion"/>
  </si>
  <si>
    <t>Promessa</t>
    <phoneticPr fontId="3" type="noConversion"/>
  </si>
  <si>
    <t>1997-75</t>
    <phoneticPr fontId="3" type="noConversion"/>
  </si>
  <si>
    <t>10.1093/jxb/48.1.113</t>
    <phoneticPr fontId="3" type="noConversion"/>
  </si>
  <si>
    <t>Mulholland</t>
    <phoneticPr fontId="3" type="noConversion"/>
  </si>
  <si>
    <t>UK</t>
    <phoneticPr fontId="3" type="noConversion"/>
  </si>
  <si>
    <t>Minaret</t>
    <phoneticPr fontId="3" type="noConversion"/>
  </si>
  <si>
    <t>371 plants m-2</t>
    <phoneticPr fontId="3" type="noConversion"/>
  </si>
  <si>
    <t>10.1093/jxb/48.1.113</t>
  </si>
  <si>
    <t>1998-73</t>
    <phoneticPr fontId="3" type="noConversion"/>
  </si>
  <si>
    <t>10.1046/j.1365-2486.1998.00112.x</t>
  </si>
  <si>
    <t>347 plants m-2</t>
    <phoneticPr fontId="3" type="noConversion"/>
  </si>
  <si>
    <t>10.1046/j.1365-2486.1998.00112.x</t>
    <phoneticPr fontId="3" type="noConversion"/>
  </si>
  <si>
    <t>1995-120</t>
    <phoneticPr fontId="3" type="noConversion"/>
  </si>
  <si>
    <t>10.1016/0269-7491(94)p2599-5</t>
  </si>
  <si>
    <t>Mortensen</t>
    <phoneticPr fontId="3" type="noConversion"/>
  </si>
  <si>
    <t>Denmark</t>
    <phoneticPr fontId="3" type="noConversion"/>
  </si>
  <si>
    <t>Ralle</t>
    <phoneticPr fontId="3" type="noConversion"/>
  </si>
  <si>
    <t>400 seeds m-2</t>
    <phoneticPr fontId="3" type="noConversion"/>
  </si>
  <si>
    <t>1998-75</t>
    <phoneticPr fontId="3" type="noConversion"/>
  </si>
  <si>
    <t>10.1046/j.1469-8137.1998.00120.x</t>
  </si>
  <si>
    <t>Ojanperä</t>
  </si>
  <si>
    <t>Finland</t>
  </si>
  <si>
    <t>Satu</t>
  </si>
  <si>
    <t>1998-84</t>
    <phoneticPr fontId="3" type="noConversion"/>
  </si>
  <si>
    <t>10.1016/s0167-8809(97)00167-9</t>
  </si>
  <si>
    <t>Dragon</t>
  </si>
  <si>
    <t>2000-X96</t>
    <phoneticPr fontId="3" type="noConversion"/>
  </si>
  <si>
    <t>10.1034/j.1399-3054.2000.108001061.x</t>
  </si>
  <si>
    <t>Pleijel</t>
    <phoneticPr fontId="3" type="noConversion"/>
  </si>
  <si>
    <t>2006-90</t>
    <phoneticPr fontId="3" type="noConversion"/>
  </si>
  <si>
    <t>10.1016/j.envexpbot.2005.01.004</t>
  </si>
  <si>
    <t>Lantvete</t>
  </si>
  <si>
    <t>2013-18</t>
    <phoneticPr fontId="3" type="noConversion"/>
  </si>
  <si>
    <t>10.1111/jac.12013</t>
  </si>
  <si>
    <t>Burkart</t>
    <phoneticPr fontId="3" type="noConversion"/>
  </si>
  <si>
    <t>Germany</t>
    <phoneticPr fontId="3" type="noConversion"/>
  </si>
  <si>
    <t>Astron</t>
  </si>
  <si>
    <t>Pegasus</t>
  </si>
  <si>
    <t>EXP_ID</t>
    <phoneticPr fontId="3" type="noConversion"/>
  </si>
  <si>
    <t>Total grain no.</t>
    <phoneticPr fontId="3" type="noConversion"/>
  </si>
  <si>
    <t>no.m-2</t>
    <phoneticPr fontId="3" type="noConversion"/>
  </si>
  <si>
    <t>assume 400  plant m-2</t>
    <phoneticPr fontId="3" type="noConversion"/>
  </si>
  <si>
    <t>Lat</t>
    <phoneticPr fontId="3" type="noConversion"/>
  </si>
  <si>
    <t>Lon</t>
    <phoneticPr fontId="3" type="noConversion"/>
  </si>
  <si>
    <t>Europe</t>
    <phoneticPr fontId="3" type="noConversion"/>
  </si>
  <si>
    <t>In Chinese</t>
    <phoneticPr fontId="3" type="noConversion"/>
  </si>
  <si>
    <t>Tong</t>
    <phoneticPr fontId="3" type="noConversion"/>
  </si>
  <si>
    <t>China</t>
    <phoneticPr fontId="3" type="noConversion"/>
  </si>
  <si>
    <t>10． 5846 /stxb201103260385</t>
    <phoneticPr fontId="3" type="noConversion"/>
  </si>
  <si>
    <t>Beinong 9549</t>
    <phoneticPr fontId="3" type="noConversion"/>
  </si>
  <si>
    <t>OTC</t>
    <phoneticPr fontId="3" type="noConversion"/>
  </si>
  <si>
    <t>EO3-1</t>
    <phoneticPr fontId="3" type="noConversion"/>
  </si>
  <si>
    <t>EO3-2</t>
    <phoneticPr fontId="3" type="noConversion"/>
  </si>
  <si>
    <t>EO3-3</t>
    <phoneticPr fontId="3" type="noConversion"/>
  </si>
  <si>
    <t>%</t>
    <phoneticPr fontId="3" type="noConversion"/>
  </si>
  <si>
    <t>Tong</t>
    <phoneticPr fontId="3" type="noConversion"/>
  </si>
  <si>
    <t>Start of ozone exposure</t>
    <phoneticPr fontId="3" type="noConversion"/>
  </si>
  <si>
    <t>End of ozone exposure</t>
    <phoneticPr fontId="3" type="noConversion"/>
  </si>
  <si>
    <t>Sowing</t>
    <phoneticPr fontId="3" type="noConversion"/>
  </si>
  <si>
    <t>Harvest</t>
    <phoneticPr fontId="3" type="noConversion"/>
  </si>
  <si>
    <t>Finland</t>
    <phoneticPr fontId="3" type="noConversion"/>
  </si>
  <si>
    <t>Heagle1979</t>
    <phoneticPr fontId="3" type="noConversion"/>
  </si>
  <si>
    <t>10.1139/b79-250</t>
    <phoneticPr fontId="3" type="noConversion"/>
  </si>
  <si>
    <t>Heagle</t>
    <phoneticPr fontId="3" type="noConversion"/>
  </si>
  <si>
    <t>soft  red wheat</t>
    <phoneticPr fontId="3" type="noConversion"/>
  </si>
  <si>
    <t>Blueboy</t>
    <phoneticPr fontId="3" type="noConversion"/>
  </si>
  <si>
    <t>Coker47-27</t>
    <phoneticPr fontId="3" type="noConversion"/>
  </si>
  <si>
    <t>Holly</t>
    <phoneticPr fontId="3" type="noConversion"/>
  </si>
  <si>
    <t>Oasis</t>
    <phoneticPr fontId="3" type="noConversion"/>
  </si>
  <si>
    <t>combined cultivars</t>
    <phoneticPr fontId="3" type="noConversion"/>
  </si>
  <si>
    <t>g 100-1</t>
    <phoneticPr fontId="3" type="noConversion"/>
  </si>
  <si>
    <t>mid-anthesis to maturity</t>
    <phoneticPr fontId="3" type="noConversion"/>
  </si>
  <si>
    <t>mid-anthesis date</t>
    <phoneticPr fontId="3" type="noConversion"/>
  </si>
  <si>
    <t>Heading date</t>
    <phoneticPr fontId="3" type="noConversion"/>
  </si>
  <si>
    <t>Note of flowering</t>
    <phoneticPr fontId="3" type="noConversion"/>
  </si>
  <si>
    <t>Yao et al.,  2008</t>
    <phoneticPr fontId="3" type="noConversion"/>
  </si>
  <si>
    <t>Tong 2011</t>
    <phoneticPr fontId="3" type="noConversion"/>
  </si>
  <si>
    <t>Feng et al., 2011</t>
    <phoneticPr fontId="3" type="noConversion"/>
  </si>
  <si>
    <t>Days of growing</t>
    <phoneticPr fontId="3" type="noConversion"/>
  </si>
  <si>
    <t>Days of fumigation</t>
    <phoneticPr fontId="3" type="noConversion"/>
  </si>
  <si>
    <t>yield.NF</t>
    <phoneticPr fontId="3" type="noConversion"/>
  </si>
  <si>
    <t>SD.NF</t>
    <phoneticPr fontId="3" type="noConversion"/>
  </si>
  <si>
    <t>SE.NF</t>
    <phoneticPr fontId="3" type="noConversion"/>
  </si>
  <si>
    <t>1000 grain weight.NF</t>
    <phoneticPr fontId="3" type="noConversion"/>
  </si>
  <si>
    <t>Total grain no. ear-1.NF</t>
    <phoneticPr fontId="3" type="noConversion"/>
  </si>
  <si>
    <t>ears no. plant-1.NF</t>
    <phoneticPr fontId="3" type="noConversion"/>
  </si>
  <si>
    <t>Total grain no.NF</t>
    <phoneticPr fontId="3" type="noConversion"/>
  </si>
  <si>
    <t>yield.RR</t>
    <phoneticPr fontId="3" type="noConversion"/>
  </si>
  <si>
    <t>no. ear-1</t>
  </si>
  <si>
    <t>1000 grain weight.RR</t>
    <phoneticPr fontId="3" type="noConversion"/>
  </si>
  <si>
    <t>Total grain no. ear-1.RR</t>
    <phoneticPr fontId="3" type="noConversion"/>
  </si>
  <si>
    <t>ears no. plant-1.RR</t>
    <phoneticPr fontId="3" type="noConversion"/>
  </si>
  <si>
    <t>Total grain no.RR</t>
    <phoneticPr fontId="3" type="noConversion"/>
  </si>
  <si>
    <t>Control</t>
    <phoneticPr fontId="3" type="noConversion"/>
  </si>
  <si>
    <t>CK</t>
    <phoneticPr fontId="3" type="noConversion"/>
  </si>
  <si>
    <t>no. m-2</t>
  </si>
  <si>
    <t>Total grain no. ear-1</t>
  </si>
  <si>
    <t>ears no. plant-1</t>
  </si>
  <si>
    <t>assume 24  plant m-2</t>
    <phoneticPr fontId="3" type="noConversion"/>
  </si>
  <si>
    <t>yield.Y0</t>
    <phoneticPr fontId="3" type="noConversion"/>
  </si>
  <si>
    <t>1000 grain weight.Y0</t>
    <phoneticPr fontId="3" type="noConversion"/>
  </si>
  <si>
    <t>Total grain no. ear-1.Y0</t>
    <phoneticPr fontId="3" type="noConversion"/>
  </si>
  <si>
    <t>ears no. plant-1.Y0</t>
    <phoneticPr fontId="3" type="noConversion"/>
  </si>
  <si>
    <t>Total grain no.Y0</t>
    <phoneticPr fontId="3" type="noConversion"/>
  </si>
  <si>
    <t>Total grain no.RE</t>
    <phoneticPr fontId="3" type="noConversion"/>
  </si>
  <si>
    <t>Total grain no. ear-1.RE</t>
    <phoneticPr fontId="3" type="noConversion"/>
  </si>
  <si>
    <t>1000 grain weight.RE</t>
    <phoneticPr fontId="3" type="noConversion"/>
  </si>
  <si>
    <t>yield.RE</t>
    <phoneticPr fontId="3" type="noConversion"/>
  </si>
  <si>
    <t>ears no. plant-1.RE</t>
    <phoneticPr fontId="3" type="noConversion"/>
  </si>
  <si>
    <t>no. plant-1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</si>
</sst>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0000000"/>
    <numFmt numFmtId="178" formatCode="0.0_ "/>
  </numFmts>
  <fonts count="14" x14ac:knownFonts="1">
    <font>
      <sz val="11"/>
      <color theme="1"/>
      <name val="等线"/>
      <family val="2"/>
      <scheme val="minor"/>
    </font>
    <font>
      <sz val="11"/>
      <color rgb="FF006100"/>
      <name val="等线"/>
      <family val="2"/>
      <charset val="134"/>
      <scheme val="minor"/>
    </font>
    <font>
      <b/>
      <sz val="12"/>
      <name val="Times New Roman"/>
      <family val="1"/>
    </font>
    <font>
      <sz val="9"/>
      <name val="等线"/>
      <family val="3"/>
      <charset val="134"/>
      <scheme val="minor"/>
    </font>
    <font>
      <sz val="6"/>
      <name val="等线"/>
      <family val="3"/>
      <charset val="128"/>
      <scheme val="minor"/>
    </font>
    <font>
      <sz val="12"/>
      <name val="Times New Roman"/>
      <family val="1"/>
    </font>
    <font>
      <sz val="11"/>
      <name val="Times New Roman"/>
      <family val="1"/>
    </font>
    <font>
      <sz val="12"/>
      <color rgb="FFFF0000"/>
      <name val="Times New Roman"/>
      <family val="1"/>
    </font>
    <font>
      <sz val="12"/>
      <name val="Arial"/>
      <family val="2"/>
    </font>
    <font>
      <sz val="6"/>
      <name val="等线"/>
      <family val="2"/>
      <charset val="128"/>
      <scheme val="minor"/>
    </font>
    <font>
      <sz val="11"/>
      <color rgb="FFFF0000"/>
      <name val="等线"/>
      <family val="2"/>
      <scheme val="minor"/>
    </font>
    <font>
      <b/>
      <sz val="12"/>
      <color rgb="FFFF0000"/>
      <name val="Times New Roman"/>
      <family val="1"/>
    </font>
    <font>
      <sz val="11"/>
      <name val="等线"/>
      <family val="2"/>
      <scheme val="minor"/>
    </font>
    <font>
      <sz val="12"/>
      <name val="等线"/>
      <family val="2"/>
      <scheme val="minor"/>
    </font>
  </fonts>
  <fills count="7">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2" borderId="0" applyNumberFormat="0" applyBorder="0" applyAlignment="0" applyProtection="0">
      <alignment vertical="center"/>
    </xf>
  </cellStyleXfs>
  <cellXfs count="67">
    <xf numFmtId="0" fontId="0" fillId="0" borderId="0" xfId="0"/>
    <xf numFmtId="0" fontId="2" fillId="3" borderId="0" xfId="0" applyFont="1" applyFill="1" applyAlignment="1">
      <alignment horizontal="right" vertical="center"/>
    </xf>
    <xf numFmtId="0" fontId="2" fillId="5" borderId="0" xfId="0" applyFont="1" applyFill="1" applyAlignment="1">
      <alignment horizontal="right" vertical="center"/>
    </xf>
    <xf numFmtId="0" fontId="5" fillId="0" borderId="0" xfId="0" applyFont="1" applyFill="1" applyAlignment="1">
      <alignment horizontal="right"/>
    </xf>
    <xf numFmtId="0" fontId="5" fillId="0" borderId="0" xfId="0" applyFont="1" applyFill="1" applyAlignment="1">
      <alignment horizontal="right" vertical="center"/>
    </xf>
    <xf numFmtId="0" fontId="6" fillId="0" borderId="0" xfId="0" applyFont="1" applyFill="1" applyAlignment="1">
      <alignment horizontal="right" vertical="center"/>
    </xf>
    <xf numFmtId="0" fontId="6" fillId="0" borderId="0" xfId="0" applyFont="1" applyFill="1" applyAlignment="1">
      <alignment horizontal="right"/>
    </xf>
    <xf numFmtId="14" fontId="5" fillId="0" borderId="0" xfId="0" applyNumberFormat="1" applyFont="1" applyFill="1" applyAlignment="1">
      <alignment horizontal="right"/>
    </xf>
    <xf numFmtId="0" fontId="7" fillId="0" borderId="0" xfId="0" applyFont="1" applyFill="1" applyAlignment="1">
      <alignment horizontal="right"/>
    </xf>
    <xf numFmtId="0" fontId="0" fillId="0" borderId="0" xfId="0" applyFill="1" applyAlignment="1">
      <alignment horizontal="right"/>
    </xf>
    <xf numFmtId="176" fontId="5" fillId="0" borderId="0" xfId="0" applyNumberFormat="1" applyFont="1" applyFill="1" applyAlignment="1">
      <alignment horizontal="right" vertical="center"/>
    </xf>
    <xf numFmtId="178" fontId="5" fillId="0" borderId="0" xfId="0" quotePrefix="1" applyNumberFormat="1" applyFont="1" applyFill="1" applyAlignment="1">
      <alignment horizontal="right" vertical="center"/>
    </xf>
    <xf numFmtId="177" fontId="5" fillId="0" borderId="0" xfId="0" applyNumberFormat="1" applyFont="1" applyFill="1" applyAlignment="1">
      <alignment horizontal="right"/>
    </xf>
    <xf numFmtId="0" fontId="6" fillId="0" borderId="0" xfId="1" applyFont="1" applyFill="1" applyAlignment="1">
      <alignment horizontal="right"/>
    </xf>
    <xf numFmtId="176" fontId="8" fillId="0" borderId="0" xfId="0" applyNumberFormat="1" applyFont="1" applyFill="1" applyAlignment="1">
      <alignment horizontal="right" vertical="center"/>
    </xf>
    <xf numFmtId="2" fontId="6" fillId="0" borderId="0" xfId="0" applyNumberFormat="1" applyFont="1" applyFill="1" applyAlignment="1">
      <alignment horizontal="right"/>
    </xf>
    <xf numFmtId="176" fontId="6" fillId="0" borderId="0" xfId="0" applyNumberFormat="1" applyFont="1" applyFill="1" applyAlignment="1">
      <alignment horizontal="right"/>
    </xf>
    <xf numFmtId="0" fontId="10" fillId="0" borderId="0" xfId="0" applyFont="1"/>
    <xf numFmtId="14" fontId="7" fillId="0" borderId="0" xfId="0" applyNumberFormat="1" applyFont="1" applyFill="1" applyAlignment="1">
      <alignment horizontal="right"/>
    </xf>
    <xf numFmtId="0" fontId="0" fillId="0" borderId="0" xfId="0" applyFill="1"/>
    <xf numFmtId="14" fontId="10" fillId="0" borderId="0" xfId="0" applyNumberFormat="1" applyFont="1" applyFill="1"/>
    <xf numFmtId="0" fontId="0" fillId="0" borderId="0" xfId="0" applyNumberFormat="1" applyFill="1"/>
    <xf numFmtId="0" fontId="10" fillId="0" borderId="0" xfId="0" applyFont="1" applyFill="1"/>
    <xf numFmtId="0" fontId="5" fillId="0" borderId="0" xfId="0" applyFont="1" applyFill="1"/>
    <xf numFmtId="0" fontId="6" fillId="0" borderId="0" xfId="0" applyFont="1" applyFill="1" applyAlignment="1">
      <alignment vertical="center"/>
    </xf>
    <xf numFmtId="0" fontId="5" fillId="0" borderId="0" xfId="0" applyFont="1" applyFill="1" applyAlignment="1">
      <alignment vertical="center"/>
    </xf>
    <xf numFmtId="0" fontId="6" fillId="0" borderId="0" xfId="0" applyFont="1" applyFill="1" applyAlignment="1">
      <alignment horizontal="left"/>
    </xf>
    <xf numFmtId="14" fontId="7" fillId="0" borderId="0" xfId="0" applyNumberFormat="1" applyFont="1" applyFill="1" applyAlignment="1">
      <alignment horizontal="right" vertical="center"/>
    </xf>
    <xf numFmtId="176" fontId="7" fillId="0" borderId="0" xfId="0" applyNumberFormat="1" applyFont="1" applyFill="1" applyAlignment="1">
      <alignment horizontal="right" vertical="center"/>
    </xf>
    <xf numFmtId="14" fontId="0" fillId="0" borderId="0" xfId="0" applyNumberFormat="1" applyFill="1"/>
    <xf numFmtId="0" fontId="10" fillId="0" borderId="0" xfId="0" applyNumberFormat="1" applyFont="1" applyFill="1"/>
    <xf numFmtId="0" fontId="5" fillId="4" borderId="0" xfId="0" applyFont="1" applyFill="1" applyAlignment="1">
      <alignment horizontal="right"/>
    </xf>
    <xf numFmtId="0" fontId="5" fillId="4" borderId="0" xfId="0" applyFont="1" applyFill="1" applyAlignment="1">
      <alignment horizontal="right" vertical="center"/>
    </xf>
    <xf numFmtId="0" fontId="6" fillId="4" borderId="0" xfId="0" applyFont="1" applyFill="1" applyAlignment="1">
      <alignment horizontal="right" vertical="center"/>
    </xf>
    <xf numFmtId="0" fontId="6" fillId="4" borderId="0" xfId="0" applyFont="1" applyFill="1" applyAlignment="1">
      <alignment horizontal="right"/>
    </xf>
    <xf numFmtId="14" fontId="5" fillId="4" borderId="0" xfId="0" applyNumberFormat="1" applyFont="1" applyFill="1" applyAlignment="1">
      <alignment horizontal="right"/>
    </xf>
    <xf numFmtId="0" fontId="7" fillId="4" borderId="0" xfId="0" applyFont="1" applyFill="1" applyAlignment="1">
      <alignment horizontal="right"/>
    </xf>
    <xf numFmtId="0" fontId="6" fillId="4" borderId="0" xfId="0" applyFont="1" applyFill="1" applyAlignment="1">
      <alignment vertical="center"/>
    </xf>
    <xf numFmtId="14" fontId="10" fillId="4" borderId="0" xfId="0" applyNumberFormat="1" applyFont="1" applyFill="1"/>
    <xf numFmtId="14" fontId="7" fillId="4" borderId="0" xfId="0" applyNumberFormat="1" applyFont="1" applyFill="1" applyAlignment="1">
      <alignment horizontal="right"/>
    </xf>
    <xf numFmtId="0" fontId="0" fillId="4" borderId="0" xfId="0" applyNumberFormat="1" applyFill="1"/>
    <xf numFmtId="0" fontId="10" fillId="4" borderId="0" xfId="0" applyNumberFormat="1" applyFont="1" applyFill="1"/>
    <xf numFmtId="0" fontId="0" fillId="4" borderId="0" xfId="0" applyFill="1"/>
    <xf numFmtId="0" fontId="0" fillId="4" borderId="0" xfId="0" applyFill="1" applyAlignment="1">
      <alignment horizontal="right"/>
    </xf>
    <xf numFmtId="176" fontId="8" fillId="4" borderId="0" xfId="0" applyNumberFormat="1" applyFont="1" applyFill="1" applyAlignment="1">
      <alignment horizontal="right" vertical="center"/>
    </xf>
    <xf numFmtId="0" fontId="5" fillId="4" borderId="0" xfId="0" applyFont="1" applyFill="1" applyAlignment="1">
      <alignment vertical="center"/>
    </xf>
    <xf numFmtId="0" fontId="2" fillId="6" borderId="0" xfId="0" applyFont="1" applyFill="1" applyAlignment="1">
      <alignment horizontal="right" vertical="center"/>
    </xf>
    <xf numFmtId="14" fontId="0" fillId="4" borderId="0" xfId="0" applyNumberFormat="1" applyFill="1"/>
    <xf numFmtId="176" fontId="5" fillId="4" borderId="0" xfId="0" applyNumberFormat="1" applyFont="1" applyFill="1" applyAlignment="1">
      <alignment horizontal="right" vertical="center"/>
    </xf>
    <xf numFmtId="0" fontId="6" fillId="4" borderId="0" xfId="0" applyFont="1" applyFill="1" applyAlignment="1">
      <alignment horizontal="left"/>
    </xf>
    <xf numFmtId="0" fontId="10" fillId="4" borderId="0" xfId="0" applyFont="1" applyFill="1"/>
    <xf numFmtId="14" fontId="7" fillId="4" borderId="0" xfId="0" applyNumberFormat="1" applyFont="1" applyFill="1" applyAlignment="1">
      <alignment horizontal="right" vertical="center"/>
    </xf>
    <xf numFmtId="176" fontId="7" fillId="4" borderId="0" xfId="0" applyNumberFormat="1" applyFont="1" applyFill="1" applyAlignment="1">
      <alignment horizontal="right" vertical="center"/>
    </xf>
    <xf numFmtId="177" fontId="5" fillId="4" borderId="0" xfId="0" applyNumberFormat="1" applyFont="1" applyFill="1" applyAlignment="1">
      <alignment horizontal="right"/>
    </xf>
    <xf numFmtId="0" fontId="5" fillId="4" borderId="0" xfId="0" applyFont="1" applyFill="1"/>
    <xf numFmtId="178" fontId="5" fillId="4" borderId="0" xfId="0" quotePrefix="1" applyNumberFormat="1" applyFont="1" applyFill="1" applyAlignment="1">
      <alignment horizontal="right" vertical="center"/>
    </xf>
    <xf numFmtId="0" fontId="6" fillId="4" borderId="0" xfId="1" applyFont="1" applyFill="1" applyAlignment="1">
      <alignment horizontal="right"/>
    </xf>
    <xf numFmtId="0" fontId="5" fillId="0" borderId="0" xfId="0" applyFont="1" applyAlignment="1">
      <alignment horizontal="right"/>
    </xf>
    <xf numFmtId="0" fontId="11" fillId="0" borderId="0" xfId="0" applyFont="1" applyFill="1" applyAlignment="1">
      <alignment horizontal="right" vertical="center"/>
    </xf>
    <xf numFmtId="2" fontId="6" fillId="4" borderId="0" xfId="0" applyNumberFormat="1" applyFont="1" applyFill="1" applyAlignment="1">
      <alignment horizontal="right"/>
    </xf>
    <xf numFmtId="1" fontId="6" fillId="0" borderId="0" xfId="0" applyNumberFormat="1" applyFont="1" applyFill="1" applyAlignment="1">
      <alignment horizontal="right"/>
    </xf>
    <xf numFmtId="0" fontId="12" fillId="0" borderId="0" xfId="0" applyFont="1" applyFill="1"/>
    <xf numFmtId="0" fontId="13" fillId="0" borderId="0" xfId="0" applyFont="1" applyFill="1"/>
    <xf numFmtId="0" fontId="12" fillId="0" borderId="0" xfId="0" applyFont="1"/>
    <xf numFmtId="0" fontId="13" fillId="0" borderId="0" xfId="0" applyFont="1"/>
    <xf numFmtId="0" fontId="2" fillId="4" borderId="0" xfId="0" applyFont="1" applyFill="1" applyAlignment="1">
      <alignment horizontal="right" vertical="center"/>
    </xf>
    <xf numFmtId="0" fontId="5" fillId="0" borderId="0" xfId="0" applyFont="1" applyAlignment="1">
      <alignment horizontal="right" vertical="center"/>
    </xf>
  </cellXfs>
  <cellStyles count="2">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customXml" Target="../customXml/item1.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calcChain" Target="calcChain.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20-%20&#21335;&#20140;&#20449;&#24687;&#24037;&#31243;&#22823;&#23398;\2022&#24180;\00&#23454;&#39564;&#25968;&#25454;&#22788;&#29702;\meta&#20998;&#26512;O3&#23545;&#20316;&#29289;&#20135;&#37327;\05estimated%20Dose%20relationship\Output%20result\wheat\Aisa_wheat_result_Chin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Aisa_wheat_result_grain%20number_Indi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N_America_withoutKohut_wheat_result_est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N_America_withoutKohut_wheat_result_estY_1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N_America_withoutKohut_wheat_result_estY_grain%20number%20per%20ea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neDrive%20-%20&#21335;&#20140;&#20449;&#24687;&#24037;&#31243;&#22823;&#23398;\2022&#24180;\00&#23454;&#39564;&#25968;&#25454;&#22788;&#29702;\meta&#20998;&#26512;O3&#23545;&#20316;&#29289;&#20135;&#37327;\05estimated%20Dose%20relationship\Output%20result\wheat\N_America_withoutKohut_wheat_result_estY_ear%20number%20per%20plant_fix4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N_America_withoutKohut_wheat_result_estY_grain%20number.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Europe_wheat_result.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Europe_wheat_result_1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Europe_wheat_result_grain%20number%20per%20ear.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Europe_wheat_result_ear%20number%20per%20plant_fix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Aisa_wheat_result_1000_China.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Europe_wheat_result_grain%20numb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Aisa_wheat_result_grain%20number%20per%20ear_Chin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Aisa_wheat_result_ear%20number%20per%20plant_China_fix%204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Aisa_wheat_result_grain%20number_Chin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Aisa_wheat_result_Indi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Aisa_wheat_result_1000_Indi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Aisa_wheat_result_grain%20number%20per%20ear_Indi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ersonal/003485_nuist_edu_cn/Documents/2022&#24180;/00&#23454;&#39564;&#25968;&#25454;&#22788;&#29702;/meta&#20998;&#26512;O3&#23545;&#20316;&#29289;&#20135;&#37327;/05estimated%20Dose%20relationship/Output%20result/wheat/Aisa_wheat_result_ear%20number%20per%20plant_India_fix%20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cell r="V1" t="str">
            <v>RY.model</v>
          </cell>
          <cell r="W1" t="str">
            <v>M12</v>
          </cell>
        </row>
        <row r="2">
          <cell r="B2" t="str">
            <v>2012-118yangmai1852004OTC</v>
          </cell>
          <cell r="C2" t="str">
            <v>2012-118</v>
          </cell>
          <cell r="D2" t="str">
            <v>Wang</v>
          </cell>
          <cell r="E2" t="str">
            <v>China</v>
          </cell>
          <cell r="F2" t="str">
            <v>wheat</v>
          </cell>
          <cell r="G2" t="str">
            <v>yangmai185</v>
          </cell>
          <cell r="H2">
            <v>2004</v>
          </cell>
          <cell r="I2" t="str">
            <v>OTC</v>
          </cell>
          <cell r="J2" t="str">
            <v>field</v>
          </cell>
          <cell r="K2" t="str">
            <v>CF</v>
          </cell>
          <cell r="L2">
            <v>0</v>
          </cell>
          <cell r="M2"/>
          <cell r="N2">
            <v>8</v>
          </cell>
          <cell r="O2">
            <v>65</v>
          </cell>
          <cell r="P2">
            <v>3</v>
          </cell>
          <cell r="Q2">
            <v>0</v>
          </cell>
          <cell r="R2" t="str">
            <v>yield</v>
          </cell>
          <cell r="S2">
            <v>516</v>
          </cell>
          <cell r="T2" t="str">
            <v>710.436424905866</v>
          </cell>
          <cell r="U2" t="str">
            <v>0.950035489240286</v>
          </cell>
          <cell r="V2">
            <v>1</v>
          </cell>
          <cell r="W2">
            <v>21.28</v>
          </cell>
        </row>
        <row r="3">
          <cell r="B3" t="str">
            <v>2012-118yangmai1852004OTC</v>
          </cell>
          <cell r="C3" t="str">
            <v>2012-118</v>
          </cell>
          <cell r="D3" t="str">
            <v>Wang</v>
          </cell>
          <cell r="E3" t="str">
            <v>China</v>
          </cell>
          <cell r="F3" t="str">
            <v>wheat</v>
          </cell>
          <cell r="G3" t="str">
            <v>yangmai185</v>
          </cell>
          <cell r="H3">
            <v>2004</v>
          </cell>
          <cell r="I3" t="str">
            <v>OTC</v>
          </cell>
          <cell r="J3" t="str">
            <v>field</v>
          </cell>
          <cell r="K3" t="str">
            <v>NF</v>
          </cell>
          <cell r="L3">
            <v>3.82</v>
          </cell>
          <cell r="M3"/>
          <cell r="N3">
            <v>8</v>
          </cell>
          <cell r="O3">
            <v>65</v>
          </cell>
          <cell r="P3">
            <v>3</v>
          </cell>
          <cell r="Q3">
            <v>3.82</v>
          </cell>
          <cell r="R3" t="str">
            <v>yield</v>
          </cell>
          <cell r="S3">
            <v>564</v>
          </cell>
          <cell r="T3" t="str">
            <v>710.436424905866</v>
          </cell>
          <cell r="U3" t="str">
            <v>1.03841088358822</v>
          </cell>
          <cell r="V3">
            <v>0.82904461385226402</v>
          </cell>
          <cell r="W3">
            <v>33.079377589230397</v>
          </cell>
        </row>
        <row r="4">
          <cell r="B4" t="str">
            <v>2012-118yangmai1852004OTC</v>
          </cell>
          <cell r="C4" t="str">
            <v>2012-118</v>
          </cell>
          <cell r="D4" t="str">
            <v>Wang</v>
          </cell>
          <cell r="E4" t="str">
            <v>China</v>
          </cell>
          <cell r="F4" t="str">
            <v>wheat</v>
          </cell>
          <cell r="G4" t="str">
            <v>yangmai185</v>
          </cell>
          <cell r="H4">
            <v>2004</v>
          </cell>
          <cell r="I4" t="str">
            <v>OTC</v>
          </cell>
          <cell r="J4" t="str">
            <v>field</v>
          </cell>
          <cell r="K4" t="str">
            <v>EO3-1</v>
          </cell>
          <cell r="L4">
            <v>22.61</v>
          </cell>
          <cell r="M4"/>
          <cell r="N4">
            <v>8</v>
          </cell>
          <cell r="O4">
            <v>65</v>
          </cell>
          <cell r="P4">
            <v>3</v>
          </cell>
          <cell r="Q4">
            <v>22.61</v>
          </cell>
          <cell r="R4" t="str">
            <v>yield</v>
          </cell>
          <cell r="S4">
            <v>216</v>
          </cell>
          <cell r="T4" t="str">
            <v>710.436424905866</v>
          </cell>
          <cell r="U4" t="str">
            <v>0.397689274565701</v>
          </cell>
          <cell r="V4">
            <v>0.47323709509169498</v>
          </cell>
          <cell r="W4">
            <v>57.637283707443302</v>
          </cell>
        </row>
        <row r="5">
          <cell r="B5" t="str">
            <v>2012-118jia0022006OTC</v>
          </cell>
          <cell r="C5" t="str">
            <v>2012-118</v>
          </cell>
          <cell r="D5" t="str">
            <v>Wang</v>
          </cell>
          <cell r="E5" t="str">
            <v>China</v>
          </cell>
          <cell r="F5" t="str">
            <v>wheat</v>
          </cell>
          <cell r="G5" t="str">
            <v>jia002</v>
          </cell>
          <cell r="H5">
            <v>2006</v>
          </cell>
          <cell r="I5" t="str">
            <v>OTC</v>
          </cell>
          <cell r="J5" t="str">
            <v>field</v>
          </cell>
          <cell r="K5" t="str">
            <v>CF</v>
          </cell>
          <cell r="L5">
            <v>0</v>
          </cell>
          <cell r="M5"/>
          <cell r="N5">
            <v>8</v>
          </cell>
          <cell r="O5">
            <v>47</v>
          </cell>
          <cell r="P5">
            <v>3</v>
          </cell>
          <cell r="Q5">
            <v>0</v>
          </cell>
          <cell r="R5" t="str">
            <v>yield</v>
          </cell>
          <cell r="S5">
            <v>608</v>
          </cell>
          <cell r="T5" t="str">
            <v>896.96493355091</v>
          </cell>
          <cell r="U5" t="str">
            <v>0.886632123042701</v>
          </cell>
          <cell r="V5">
            <v>1</v>
          </cell>
          <cell r="W5">
            <v>21.28</v>
          </cell>
        </row>
        <row r="6">
          <cell r="B6" t="str">
            <v>2012-118jia0022006OTC</v>
          </cell>
          <cell r="C6" t="str">
            <v>2012-118</v>
          </cell>
          <cell r="D6" t="str">
            <v>Wang</v>
          </cell>
          <cell r="E6" t="str">
            <v>China</v>
          </cell>
          <cell r="F6" t="str">
            <v>wheat</v>
          </cell>
          <cell r="G6" t="str">
            <v>jia002</v>
          </cell>
          <cell r="H6">
            <v>2006</v>
          </cell>
          <cell r="I6" t="str">
            <v>OTC</v>
          </cell>
          <cell r="J6" t="str">
            <v>field</v>
          </cell>
          <cell r="K6" t="str">
            <v>NF</v>
          </cell>
          <cell r="L6">
            <v>2.5</v>
          </cell>
          <cell r="M6"/>
          <cell r="N6">
            <v>8</v>
          </cell>
          <cell r="O6">
            <v>47</v>
          </cell>
          <cell r="P6">
            <v>3</v>
          </cell>
          <cell r="Q6">
            <v>2.5</v>
          </cell>
          <cell r="R6" t="str">
            <v>yield</v>
          </cell>
          <cell r="S6">
            <v>540</v>
          </cell>
          <cell r="T6" t="str">
            <v>896.96493355091</v>
          </cell>
          <cell r="U6" t="str">
            <v>0.787469319807662</v>
          </cell>
          <cell r="V6">
            <v>0.87401952960719598</v>
          </cell>
          <cell r="W6">
            <v>29.975199492303101</v>
          </cell>
        </row>
        <row r="7">
          <cell r="B7" t="str">
            <v>2012-118jia0022006OTC</v>
          </cell>
          <cell r="C7" t="str">
            <v>2012-118</v>
          </cell>
          <cell r="D7" t="str">
            <v>Wang</v>
          </cell>
          <cell r="E7" t="str">
            <v>China</v>
          </cell>
          <cell r="F7" t="str">
            <v>wheat</v>
          </cell>
          <cell r="G7" t="str">
            <v>jia002</v>
          </cell>
          <cell r="H7">
            <v>2006</v>
          </cell>
          <cell r="I7" t="str">
            <v>OTC</v>
          </cell>
          <cell r="J7" t="str">
            <v>field</v>
          </cell>
          <cell r="K7" t="str">
            <v>EO3-1</v>
          </cell>
          <cell r="L7">
            <v>14.27</v>
          </cell>
          <cell r="M7"/>
          <cell r="N7">
            <v>8</v>
          </cell>
          <cell r="O7">
            <v>47</v>
          </cell>
          <cell r="P7">
            <v>3</v>
          </cell>
          <cell r="Q7">
            <v>14.27</v>
          </cell>
          <cell r="R7" t="str">
            <v>yield</v>
          </cell>
          <cell r="S7">
            <v>440</v>
          </cell>
          <cell r="T7" t="str">
            <v>896.96493355091</v>
          </cell>
          <cell r="U7" t="str">
            <v>0.641641667991429</v>
          </cell>
          <cell r="V7">
            <v>0.60597900566119101</v>
          </cell>
          <cell r="W7">
            <v>48.475410830212503</v>
          </cell>
        </row>
        <row r="8">
          <cell r="B8" t="str">
            <v>2012-118jia0022006OTC</v>
          </cell>
          <cell r="C8" t="str">
            <v>2012-118</v>
          </cell>
          <cell r="D8" t="str">
            <v>Wang</v>
          </cell>
          <cell r="E8" t="str">
            <v>China</v>
          </cell>
          <cell r="F8" t="str">
            <v>wheat</v>
          </cell>
          <cell r="G8" t="str">
            <v>jia002</v>
          </cell>
          <cell r="H8">
            <v>2006</v>
          </cell>
          <cell r="I8" t="str">
            <v>OTC</v>
          </cell>
          <cell r="J8" t="str">
            <v>field</v>
          </cell>
          <cell r="K8" t="str">
            <v>EO3-2</v>
          </cell>
          <cell r="L8">
            <v>24.22</v>
          </cell>
          <cell r="M8"/>
          <cell r="N8">
            <v>8</v>
          </cell>
          <cell r="O8">
            <v>47</v>
          </cell>
          <cell r="P8">
            <v>3</v>
          </cell>
          <cell r="Q8">
            <v>24.22</v>
          </cell>
          <cell r="R8" t="str">
            <v>yield</v>
          </cell>
          <cell r="S8">
            <v>364</v>
          </cell>
          <cell r="T8" t="str">
            <v>896.96493355091</v>
          </cell>
          <cell r="U8" t="str">
            <v>0.530812652611091</v>
          </cell>
          <cell r="V8">
            <v>0.44899079118933799</v>
          </cell>
          <cell r="W8">
            <v>59.3107683773612</v>
          </cell>
        </row>
        <row r="9">
          <cell r="B9" t="str">
            <v>2012-118jia0022007OTC</v>
          </cell>
          <cell r="C9" t="str">
            <v>2012-118</v>
          </cell>
          <cell r="D9" t="str">
            <v>Wang</v>
          </cell>
          <cell r="E9" t="str">
            <v>China</v>
          </cell>
          <cell r="F9" t="str">
            <v>wheat</v>
          </cell>
          <cell r="G9" t="str">
            <v>jia002</v>
          </cell>
          <cell r="H9">
            <v>2007</v>
          </cell>
          <cell r="I9" t="str">
            <v>OTC</v>
          </cell>
          <cell r="J9" t="str">
            <v>field</v>
          </cell>
          <cell r="K9" t="str">
            <v>CF</v>
          </cell>
          <cell r="L9">
            <v>0</v>
          </cell>
          <cell r="M9"/>
          <cell r="N9">
            <v>8</v>
          </cell>
          <cell r="O9">
            <v>55</v>
          </cell>
          <cell r="P9">
            <v>3</v>
          </cell>
          <cell r="Q9">
            <v>0</v>
          </cell>
          <cell r="R9" t="str">
            <v>yield</v>
          </cell>
          <cell r="S9">
            <v>660</v>
          </cell>
          <cell r="T9" t="str">
            <v>829.411794500369</v>
          </cell>
          <cell r="U9" t="str">
            <v>1.0408522278854</v>
          </cell>
          <cell r="V9">
            <v>1</v>
          </cell>
          <cell r="W9">
            <v>21.28</v>
          </cell>
        </row>
        <row r="10">
          <cell r="B10" t="str">
            <v>2012-118jia0022007OTC</v>
          </cell>
          <cell r="C10" t="str">
            <v>2012-118</v>
          </cell>
          <cell r="D10" t="str">
            <v>Wang</v>
          </cell>
          <cell r="E10" t="str">
            <v>China</v>
          </cell>
          <cell r="F10" t="str">
            <v>wheat</v>
          </cell>
          <cell r="G10" t="str">
            <v>jia002</v>
          </cell>
          <cell r="H10">
            <v>2007</v>
          </cell>
          <cell r="I10" t="str">
            <v>OTC</v>
          </cell>
          <cell r="J10" t="str">
            <v>field</v>
          </cell>
          <cell r="K10" t="str">
            <v>NF</v>
          </cell>
          <cell r="L10">
            <v>0.21</v>
          </cell>
          <cell r="M10"/>
          <cell r="N10">
            <v>8</v>
          </cell>
          <cell r="O10">
            <v>55</v>
          </cell>
          <cell r="P10">
            <v>3</v>
          </cell>
          <cell r="Q10">
            <v>0.21</v>
          </cell>
          <cell r="R10" t="str">
            <v>yield</v>
          </cell>
          <cell r="S10">
            <v>644</v>
          </cell>
          <cell r="T10" t="str">
            <v>829.411794500369</v>
          </cell>
          <cell r="U10" t="str">
            <v>1.01561944660333</v>
          </cell>
          <cell r="V10">
            <v>0.98589291237687904</v>
          </cell>
          <cell r="W10">
            <v>22.253674345738698</v>
          </cell>
        </row>
        <row r="11">
          <cell r="B11" t="str">
            <v>2012-118jia0022007OTC</v>
          </cell>
          <cell r="C11" t="str">
            <v>2012-118</v>
          </cell>
          <cell r="D11" t="str">
            <v>Wang</v>
          </cell>
          <cell r="E11" t="str">
            <v>China</v>
          </cell>
          <cell r="F11" t="str">
            <v>wheat</v>
          </cell>
          <cell r="G11" t="str">
            <v>jia002</v>
          </cell>
          <cell r="H11">
            <v>2007</v>
          </cell>
          <cell r="I11" t="str">
            <v>OTC</v>
          </cell>
          <cell r="J11" t="str">
            <v>field</v>
          </cell>
          <cell r="K11" t="str">
            <v>EO3-1</v>
          </cell>
          <cell r="L11">
            <v>1.58</v>
          </cell>
          <cell r="M11"/>
          <cell r="N11">
            <v>8</v>
          </cell>
          <cell r="O11">
            <v>55</v>
          </cell>
          <cell r="P11">
            <v>3</v>
          </cell>
          <cell r="Q11">
            <v>1.58</v>
          </cell>
          <cell r="R11" t="str">
            <v>yield</v>
          </cell>
          <cell r="S11">
            <v>604</v>
          </cell>
          <cell r="T11" t="str">
            <v>829.411794500369</v>
          </cell>
          <cell r="U11" t="str">
            <v>0.952537493398158</v>
          </cell>
          <cell r="V11">
            <v>0.91200157903226897</v>
          </cell>
          <cell r="W11">
            <v>27.3536703487053</v>
          </cell>
        </row>
        <row r="12">
          <cell r="B12" t="str">
            <v>2012-118jia0022007OTC</v>
          </cell>
          <cell r="C12" t="str">
            <v>2012-118</v>
          </cell>
          <cell r="D12" t="str">
            <v>Wang</v>
          </cell>
          <cell r="E12" t="str">
            <v>China</v>
          </cell>
          <cell r="F12" t="str">
            <v>wheat</v>
          </cell>
          <cell r="G12" t="str">
            <v>jia002</v>
          </cell>
          <cell r="H12">
            <v>2007</v>
          </cell>
          <cell r="I12" t="str">
            <v>OTC</v>
          </cell>
          <cell r="J12" t="str">
            <v>field</v>
          </cell>
          <cell r="K12" t="str">
            <v>EO3-2</v>
          </cell>
          <cell r="L12">
            <v>9.17</v>
          </cell>
          <cell r="M12"/>
          <cell r="N12">
            <v>8</v>
          </cell>
          <cell r="O12">
            <v>55</v>
          </cell>
          <cell r="P12">
            <v>3</v>
          </cell>
          <cell r="Q12">
            <v>9.17</v>
          </cell>
          <cell r="R12" t="str">
            <v>yield</v>
          </cell>
          <cell r="S12">
            <v>396</v>
          </cell>
          <cell r="T12" t="str">
            <v>829.411794500369</v>
          </cell>
          <cell r="U12" t="str">
            <v>0.624511336731243</v>
          </cell>
          <cell r="V12">
            <v>0.69939268851844505</v>
          </cell>
          <cell r="W12">
            <v>42.027979842599102</v>
          </cell>
        </row>
        <row r="13">
          <cell r="B13" t="str">
            <v>2012-118jia0022008OTC</v>
          </cell>
          <cell r="C13" t="str">
            <v>2012-118</v>
          </cell>
          <cell r="D13" t="str">
            <v>Wang</v>
          </cell>
          <cell r="E13" t="str">
            <v>China</v>
          </cell>
          <cell r="F13" t="str">
            <v>wheat</v>
          </cell>
          <cell r="G13" t="str">
            <v>jia002</v>
          </cell>
          <cell r="H13">
            <v>2008</v>
          </cell>
          <cell r="I13" t="str">
            <v>OTC</v>
          </cell>
          <cell r="J13" t="str">
            <v>field</v>
          </cell>
          <cell r="K13" t="str">
            <v>CF</v>
          </cell>
          <cell r="L13">
            <v>0.1</v>
          </cell>
          <cell r="M13"/>
          <cell r="N13">
            <v>8</v>
          </cell>
          <cell r="O13">
            <v>55</v>
          </cell>
          <cell r="P13">
            <v>3</v>
          </cell>
          <cell r="Q13">
            <v>0.1</v>
          </cell>
          <cell r="R13" t="str">
            <v>yield</v>
          </cell>
          <cell r="S13">
            <v>628</v>
          </cell>
          <cell r="T13" t="str">
            <v>792.903144437409</v>
          </cell>
          <cell r="U13" t="str">
            <v>1.03598830083614</v>
          </cell>
          <cell r="V13">
            <v>0.99316250606906198</v>
          </cell>
          <cell r="W13">
            <v>21.751925364636701</v>
          </cell>
        </row>
        <row r="14">
          <cell r="B14" t="str">
            <v>2012-118jia0022008OTC</v>
          </cell>
          <cell r="C14" t="str">
            <v>2012-118</v>
          </cell>
          <cell r="D14" t="str">
            <v>Wang</v>
          </cell>
          <cell r="E14" t="str">
            <v>China</v>
          </cell>
          <cell r="F14" t="str">
            <v>wheat</v>
          </cell>
          <cell r="G14" t="str">
            <v>jia002</v>
          </cell>
          <cell r="H14">
            <v>2008</v>
          </cell>
          <cell r="I14" t="str">
            <v>OTC</v>
          </cell>
          <cell r="J14" t="str">
            <v>field</v>
          </cell>
          <cell r="K14" t="str">
            <v>NF</v>
          </cell>
          <cell r="L14">
            <v>0.15</v>
          </cell>
          <cell r="M14"/>
          <cell r="N14">
            <v>8</v>
          </cell>
          <cell r="O14">
            <v>55</v>
          </cell>
          <cell r="P14">
            <v>3</v>
          </cell>
          <cell r="Q14">
            <v>0.15</v>
          </cell>
          <cell r="R14" t="str">
            <v>yield</v>
          </cell>
          <cell r="S14">
            <v>620</v>
          </cell>
          <cell r="T14" t="str">
            <v>792.903144437409</v>
          </cell>
          <cell r="U14" t="str">
            <v>1.02279099764078</v>
          </cell>
          <cell r="V14">
            <v>0.98982644693635602</v>
          </cell>
          <cell r="W14">
            <v>21.982180912214702</v>
          </cell>
        </row>
        <row r="15">
          <cell r="B15" t="str">
            <v>2012-118jia0022008OTC</v>
          </cell>
          <cell r="C15" t="str">
            <v>2012-118</v>
          </cell>
          <cell r="D15" t="str">
            <v>Wang</v>
          </cell>
          <cell r="E15" t="str">
            <v>China</v>
          </cell>
          <cell r="F15" t="str">
            <v>wheat</v>
          </cell>
          <cell r="G15" t="str">
            <v>jia002</v>
          </cell>
          <cell r="H15">
            <v>2008</v>
          </cell>
          <cell r="I15" t="str">
            <v>OTC</v>
          </cell>
          <cell r="J15" t="str">
            <v>field</v>
          </cell>
          <cell r="K15" t="str">
            <v>EO3-1</v>
          </cell>
          <cell r="L15">
            <v>15.32</v>
          </cell>
          <cell r="M15"/>
          <cell r="N15">
            <v>8</v>
          </cell>
          <cell r="O15">
            <v>55</v>
          </cell>
          <cell r="P15">
            <v>3</v>
          </cell>
          <cell r="Q15">
            <v>15.32</v>
          </cell>
          <cell r="R15" t="str">
            <v>yield</v>
          </cell>
          <cell r="S15">
            <v>344</v>
          </cell>
          <cell r="T15" t="str">
            <v>792.903144437409</v>
          </cell>
          <cell r="U15" t="str">
            <v>0.56748403740069</v>
          </cell>
          <cell r="V15">
            <v>0.58831705727489603</v>
          </cell>
          <cell r="W15">
            <v>49.694442005227401</v>
          </cell>
        </row>
        <row r="16">
          <cell r="B16" t="str">
            <v>2012-118jia0022008OTC</v>
          </cell>
          <cell r="C16" t="str">
            <v>2012-118</v>
          </cell>
          <cell r="D16" t="str">
            <v>Wang</v>
          </cell>
          <cell r="E16" t="str">
            <v>China</v>
          </cell>
          <cell r="F16" t="str">
            <v>wheat</v>
          </cell>
          <cell r="G16" t="str">
            <v>jia002</v>
          </cell>
          <cell r="H16">
            <v>2008</v>
          </cell>
          <cell r="I16" t="str">
            <v>OTC</v>
          </cell>
          <cell r="J16" t="str">
            <v>field</v>
          </cell>
          <cell r="K16" t="str">
            <v>EO3-2</v>
          </cell>
          <cell r="L16">
            <v>27.67</v>
          </cell>
          <cell r="M16"/>
          <cell r="N16">
            <v>8</v>
          </cell>
          <cell r="O16">
            <v>55</v>
          </cell>
          <cell r="P16">
            <v>3</v>
          </cell>
          <cell r="Q16">
            <v>27.67</v>
          </cell>
          <cell r="R16" t="str">
            <v>yield</v>
          </cell>
          <cell r="S16">
            <v>232</v>
          </cell>
          <cell r="T16" t="str">
            <v>792.903144437409</v>
          </cell>
          <cell r="U16" t="str">
            <v>0.382721792665581</v>
          </cell>
          <cell r="V16">
            <v>0.39791762868166602</v>
          </cell>
          <cell r="W16">
            <v>62.835848103898101</v>
          </cell>
        </row>
        <row r="17">
          <cell r="B17" t="str">
            <v>2011-133Y152007FACE</v>
          </cell>
          <cell r="C17" t="str">
            <v>2011-133</v>
          </cell>
          <cell r="D17" t="str">
            <v>Zhu</v>
          </cell>
          <cell r="E17" t="str">
            <v>China</v>
          </cell>
          <cell r="F17" t="str">
            <v>wheat</v>
          </cell>
          <cell r="G17" t="str">
            <v>Y15</v>
          </cell>
          <cell r="H17">
            <v>2007</v>
          </cell>
          <cell r="I17" t="str">
            <v>FACE</v>
          </cell>
          <cell r="J17" t="str">
            <v>field</v>
          </cell>
          <cell r="K17" t="str">
            <v>NF</v>
          </cell>
          <cell r="L17">
            <v>7.27</v>
          </cell>
          <cell r="M17">
            <v>46.4</v>
          </cell>
          <cell r="N17">
            <v>7</v>
          </cell>
          <cell r="O17">
            <v>75</v>
          </cell>
          <cell r="P17">
            <v>3</v>
          </cell>
          <cell r="Q17">
            <v>7.27</v>
          </cell>
          <cell r="R17" t="str">
            <v>yield</v>
          </cell>
          <cell r="S17">
            <v>863.55140186915901</v>
          </cell>
          <cell r="T17" t="str">
            <v>1545.86308076123</v>
          </cell>
          <cell r="U17" t="str">
            <v>0.730688909783072</v>
          </cell>
          <cell r="V17">
            <v>0.73957882732235802</v>
          </cell>
          <cell r="W17">
            <v>39.254324462667498</v>
          </cell>
        </row>
        <row r="18">
          <cell r="B18" t="str">
            <v>2011-133Y152007FACE</v>
          </cell>
          <cell r="C18" t="str">
            <v>2011-133</v>
          </cell>
          <cell r="D18" t="str">
            <v>Zhu</v>
          </cell>
          <cell r="E18" t="str">
            <v>China</v>
          </cell>
          <cell r="F18" t="str">
            <v>wheat</v>
          </cell>
          <cell r="G18" t="str">
            <v>Y15</v>
          </cell>
          <cell r="H18">
            <v>2007</v>
          </cell>
          <cell r="I18" t="str">
            <v>FACE</v>
          </cell>
          <cell r="J18" t="str">
            <v>field</v>
          </cell>
          <cell r="K18" t="str">
            <v>EO3</v>
          </cell>
          <cell r="L18">
            <v>13.8865</v>
          </cell>
          <cell r="M18">
            <v>56.9</v>
          </cell>
          <cell r="N18">
            <v>7</v>
          </cell>
          <cell r="O18">
            <v>75</v>
          </cell>
          <cell r="P18">
            <v>3</v>
          </cell>
          <cell r="Q18">
            <v>13.8865</v>
          </cell>
          <cell r="R18" t="str">
            <v>yield</v>
          </cell>
          <cell r="S18">
            <v>732.71028037383201</v>
          </cell>
          <cell r="T18" t="str">
            <v>1545.86308076123</v>
          </cell>
          <cell r="U18" t="str">
            <v>0.619978468906849</v>
          </cell>
          <cell r="V18">
            <v>0.61252982623938601</v>
          </cell>
          <cell r="W18">
            <v>48.023271895574503</v>
          </cell>
        </row>
        <row r="19">
          <cell r="B19" t="str">
            <v>2011-133Y162007FACE</v>
          </cell>
          <cell r="C19" t="str">
            <v>2011-133</v>
          </cell>
          <cell r="D19" t="str">
            <v>Zhu</v>
          </cell>
          <cell r="E19" t="str">
            <v>China</v>
          </cell>
          <cell r="F19" t="str">
            <v>wheat</v>
          </cell>
          <cell r="G19" t="str">
            <v>Y16</v>
          </cell>
          <cell r="H19">
            <v>2007</v>
          </cell>
          <cell r="I19" t="str">
            <v>FACE</v>
          </cell>
          <cell r="J19" t="str">
            <v>field</v>
          </cell>
          <cell r="K19" t="str">
            <v>NF</v>
          </cell>
          <cell r="L19">
            <v>7.75</v>
          </cell>
          <cell r="M19">
            <v>46.4</v>
          </cell>
          <cell r="N19">
            <v>7</v>
          </cell>
          <cell r="O19">
            <v>75</v>
          </cell>
          <cell r="P19">
            <v>3</v>
          </cell>
          <cell r="Q19">
            <v>7.75</v>
          </cell>
          <cell r="R19" t="str">
            <v>yield</v>
          </cell>
          <cell r="S19">
            <v>843.92523364485999</v>
          </cell>
          <cell r="T19" t="str">
            <v>1499.51261801059</v>
          </cell>
          <cell r="U19" t="str">
            <v>0.736154880203033</v>
          </cell>
          <cell r="V19">
            <v>0.72900759687045102</v>
          </cell>
          <cell r="W19">
            <v>39.9839529201913</v>
          </cell>
        </row>
        <row r="20">
          <cell r="B20" t="str">
            <v>2011-133Y162007FACE</v>
          </cell>
          <cell r="C20" t="str">
            <v>2011-133</v>
          </cell>
          <cell r="D20" t="str">
            <v>Zhu</v>
          </cell>
          <cell r="E20" t="str">
            <v>China</v>
          </cell>
          <cell r="F20" t="str">
            <v>wheat</v>
          </cell>
          <cell r="G20" t="str">
            <v>Y16</v>
          </cell>
          <cell r="H20">
            <v>2007</v>
          </cell>
          <cell r="I20" t="str">
            <v>FACE</v>
          </cell>
          <cell r="J20" t="str">
            <v>field</v>
          </cell>
          <cell r="K20" t="str">
            <v>EO3</v>
          </cell>
          <cell r="L20">
            <v>14.6637</v>
          </cell>
          <cell r="M20">
            <v>56.9</v>
          </cell>
          <cell r="N20">
            <v>7</v>
          </cell>
          <cell r="O20">
            <v>75</v>
          </cell>
          <cell r="P20">
            <v>3</v>
          </cell>
          <cell r="Q20">
            <v>14.6637</v>
          </cell>
          <cell r="R20" t="str">
            <v>yield</v>
          </cell>
          <cell r="S20">
            <v>680.37383177570098</v>
          </cell>
          <cell r="T20" t="str">
            <v>1499.51261801059</v>
          </cell>
          <cell r="U20" t="str">
            <v>0.593489205745081</v>
          </cell>
          <cell r="V20">
            <v>0.599311486831407</v>
          </cell>
          <cell r="W20">
            <v>48.935604300645799</v>
          </cell>
        </row>
        <row r="21">
          <cell r="B21" t="str">
            <v>2011-133Y192007FACE</v>
          </cell>
          <cell r="C21" t="str">
            <v>2011-133</v>
          </cell>
          <cell r="D21" t="str">
            <v>Zhu</v>
          </cell>
          <cell r="E21" t="str">
            <v>China</v>
          </cell>
          <cell r="F21" t="str">
            <v>wheat</v>
          </cell>
          <cell r="G21" t="str">
            <v>Y19</v>
          </cell>
          <cell r="H21">
            <v>2007</v>
          </cell>
          <cell r="I21" t="str">
            <v>FACE</v>
          </cell>
          <cell r="J21" t="str">
            <v>field</v>
          </cell>
          <cell r="K21" t="str">
            <v>NF</v>
          </cell>
          <cell r="L21">
            <v>8.4130000000000003</v>
          </cell>
          <cell r="M21">
            <v>46.4</v>
          </cell>
          <cell r="N21">
            <v>7</v>
          </cell>
          <cell r="O21">
            <v>75</v>
          </cell>
          <cell r="P21">
            <v>3</v>
          </cell>
          <cell r="Q21">
            <v>8.4130000000000003</v>
          </cell>
          <cell r="R21" t="str">
            <v>yield</v>
          </cell>
          <cell r="S21">
            <v>713.08411214953298</v>
          </cell>
          <cell r="T21" t="str">
            <v>1292.16601614624</v>
          </cell>
          <cell r="U21" t="str">
            <v>0.721834761798602</v>
          </cell>
          <cell r="V21">
            <v>0.71489848440225301</v>
          </cell>
          <cell r="W21">
            <v>40.957766700605603</v>
          </cell>
        </row>
        <row r="22">
          <cell r="B22" t="str">
            <v>2011-133Y192007FACE</v>
          </cell>
          <cell r="C22" t="str">
            <v>2011-133</v>
          </cell>
          <cell r="D22" t="str">
            <v>Zhu</v>
          </cell>
          <cell r="E22" t="str">
            <v>China</v>
          </cell>
          <cell r="F22" t="str">
            <v>wheat</v>
          </cell>
          <cell r="G22" t="str">
            <v>Y19</v>
          </cell>
          <cell r="H22">
            <v>2007</v>
          </cell>
          <cell r="I22" t="str">
            <v>FACE</v>
          </cell>
          <cell r="J22" t="str">
            <v>field</v>
          </cell>
          <cell r="K22" t="str">
            <v>EO3</v>
          </cell>
          <cell r="L22">
            <v>15.313599999999999</v>
          </cell>
          <cell r="M22">
            <v>56.9</v>
          </cell>
          <cell r="N22">
            <v>7</v>
          </cell>
          <cell r="O22">
            <v>75</v>
          </cell>
          <cell r="P22">
            <v>3</v>
          </cell>
          <cell r="Q22">
            <v>15.313599999999999</v>
          </cell>
          <cell r="R22" t="str">
            <v>yield</v>
          </cell>
          <cell r="S22">
            <v>575.70093457943904</v>
          </cell>
          <cell r="T22" t="str">
            <v>1292.16601614624</v>
          </cell>
          <cell r="U22" t="str">
            <v>0.582765679250247</v>
          </cell>
          <cell r="V22">
            <v>0.588423582130981</v>
          </cell>
          <cell r="W22">
            <v>49.687089638579103</v>
          </cell>
        </row>
        <row r="23">
          <cell r="B23" t="str">
            <v>2011-133Y22007FACE</v>
          </cell>
          <cell r="C23" t="str">
            <v>2011-133</v>
          </cell>
          <cell r="D23" t="str">
            <v>Zhu</v>
          </cell>
          <cell r="E23" t="str">
            <v>China</v>
          </cell>
          <cell r="F23" t="str">
            <v>wheat</v>
          </cell>
          <cell r="G23" t="str">
            <v>Y2</v>
          </cell>
          <cell r="H23">
            <v>2007</v>
          </cell>
          <cell r="I23" t="str">
            <v>FACE</v>
          </cell>
          <cell r="J23" t="str">
            <v>field</v>
          </cell>
          <cell r="K23" t="str">
            <v>NF</v>
          </cell>
          <cell r="L23">
            <v>7.7503000000000002</v>
          </cell>
          <cell r="M23">
            <v>46.4</v>
          </cell>
          <cell r="N23">
            <v>7</v>
          </cell>
          <cell r="O23">
            <v>75</v>
          </cell>
          <cell r="P23">
            <v>3</v>
          </cell>
          <cell r="Q23">
            <v>7.7503000000000002</v>
          </cell>
          <cell r="R23" t="str">
            <v>yield</v>
          </cell>
          <cell r="S23">
            <v>765.42056074766401</v>
          </cell>
          <cell r="T23" t="str">
            <v>1306.15012295458</v>
          </cell>
          <cell r="U23" t="str">
            <v>0.766518032005825</v>
          </cell>
          <cell r="V23">
            <v>0.72900108840639299</v>
          </cell>
          <cell r="W23">
            <v>39.984402135691703</v>
          </cell>
        </row>
        <row r="24">
          <cell r="B24" t="str">
            <v>2011-133Y22007FACE</v>
          </cell>
          <cell r="C24" t="str">
            <v>2011-133</v>
          </cell>
          <cell r="D24" t="str">
            <v>Zhu</v>
          </cell>
          <cell r="E24" t="str">
            <v>China</v>
          </cell>
          <cell r="F24" t="str">
            <v>wheat</v>
          </cell>
          <cell r="G24" t="str">
            <v>Y2</v>
          </cell>
          <cell r="H24">
            <v>2007</v>
          </cell>
          <cell r="I24" t="str">
            <v>FACE</v>
          </cell>
          <cell r="J24" t="str">
            <v>field</v>
          </cell>
          <cell r="K24" t="str">
            <v>EO3</v>
          </cell>
          <cell r="L24">
            <v>14.6637</v>
          </cell>
          <cell r="M24">
            <v>56.9</v>
          </cell>
          <cell r="N24">
            <v>7</v>
          </cell>
          <cell r="O24">
            <v>75</v>
          </cell>
          <cell r="P24">
            <v>3</v>
          </cell>
          <cell r="Q24">
            <v>14.6637</v>
          </cell>
          <cell r="R24" t="str">
            <v>yield</v>
          </cell>
          <cell r="S24">
            <v>569.158878504673</v>
          </cell>
          <cell r="T24" t="str">
            <v>1306.15012295458</v>
          </cell>
          <cell r="U24" t="str">
            <v>0.569974946876126</v>
          </cell>
          <cell r="V24">
            <v>0.599311486831407</v>
          </cell>
          <cell r="W24">
            <v>48.935604300645799</v>
          </cell>
        </row>
        <row r="25">
          <cell r="B25" t="str">
            <v>2011-133Y152008FACE</v>
          </cell>
          <cell r="C25" t="str">
            <v>2011-133</v>
          </cell>
          <cell r="D25" t="str">
            <v>Zhu</v>
          </cell>
          <cell r="E25" t="str">
            <v>China</v>
          </cell>
          <cell r="F25" t="str">
            <v>wheat</v>
          </cell>
          <cell r="G25" t="str">
            <v>Y15</v>
          </cell>
          <cell r="H25">
            <v>2008</v>
          </cell>
          <cell r="I25" t="str">
            <v>FACE</v>
          </cell>
          <cell r="J25" t="str">
            <v>field</v>
          </cell>
          <cell r="K25" t="str">
            <v>NF</v>
          </cell>
          <cell r="L25">
            <v>8.2789999999999999</v>
          </cell>
          <cell r="M25">
            <v>46</v>
          </cell>
          <cell r="N25">
            <v>7</v>
          </cell>
          <cell r="O25">
            <v>75</v>
          </cell>
          <cell r="P25">
            <v>3</v>
          </cell>
          <cell r="Q25">
            <v>8.2789999999999999</v>
          </cell>
          <cell r="R25" t="str">
            <v>yield</v>
          </cell>
          <cell r="S25">
            <v>985.91549295774598</v>
          </cell>
          <cell r="T25" t="str">
            <v>1820.01077009024</v>
          </cell>
          <cell r="U25" t="str">
            <v>0.708567258862387</v>
          </cell>
          <cell r="V25">
            <v>0.71770758432781201</v>
          </cell>
          <cell r="W25">
            <v>40.763882059360199</v>
          </cell>
        </row>
        <row r="26">
          <cell r="B26" t="str">
            <v>2011-133Y152008FACE</v>
          </cell>
          <cell r="C26" t="str">
            <v>2011-133</v>
          </cell>
          <cell r="D26" t="str">
            <v>Zhu</v>
          </cell>
          <cell r="E26" t="str">
            <v>China</v>
          </cell>
          <cell r="F26" t="str">
            <v>wheat</v>
          </cell>
          <cell r="G26" t="str">
            <v>Y15</v>
          </cell>
          <cell r="H26">
            <v>2008</v>
          </cell>
          <cell r="I26" t="str">
            <v>FACE</v>
          </cell>
          <cell r="J26" t="str">
            <v>field</v>
          </cell>
          <cell r="K26" t="str">
            <v>EO3</v>
          </cell>
          <cell r="L26">
            <v>16.7821</v>
          </cell>
          <cell r="M26">
            <v>57.6</v>
          </cell>
          <cell r="N26">
            <v>7</v>
          </cell>
          <cell r="O26">
            <v>75</v>
          </cell>
          <cell r="P26">
            <v>3</v>
          </cell>
          <cell r="Q26">
            <v>16.7821</v>
          </cell>
          <cell r="R26" t="str">
            <v>yield</v>
          </cell>
          <cell r="S26">
            <v>795.305164319249</v>
          </cell>
          <cell r="T26" t="str">
            <v>1820.01077009024</v>
          </cell>
          <cell r="U26" t="str">
            <v>0.571577588815659</v>
          </cell>
          <cell r="V26">
            <v>0.564301859786979</v>
          </cell>
          <cell r="W26">
            <v>51.351975685012498</v>
          </cell>
        </row>
        <row r="27">
          <cell r="B27" t="str">
            <v>2011-133Y162008FACE</v>
          </cell>
          <cell r="C27" t="str">
            <v>2011-133</v>
          </cell>
          <cell r="D27" t="str">
            <v>Zhu</v>
          </cell>
          <cell r="E27" t="str">
            <v>China</v>
          </cell>
          <cell r="F27" t="str">
            <v>wheat</v>
          </cell>
          <cell r="G27" t="str">
            <v>Y16</v>
          </cell>
          <cell r="H27">
            <v>2008</v>
          </cell>
          <cell r="I27" t="str">
            <v>FACE</v>
          </cell>
          <cell r="J27" t="str">
            <v>field</v>
          </cell>
          <cell r="K27" t="str">
            <v>NF</v>
          </cell>
          <cell r="L27">
            <v>8.4710000000000001</v>
          </cell>
          <cell r="M27">
            <v>46</v>
          </cell>
          <cell r="N27">
            <v>7</v>
          </cell>
          <cell r="O27">
            <v>75</v>
          </cell>
          <cell r="P27">
            <v>3</v>
          </cell>
          <cell r="Q27">
            <v>8.4710000000000001</v>
          </cell>
          <cell r="R27" t="str">
            <v>yield</v>
          </cell>
          <cell r="S27">
            <v>887.32394366197195</v>
          </cell>
          <cell r="T27" t="str">
            <v>1664.89490040108</v>
          </cell>
          <cell r="U27" t="str">
            <v>0.697125108580111</v>
          </cell>
          <cell r="V27">
            <v>0.71368892249734195</v>
          </cell>
          <cell r="W27">
            <v>41.041250906206002</v>
          </cell>
        </row>
        <row r="28">
          <cell r="B28" t="str">
            <v>2011-133Y162008FACE</v>
          </cell>
          <cell r="C28" t="str">
            <v>2011-133</v>
          </cell>
          <cell r="D28" t="str">
            <v>Zhu</v>
          </cell>
          <cell r="E28" t="str">
            <v>China</v>
          </cell>
          <cell r="F28" t="str">
            <v>wheat</v>
          </cell>
          <cell r="G28" t="str">
            <v>Y16</v>
          </cell>
          <cell r="H28">
            <v>2008</v>
          </cell>
          <cell r="I28" t="str">
            <v>FACE</v>
          </cell>
          <cell r="J28" t="str">
            <v>field</v>
          </cell>
          <cell r="K28" t="str">
            <v>EO3</v>
          </cell>
          <cell r="L28">
            <v>16.742999999999999</v>
          </cell>
          <cell r="M28">
            <v>57.6</v>
          </cell>
          <cell r="N28">
            <v>7</v>
          </cell>
          <cell r="O28">
            <v>75</v>
          </cell>
          <cell r="P28">
            <v>3</v>
          </cell>
          <cell r="Q28">
            <v>16.742999999999999</v>
          </cell>
          <cell r="R28" t="str">
            <v>yield</v>
          </cell>
          <cell r="S28">
            <v>736.15023474178395</v>
          </cell>
          <cell r="T28" t="str">
            <v>1664.89490040108</v>
          </cell>
          <cell r="U28" t="str">
            <v>0.578355645636833</v>
          </cell>
          <cell r="V28">
            <v>0.56493632180327302</v>
          </cell>
          <cell r="W28">
            <v>51.308184991261101</v>
          </cell>
        </row>
        <row r="29">
          <cell r="B29" t="str">
            <v>2011-133Y192008FACE</v>
          </cell>
          <cell r="C29" t="str">
            <v>2011-133</v>
          </cell>
          <cell r="D29" t="str">
            <v>Zhu</v>
          </cell>
          <cell r="E29" t="str">
            <v>China</v>
          </cell>
          <cell r="F29" t="str">
            <v>wheat</v>
          </cell>
          <cell r="G29" t="str">
            <v>Y19</v>
          </cell>
          <cell r="H29">
            <v>2008</v>
          </cell>
          <cell r="I29" t="str">
            <v>FACE</v>
          </cell>
          <cell r="J29" t="str">
            <v>field</v>
          </cell>
          <cell r="K29" t="str">
            <v>NF</v>
          </cell>
          <cell r="L29">
            <v>9.1110000000000007</v>
          </cell>
          <cell r="M29">
            <v>46</v>
          </cell>
          <cell r="N29">
            <v>7</v>
          </cell>
          <cell r="O29">
            <v>75</v>
          </cell>
          <cell r="P29">
            <v>3</v>
          </cell>
          <cell r="Q29">
            <v>9.1110000000000007</v>
          </cell>
          <cell r="R29" t="str">
            <v>yield</v>
          </cell>
          <cell r="S29">
            <v>841.31455399060997</v>
          </cell>
          <cell r="T29" t="str">
            <v>1419.36352709431</v>
          </cell>
          <cell r="U29" t="str">
            <v>0.775318431039634</v>
          </cell>
          <cell r="V29">
            <v>0.700580327023542</v>
          </cell>
          <cell r="W29">
            <v>41.946008795063698</v>
          </cell>
        </row>
        <row r="30">
          <cell r="B30" t="str">
            <v>2011-133Y192008FACE</v>
          </cell>
          <cell r="C30" t="str">
            <v>2011-133</v>
          </cell>
          <cell r="D30" t="str">
            <v>Zhu</v>
          </cell>
          <cell r="E30" t="str">
            <v>China</v>
          </cell>
          <cell r="F30" t="str">
            <v>wheat</v>
          </cell>
          <cell r="G30" t="str">
            <v>Y19</v>
          </cell>
          <cell r="H30">
            <v>2008</v>
          </cell>
          <cell r="I30" t="str">
            <v>FACE</v>
          </cell>
          <cell r="J30" t="str">
            <v>field</v>
          </cell>
          <cell r="K30" t="str">
            <v>EO3</v>
          </cell>
          <cell r="L30">
            <v>17.272200000000002</v>
          </cell>
          <cell r="M30">
            <v>57.6</v>
          </cell>
          <cell r="N30">
            <v>7</v>
          </cell>
          <cell r="O30">
            <v>75</v>
          </cell>
          <cell r="P30">
            <v>3</v>
          </cell>
          <cell r="Q30">
            <v>17.272200000000002</v>
          </cell>
          <cell r="R30" t="str">
            <v>yield</v>
          </cell>
          <cell r="S30">
            <v>545.53990610328594</v>
          </cell>
          <cell r="T30" t="str">
            <v>1419.36352709431</v>
          </cell>
          <cell r="U30" t="str">
            <v>0.502745545127263</v>
          </cell>
          <cell r="V30">
            <v>0.55638216141671504</v>
          </cell>
          <cell r="W30">
            <v>51.898594831332403</v>
          </cell>
        </row>
        <row r="31">
          <cell r="B31" t="str">
            <v>2011-133Y22008FACE</v>
          </cell>
          <cell r="C31" t="str">
            <v>2011-133</v>
          </cell>
          <cell r="D31" t="str">
            <v>Zhu</v>
          </cell>
          <cell r="E31" t="str">
            <v>China</v>
          </cell>
          <cell r="F31" t="str">
            <v>wheat</v>
          </cell>
          <cell r="G31" t="str">
            <v>Y2</v>
          </cell>
          <cell r="H31">
            <v>2008</v>
          </cell>
          <cell r="I31" t="str">
            <v>FACE</v>
          </cell>
          <cell r="J31" t="str">
            <v>field</v>
          </cell>
          <cell r="K31" t="str">
            <v>NF</v>
          </cell>
          <cell r="L31">
            <v>8.4710000000000001</v>
          </cell>
          <cell r="M31">
            <v>46</v>
          </cell>
          <cell r="N31">
            <v>7</v>
          </cell>
          <cell r="O31">
            <v>75</v>
          </cell>
          <cell r="P31">
            <v>3</v>
          </cell>
          <cell r="Q31">
            <v>8.4710000000000001</v>
          </cell>
          <cell r="R31" t="str">
            <v>yield</v>
          </cell>
          <cell r="S31">
            <v>874.178403755869</v>
          </cell>
          <cell r="T31" t="str">
            <v>1569.26914183939</v>
          </cell>
          <cell r="U31" t="str">
            <v>0.728648350048781</v>
          </cell>
          <cell r="V31">
            <v>0.71368892249734195</v>
          </cell>
          <cell r="W31">
            <v>41.041250906206002</v>
          </cell>
        </row>
        <row r="32">
          <cell r="B32" t="str">
            <v>2011-133Y22008FACE</v>
          </cell>
          <cell r="C32" t="str">
            <v>2011-133</v>
          </cell>
          <cell r="D32" t="str">
            <v>Zhu</v>
          </cell>
          <cell r="E32" t="str">
            <v>China</v>
          </cell>
          <cell r="F32" t="str">
            <v>wheat</v>
          </cell>
          <cell r="G32" t="str">
            <v>Y2</v>
          </cell>
          <cell r="H32">
            <v>2008</v>
          </cell>
          <cell r="I32" t="str">
            <v>FACE</v>
          </cell>
          <cell r="J32" t="str">
            <v>field</v>
          </cell>
          <cell r="K32" t="str">
            <v>EO3</v>
          </cell>
          <cell r="L32">
            <v>16.742999999999999</v>
          </cell>
          <cell r="M32">
            <v>57.6</v>
          </cell>
          <cell r="N32">
            <v>7</v>
          </cell>
          <cell r="O32">
            <v>75</v>
          </cell>
          <cell r="P32">
            <v>3</v>
          </cell>
          <cell r="Q32">
            <v>16.742999999999999</v>
          </cell>
          <cell r="R32" t="str">
            <v>yield</v>
          </cell>
          <cell r="S32">
            <v>663.84976525821605</v>
          </cell>
          <cell r="T32" t="str">
            <v>1569.26914183939</v>
          </cell>
          <cell r="U32" t="str">
            <v>0.553334461315239</v>
          </cell>
          <cell r="V32">
            <v>0.56493632180327302</v>
          </cell>
          <cell r="W32">
            <v>51.308184991261101</v>
          </cell>
        </row>
        <row r="33">
          <cell r="B33" t="str">
            <v>2011-133Y152009FACE</v>
          </cell>
          <cell r="C33" t="str">
            <v>2011-133</v>
          </cell>
          <cell r="D33" t="str">
            <v>Zhu</v>
          </cell>
          <cell r="E33" t="str">
            <v>China</v>
          </cell>
          <cell r="F33" t="str">
            <v>wheat</v>
          </cell>
          <cell r="G33" t="str">
            <v>Y15</v>
          </cell>
          <cell r="H33">
            <v>2009</v>
          </cell>
          <cell r="I33" t="str">
            <v>FACE</v>
          </cell>
          <cell r="J33" t="str">
            <v>field</v>
          </cell>
          <cell r="K33" t="str">
            <v>NF</v>
          </cell>
          <cell r="L33">
            <v>6.6849999999999996</v>
          </cell>
          <cell r="M33">
            <v>44.6</v>
          </cell>
          <cell r="N33">
            <v>7</v>
          </cell>
          <cell r="O33">
            <v>75</v>
          </cell>
          <cell r="P33">
            <v>3</v>
          </cell>
          <cell r="Q33">
            <v>6.6849999999999996</v>
          </cell>
          <cell r="R33" t="str">
            <v>yield</v>
          </cell>
          <cell r="S33">
            <v>644.131455399061</v>
          </cell>
          <cell r="T33" t="str">
            <v>1170.44454208606</v>
          </cell>
          <cell r="U33" t="str">
            <v>0.719845036747689</v>
          </cell>
          <cell r="V33">
            <v>0.75292805907346005</v>
          </cell>
          <cell r="W33">
            <v>38.332957787924201</v>
          </cell>
        </row>
        <row r="34">
          <cell r="B34" t="str">
            <v>2011-133Y152009FACE</v>
          </cell>
          <cell r="C34" t="str">
            <v>2011-133</v>
          </cell>
          <cell r="D34" t="str">
            <v>Zhu</v>
          </cell>
          <cell r="E34" t="str">
            <v>China</v>
          </cell>
          <cell r="F34" t="str">
            <v>wheat</v>
          </cell>
          <cell r="G34" t="str">
            <v>Y15</v>
          </cell>
          <cell r="H34">
            <v>2009</v>
          </cell>
          <cell r="I34" t="str">
            <v>FACE</v>
          </cell>
          <cell r="J34" t="str">
            <v>field</v>
          </cell>
          <cell r="K34" t="str">
            <v>EO3</v>
          </cell>
          <cell r="L34">
            <v>14.805400000000001</v>
          </cell>
          <cell r="M34">
            <v>57.3</v>
          </cell>
          <cell r="N34">
            <v>7</v>
          </cell>
          <cell r="O34">
            <v>75</v>
          </cell>
          <cell r="P34">
            <v>3</v>
          </cell>
          <cell r="Q34">
            <v>14.805400000000001</v>
          </cell>
          <cell r="R34" t="str">
            <v>yield</v>
          </cell>
          <cell r="S34">
            <v>558.68544600939003</v>
          </cell>
          <cell r="T34" t="str">
            <v>1170.44454208606</v>
          </cell>
          <cell r="U34" t="str">
            <v>0.624355389015853</v>
          </cell>
          <cell r="V34">
            <v>0.59692531985724795</v>
          </cell>
          <cell r="W34">
            <v>49.100298017735902</v>
          </cell>
        </row>
        <row r="35">
          <cell r="B35" t="str">
            <v>2011-133Y162009FACE</v>
          </cell>
          <cell r="C35" t="str">
            <v>2011-133</v>
          </cell>
          <cell r="D35" t="str">
            <v>Zhu</v>
          </cell>
          <cell r="E35" t="str">
            <v>China</v>
          </cell>
          <cell r="F35" t="str">
            <v>wheat</v>
          </cell>
          <cell r="G35" t="str">
            <v>Y16</v>
          </cell>
          <cell r="H35">
            <v>2009</v>
          </cell>
          <cell r="I35" t="str">
            <v>FACE</v>
          </cell>
          <cell r="J35" t="str">
            <v>field</v>
          </cell>
          <cell r="K35" t="str">
            <v>NF</v>
          </cell>
          <cell r="L35">
            <v>6.9059999999999997</v>
          </cell>
          <cell r="M35">
            <v>44.6</v>
          </cell>
          <cell r="N35">
            <v>7</v>
          </cell>
          <cell r="O35">
            <v>75</v>
          </cell>
          <cell r="P35">
            <v>3</v>
          </cell>
          <cell r="Q35">
            <v>6.9059999999999997</v>
          </cell>
          <cell r="R35" t="str">
            <v>yield</v>
          </cell>
          <cell r="S35">
            <v>637.55868544600901</v>
          </cell>
          <cell r="T35" t="str">
            <v>1124.41281863439</v>
          </cell>
          <cell r="U35" t="str">
            <v>0.741668315206046</v>
          </cell>
          <cell r="V35">
            <v>0.74782058454964195</v>
          </cell>
          <cell r="W35">
            <v>38.685476713328903</v>
          </cell>
        </row>
        <row r="36">
          <cell r="B36" t="str">
            <v>2011-133Y162009FACE</v>
          </cell>
          <cell r="C36" t="str">
            <v>2011-133</v>
          </cell>
          <cell r="D36" t="str">
            <v>Zhu</v>
          </cell>
          <cell r="E36" t="str">
            <v>China</v>
          </cell>
          <cell r="F36" t="str">
            <v>wheat</v>
          </cell>
          <cell r="G36" t="str">
            <v>Y16</v>
          </cell>
          <cell r="H36">
            <v>2009</v>
          </cell>
          <cell r="I36" t="str">
            <v>FACE</v>
          </cell>
          <cell r="J36" t="str">
            <v>field</v>
          </cell>
          <cell r="K36" t="str">
            <v>EO3</v>
          </cell>
          <cell r="L36">
            <v>15.1297</v>
          </cell>
          <cell r="M36">
            <v>57.3</v>
          </cell>
          <cell r="N36">
            <v>7</v>
          </cell>
          <cell r="O36">
            <v>75</v>
          </cell>
          <cell r="P36">
            <v>3</v>
          </cell>
          <cell r="Q36">
            <v>15.1297</v>
          </cell>
          <cell r="R36" t="str">
            <v>yield</v>
          </cell>
          <cell r="S36">
            <v>512.67605633802805</v>
          </cell>
          <cell r="T36" t="str">
            <v>1124.41281863439</v>
          </cell>
          <cell r="U36" t="str">
            <v>0.596393078206924</v>
          </cell>
          <cell r="V36">
            <v>0.59149016780343</v>
          </cell>
          <cell r="W36">
            <v>49.475433288525601</v>
          </cell>
        </row>
        <row r="37">
          <cell r="B37" t="str">
            <v>2011-133Y192009FACE</v>
          </cell>
          <cell r="C37" t="str">
            <v>2011-133</v>
          </cell>
          <cell r="D37" t="str">
            <v>Zhu</v>
          </cell>
          <cell r="E37" t="str">
            <v>China</v>
          </cell>
          <cell r="F37" t="str">
            <v>wheat</v>
          </cell>
          <cell r="G37" t="str">
            <v>Y19</v>
          </cell>
          <cell r="H37">
            <v>2009</v>
          </cell>
          <cell r="I37" t="str">
            <v>FACE</v>
          </cell>
          <cell r="J37" t="str">
            <v>field</v>
          </cell>
          <cell r="K37" t="str">
            <v>NF</v>
          </cell>
          <cell r="L37">
            <v>7.8869999999999996</v>
          </cell>
          <cell r="M37">
            <v>44.6</v>
          </cell>
          <cell r="N37">
            <v>7</v>
          </cell>
          <cell r="O37">
            <v>75</v>
          </cell>
          <cell r="P37">
            <v>3</v>
          </cell>
          <cell r="Q37">
            <v>7.8869999999999996</v>
          </cell>
          <cell r="R37" t="str">
            <v>yield</v>
          </cell>
          <cell r="S37">
            <v>532.39436619718299</v>
          </cell>
          <cell r="T37" t="str">
            <v>1014.24062943519</v>
          </cell>
          <cell r="U37" t="str">
            <v>0.686606316804471</v>
          </cell>
          <cell r="V37">
            <v>0.72604758658422897</v>
          </cell>
          <cell r="W37">
            <v>40.188253426181497</v>
          </cell>
        </row>
        <row r="38">
          <cell r="B38" t="str">
            <v>2011-133Y192009FACE</v>
          </cell>
          <cell r="C38" t="str">
            <v>2011-133</v>
          </cell>
          <cell r="D38" t="str">
            <v>Zhu</v>
          </cell>
          <cell r="E38" t="str">
            <v>China</v>
          </cell>
          <cell r="F38" t="str">
            <v>wheat</v>
          </cell>
          <cell r="G38" t="str">
            <v>Y19</v>
          </cell>
          <cell r="H38">
            <v>2009</v>
          </cell>
          <cell r="I38" t="str">
            <v>FACE</v>
          </cell>
          <cell r="J38" t="str">
            <v>field</v>
          </cell>
          <cell r="K38" t="str">
            <v>EO3</v>
          </cell>
          <cell r="L38">
            <v>15.508699999999999</v>
          </cell>
          <cell r="M38">
            <v>57.3</v>
          </cell>
          <cell r="N38">
            <v>7</v>
          </cell>
          <cell r="O38">
            <v>75</v>
          </cell>
          <cell r="P38">
            <v>3</v>
          </cell>
          <cell r="Q38">
            <v>15.508699999999999</v>
          </cell>
          <cell r="R38" t="str">
            <v>yield</v>
          </cell>
          <cell r="S38">
            <v>479.81220657276998</v>
          </cell>
          <cell r="T38" t="str">
            <v>1014.24062943519</v>
          </cell>
          <cell r="U38" t="str">
            <v>0.618793347243536</v>
          </cell>
          <cell r="V38">
            <v>0.58518208229513002</v>
          </cell>
          <cell r="W38">
            <v>49.910818598679299</v>
          </cell>
        </row>
        <row r="39">
          <cell r="B39" t="str">
            <v>2011-133Y22009FACE</v>
          </cell>
          <cell r="C39" t="str">
            <v>2011-133</v>
          </cell>
          <cell r="D39" t="str">
            <v>Zhu</v>
          </cell>
          <cell r="E39" t="str">
            <v>China</v>
          </cell>
          <cell r="F39" t="str">
            <v>wheat</v>
          </cell>
          <cell r="G39" t="str">
            <v>Y2</v>
          </cell>
          <cell r="H39">
            <v>2009</v>
          </cell>
          <cell r="I39" t="str">
            <v>FACE</v>
          </cell>
          <cell r="J39" t="str">
            <v>field</v>
          </cell>
          <cell r="K39" t="str">
            <v>NF</v>
          </cell>
          <cell r="L39">
            <v>6.9059999999999997</v>
          </cell>
          <cell r="M39">
            <v>44.6</v>
          </cell>
          <cell r="N39">
            <v>7</v>
          </cell>
          <cell r="O39">
            <v>75</v>
          </cell>
          <cell r="P39">
            <v>3</v>
          </cell>
          <cell r="Q39">
            <v>6.9059999999999997</v>
          </cell>
          <cell r="R39" t="str">
            <v>yield</v>
          </cell>
          <cell r="S39">
            <v>729.57746478873196</v>
          </cell>
          <cell r="T39" t="str">
            <v>1225.73508792753</v>
          </cell>
          <cell r="U39" t="str">
            <v>0.778556509331928</v>
          </cell>
          <cell r="V39">
            <v>0.74782058454964195</v>
          </cell>
          <cell r="W39">
            <v>38.685476713328903</v>
          </cell>
        </row>
        <row r="40">
          <cell r="B40" t="str">
            <v>2011-133Y22009FACE</v>
          </cell>
          <cell r="C40" t="str">
            <v>2011-133</v>
          </cell>
          <cell r="D40" t="str">
            <v>Zhu</v>
          </cell>
          <cell r="E40" t="str">
            <v>China</v>
          </cell>
          <cell r="F40" t="str">
            <v>wheat</v>
          </cell>
          <cell r="G40" t="str">
            <v>Y2</v>
          </cell>
          <cell r="H40">
            <v>2009</v>
          </cell>
          <cell r="I40" t="str">
            <v>FACE</v>
          </cell>
          <cell r="J40" t="str">
            <v>field</v>
          </cell>
          <cell r="K40" t="str">
            <v>EO3</v>
          </cell>
          <cell r="L40">
            <v>15.1297</v>
          </cell>
          <cell r="M40">
            <v>57.3</v>
          </cell>
          <cell r="N40">
            <v>7</v>
          </cell>
          <cell r="O40">
            <v>75</v>
          </cell>
          <cell r="P40">
            <v>3</v>
          </cell>
          <cell r="Q40">
            <v>15.1297</v>
          </cell>
          <cell r="R40" t="str">
            <v>yield</v>
          </cell>
          <cell r="S40">
            <v>532.39436619718299</v>
          </cell>
          <cell r="T40" t="str">
            <v>1225.73508792753</v>
          </cell>
          <cell r="U40" t="str">
            <v>0.56813583113411</v>
          </cell>
          <cell r="V40">
            <v>0.59149016780343</v>
          </cell>
          <cell r="W40">
            <v>49.475433288525601</v>
          </cell>
        </row>
        <row r="41">
          <cell r="B41" t="str">
            <v>In ChineseBeinong 95492010OTC</v>
          </cell>
          <cell r="C41" t="str">
            <v>In Chinese</v>
          </cell>
          <cell r="D41" t="str">
            <v>Tong</v>
          </cell>
          <cell r="E41" t="str">
            <v>China</v>
          </cell>
          <cell r="F41" t="str">
            <v>wheat</v>
          </cell>
          <cell r="G41" t="str">
            <v>Beinong 9549</v>
          </cell>
          <cell r="H41">
            <v>2010</v>
          </cell>
          <cell r="I41" t="str">
            <v>OTC</v>
          </cell>
          <cell r="J41" t="str">
            <v>field</v>
          </cell>
          <cell r="K41" t="str">
            <v>NF</v>
          </cell>
          <cell r="L41">
            <v>5.6845238095238102</v>
          </cell>
          <cell r="M41"/>
          <cell r="N41">
            <v>10</v>
          </cell>
          <cell r="O41">
            <v>69</v>
          </cell>
          <cell r="P41">
            <v>3</v>
          </cell>
          <cell r="Q41">
            <v>5.6845238095238102</v>
          </cell>
          <cell r="R41" t="str">
            <v>yield</v>
          </cell>
          <cell r="S41">
            <v>0.97416666666666596</v>
          </cell>
          <cell r="T41" t="str">
            <v>1.28342794353306</v>
          </cell>
          <cell r="U41" t="str">
            <v>0.992835098412905</v>
          </cell>
          <cell r="V41">
            <v>0.77717613592377399</v>
          </cell>
          <cell r="W41">
            <v>36.659350597131201</v>
          </cell>
        </row>
        <row r="42">
          <cell r="B42" t="str">
            <v>In ChineseBeinong 95492010OTC</v>
          </cell>
          <cell r="C42" t="str">
            <v>In Chinese</v>
          </cell>
          <cell r="D42" t="str">
            <v>Tong</v>
          </cell>
          <cell r="E42" t="str">
            <v>China</v>
          </cell>
          <cell r="F42" t="str">
            <v>wheat</v>
          </cell>
          <cell r="G42" t="str">
            <v>Beinong 9549</v>
          </cell>
          <cell r="H42">
            <v>2010</v>
          </cell>
          <cell r="I42" t="str">
            <v>OTC</v>
          </cell>
          <cell r="J42" t="str">
            <v>field</v>
          </cell>
          <cell r="K42" t="str">
            <v>EO3-1</v>
          </cell>
          <cell r="L42">
            <v>12.142857142857199</v>
          </cell>
          <cell r="M42"/>
          <cell r="N42">
            <v>10</v>
          </cell>
          <cell r="O42">
            <v>69</v>
          </cell>
          <cell r="P42">
            <v>3</v>
          </cell>
          <cell r="Q42">
            <v>12.142857142857199</v>
          </cell>
          <cell r="R42" t="str">
            <v>yield</v>
          </cell>
          <cell r="S42">
            <v>0.73266666666666702</v>
          </cell>
          <cell r="T42" t="str">
            <v>1.28342794353306</v>
          </cell>
          <cell r="U42" t="str">
            <v>0.746707115932101</v>
          </cell>
          <cell r="V42">
            <v>0.64311511596450199</v>
          </cell>
          <cell r="W42">
            <v>45.912269127257403</v>
          </cell>
        </row>
        <row r="43">
          <cell r="B43" t="str">
            <v>In ChineseBeinong 95492010OTC</v>
          </cell>
          <cell r="C43" t="str">
            <v>In Chinese</v>
          </cell>
          <cell r="D43" t="str">
            <v>Tong</v>
          </cell>
          <cell r="E43" t="str">
            <v>China</v>
          </cell>
          <cell r="F43" t="str">
            <v>wheat</v>
          </cell>
          <cell r="G43" t="str">
            <v>Beinong 9549</v>
          </cell>
          <cell r="H43">
            <v>2010</v>
          </cell>
          <cell r="I43" t="str">
            <v>OTC</v>
          </cell>
          <cell r="J43" t="str">
            <v>field</v>
          </cell>
          <cell r="K43" t="str">
            <v>EO3-2</v>
          </cell>
          <cell r="L43">
            <v>22.103174603174601</v>
          </cell>
          <cell r="M43"/>
          <cell r="N43">
            <v>10</v>
          </cell>
          <cell r="O43">
            <v>69</v>
          </cell>
          <cell r="P43">
            <v>3</v>
          </cell>
          <cell r="Q43">
            <v>22.103174603174601</v>
          </cell>
          <cell r="R43" t="str">
            <v>yield</v>
          </cell>
          <cell r="S43">
            <v>0.27533333333333299</v>
          </cell>
          <cell r="T43" t="str">
            <v>1.28342794353306</v>
          </cell>
          <cell r="U43" t="str">
            <v>0.280609680509516</v>
          </cell>
          <cell r="V43">
            <v>0.48093528859925599</v>
          </cell>
          <cell r="W43">
            <v>57.105952875065803</v>
          </cell>
        </row>
        <row r="44">
          <cell r="B44" t="str">
            <v>In ChineseBeinong 95492010OTC</v>
          </cell>
          <cell r="C44" t="str">
            <v>In Chinese</v>
          </cell>
          <cell r="D44" t="str">
            <v>Tong</v>
          </cell>
          <cell r="E44" t="str">
            <v>China</v>
          </cell>
          <cell r="F44" t="str">
            <v>wheat</v>
          </cell>
          <cell r="G44" t="str">
            <v>Beinong 9549</v>
          </cell>
          <cell r="H44">
            <v>2010</v>
          </cell>
          <cell r="I44" t="str">
            <v>OTC</v>
          </cell>
          <cell r="J44" t="str">
            <v>field</v>
          </cell>
          <cell r="K44" t="str">
            <v>EO3-3</v>
          </cell>
          <cell r="L44">
            <v>39.841269841269799</v>
          </cell>
          <cell r="M44"/>
          <cell r="N44">
            <v>10</v>
          </cell>
          <cell r="O44">
            <v>69</v>
          </cell>
          <cell r="P44">
            <v>3</v>
          </cell>
          <cell r="Q44">
            <v>39.841269841269799</v>
          </cell>
          <cell r="R44" t="str">
            <v>yield</v>
          </cell>
          <cell r="S44">
            <v>0.25355555555555598</v>
          </cell>
          <cell r="T44" t="str">
            <v>1.28342794353306</v>
          </cell>
          <cell r="U44" t="str">
            <v>0.258414564537012</v>
          </cell>
          <cell r="V44">
            <v>0.22364560821021401</v>
          </cell>
          <cell r="W44">
            <v>74.864137209383401</v>
          </cell>
        </row>
      </sheetData>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row>
        <row r="2">
          <cell r="B2" t="str">
            <v>2010-112HUW5102007OTC</v>
          </cell>
          <cell r="C2" t="str">
            <v>2010-112</v>
          </cell>
          <cell r="D2" t="str">
            <v>Sarkar</v>
          </cell>
          <cell r="E2" t="str">
            <v>India</v>
          </cell>
          <cell r="F2" t="str">
            <v>wheat</v>
          </cell>
          <cell r="G2" t="str">
            <v>HUW510</v>
          </cell>
          <cell r="H2">
            <v>2007</v>
          </cell>
          <cell r="I2" t="str">
            <v>OTC</v>
          </cell>
          <cell r="J2" t="str">
            <v>field</v>
          </cell>
          <cell r="K2" t="str">
            <v>CF</v>
          </cell>
          <cell r="L2">
            <v>0</v>
          </cell>
          <cell r="M2">
            <v>4.7</v>
          </cell>
          <cell r="N2">
            <v>12</v>
          </cell>
          <cell r="O2">
            <v>90</v>
          </cell>
          <cell r="P2">
            <v>3</v>
          </cell>
          <cell r="Q2">
            <v>0</v>
          </cell>
          <cell r="R2" t="str">
            <v>Total grain no.</v>
          </cell>
          <cell r="S2">
            <v>13429.5652173913</v>
          </cell>
          <cell r="T2" t="str">
            <v>15158.1835057739</v>
          </cell>
          <cell r="U2" t="str">
            <v>1.03829956888973</v>
          </cell>
        </row>
        <row r="3">
          <cell r="B3" t="str">
            <v>2010-112HUW5102007OTC</v>
          </cell>
          <cell r="C3" t="str">
            <v>2010-112</v>
          </cell>
          <cell r="D3" t="str">
            <v>Sarkar</v>
          </cell>
          <cell r="E3" t="str">
            <v>India</v>
          </cell>
          <cell r="F3" t="str">
            <v>wheat</v>
          </cell>
          <cell r="G3" t="str">
            <v>HUW510</v>
          </cell>
          <cell r="H3">
            <v>2007</v>
          </cell>
          <cell r="I3" t="str">
            <v>OTC</v>
          </cell>
          <cell r="J3" t="str">
            <v>field</v>
          </cell>
          <cell r="K3" t="str">
            <v>NF</v>
          </cell>
          <cell r="L3">
            <v>7.9</v>
          </cell>
          <cell r="M3">
            <v>45.3</v>
          </cell>
          <cell r="N3">
            <v>12</v>
          </cell>
          <cell r="O3">
            <v>90</v>
          </cell>
          <cell r="P3">
            <v>3</v>
          </cell>
          <cell r="Q3">
            <v>7.9</v>
          </cell>
          <cell r="R3" t="str">
            <v>Total grain no.</v>
          </cell>
          <cell r="S3">
            <v>11880</v>
          </cell>
          <cell r="T3" t="str">
            <v>15158.1835057739</v>
          </cell>
          <cell r="U3" t="str">
            <v>0.918495772479379</v>
          </cell>
        </row>
        <row r="4">
          <cell r="B4" t="str">
            <v>2010-112HUW5102007OTC</v>
          </cell>
          <cell r="C4" t="str">
            <v>2010-112</v>
          </cell>
          <cell r="D4" t="str">
            <v>Sarkar</v>
          </cell>
          <cell r="E4" t="str">
            <v>India</v>
          </cell>
          <cell r="F4" t="str">
            <v>wheat</v>
          </cell>
          <cell r="G4" t="str">
            <v>HUW510</v>
          </cell>
          <cell r="H4">
            <v>2007</v>
          </cell>
          <cell r="I4" t="str">
            <v>OTC</v>
          </cell>
          <cell r="J4" t="str">
            <v>field</v>
          </cell>
          <cell r="K4" t="str">
            <v>EO3-1</v>
          </cell>
          <cell r="L4">
            <v>10.4</v>
          </cell>
          <cell r="M4">
            <v>50.4</v>
          </cell>
          <cell r="N4">
            <v>12</v>
          </cell>
          <cell r="O4">
            <v>90</v>
          </cell>
          <cell r="P4">
            <v>3</v>
          </cell>
          <cell r="Q4">
            <v>10.4</v>
          </cell>
          <cell r="R4" t="str">
            <v>Total grain no.</v>
          </cell>
          <cell r="S4">
            <v>9986.0869565217199</v>
          </cell>
          <cell r="T4" t="str">
            <v>15158.1835057739</v>
          </cell>
          <cell r="U4" t="str">
            <v>0.772068910200056</v>
          </cell>
        </row>
        <row r="5">
          <cell r="B5" t="str">
            <v>2010-112HUW5102007OTC</v>
          </cell>
          <cell r="C5" t="str">
            <v>2010-112</v>
          </cell>
          <cell r="D5" t="str">
            <v>Sarkar</v>
          </cell>
          <cell r="E5" t="str">
            <v>India</v>
          </cell>
          <cell r="F5" t="str">
            <v>wheat</v>
          </cell>
          <cell r="G5" t="str">
            <v>HUW510</v>
          </cell>
          <cell r="H5">
            <v>2007</v>
          </cell>
          <cell r="I5" t="str">
            <v>OTC</v>
          </cell>
          <cell r="J5" t="str">
            <v>field</v>
          </cell>
          <cell r="K5" t="str">
            <v>EO3-2</v>
          </cell>
          <cell r="L5">
            <v>13.1</v>
          </cell>
          <cell r="M5">
            <v>55.6</v>
          </cell>
          <cell r="N5">
            <v>12</v>
          </cell>
          <cell r="O5">
            <v>90</v>
          </cell>
          <cell r="P5">
            <v>3</v>
          </cell>
          <cell r="Q5">
            <v>13.1</v>
          </cell>
          <cell r="R5" t="str">
            <v>Total grain no.</v>
          </cell>
          <cell r="S5">
            <v>9641.7391304348002</v>
          </cell>
          <cell r="T5" t="str">
            <v>15158.1835057739</v>
          </cell>
          <cell r="U5" t="str">
            <v>0.745445844331091</v>
          </cell>
        </row>
        <row r="6">
          <cell r="B6" t="str">
            <v>2010-112Sonalika2007OTC</v>
          </cell>
          <cell r="C6" t="str">
            <v>2010-112</v>
          </cell>
          <cell r="D6" t="str">
            <v>Sarkar</v>
          </cell>
          <cell r="E6" t="str">
            <v>India</v>
          </cell>
          <cell r="F6" t="str">
            <v>wheat</v>
          </cell>
          <cell r="G6" t="str">
            <v>Sonalika</v>
          </cell>
          <cell r="H6">
            <v>2007</v>
          </cell>
          <cell r="I6" t="str">
            <v>OTC</v>
          </cell>
          <cell r="J6" t="str">
            <v>field</v>
          </cell>
          <cell r="K6" t="str">
            <v>CF</v>
          </cell>
          <cell r="L6">
            <v>0</v>
          </cell>
          <cell r="M6">
            <v>4.7</v>
          </cell>
          <cell r="N6">
            <v>12</v>
          </cell>
          <cell r="O6">
            <v>90</v>
          </cell>
          <cell r="P6">
            <v>3</v>
          </cell>
          <cell r="Q6">
            <v>0</v>
          </cell>
          <cell r="R6" t="str">
            <v>Total grain no.</v>
          </cell>
          <cell r="S6">
            <v>13314.782608695699</v>
          </cell>
          <cell r="T6" t="str">
            <v>14425.8538664216</v>
          </cell>
          <cell r="U6" t="str">
            <v>1.08168406790406</v>
          </cell>
        </row>
        <row r="7">
          <cell r="B7" t="str">
            <v>2010-112Sonalika2007OTC</v>
          </cell>
          <cell r="C7" t="str">
            <v>2010-112</v>
          </cell>
          <cell r="D7" t="str">
            <v>Sarkar</v>
          </cell>
          <cell r="E7" t="str">
            <v>India</v>
          </cell>
          <cell r="F7" t="str">
            <v>wheat</v>
          </cell>
          <cell r="G7" t="str">
            <v>Sonalika</v>
          </cell>
          <cell r="H7">
            <v>2007</v>
          </cell>
          <cell r="I7" t="str">
            <v>OTC</v>
          </cell>
          <cell r="J7" t="str">
            <v>field</v>
          </cell>
          <cell r="K7" t="str">
            <v>NF</v>
          </cell>
          <cell r="L7">
            <v>7.9</v>
          </cell>
          <cell r="M7">
            <v>45.3</v>
          </cell>
          <cell r="N7">
            <v>12</v>
          </cell>
          <cell r="O7">
            <v>90</v>
          </cell>
          <cell r="P7">
            <v>3</v>
          </cell>
          <cell r="Q7">
            <v>7.9</v>
          </cell>
          <cell r="R7" t="str">
            <v>Total grain no.</v>
          </cell>
          <cell r="S7">
            <v>10904.347826087</v>
          </cell>
          <cell r="T7" t="str">
            <v>14425.8538664216</v>
          </cell>
          <cell r="U7" t="str">
            <v>0.88586195216281</v>
          </cell>
        </row>
        <row r="8">
          <cell r="B8" t="str">
            <v>2010-112Sonalika2007OTC</v>
          </cell>
          <cell r="C8" t="str">
            <v>2010-112</v>
          </cell>
          <cell r="D8" t="str">
            <v>Sarkar</v>
          </cell>
          <cell r="E8" t="str">
            <v>India</v>
          </cell>
          <cell r="F8" t="str">
            <v>wheat</v>
          </cell>
          <cell r="G8" t="str">
            <v>Sonalika</v>
          </cell>
          <cell r="H8">
            <v>2007</v>
          </cell>
          <cell r="I8" t="str">
            <v>OTC</v>
          </cell>
          <cell r="J8" t="str">
            <v>field</v>
          </cell>
          <cell r="K8" t="str">
            <v>EO3-1</v>
          </cell>
          <cell r="L8">
            <v>10.4</v>
          </cell>
          <cell r="M8">
            <v>50.4</v>
          </cell>
          <cell r="N8">
            <v>12</v>
          </cell>
          <cell r="O8">
            <v>90</v>
          </cell>
          <cell r="P8">
            <v>3</v>
          </cell>
          <cell r="Q8">
            <v>10.4</v>
          </cell>
          <cell r="R8" t="str">
            <v>Total grain no.</v>
          </cell>
          <cell r="S8">
            <v>9756.5217391304504</v>
          </cell>
          <cell r="T8" t="str">
            <v>14425.8538664216</v>
          </cell>
          <cell r="U8" t="str">
            <v>0.792613325619357</v>
          </cell>
        </row>
        <row r="9">
          <cell r="B9" t="str">
            <v>2010-112Sonalika2007OTC</v>
          </cell>
          <cell r="C9" t="str">
            <v>2010-112</v>
          </cell>
          <cell r="D9" t="str">
            <v>Sarkar</v>
          </cell>
          <cell r="E9" t="str">
            <v>India</v>
          </cell>
          <cell r="F9" t="str">
            <v>wheat</v>
          </cell>
          <cell r="G9" t="str">
            <v>Sonalika</v>
          </cell>
          <cell r="H9">
            <v>2007</v>
          </cell>
          <cell r="I9" t="str">
            <v>OTC</v>
          </cell>
          <cell r="J9" t="str">
            <v>field</v>
          </cell>
          <cell r="K9" t="str">
            <v>EO3-2</v>
          </cell>
          <cell r="L9">
            <v>13.1</v>
          </cell>
          <cell r="M9">
            <v>55.6</v>
          </cell>
          <cell r="N9">
            <v>12</v>
          </cell>
          <cell r="O9">
            <v>90</v>
          </cell>
          <cell r="P9">
            <v>3</v>
          </cell>
          <cell r="Q9">
            <v>13.1</v>
          </cell>
          <cell r="R9" t="str">
            <v>Total grain no.</v>
          </cell>
          <cell r="S9">
            <v>8895.6521739130294</v>
          </cell>
          <cell r="T9" t="str">
            <v>14425.8538664216</v>
          </cell>
          <cell r="U9" t="str">
            <v>0.722676855711764</v>
          </cell>
        </row>
        <row r="10">
          <cell r="B10" t="str">
            <v>2018-139HD29672016OTC</v>
          </cell>
          <cell r="C10" t="str">
            <v>2018-139</v>
          </cell>
          <cell r="D10" t="str">
            <v>Pandey</v>
          </cell>
          <cell r="E10" t="str">
            <v>India</v>
          </cell>
          <cell r="F10" t="str">
            <v>wheat</v>
          </cell>
          <cell r="G10" t="str">
            <v>HD2967</v>
          </cell>
          <cell r="H10">
            <v>2016</v>
          </cell>
          <cell r="I10" t="str">
            <v>OTC</v>
          </cell>
          <cell r="J10" t="str">
            <v>field</v>
          </cell>
          <cell r="K10" t="str">
            <v>AA</v>
          </cell>
          <cell r="L10">
            <v>11.9</v>
          </cell>
          <cell r="M10">
            <v>52.4</v>
          </cell>
          <cell r="N10">
            <v>8</v>
          </cell>
          <cell r="O10">
            <v>119</v>
          </cell>
          <cell r="P10">
            <v>3</v>
          </cell>
          <cell r="Q10">
            <v>9</v>
          </cell>
          <cell r="R10" t="str">
            <v>Total grain no.</v>
          </cell>
          <cell r="S10">
            <v>70707.070707070699</v>
          </cell>
          <cell r="T10" t="str">
            <v>100485.096217423</v>
          </cell>
          <cell r="U10" t="str">
            <v>0.82464888131477</v>
          </cell>
        </row>
        <row r="11">
          <cell r="B11" t="str">
            <v>2018-139HD29672016OTC</v>
          </cell>
          <cell r="C11" t="str">
            <v>2018-139</v>
          </cell>
          <cell r="D11" t="str">
            <v>Pandey</v>
          </cell>
          <cell r="E11" t="str">
            <v>India</v>
          </cell>
          <cell r="F11" t="str">
            <v>wheat</v>
          </cell>
          <cell r="G11" t="str">
            <v>HD2967</v>
          </cell>
          <cell r="H11">
            <v>2016</v>
          </cell>
          <cell r="I11" t="str">
            <v>OTC</v>
          </cell>
          <cell r="J11" t="str">
            <v>field</v>
          </cell>
          <cell r="K11" t="str">
            <v>EO3</v>
          </cell>
          <cell r="L11">
            <v>18.3</v>
          </cell>
          <cell r="M11">
            <v>59.6</v>
          </cell>
          <cell r="N11">
            <v>8</v>
          </cell>
          <cell r="O11">
            <v>115</v>
          </cell>
          <cell r="P11">
            <v>3</v>
          </cell>
          <cell r="Q11">
            <v>14.3217391304348</v>
          </cell>
          <cell r="R11" t="str">
            <v>Total grain no.</v>
          </cell>
          <cell r="S11">
            <v>67621.879787329905</v>
          </cell>
          <cell r="T11" t="str">
            <v>100485.096217423</v>
          </cell>
          <cell r="U11" t="str">
            <v>0.788666634911903</v>
          </cell>
        </row>
        <row r="12">
          <cell r="B12" t="str">
            <v>2018-139Sonalika2016OTC</v>
          </cell>
          <cell r="C12" t="str">
            <v>2018-139</v>
          </cell>
          <cell r="D12" t="str">
            <v>Pandey</v>
          </cell>
          <cell r="E12" t="str">
            <v>India</v>
          </cell>
          <cell r="F12" t="str">
            <v>wheat</v>
          </cell>
          <cell r="G12" t="str">
            <v>Sonalika</v>
          </cell>
          <cell r="H12">
            <v>2016</v>
          </cell>
          <cell r="I12" t="str">
            <v>OTC</v>
          </cell>
          <cell r="J12" t="str">
            <v>field</v>
          </cell>
          <cell r="K12" t="str">
            <v>AA</v>
          </cell>
          <cell r="L12">
            <v>11.9</v>
          </cell>
          <cell r="M12">
            <v>52.4</v>
          </cell>
          <cell r="N12">
            <v>8</v>
          </cell>
          <cell r="O12">
            <v>119</v>
          </cell>
          <cell r="P12">
            <v>3</v>
          </cell>
          <cell r="Q12">
            <v>9</v>
          </cell>
          <cell r="R12" t="str">
            <v>Total grain no.</v>
          </cell>
          <cell r="S12">
            <v>51734.273956496203</v>
          </cell>
          <cell r="T12" t="str">
            <v>68804.7030400296</v>
          </cell>
          <cell r="U12" t="str">
            <v>0.881187068470969</v>
          </cell>
        </row>
        <row r="13">
          <cell r="B13" t="str">
            <v>2018-139Sonalika2016OTC</v>
          </cell>
          <cell r="C13" t="str">
            <v>2018-139</v>
          </cell>
          <cell r="D13" t="str">
            <v>Pandey</v>
          </cell>
          <cell r="E13" t="str">
            <v>India</v>
          </cell>
          <cell r="F13" t="str">
            <v>wheat</v>
          </cell>
          <cell r="G13" t="str">
            <v>Sonalika</v>
          </cell>
          <cell r="H13">
            <v>2016</v>
          </cell>
          <cell r="I13" t="str">
            <v>OTC</v>
          </cell>
          <cell r="J13" t="str">
            <v>field</v>
          </cell>
          <cell r="K13" t="str">
            <v>EO3</v>
          </cell>
          <cell r="L13">
            <v>18.3</v>
          </cell>
          <cell r="M13">
            <v>59.6</v>
          </cell>
          <cell r="N13">
            <v>8</v>
          </cell>
          <cell r="O13">
            <v>115</v>
          </cell>
          <cell r="P13">
            <v>3</v>
          </cell>
          <cell r="Q13">
            <v>14.3217391304348</v>
          </cell>
          <cell r="R13" t="str">
            <v>Total grain no.</v>
          </cell>
          <cell r="S13">
            <v>43331.594505303503</v>
          </cell>
          <cell r="T13" t="str">
            <v>68804.7030400296</v>
          </cell>
          <cell r="U13" t="str">
            <v>0.738064687375525</v>
          </cell>
        </row>
        <row r="14">
          <cell r="B14" t="str">
            <v>2015-100PBW3432008OTC</v>
          </cell>
          <cell r="C14" t="str">
            <v>2015-100</v>
          </cell>
          <cell r="D14" t="str">
            <v>Tomer</v>
          </cell>
          <cell r="E14" t="str">
            <v>India</v>
          </cell>
          <cell r="F14" t="str">
            <v>wheat</v>
          </cell>
          <cell r="G14" t="str">
            <v>PBW343</v>
          </cell>
          <cell r="H14">
            <v>2008</v>
          </cell>
          <cell r="I14" t="str">
            <v>OTC</v>
          </cell>
          <cell r="J14" t="str">
            <v>field</v>
          </cell>
          <cell r="K14" t="str">
            <v>NF</v>
          </cell>
          <cell r="L14">
            <v>2.0499999999999998</v>
          </cell>
          <cell r="M14">
            <v>30.9</v>
          </cell>
          <cell r="N14">
            <v>7</v>
          </cell>
          <cell r="O14">
            <v>123</v>
          </cell>
          <cell r="P14">
            <v>3</v>
          </cell>
          <cell r="Q14">
            <v>1.5</v>
          </cell>
          <cell r="R14" t="str">
            <v>Total grain no.</v>
          </cell>
          <cell r="S14">
            <v>10257.0093457944</v>
          </cell>
          <cell r="T14" t="str">
            <v>13518.3349850362</v>
          </cell>
          <cell r="U14" t="str">
            <v>0.889212232765525</v>
          </cell>
        </row>
        <row r="15">
          <cell r="B15" t="str">
            <v>2015-100PBW3432008OTC</v>
          </cell>
          <cell r="C15" t="str">
            <v>2015-100</v>
          </cell>
          <cell r="D15" t="str">
            <v>Tomer</v>
          </cell>
          <cell r="E15" t="str">
            <v>India</v>
          </cell>
          <cell r="F15" t="str">
            <v>wheat</v>
          </cell>
          <cell r="G15" t="str">
            <v>PBW343</v>
          </cell>
          <cell r="H15">
            <v>2008</v>
          </cell>
          <cell r="I15" t="str">
            <v>OTC</v>
          </cell>
          <cell r="J15" t="str">
            <v>field</v>
          </cell>
          <cell r="K15" t="str">
            <v>CF</v>
          </cell>
          <cell r="L15">
            <v>0</v>
          </cell>
          <cell r="M15">
            <v>5.25</v>
          </cell>
          <cell r="N15">
            <v>7</v>
          </cell>
          <cell r="O15">
            <v>123</v>
          </cell>
          <cell r="P15">
            <v>3</v>
          </cell>
          <cell r="Q15">
            <v>0</v>
          </cell>
          <cell r="R15" t="str">
            <v>Total grain no.</v>
          </cell>
          <cell r="S15">
            <v>11633.554083885199</v>
          </cell>
          <cell r="T15" t="str">
            <v>13518.3349850362</v>
          </cell>
          <cell r="U15" t="str">
            <v>1.00854920310389</v>
          </cell>
        </row>
        <row r="16">
          <cell r="B16" t="str">
            <v>2015-100PBW3432008OTC</v>
          </cell>
          <cell r="C16" t="str">
            <v>2015-100</v>
          </cell>
          <cell r="D16" t="str">
            <v>Tomer</v>
          </cell>
          <cell r="E16" t="str">
            <v>India</v>
          </cell>
          <cell r="F16" t="str">
            <v>wheat</v>
          </cell>
          <cell r="G16" t="str">
            <v>PBW343</v>
          </cell>
          <cell r="H16">
            <v>2008</v>
          </cell>
          <cell r="I16" t="str">
            <v>OTC</v>
          </cell>
          <cell r="J16" t="str">
            <v>field</v>
          </cell>
          <cell r="K16" t="str">
            <v>EO3</v>
          </cell>
          <cell r="L16">
            <v>16.62</v>
          </cell>
          <cell r="M16">
            <v>59.2</v>
          </cell>
          <cell r="N16">
            <v>7</v>
          </cell>
          <cell r="O16">
            <v>123</v>
          </cell>
          <cell r="P16">
            <v>3</v>
          </cell>
          <cell r="Q16">
            <v>12.1609756097561</v>
          </cell>
          <cell r="R16" t="str">
            <v>Total grain no.</v>
          </cell>
          <cell r="S16">
            <v>9813.8297872340409</v>
          </cell>
          <cell r="T16" t="str">
            <v>13518.3349850362</v>
          </cell>
          <cell r="U16" t="str">
            <v>0.850791610194378</v>
          </cell>
        </row>
        <row r="17">
          <cell r="B17" t="str">
            <v>2015-100PBW3432009OTC</v>
          </cell>
          <cell r="C17" t="str">
            <v>2015-100</v>
          </cell>
          <cell r="D17" t="str">
            <v>Tomer</v>
          </cell>
          <cell r="E17" t="str">
            <v>India</v>
          </cell>
          <cell r="F17" t="str">
            <v>wheat</v>
          </cell>
          <cell r="G17" t="str">
            <v>PBW343</v>
          </cell>
          <cell r="H17">
            <v>2009</v>
          </cell>
          <cell r="I17" t="str">
            <v>OTC</v>
          </cell>
          <cell r="J17" t="str">
            <v>field</v>
          </cell>
          <cell r="K17" t="str">
            <v>NF</v>
          </cell>
          <cell r="L17">
            <v>2.39</v>
          </cell>
          <cell r="M17">
            <v>34.9</v>
          </cell>
          <cell r="N17">
            <v>7</v>
          </cell>
          <cell r="O17">
            <v>135</v>
          </cell>
          <cell r="P17">
            <v>3</v>
          </cell>
          <cell r="Q17">
            <v>1.5933333333333299</v>
          </cell>
          <cell r="R17" t="str">
            <v>Total grain no.</v>
          </cell>
          <cell r="S17">
            <v>10047.505938242301</v>
          </cell>
          <cell r="T17" t="str">
            <v>13125.7800617199</v>
          </cell>
          <cell r="U17" t="str">
            <v>0.897100358300084</v>
          </cell>
        </row>
        <row r="18">
          <cell r="B18" t="str">
            <v>2015-100PBW3432009OTC</v>
          </cell>
          <cell r="C18" t="str">
            <v>2015-100</v>
          </cell>
          <cell r="D18" t="str">
            <v>Tomer</v>
          </cell>
          <cell r="E18" t="str">
            <v>India</v>
          </cell>
          <cell r="F18" t="str">
            <v>wheat</v>
          </cell>
          <cell r="G18" t="str">
            <v>PBW343</v>
          </cell>
          <cell r="H18">
            <v>2009</v>
          </cell>
          <cell r="I18" t="str">
            <v>OTC</v>
          </cell>
          <cell r="J18" t="str">
            <v>field</v>
          </cell>
          <cell r="K18" t="str">
            <v>CF</v>
          </cell>
          <cell r="L18">
            <v>0</v>
          </cell>
          <cell r="M18">
            <v>7.69</v>
          </cell>
          <cell r="N18">
            <v>7</v>
          </cell>
          <cell r="O18">
            <v>135</v>
          </cell>
          <cell r="P18">
            <v>3</v>
          </cell>
          <cell r="Q18">
            <v>0</v>
          </cell>
          <cell r="R18" t="str">
            <v>Total grain no.</v>
          </cell>
          <cell r="S18">
            <v>11471.2643678161</v>
          </cell>
          <cell r="T18" t="str">
            <v>13125.7800617199</v>
          </cell>
          <cell r="U18" t="str">
            <v>1.02422187533667</v>
          </cell>
        </row>
        <row r="19">
          <cell r="B19" t="str">
            <v>2015-100PBW3432009OTC</v>
          </cell>
          <cell r="C19" t="str">
            <v>2015-100</v>
          </cell>
          <cell r="D19" t="str">
            <v>Tomer</v>
          </cell>
          <cell r="E19" t="str">
            <v>India</v>
          </cell>
          <cell r="F19" t="str">
            <v>wheat</v>
          </cell>
          <cell r="G19" t="str">
            <v>PBW343</v>
          </cell>
          <cell r="H19">
            <v>2009</v>
          </cell>
          <cell r="I19" t="str">
            <v>OTC</v>
          </cell>
          <cell r="J19" t="str">
            <v>field</v>
          </cell>
          <cell r="K19" t="str">
            <v>EO3</v>
          </cell>
          <cell r="L19">
            <v>17.96</v>
          </cell>
          <cell r="M19">
            <v>65.349999999999994</v>
          </cell>
          <cell r="N19">
            <v>7</v>
          </cell>
          <cell r="O19">
            <v>135</v>
          </cell>
          <cell r="P19">
            <v>3</v>
          </cell>
          <cell r="Q19">
            <v>11.973333333333301</v>
          </cell>
          <cell r="R19" t="str">
            <v>Total grain no.</v>
          </cell>
          <cell r="S19">
            <v>9299.1913746630707</v>
          </cell>
          <cell r="T19" t="str">
            <v>13125.7800617199</v>
          </cell>
          <cell r="U19" t="str">
            <v>0.830286437787436</v>
          </cell>
        </row>
        <row r="20">
          <cell r="B20" t="str">
            <v>2013-76HUW372011OTC</v>
          </cell>
          <cell r="C20" t="str">
            <v>2013-76</v>
          </cell>
          <cell r="D20" t="str">
            <v>Mishra</v>
          </cell>
          <cell r="E20" t="str">
            <v>India</v>
          </cell>
          <cell r="F20" t="str">
            <v>wheat</v>
          </cell>
          <cell r="G20" t="str">
            <v>HUW37</v>
          </cell>
          <cell r="H20">
            <v>2011</v>
          </cell>
          <cell r="I20" t="str">
            <v>OTC</v>
          </cell>
          <cell r="J20" t="str">
            <v>field</v>
          </cell>
          <cell r="K20" t="str">
            <v>NF</v>
          </cell>
          <cell r="L20">
            <v>5.0999999999999996</v>
          </cell>
          <cell r="M20">
            <v>48.4</v>
          </cell>
          <cell r="N20">
            <v>8</v>
          </cell>
          <cell r="O20">
            <v>125</v>
          </cell>
          <cell r="P20">
            <v>3</v>
          </cell>
          <cell r="Q20">
            <v>3.6720000000000002</v>
          </cell>
          <cell r="R20" t="str">
            <v>Total grain no.</v>
          </cell>
          <cell r="S20">
            <v>128.048780487805</v>
          </cell>
          <cell r="T20" t="str">
            <v>148.537432116063</v>
          </cell>
          <cell r="U20" t="str">
            <v>1.01029316881699</v>
          </cell>
        </row>
        <row r="21">
          <cell r="B21" t="str">
            <v>2013-76HUW372011OTC</v>
          </cell>
          <cell r="C21" t="str">
            <v>2013-76</v>
          </cell>
          <cell r="D21" t="str">
            <v>Mishra</v>
          </cell>
          <cell r="E21" t="str">
            <v>India</v>
          </cell>
          <cell r="F21" t="str">
            <v>wheat</v>
          </cell>
          <cell r="G21" t="str">
            <v>HUW37</v>
          </cell>
          <cell r="H21">
            <v>2011</v>
          </cell>
          <cell r="I21" t="str">
            <v>OTC</v>
          </cell>
          <cell r="J21" t="str">
            <v>field</v>
          </cell>
          <cell r="K21" t="str">
            <v>EO3</v>
          </cell>
          <cell r="L21">
            <v>8.4</v>
          </cell>
          <cell r="M21">
            <v>55.2</v>
          </cell>
          <cell r="N21">
            <v>8</v>
          </cell>
          <cell r="O21">
            <v>125</v>
          </cell>
          <cell r="P21">
            <v>3</v>
          </cell>
          <cell r="Q21">
            <v>6.048</v>
          </cell>
          <cell r="R21" t="str">
            <v>Total grain no.</v>
          </cell>
          <cell r="S21">
            <v>99.085365853658502</v>
          </cell>
          <cell r="T21" t="str">
            <v>148.537432116063</v>
          </cell>
          <cell r="U21" t="str">
            <v>0.78177447587029</v>
          </cell>
        </row>
        <row r="22">
          <cell r="B22" t="str">
            <v>2013-76K91072011OTC</v>
          </cell>
          <cell r="C22" t="str">
            <v>2013-76</v>
          </cell>
          <cell r="D22" t="str">
            <v>Mishra</v>
          </cell>
          <cell r="E22" t="str">
            <v>India</v>
          </cell>
          <cell r="F22" t="str">
            <v>wheat</v>
          </cell>
          <cell r="G22" t="str">
            <v>K9107</v>
          </cell>
          <cell r="H22">
            <v>2011</v>
          </cell>
          <cell r="I22" t="str">
            <v>OTC</v>
          </cell>
          <cell r="J22" t="str">
            <v>field</v>
          </cell>
          <cell r="K22" t="str">
            <v>NF</v>
          </cell>
          <cell r="L22">
            <v>5.0999999999999996</v>
          </cell>
          <cell r="M22">
            <v>48.4</v>
          </cell>
          <cell r="N22">
            <v>8</v>
          </cell>
          <cell r="O22">
            <v>125</v>
          </cell>
          <cell r="P22">
            <v>3</v>
          </cell>
          <cell r="Q22">
            <v>3.6720000000000002</v>
          </cell>
          <cell r="R22" t="str">
            <v>Total grain no.</v>
          </cell>
          <cell r="S22">
            <v>193.59756097561001</v>
          </cell>
          <cell r="T22" t="str">
            <v>231.024543323387</v>
          </cell>
          <cell r="U22" t="str">
            <v>0.982086277107227</v>
          </cell>
        </row>
        <row r="23">
          <cell r="B23" t="str">
            <v>2013-76K91072011OTC</v>
          </cell>
          <cell r="C23" t="str">
            <v>2013-76</v>
          </cell>
          <cell r="D23" t="str">
            <v>Mishra</v>
          </cell>
          <cell r="E23" t="str">
            <v>India</v>
          </cell>
          <cell r="F23" t="str">
            <v>wheat</v>
          </cell>
          <cell r="G23" t="str">
            <v>K9107</v>
          </cell>
          <cell r="H23">
            <v>2011</v>
          </cell>
          <cell r="I23" t="str">
            <v>OTC</v>
          </cell>
          <cell r="J23" t="str">
            <v>field</v>
          </cell>
          <cell r="K23" t="str">
            <v>EO3</v>
          </cell>
          <cell r="L23">
            <v>8.4</v>
          </cell>
          <cell r="M23">
            <v>55.2</v>
          </cell>
          <cell r="N23">
            <v>8</v>
          </cell>
          <cell r="O23">
            <v>125</v>
          </cell>
          <cell r="P23">
            <v>3</v>
          </cell>
          <cell r="Q23">
            <v>6.048</v>
          </cell>
          <cell r="R23" t="str">
            <v>Total grain no.</v>
          </cell>
          <cell r="S23">
            <v>158.53658536585399</v>
          </cell>
          <cell r="T23" t="str">
            <v>231.024543323387</v>
          </cell>
          <cell r="U23" t="str">
            <v>0.804228132434265</v>
          </cell>
        </row>
        <row r="24">
          <cell r="B24" t="str">
            <v>2019-164C3062016FACE</v>
          </cell>
          <cell r="C24" t="str">
            <v>2019-164</v>
          </cell>
          <cell r="D24" t="str">
            <v>Yadav</v>
          </cell>
          <cell r="E24" t="str">
            <v>India</v>
          </cell>
          <cell r="F24" t="str">
            <v>wheat</v>
          </cell>
          <cell r="G24" t="str">
            <v>C306</v>
          </cell>
          <cell r="H24">
            <v>2016</v>
          </cell>
          <cell r="I24" t="str">
            <v>FACE</v>
          </cell>
          <cell r="J24" t="str">
            <v>field</v>
          </cell>
          <cell r="K24" t="str">
            <v>NF</v>
          </cell>
          <cell r="L24"/>
          <cell r="M24">
            <v>30.7</v>
          </cell>
          <cell r="N24">
            <v>7</v>
          </cell>
          <cell r="O24">
            <v>160</v>
          </cell>
          <cell r="P24">
            <v>4</v>
          </cell>
          <cell r="Q24">
            <v>2.6636551037927898</v>
          </cell>
          <cell r="R24" t="str">
            <v>Total grain no.</v>
          </cell>
          <cell r="S24">
            <v>12465.3739612188</v>
          </cell>
          <cell r="T24" t="str">
            <v>18047.2379994295</v>
          </cell>
          <cell r="U24" t="str">
            <v>0.809473149533233</v>
          </cell>
        </row>
        <row r="25">
          <cell r="B25" t="str">
            <v>2019-164C3062016FACE</v>
          </cell>
          <cell r="C25" t="str">
            <v>2019-164</v>
          </cell>
          <cell r="D25" t="str">
            <v>Yadav</v>
          </cell>
          <cell r="E25" t="str">
            <v>India</v>
          </cell>
          <cell r="F25" t="str">
            <v>wheat</v>
          </cell>
          <cell r="G25" t="str">
            <v>C306</v>
          </cell>
          <cell r="H25">
            <v>2016</v>
          </cell>
          <cell r="I25" t="str">
            <v>FACE</v>
          </cell>
          <cell r="J25" t="str">
            <v>field</v>
          </cell>
          <cell r="K25" t="str">
            <v>EO3</v>
          </cell>
          <cell r="L25">
            <v>31.232610000000001</v>
          </cell>
          <cell r="M25">
            <v>72.2</v>
          </cell>
          <cell r="N25">
            <v>7</v>
          </cell>
          <cell r="O25">
            <v>160</v>
          </cell>
          <cell r="P25">
            <v>4</v>
          </cell>
          <cell r="Q25">
            <v>17.568343124999998</v>
          </cell>
          <cell r="R25" t="str">
            <v>Total grain no.</v>
          </cell>
          <cell r="S25">
            <v>13213.213213213199</v>
          </cell>
          <cell r="T25" t="str">
            <v>18047.2379994295</v>
          </cell>
          <cell r="U25" t="str">
            <v>0.858036136615674</v>
          </cell>
        </row>
        <row r="26">
          <cell r="B26" t="str">
            <v>2019-164HD29672016FACE</v>
          </cell>
          <cell r="C26" t="str">
            <v>2019-164</v>
          </cell>
          <cell r="D26" t="str">
            <v>Yadav</v>
          </cell>
          <cell r="E26" t="str">
            <v>India</v>
          </cell>
          <cell r="F26" t="str">
            <v>wheat</v>
          </cell>
          <cell r="G26" t="str">
            <v>HD2967</v>
          </cell>
          <cell r="H26">
            <v>2016</v>
          </cell>
          <cell r="I26" t="str">
            <v>FACE</v>
          </cell>
          <cell r="J26" t="str">
            <v>field</v>
          </cell>
          <cell r="K26" t="str">
            <v>NF</v>
          </cell>
          <cell r="L26"/>
          <cell r="M26">
            <v>30.7</v>
          </cell>
          <cell r="N26">
            <v>7</v>
          </cell>
          <cell r="O26">
            <v>160</v>
          </cell>
          <cell r="P26">
            <v>4</v>
          </cell>
          <cell r="Q26">
            <v>2.6636551037927898</v>
          </cell>
          <cell r="R26" t="str">
            <v>Total grain no.</v>
          </cell>
          <cell r="S26">
            <v>12256.2674094708</v>
          </cell>
          <cell r="T26" t="str">
            <v>16698.0376753757</v>
          </cell>
          <cell r="U26" t="str">
            <v>0.860202445216002</v>
          </cell>
        </row>
        <row r="27">
          <cell r="B27" t="str">
            <v>2019-164HD29672016FACE</v>
          </cell>
          <cell r="C27" t="str">
            <v>2019-164</v>
          </cell>
          <cell r="D27" t="str">
            <v>Yadav</v>
          </cell>
          <cell r="E27" t="str">
            <v>India</v>
          </cell>
          <cell r="F27" t="str">
            <v>wheat</v>
          </cell>
          <cell r="G27" t="str">
            <v>HD2967</v>
          </cell>
          <cell r="H27">
            <v>2016</v>
          </cell>
          <cell r="I27" t="str">
            <v>FACE</v>
          </cell>
          <cell r="J27" t="str">
            <v>field</v>
          </cell>
          <cell r="K27" t="str">
            <v>EO3</v>
          </cell>
          <cell r="L27">
            <v>31.232610000000001</v>
          </cell>
          <cell r="M27">
            <v>72.2</v>
          </cell>
          <cell r="N27">
            <v>7</v>
          </cell>
          <cell r="O27">
            <v>160</v>
          </cell>
          <cell r="P27">
            <v>4</v>
          </cell>
          <cell r="Q27">
            <v>17.568343124999998</v>
          </cell>
          <cell r="R27" t="str">
            <v>Total grain no.</v>
          </cell>
          <cell r="S27">
            <v>11504.4247787611</v>
          </cell>
          <cell r="T27" t="str">
            <v>16698.0376753757</v>
          </cell>
          <cell r="U27" t="str">
            <v>0.807434596102792</v>
          </cell>
        </row>
        <row r="28">
          <cell r="B28" t="str">
            <v>2019-164C3062017FACE</v>
          </cell>
          <cell r="C28" t="str">
            <v>2019-164</v>
          </cell>
          <cell r="D28" t="str">
            <v>Yadav</v>
          </cell>
          <cell r="E28" t="str">
            <v>India</v>
          </cell>
          <cell r="F28" t="str">
            <v>wheat</v>
          </cell>
          <cell r="G28" t="str">
            <v>C306</v>
          </cell>
          <cell r="H28">
            <v>2017</v>
          </cell>
          <cell r="I28" t="str">
            <v>FACE</v>
          </cell>
          <cell r="J28" t="str">
            <v>field</v>
          </cell>
          <cell r="K28" t="str">
            <v>NF</v>
          </cell>
          <cell r="L28"/>
          <cell r="M28">
            <v>30.7</v>
          </cell>
          <cell r="N28">
            <v>7</v>
          </cell>
          <cell r="O28">
            <v>160</v>
          </cell>
          <cell r="P28">
            <v>4</v>
          </cell>
          <cell r="Q28">
            <v>2.6636551037927898</v>
          </cell>
          <cell r="R28" t="str">
            <v>Total grain no.</v>
          </cell>
          <cell r="S28">
            <v>12189.0547263682</v>
          </cell>
          <cell r="T28" t="str">
            <v>16631.1769457872</v>
          </cell>
          <cell r="U28" t="str">
            <v>0.858924368327429</v>
          </cell>
        </row>
        <row r="29">
          <cell r="B29" t="str">
            <v>2019-164C3062017FACE</v>
          </cell>
          <cell r="C29" t="str">
            <v>2019-164</v>
          </cell>
          <cell r="D29" t="str">
            <v>Yadav</v>
          </cell>
          <cell r="E29" t="str">
            <v>India</v>
          </cell>
          <cell r="F29" t="str">
            <v>wheat</v>
          </cell>
          <cell r="G29" t="str">
            <v>C306</v>
          </cell>
          <cell r="H29">
            <v>2017</v>
          </cell>
          <cell r="I29" t="str">
            <v>FACE</v>
          </cell>
          <cell r="J29" t="str">
            <v>field</v>
          </cell>
          <cell r="K29" t="str">
            <v>EO3</v>
          </cell>
          <cell r="L29">
            <v>31.232610000000001</v>
          </cell>
          <cell r="M29">
            <v>72.2</v>
          </cell>
          <cell r="N29">
            <v>7</v>
          </cell>
          <cell r="O29">
            <v>160</v>
          </cell>
          <cell r="P29">
            <v>4</v>
          </cell>
          <cell r="Q29">
            <v>17.568343124999998</v>
          </cell>
          <cell r="R29" t="str">
            <v>Total grain no.</v>
          </cell>
          <cell r="S29">
            <v>11475.409836065601</v>
          </cell>
          <cell r="T29" t="str">
            <v>16631.1769457872</v>
          </cell>
          <cell r="U29" t="str">
            <v>0.808636056364465</v>
          </cell>
        </row>
        <row r="30">
          <cell r="B30" t="str">
            <v>2019-164HD29672017FACE</v>
          </cell>
          <cell r="C30" t="str">
            <v>2019-164</v>
          </cell>
          <cell r="D30" t="str">
            <v>Yadav</v>
          </cell>
          <cell r="E30" t="str">
            <v>India</v>
          </cell>
          <cell r="F30" t="str">
            <v>wheat</v>
          </cell>
          <cell r="G30" t="str">
            <v>HD2967</v>
          </cell>
          <cell r="H30">
            <v>2017</v>
          </cell>
          <cell r="I30" t="str">
            <v>FACE</v>
          </cell>
          <cell r="J30" t="str">
            <v>field</v>
          </cell>
          <cell r="K30" t="str">
            <v>NF</v>
          </cell>
          <cell r="L30"/>
          <cell r="M30">
            <v>30.7</v>
          </cell>
          <cell r="N30">
            <v>7</v>
          </cell>
          <cell r="O30">
            <v>160</v>
          </cell>
          <cell r="P30">
            <v>4</v>
          </cell>
          <cell r="Q30">
            <v>2.6636551037927898</v>
          </cell>
          <cell r="R30" t="str">
            <v>Total grain no.</v>
          </cell>
          <cell r="S30">
            <v>12356.3218390805</v>
          </cell>
          <cell r="T30" t="str">
            <v>16526.6693871973</v>
          </cell>
          <cell r="U30" t="str">
            <v>0.876217159287431</v>
          </cell>
        </row>
        <row r="31">
          <cell r="B31" t="str">
            <v>2019-164HD29672017FACE</v>
          </cell>
          <cell r="C31" t="str">
            <v>2019-164</v>
          </cell>
          <cell r="D31" t="str">
            <v>Yadav</v>
          </cell>
          <cell r="E31" t="str">
            <v>India</v>
          </cell>
          <cell r="F31" t="str">
            <v>wheat</v>
          </cell>
          <cell r="G31" t="str">
            <v>HD2967</v>
          </cell>
          <cell r="H31">
            <v>2017</v>
          </cell>
          <cell r="I31" t="str">
            <v>FACE</v>
          </cell>
          <cell r="J31" t="str">
            <v>field</v>
          </cell>
          <cell r="K31" t="str">
            <v>EO3</v>
          </cell>
          <cell r="L31">
            <v>31.232610000000001</v>
          </cell>
          <cell r="M31">
            <v>72.2</v>
          </cell>
          <cell r="N31">
            <v>7</v>
          </cell>
          <cell r="O31">
            <v>160</v>
          </cell>
          <cell r="P31">
            <v>4</v>
          </cell>
          <cell r="Q31">
            <v>17.568343124999998</v>
          </cell>
          <cell r="R31" t="str">
            <v>Total grain no.</v>
          </cell>
          <cell r="S31">
            <v>11178.247734139</v>
          </cell>
          <cell r="T31" t="str">
            <v>16526.6693871973</v>
          </cell>
          <cell r="U31" t="str">
            <v>0.792677028243165</v>
          </cell>
        </row>
        <row r="32">
          <cell r="B32" t="str">
            <v>2020-13HD29672018OTC</v>
          </cell>
          <cell r="C32" t="str">
            <v>2020-13</v>
          </cell>
          <cell r="D32" t="str">
            <v>Annesha</v>
          </cell>
          <cell r="E32" t="str">
            <v>India</v>
          </cell>
          <cell r="F32" t="str">
            <v>wheat</v>
          </cell>
          <cell r="G32" t="str">
            <v>HD2967</v>
          </cell>
          <cell r="H32">
            <v>2018</v>
          </cell>
          <cell r="I32" t="str">
            <v>OTC</v>
          </cell>
          <cell r="J32" t="str">
            <v>field</v>
          </cell>
          <cell r="K32" t="str">
            <v>AA</v>
          </cell>
          <cell r="L32">
            <v>8.9</v>
          </cell>
          <cell r="M32">
            <v>46.12</v>
          </cell>
          <cell r="N32">
            <v>8</v>
          </cell>
          <cell r="O32">
            <v>126</v>
          </cell>
          <cell r="P32">
            <v>3</v>
          </cell>
          <cell r="Q32">
            <v>6.3571428571428603</v>
          </cell>
          <cell r="R32" t="str">
            <v>Total grain no.</v>
          </cell>
          <cell r="S32">
            <v>65659.383201864795</v>
          </cell>
          <cell r="T32" t="str">
            <v>90861.999959959</v>
          </cell>
          <cell r="U32" t="str">
            <v>0.84688099775826</v>
          </cell>
        </row>
        <row r="33">
          <cell r="B33" t="str">
            <v>2020-13HD29672018OTC</v>
          </cell>
          <cell r="C33" t="str">
            <v>2020-13</v>
          </cell>
          <cell r="D33" t="str">
            <v>Annesha</v>
          </cell>
          <cell r="E33" t="str">
            <v>India</v>
          </cell>
          <cell r="F33" t="str">
            <v>wheat</v>
          </cell>
          <cell r="G33" t="str">
            <v>HD2967</v>
          </cell>
          <cell r="H33">
            <v>2018</v>
          </cell>
          <cell r="I33" t="str">
            <v>OTC</v>
          </cell>
          <cell r="J33" t="str">
            <v>field</v>
          </cell>
          <cell r="K33" t="str">
            <v>EO3</v>
          </cell>
          <cell r="L33">
            <v>15.7</v>
          </cell>
          <cell r="M33">
            <v>65.849999999999994</v>
          </cell>
          <cell r="N33">
            <v>8</v>
          </cell>
          <cell r="O33">
            <v>126</v>
          </cell>
          <cell r="P33">
            <v>3</v>
          </cell>
          <cell r="Q33">
            <v>11.214285714285699</v>
          </cell>
          <cell r="R33" t="str">
            <v>Total grain no.</v>
          </cell>
          <cell r="S33">
            <v>64275.965459925399</v>
          </cell>
          <cell r="T33" t="str">
            <v>90861.999959959</v>
          </cell>
          <cell r="U33" t="str">
            <v>0.8290375435484</v>
          </cell>
        </row>
        <row r="34">
          <cell r="B34" t="str">
            <v>2020-48HD31182016OTC</v>
          </cell>
          <cell r="C34" t="str">
            <v>2020-48</v>
          </cell>
          <cell r="D34" t="str">
            <v>Durgesh</v>
          </cell>
          <cell r="E34" t="str">
            <v>India</v>
          </cell>
          <cell r="F34" t="str">
            <v>wheat</v>
          </cell>
          <cell r="G34" t="str">
            <v>HD3118</v>
          </cell>
          <cell r="H34">
            <v>2016</v>
          </cell>
          <cell r="I34" t="str">
            <v>OTC</v>
          </cell>
          <cell r="J34" t="str">
            <v>field</v>
          </cell>
          <cell r="K34" t="str">
            <v>NF</v>
          </cell>
          <cell r="L34"/>
          <cell r="M34">
            <v>51.7</v>
          </cell>
          <cell r="N34">
            <v>8</v>
          </cell>
          <cell r="O34">
            <v>100</v>
          </cell>
          <cell r="P34">
            <v>5</v>
          </cell>
          <cell r="Q34">
            <v>16.635934586368901</v>
          </cell>
          <cell r="R34" t="str">
            <v>Total grain no.</v>
          </cell>
          <cell r="S34">
            <v>10296.6101694915</v>
          </cell>
          <cell r="T34" t="str">
            <v>15504.742931207</v>
          </cell>
          <cell r="U34" t="str">
            <v>0.778283067687588</v>
          </cell>
        </row>
        <row r="35">
          <cell r="B35" t="str">
            <v>2020-48HD31182016OTC</v>
          </cell>
          <cell r="C35" t="str">
            <v>2020-48</v>
          </cell>
          <cell r="D35" t="str">
            <v>Durgesh</v>
          </cell>
          <cell r="E35" t="str">
            <v>India</v>
          </cell>
          <cell r="F35" t="str">
            <v>wheat</v>
          </cell>
          <cell r="G35" t="str">
            <v>HD3118</v>
          </cell>
          <cell r="H35">
            <v>2016</v>
          </cell>
          <cell r="I35" t="str">
            <v>OTC</v>
          </cell>
          <cell r="J35" t="str">
            <v>field</v>
          </cell>
          <cell r="K35" t="str">
            <v>EO3</v>
          </cell>
          <cell r="L35"/>
          <cell r="M35">
            <v>71.7</v>
          </cell>
          <cell r="N35">
            <v>8</v>
          </cell>
          <cell r="O35">
            <v>100</v>
          </cell>
          <cell r="P35">
            <v>5</v>
          </cell>
          <cell r="Q35">
            <v>29.338133020351801</v>
          </cell>
          <cell r="R35" t="str">
            <v>Total grain no.</v>
          </cell>
          <cell r="S35">
            <v>8383.6858006042294</v>
          </cell>
          <cell r="T35" t="str">
            <v>15504.742931207</v>
          </cell>
          <cell r="U35" t="str">
            <v>0.633692117698708</v>
          </cell>
        </row>
        <row r="36">
          <cell r="B36" t="str">
            <v>2020-48HUW2342016OTC</v>
          </cell>
          <cell r="C36" t="str">
            <v>2020-48</v>
          </cell>
          <cell r="D36" t="str">
            <v>Durgesh</v>
          </cell>
          <cell r="E36" t="str">
            <v>India</v>
          </cell>
          <cell r="F36" t="str">
            <v>wheat</v>
          </cell>
          <cell r="G36" t="str">
            <v>HUW234</v>
          </cell>
          <cell r="H36">
            <v>2016</v>
          </cell>
          <cell r="I36" t="str">
            <v>OTC</v>
          </cell>
          <cell r="J36" t="str">
            <v>field</v>
          </cell>
          <cell r="K36" t="str">
            <v>NF</v>
          </cell>
          <cell r="L36"/>
          <cell r="M36">
            <v>51.7</v>
          </cell>
          <cell r="N36">
            <v>8</v>
          </cell>
          <cell r="O36">
            <v>100</v>
          </cell>
          <cell r="P36">
            <v>5</v>
          </cell>
          <cell r="Q36">
            <v>16.635934586368901</v>
          </cell>
          <cell r="R36" t="str">
            <v>Total grain no.</v>
          </cell>
          <cell r="S36">
            <v>11311.6883116883</v>
          </cell>
          <cell r="T36" t="str">
            <v>16763.7703831747</v>
          </cell>
          <cell r="U36" t="str">
            <v>0.790794440966888</v>
          </cell>
        </row>
        <row r="37">
          <cell r="B37" t="str">
            <v>2020-48HUW2342016OTC</v>
          </cell>
          <cell r="C37" t="str">
            <v>2020-48</v>
          </cell>
          <cell r="D37" t="str">
            <v>Durgesh</v>
          </cell>
          <cell r="E37" t="str">
            <v>India</v>
          </cell>
          <cell r="F37" t="str">
            <v>wheat</v>
          </cell>
          <cell r="G37" t="str">
            <v>HUW234</v>
          </cell>
          <cell r="H37">
            <v>2016</v>
          </cell>
          <cell r="I37" t="str">
            <v>OTC</v>
          </cell>
          <cell r="J37" t="str">
            <v>field</v>
          </cell>
          <cell r="K37" t="str">
            <v>EO3</v>
          </cell>
          <cell r="L37"/>
          <cell r="M37">
            <v>71.7</v>
          </cell>
          <cell r="N37">
            <v>8</v>
          </cell>
          <cell r="O37">
            <v>100</v>
          </cell>
          <cell r="P37">
            <v>5</v>
          </cell>
          <cell r="Q37">
            <v>29.338133020351801</v>
          </cell>
          <cell r="R37" t="str">
            <v>Total grain no.</v>
          </cell>
          <cell r="S37">
            <v>8921.0526315789502</v>
          </cell>
          <cell r="T37" t="str">
            <v>16763.7703831747</v>
          </cell>
          <cell r="U37" t="str">
            <v>0.623666302875058</v>
          </cell>
        </row>
        <row r="38">
          <cell r="B38" t="str">
            <v>2021-X140HD30862017OTC</v>
          </cell>
          <cell r="C38" t="str">
            <v>2021-X140</v>
          </cell>
          <cell r="D38" t="str">
            <v>Durgesh</v>
          </cell>
          <cell r="E38" t="str">
            <v>India</v>
          </cell>
          <cell r="F38" t="str">
            <v>wheat</v>
          </cell>
          <cell r="G38" t="str">
            <v>HD3086</v>
          </cell>
          <cell r="H38">
            <v>2017</v>
          </cell>
          <cell r="I38" t="str">
            <v>OTC</v>
          </cell>
          <cell r="J38" t="str">
            <v>field</v>
          </cell>
          <cell r="K38" t="str">
            <v>NF</v>
          </cell>
          <cell r="L38">
            <v>11.78</v>
          </cell>
          <cell r="M38">
            <v>51.2</v>
          </cell>
          <cell r="N38">
            <v>8</v>
          </cell>
          <cell r="O38">
            <v>150</v>
          </cell>
          <cell r="P38">
            <v>3</v>
          </cell>
          <cell r="Q38">
            <v>7.0679999999999996</v>
          </cell>
          <cell r="R38" t="str">
            <v>Total grain no.</v>
          </cell>
          <cell r="S38">
            <v>12202.643171806199</v>
          </cell>
          <cell r="T38" t="str">
            <v>15010.9256863018</v>
          </cell>
          <cell r="U38" t="str">
            <v>0.952695948678944</v>
          </cell>
        </row>
        <row r="39">
          <cell r="B39" t="str">
            <v>2021-X140HD30862017OTC</v>
          </cell>
          <cell r="C39" t="str">
            <v>2021-X140</v>
          </cell>
          <cell r="D39" t="str">
            <v>Durgesh</v>
          </cell>
          <cell r="E39" t="str">
            <v>India</v>
          </cell>
          <cell r="F39" t="str">
            <v>wheat</v>
          </cell>
          <cell r="G39" t="str">
            <v>HD3086</v>
          </cell>
          <cell r="H39">
            <v>2017</v>
          </cell>
          <cell r="I39" t="str">
            <v>OTC</v>
          </cell>
          <cell r="J39" t="str">
            <v>field</v>
          </cell>
          <cell r="K39" t="str">
            <v>EO3</v>
          </cell>
          <cell r="L39">
            <v>21.6</v>
          </cell>
          <cell r="M39">
            <v>72.2</v>
          </cell>
          <cell r="N39">
            <v>8</v>
          </cell>
          <cell r="O39">
            <v>150</v>
          </cell>
          <cell r="P39">
            <v>3</v>
          </cell>
          <cell r="Q39">
            <v>12.96</v>
          </cell>
          <cell r="R39" t="str">
            <v>Total grain no.</v>
          </cell>
          <cell r="S39">
            <v>9136.6906474820207</v>
          </cell>
          <cell r="T39" t="str">
            <v>15010.9256863018</v>
          </cell>
          <cell r="U39" t="str">
            <v>0.713328091433532</v>
          </cell>
        </row>
        <row r="40">
          <cell r="B40" t="str">
            <v>2021-X140HD31182017OTC</v>
          </cell>
          <cell r="C40" t="str">
            <v>2021-X140</v>
          </cell>
          <cell r="D40" t="str">
            <v>Durgesh</v>
          </cell>
          <cell r="E40" t="str">
            <v>India</v>
          </cell>
          <cell r="F40" t="str">
            <v>wheat</v>
          </cell>
          <cell r="G40" t="str">
            <v>HD3118</v>
          </cell>
          <cell r="H40">
            <v>2017</v>
          </cell>
          <cell r="I40" t="str">
            <v>OTC</v>
          </cell>
          <cell r="J40" t="str">
            <v>field</v>
          </cell>
          <cell r="K40" t="str">
            <v>NF</v>
          </cell>
          <cell r="L40">
            <v>8.4</v>
          </cell>
          <cell r="M40">
            <v>51.74</v>
          </cell>
          <cell r="N40">
            <v>8</v>
          </cell>
          <cell r="O40">
            <v>131</v>
          </cell>
          <cell r="P40">
            <v>3</v>
          </cell>
          <cell r="Q40">
            <v>5.7709923664122096</v>
          </cell>
          <cell r="R40" t="str">
            <v>Total grain no.</v>
          </cell>
          <cell r="S40">
            <v>14114.583333333299</v>
          </cell>
          <cell r="T40" t="str">
            <v>18325.6690920063</v>
          </cell>
          <cell r="U40" t="str">
            <v>0.902643176374333</v>
          </cell>
        </row>
        <row r="41">
          <cell r="B41" t="str">
            <v>2021-X140HD31182017OTC</v>
          </cell>
          <cell r="C41" t="str">
            <v>2021-X140</v>
          </cell>
          <cell r="D41" t="str">
            <v>Durgesh</v>
          </cell>
          <cell r="E41" t="str">
            <v>India</v>
          </cell>
          <cell r="F41" t="str">
            <v>wheat</v>
          </cell>
          <cell r="G41" t="str">
            <v>HD3118</v>
          </cell>
          <cell r="H41">
            <v>2017</v>
          </cell>
          <cell r="I41" t="str">
            <v>OTC</v>
          </cell>
          <cell r="J41" t="str">
            <v>field</v>
          </cell>
          <cell r="K41" t="str">
            <v>EO3</v>
          </cell>
          <cell r="L41">
            <v>16.5</v>
          </cell>
          <cell r="M41">
            <v>74.260000000000005</v>
          </cell>
          <cell r="N41">
            <v>8</v>
          </cell>
          <cell r="O41">
            <v>131</v>
          </cell>
          <cell r="P41">
            <v>3</v>
          </cell>
          <cell r="Q41">
            <v>11.3358778625954</v>
          </cell>
          <cell r="R41" t="str">
            <v>Total grain no.</v>
          </cell>
          <cell r="S41">
            <v>12256.097560975601</v>
          </cell>
          <cell r="T41" t="str">
            <v>18325.6690920063</v>
          </cell>
          <cell r="U41" t="str">
            <v>0.783790960818969</v>
          </cell>
        </row>
        <row r="42">
          <cell r="B42" t="str">
            <v>2021-X140HUW2342017OTC</v>
          </cell>
          <cell r="C42" t="str">
            <v>2021-X140</v>
          </cell>
          <cell r="D42" t="str">
            <v>Durgesh</v>
          </cell>
          <cell r="E42" t="str">
            <v>India</v>
          </cell>
          <cell r="F42" t="str">
            <v>wheat</v>
          </cell>
          <cell r="G42" t="str">
            <v>HUW234</v>
          </cell>
          <cell r="H42">
            <v>2017</v>
          </cell>
          <cell r="I42" t="str">
            <v>OTC</v>
          </cell>
          <cell r="J42" t="str">
            <v>field</v>
          </cell>
          <cell r="K42" t="str">
            <v>NF</v>
          </cell>
          <cell r="L42">
            <v>8.4</v>
          </cell>
          <cell r="M42">
            <v>51.74</v>
          </cell>
          <cell r="N42">
            <v>8</v>
          </cell>
          <cell r="O42">
            <v>131</v>
          </cell>
          <cell r="P42">
            <v>3</v>
          </cell>
          <cell r="Q42">
            <v>5.7709923664122096</v>
          </cell>
          <cell r="R42" t="str">
            <v>Total grain no.</v>
          </cell>
          <cell r="S42">
            <v>14119.241192411901</v>
          </cell>
          <cell r="T42" t="str">
            <v>18576.9529879564</v>
          </cell>
          <cell r="U42" t="str">
            <v>0.890727286221855</v>
          </cell>
        </row>
        <row r="43">
          <cell r="B43" t="str">
            <v>2021-X140HUW2342017OTC</v>
          </cell>
          <cell r="C43" t="str">
            <v>2021-X140</v>
          </cell>
          <cell r="D43" t="str">
            <v>Durgesh</v>
          </cell>
          <cell r="E43" t="str">
            <v>India</v>
          </cell>
          <cell r="F43" t="str">
            <v>wheat</v>
          </cell>
          <cell r="G43" t="str">
            <v>HUW234</v>
          </cell>
          <cell r="H43">
            <v>2017</v>
          </cell>
          <cell r="I43" t="str">
            <v>OTC</v>
          </cell>
          <cell r="J43" t="str">
            <v>field</v>
          </cell>
          <cell r="K43" t="str">
            <v>EO3</v>
          </cell>
          <cell r="L43">
            <v>16.5</v>
          </cell>
          <cell r="M43">
            <v>74.260000000000005</v>
          </cell>
          <cell r="N43">
            <v>8</v>
          </cell>
          <cell r="O43">
            <v>131</v>
          </cell>
          <cell r="P43">
            <v>3</v>
          </cell>
          <cell r="Q43">
            <v>11.3358778625954</v>
          </cell>
          <cell r="R43" t="str">
            <v>Total grain no.</v>
          </cell>
          <cell r="S43">
            <v>12590.361445783101</v>
          </cell>
          <cell r="T43" t="str">
            <v>18576.9529879564</v>
          </cell>
          <cell r="U43" t="str">
            <v>0.794276287962395</v>
          </cell>
        </row>
        <row r="44">
          <cell r="B44" t="str">
            <v>2021-X140HUW4682017OTC</v>
          </cell>
          <cell r="C44" t="str">
            <v>2021-X140</v>
          </cell>
          <cell r="D44" t="str">
            <v>Durgesh</v>
          </cell>
          <cell r="E44" t="str">
            <v>India</v>
          </cell>
          <cell r="F44" t="str">
            <v>wheat</v>
          </cell>
          <cell r="G44" t="str">
            <v>HUW468</v>
          </cell>
          <cell r="H44">
            <v>2017</v>
          </cell>
          <cell r="I44" t="str">
            <v>OTC</v>
          </cell>
          <cell r="J44" t="str">
            <v>field</v>
          </cell>
          <cell r="K44" t="str">
            <v>NF</v>
          </cell>
          <cell r="L44">
            <v>11.78</v>
          </cell>
          <cell r="M44">
            <v>51.2</v>
          </cell>
          <cell r="N44">
            <v>8</v>
          </cell>
          <cell r="O44">
            <v>150</v>
          </cell>
          <cell r="P44">
            <v>3</v>
          </cell>
          <cell r="Q44">
            <v>7.0679999999999996</v>
          </cell>
          <cell r="R44" t="str">
            <v>Total grain no.</v>
          </cell>
          <cell r="S44">
            <v>14690.0269541779</v>
          </cell>
          <cell r="T44" t="str">
            <v>18121.1943105608</v>
          </cell>
          <cell r="U44" t="str">
            <v>0.950043862915845</v>
          </cell>
        </row>
        <row r="45">
          <cell r="B45" t="str">
            <v>2021-X140HUW4682017OTC</v>
          </cell>
          <cell r="C45" t="str">
            <v>2021-X140</v>
          </cell>
          <cell r="D45" t="str">
            <v>Durgesh</v>
          </cell>
          <cell r="E45" t="str">
            <v>India</v>
          </cell>
          <cell r="F45" t="str">
            <v>wheat</v>
          </cell>
          <cell r="G45" t="str">
            <v>HUW468</v>
          </cell>
          <cell r="H45">
            <v>2017</v>
          </cell>
          <cell r="I45" t="str">
            <v>OTC</v>
          </cell>
          <cell r="J45" t="str">
            <v>field</v>
          </cell>
          <cell r="K45" t="str">
            <v>EO3</v>
          </cell>
          <cell r="L45">
            <v>21.6</v>
          </cell>
          <cell r="M45">
            <v>72.2</v>
          </cell>
          <cell r="N45">
            <v>8</v>
          </cell>
          <cell r="O45">
            <v>150</v>
          </cell>
          <cell r="P45">
            <v>3</v>
          </cell>
          <cell r="Q45">
            <v>12.96</v>
          </cell>
          <cell r="R45" t="str">
            <v>Total grain no.</v>
          </cell>
          <cell r="S45">
            <v>11060.6060606061</v>
          </cell>
          <cell r="T45" t="str">
            <v>18121.1943105608</v>
          </cell>
          <cell r="U45" t="str">
            <v>0.715319375572695</v>
          </cell>
        </row>
        <row r="46">
          <cell r="B46" t="str">
            <v>2021-X140HD30862018OTC</v>
          </cell>
          <cell r="C46" t="str">
            <v>2021-X140</v>
          </cell>
          <cell r="D46" t="str">
            <v>Durgesh</v>
          </cell>
          <cell r="E46" t="str">
            <v>India</v>
          </cell>
          <cell r="F46" t="str">
            <v>wheat</v>
          </cell>
          <cell r="G46" t="str">
            <v>HD3086</v>
          </cell>
          <cell r="H46">
            <v>2018</v>
          </cell>
          <cell r="I46" t="str">
            <v>OTC</v>
          </cell>
          <cell r="J46" t="str">
            <v>field</v>
          </cell>
          <cell r="K46" t="str">
            <v>NF</v>
          </cell>
          <cell r="L46">
            <v>6.8</v>
          </cell>
          <cell r="M46">
            <v>45.87</v>
          </cell>
          <cell r="N46">
            <v>8</v>
          </cell>
          <cell r="O46">
            <v>150</v>
          </cell>
          <cell r="P46">
            <v>3</v>
          </cell>
          <cell r="Q46">
            <v>4.08</v>
          </cell>
          <cell r="R46" t="str">
            <v>Total grain no.</v>
          </cell>
          <cell r="S46">
            <v>12718.4466019417</v>
          </cell>
          <cell r="T46" t="str">
            <v>15751.6817560739</v>
          </cell>
          <cell r="U46" t="str">
            <v>0.946269895181716</v>
          </cell>
        </row>
        <row r="47">
          <cell r="B47" t="str">
            <v>2021-X140HD30862018OTC</v>
          </cell>
          <cell r="C47" t="str">
            <v>2021-X140</v>
          </cell>
          <cell r="D47" t="str">
            <v>Durgesh</v>
          </cell>
          <cell r="E47" t="str">
            <v>India</v>
          </cell>
          <cell r="F47" t="str">
            <v>wheat</v>
          </cell>
          <cell r="G47" t="str">
            <v>HD3086</v>
          </cell>
          <cell r="H47">
            <v>2018</v>
          </cell>
          <cell r="I47" t="str">
            <v>OTC</v>
          </cell>
          <cell r="J47" t="str">
            <v>field</v>
          </cell>
          <cell r="K47" t="str">
            <v>EO3</v>
          </cell>
          <cell r="L47">
            <v>16.7</v>
          </cell>
          <cell r="M47">
            <v>67.17</v>
          </cell>
          <cell r="N47">
            <v>8</v>
          </cell>
          <cell r="O47">
            <v>150</v>
          </cell>
          <cell r="P47">
            <v>3</v>
          </cell>
          <cell r="Q47">
            <v>10.02</v>
          </cell>
          <cell r="R47" t="str">
            <v>Total grain no.</v>
          </cell>
          <cell r="S47">
            <v>10521.978021978</v>
          </cell>
          <cell r="T47" t="str">
            <v>15751.6817560739</v>
          </cell>
          <cell r="U47" t="str">
            <v>0.782849616119108</v>
          </cell>
        </row>
        <row r="48">
          <cell r="B48" t="str">
            <v>2021-X140HD31182018OTC</v>
          </cell>
          <cell r="C48" t="str">
            <v>2021-X140</v>
          </cell>
          <cell r="D48" t="str">
            <v>Durgesh</v>
          </cell>
          <cell r="E48" t="str">
            <v>India</v>
          </cell>
          <cell r="F48" t="str">
            <v>wheat</v>
          </cell>
          <cell r="G48" t="str">
            <v>HD3118</v>
          </cell>
          <cell r="H48">
            <v>2018</v>
          </cell>
          <cell r="I48" t="str">
            <v>OTC</v>
          </cell>
          <cell r="J48" t="str">
            <v>field</v>
          </cell>
          <cell r="K48" t="str">
            <v>NF</v>
          </cell>
          <cell r="L48">
            <v>6.2</v>
          </cell>
          <cell r="M48">
            <v>45.17</v>
          </cell>
          <cell r="N48">
            <v>8</v>
          </cell>
          <cell r="O48">
            <v>131</v>
          </cell>
          <cell r="P48">
            <v>3</v>
          </cell>
          <cell r="Q48">
            <v>4.2595419847328202</v>
          </cell>
          <cell r="R48" t="str">
            <v>Total grain no.</v>
          </cell>
          <cell r="S48">
            <v>11890.087313816101</v>
          </cell>
          <cell r="T48" t="str">
            <v>14956.3893361518</v>
          </cell>
          <cell r="U48" t="str">
            <v>0.931678692633912</v>
          </cell>
        </row>
        <row r="49">
          <cell r="B49" t="str">
            <v>2021-X140HD31182018OTC</v>
          </cell>
          <cell r="C49" t="str">
            <v>2021-X140</v>
          </cell>
          <cell r="D49" t="str">
            <v>Durgesh</v>
          </cell>
          <cell r="E49" t="str">
            <v>India</v>
          </cell>
          <cell r="F49" t="str">
            <v>wheat</v>
          </cell>
          <cell r="G49" t="str">
            <v>HD3118</v>
          </cell>
          <cell r="H49">
            <v>2018</v>
          </cell>
          <cell r="I49" t="str">
            <v>OTC</v>
          </cell>
          <cell r="J49" t="str">
            <v>field</v>
          </cell>
          <cell r="K49" t="str">
            <v>EO3</v>
          </cell>
          <cell r="L49">
            <v>15.2</v>
          </cell>
          <cell r="M49">
            <v>68.930000000000007</v>
          </cell>
          <cell r="N49">
            <v>8</v>
          </cell>
          <cell r="O49">
            <v>131</v>
          </cell>
          <cell r="P49">
            <v>3</v>
          </cell>
          <cell r="Q49">
            <v>10.4427480916031</v>
          </cell>
          <cell r="R49" t="str">
            <v>Total grain no.</v>
          </cell>
          <cell r="S49">
            <v>10058.1395348837</v>
          </cell>
          <cell r="T49" t="str">
            <v>14956.3893361518</v>
          </cell>
          <cell r="U49" t="str">
            <v>0.788131663364743</v>
          </cell>
        </row>
        <row r="50">
          <cell r="B50" t="str">
            <v>2021-X140HUW2342018OTC</v>
          </cell>
          <cell r="C50" t="str">
            <v>2021-X140</v>
          </cell>
          <cell r="D50" t="str">
            <v>Durgesh</v>
          </cell>
          <cell r="E50" t="str">
            <v>India</v>
          </cell>
          <cell r="F50" t="str">
            <v>wheat</v>
          </cell>
          <cell r="G50" t="str">
            <v>HUW234</v>
          </cell>
          <cell r="H50">
            <v>2018</v>
          </cell>
          <cell r="I50" t="str">
            <v>OTC</v>
          </cell>
          <cell r="J50" t="str">
            <v>field</v>
          </cell>
          <cell r="K50" t="str">
            <v>NF</v>
          </cell>
          <cell r="L50">
            <v>6.2</v>
          </cell>
          <cell r="M50">
            <v>45.17</v>
          </cell>
          <cell r="N50">
            <v>8</v>
          </cell>
          <cell r="O50">
            <v>131</v>
          </cell>
          <cell r="P50">
            <v>3</v>
          </cell>
          <cell r="Q50">
            <v>4.2595419847328202</v>
          </cell>
          <cell r="R50" t="str">
            <v>Total grain no.</v>
          </cell>
          <cell r="S50">
            <v>12058.526740666</v>
          </cell>
          <cell r="T50" t="str">
            <v>15342.9744818872</v>
          </cell>
          <cell r="U50" t="str">
            <v>0.92106985642808</v>
          </cell>
        </row>
        <row r="51">
          <cell r="B51" t="str">
            <v>2021-X140HUW2342018OTC</v>
          </cell>
          <cell r="C51" t="str">
            <v>2021-X140</v>
          </cell>
          <cell r="D51" t="str">
            <v>Durgesh</v>
          </cell>
          <cell r="E51" t="str">
            <v>India</v>
          </cell>
          <cell r="F51" t="str">
            <v>wheat</v>
          </cell>
          <cell r="G51" t="str">
            <v>HUW234</v>
          </cell>
          <cell r="H51">
            <v>2018</v>
          </cell>
          <cell r="I51" t="str">
            <v>OTC</v>
          </cell>
          <cell r="J51" t="str">
            <v>field</v>
          </cell>
          <cell r="K51" t="str">
            <v>EO3</v>
          </cell>
          <cell r="L51">
            <v>15.2</v>
          </cell>
          <cell r="M51">
            <v>68.930000000000007</v>
          </cell>
          <cell r="N51">
            <v>8</v>
          </cell>
          <cell r="O51">
            <v>131</v>
          </cell>
          <cell r="P51">
            <v>3</v>
          </cell>
          <cell r="Q51">
            <v>10.4427480916031</v>
          </cell>
          <cell r="R51" t="str">
            <v>Total grain no.</v>
          </cell>
          <cell r="S51">
            <v>10436.9607570276</v>
          </cell>
          <cell r="T51" t="str">
            <v>15342.9744818872</v>
          </cell>
          <cell r="U51" t="str">
            <v>0.797209323557045</v>
          </cell>
        </row>
        <row r="52">
          <cell r="B52" t="str">
            <v>2021-X140HUW4682018OTC</v>
          </cell>
          <cell r="C52" t="str">
            <v>2021-X140</v>
          </cell>
          <cell r="D52" t="str">
            <v>Durgesh</v>
          </cell>
          <cell r="E52" t="str">
            <v>India</v>
          </cell>
          <cell r="F52" t="str">
            <v>wheat</v>
          </cell>
          <cell r="G52" t="str">
            <v>HUW468</v>
          </cell>
          <cell r="H52">
            <v>2018</v>
          </cell>
          <cell r="I52" t="str">
            <v>OTC</v>
          </cell>
          <cell r="J52" t="str">
            <v>field</v>
          </cell>
          <cell r="K52" t="str">
            <v>NF</v>
          </cell>
          <cell r="L52">
            <v>6.8</v>
          </cell>
          <cell r="M52">
            <v>45.87</v>
          </cell>
          <cell r="N52">
            <v>8</v>
          </cell>
          <cell r="O52">
            <v>150</v>
          </cell>
          <cell r="P52">
            <v>3</v>
          </cell>
          <cell r="Q52">
            <v>4.08</v>
          </cell>
          <cell r="R52" t="str">
            <v>Total grain no.</v>
          </cell>
          <cell r="S52">
            <v>15162.2418879056</v>
          </cell>
          <cell r="T52" t="str">
            <v>18922.2942306457</v>
          </cell>
          <cell r="U52" t="str">
            <v>0.939069014933726</v>
          </cell>
        </row>
        <row r="53">
          <cell r="B53" t="str">
            <v>2021-X140HUW4682018OTC</v>
          </cell>
          <cell r="C53" t="str">
            <v>2021-X140</v>
          </cell>
          <cell r="D53" t="str">
            <v>Durgesh</v>
          </cell>
          <cell r="E53" t="str">
            <v>India</v>
          </cell>
          <cell r="F53" t="str">
            <v>wheat</v>
          </cell>
          <cell r="G53" t="str">
            <v>HUW468</v>
          </cell>
          <cell r="H53">
            <v>2018</v>
          </cell>
          <cell r="I53" t="str">
            <v>OTC</v>
          </cell>
          <cell r="J53" t="str">
            <v>field</v>
          </cell>
          <cell r="K53" t="str">
            <v>EO3</v>
          </cell>
          <cell r="L53">
            <v>16.7</v>
          </cell>
          <cell r="M53">
            <v>67.17</v>
          </cell>
          <cell r="N53">
            <v>8</v>
          </cell>
          <cell r="O53">
            <v>150</v>
          </cell>
          <cell r="P53">
            <v>3</v>
          </cell>
          <cell r="Q53">
            <v>10.02</v>
          </cell>
          <cell r="R53" t="str">
            <v>Total grain no.</v>
          </cell>
          <cell r="S53">
            <v>12736.8421052632</v>
          </cell>
          <cell r="T53" t="str">
            <v>18922.2942306457</v>
          </cell>
          <cell r="U53" t="str">
            <v>0.788852589055222</v>
          </cell>
        </row>
      </sheetData>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row>
        <row r="2">
          <cell r="A2" t="str">
            <v>Heagle1979Blueboy1977OTC</v>
          </cell>
          <cell r="B2" t="str">
            <v>Heagle1979</v>
          </cell>
          <cell r="C2" t="str">
            <v>Heagle</v>
          </cell>
          <cell r="D2" t="str">
            <v>North America</v>
          </cell>
          <cell r="E2" t="str">
            <v>soft  red wheat</v>
          </cell>
          <cell r="F2" t="str">
            <v>Blueboy</v>
          </cell>
          <cell r="G2">
            <v>1977</v>
          </cell>
          <cell r="H2" t="str">
            <v>OTC</v>
          </cell>
          <cell r="I2" t="str">
            <v>field</v>
          </cell>
          <cell r="J2" t="str">
            <v>CF</v>
          </cell>
          <cell r="K2"/>
          <cell r="L2">
            <v>30</v>
          </cell>
          <cell r="M2">
            <v>7</v>
          </cell>
          <cell r="N2">
            <v>53</v>
          </cell>
          <cell r="O2">
            <v>4</v>
          </cell>
          <cell r="P2">
            <v>6.4205589999999999</v>
          </cell>
          <cell r="Q2" t="str">
            <v>yield</v>
          </cell>
          <cell r="R2">
            <v>5.84</v>
          </cell>
          <cell r="S2" t="str">
            <v>8.03556395869976</v>
          </cell>
          <cell r="T2" t="str">
            <v>0.743318605560629</v>
          </cell>
          <cell r="U2">
            <v>0.86908829235343799</v>
          </cell>
        </row>
        <row r="3">
          <cell r="A3" t="str">
            <v>Heagle1979Blueboy1977OTC</v>
          </cell>
          <cell r="B3" t="str">
            <v>Heagle1979</v>
          </cell>
          <cell r="C3" t="str">
            <v>Heagle</v>
          </cell>
          <cell r="D3" t="str">
            <v>North America</v>
          </cell>
          <cell r="E3" t="str">
            <v>soft  red wheat</v>
          </cell>
          <cell r="F3" t="str">
            <v>Blueboy</v>
          </cell>
          <cell r="G3">
            <v>1977</v>
          </cell>
          <cell r="H3" t="str">
            <v>OTC</v>
          </cell>
          <cell r="I3" t="str">
            <v>field</v>
          </cell>
          <cell r="J3" t="str">
            <v>NF</v>
          </cell>
          <cell r="K3"/>
          <cell r="L3">
            <v>60</v>
          </cell>
          <cell r="M3">
            <v>7</v>
          </cell>
          <cell r="N3">
            <v>53</v>
          </cell>
          <cell r="O3">
            <v>4</v>
          </cell>
          <cell r="P3">
            <v>22.414709999999999</v>
          </cell>
          <cell r="Q3" t="str">
            <v>yield</v>
          </cell>
          <cell r="R3">
            <v>5.74</v>
          </cell>
          <cell r="S3" t="str">
            <v>8.03556395869976</v>
          </cell>
          <cell r="T3" t="str">
            <v>0.730590547246235</v>
          </cell>
          <cell r="U3">
            <v>0.71069468970039895</v>
          </cell>
        </row>
        <row r="4">
          <cell r="A4" t="str">
            <v>Heagle1979Blueboy1977OTC</v>
          </cell>
          <cell r="B4" t="str">
            <v>Heagle1979</v>
          </cell>
          <cell r="C4" t="str">
            <v>Heagle</v>
          </cell>
          <cell r="D4" t="str">
            <v>North America</v>
          </cell>
          <cell r="E4" t="str">
            <v>soft  red wheat</v>
          </cell>
          <cell r="F4" t="str">
            <v>Blueboy</v>
          </cell>
          <cell r="G4">
            <v>1977</v>
          </cell>
          <cell r="H4" t="str">
            <v>OTC</v>
          </cell>
          <cell r="I4" t="str">
            <v>field</v>
          </cell>
          <cell r="J4" t="str">
            <v>EO3-2</v>
          </cell>
          <cell r="K4"/>
          <cell r="L4">
            <v>100</v>
          </cell>
          <cell r="M4">
            <v>7</v>
          </cell>
          <cell r="N4">
            <v>53</v>
          </cell>
          <cell r="O4">
            <v>4</v>
          </cell>
          <cell r="P4">
            <v>36.707799999999999</v>
          </cell>
          <cell r="Q4" t="str">
            <v>yield</v>
          </cell>
          <cell r="R4">
            <v>4.97</v>
          </cell>
          <cell r="S4" t="str">
            <v>8.03556395869976</v>
          </cell>
          <cell r="T4" t="str">
            <v>0.632584498225399</v>
          </cell>
          <cell r="U4">
            <v>0.58339255939159795</v>
          </cell>
        </row>
        <row r="5">
          <cell r="A5" t="str">
            <v>Heagle1979Blueboy1977OTC</v>
          </cell>
          <cell r="B5" t="str">
            <v>Heagle1979</v>
          </cell>
          <cell r="C5" t="str">
            <v>Heagle</v>
          </cell>
          <cell r="D5" t="str">
            <v>North America</v>
          </cell>
          <cell r="E5" t="str">
            <v>soft  red wheat</v>
          </cell>
          <cell r="F5" t="str">
            <v>Blueboy</v>
          </cell>
          <cell r="G5">
            <v>1977</v>
          </cell>
          <cell r="H5" t="str">
            <v>OTC</v>
          </cell>
          <cell r="I5" t="str">
            <v>field</v>
          </cell>
          <cell r="J5" t="str">
            <v>EO3-3</v>
          </cell>
          <cell r="K5"/>
          <cell r="L5">
            <v>130</v>
          </cell>
          <cell r="M5">
            <v>7</v>
          </cell>
          <cell r="N5">
            <v>53</v>
          </cell>
          <cell r="O5">
            <v>4</v>
          </cell>
          <cell r="P5">
            <v>47.635179999999998</v>
          </cell>
          <cell r="Q5" t="str">
            <v>yield</v>
          </cell>
          <cell r="R5">
            <v>4.0199999999999996</v>
          </cell>
          <cell r="S5" t="str">
            <v>8.03556395869976</v>
          </cell>
          <cell r="T5" t="str">
            <v>0.511667944238652</v>
          </cell>
          <cell r="U5">
            <v>0.48772197408743301</v>
          </cell>
        </row>
        <row r="6">
          <cell r="A6" t="str">
            <v>Heagle1979Coker47-271977OTC</v>
          </cell>
          <cell r="B6" t="str">
            <v>Heagle1979</v>
          </cell>
          <cell r="C6" t="str">
            <v>Heagle</v>
          </cell>
          <cell r="D6" t="str">
            <v>North America</v>
          </cell>
          <cell r="E6" t="str">
            <v>soft  red wheat</v>
          </cell>
          <cell r="F6" t="str">
            <v>Coker47-27</v>
          </cell>
          <cell r="G6">
            <v>1977</v>
          </cell>
          <cell r="H6" t="str">
            <v>OTC</v>
          </cell>
          <cell r="I6" t="str">
            <v>field</v>
          </cell>
          <cell r="J6" t="str">
            <v>CF</v>
          </cell>
          <cell r="K6"/>
          <cell r="L6">
            <v>30</v>
          </cell>
          <cell r="M6">
            <v>7</v>
          </cell>
          <cell r="N6">
            <v>53</v>
          </cell>
          <cell r="O6">
            <v>4</v>
          </cell>
          <cell r="P6">
            <v>6.4205589999999999</v>
          </cell>
          <cell r="Q6" t="str">
            <v>yield</v>
          </cell>
          <cell r="R6">
            <v>5.09</v>
          </cell>
          <cell r="S6" t="str">
            <v>6.32719106823718</v>
          </cell>
          <cell r="T6" t="str">
            <v>0.822783078717592</v>
          </cell>
          <cell r="U6">
            <v>0.86908829235343799</v>
          </cell>
        </row>
        <row r="7">
          <cell r="A7" t="str">
            <v>Heagle1979Coker47-271977OTC</v>
          </cell>
          <cell r="B7" t="str">
            <v>Heagle1979</v>
          </cell>
          <cell r="C7" t="str">
            <v>Heagle</v>
          </cell>
          <cell r="D7" t="str">
            <v>North America</v>
          </cell>
          <cell r="E7" t="str">
            <v>soft  red wheat</v>
          </cell>
          <cell r="F7" t="str">
            <v>Coker47-27</v>
          </cell>
          <cell r="G7">
            <v>1977</v>
          </cell>
          <cell r="H7" t="str">
            <v>OTC</v>
          </cell>
          <cell r="I7" t="str">
            <v>field</v>
          </cell>
          <cell r="J7" t="str">
            <v>NF</v>
          </cell>
          <cell r="K7"/>
          <cell r="L7">
            <v>60</v>
          </cell>
          <cell r="M7">
            <v>7</v>
          </cell>
          <cell r="N7">
            <v>53</v>
          </cell>
          <cell r="O7">
            <v>4</v>
          </cell>
          <cell r="P7">
            <v>22.414709999999999</v>
          </cell>
          <cell r="Q7" t="str">
            <v>yield</v>
          </cell>
          <cell r="R7">
            <v>4.55</v>
          </cell>
          <cell r="S7" t="str">
            <v>6.32719106823718</v>
          </cell>
          <cell r="T7" t="str">
            <v>0.735493714767199</v>
          </cell>
          <cell r="U7">
            <v>0.71069468970039895</v>
          </cell>
        </row>
        <row r="8">
          <cell r="A8" t="str">
            <v>Heagle1979Coker47-271977OTC</v>
          </cell>
          <cell r="B8" t="str">
            <v>Heagle1979</v>
          </cell>
          <cell r="C8" t="str">
            <v>Heagle</v>
          </cell>
          <cell r="D8" t="str">
            <v>North America</v>
          </cell>
          <cell r="E8" t="str">
            <v>soft  red wheat</v>
          </cell>
          <cell r="F8" t="str">
            <v>Coker47-27</v>
          </cell>
          <cell r="G8">
            <v>1977</v>
          </cell>
          <cell r="H8" t="str">
            <v>OTC</v>
          </cell>
          <cell r="I8" t="str">
            <v>field</v>
          </cell>
          <cell r="J8" t="str">
            <v>EO3-2</v>
          </cell>
          <cell r="K8"/>
          <cell r="L8">
            <v>100</v>
          </cell>
          <cell r="M8">
            <v>7</v>
          </cell>
          <cell r="N8">
            <v>53</v>
          </cell>
          <cell r="O8">
            <v>4</v>
          </cell>
          <cell r="P8">
            <v>36.707799999999999</v>
          </cell>
          <cell r="Q8" t="str">
            <v>yield</v>
          </cell>
          <cell r="R8">
            <v>3.82</v>
          </cell>
          <cell r="S8" t="str">
            <v>6.32719106823718</v>
          </cell>
          <cell r="T8" t="str">
            <v>0.61749142646389</v>
          </cell>
          <cell r="U8">
            <v>0.58339255939159795</v>
          </cell>
        </row>
        <row r="9">
          <cell r="A9" t="str">
            <v>Heagle1979Coker47-271977OTC</v>
          </cell>
          <cell r="B9" t="str">
            <v>Heagle1979</v>
          </cell>
          <cell r="C9" t="str">
            <v>Heagle</v>
          </cell>
          <cell r="D9" t="str">
            <v>North America</v>
          </cell>
          <cell r="E9" t="str">
            <v>soft  red wheat</v>
          </cell>
          <cell r="F9" t="str">
            <v>Coker47-27</v>
          </cell>
          <cell r="G9">
            <v>1977</v>
          </cell>
          <cell r="H9" t="str">
            <v>OTC</v>
          </cell>
          <cell r="I9" t="str">
            <v>field</v>
          </cell>
          <cell r="J9" t="str">
            <v>EO3-3</v>
          </cell>
          <cell r="K9"/>
          <cell r="L9">
            <v>130</v>
          </cell>
          <cell r="M9">
            <v>7</v>
          </cell>
          <cell r="N9">
            <v>53</v>
          </cell>
          <cell r="O9">
            <v>4</v>
          </cell>
          <cell r="P9">
            <v>47.635179999999998</v>
          </cell>
          <cell r="Q9" t="str">
            <v>yield</v>
          </cell>
          <cell r="R9">
            <v>2.91</v>
          </cell>
          <cell r="S9" t="str">
            <v>6.32719106823718</v>
          </cell>
          <cell r="T9" t="str">
            <v>0.47039268351045</v>
          </cell>
          <cell r="U9">
            <v>0.48772197408743301</v>
          </cell>
        </row>
        <row r="10">
          <cell r="A10" t="str">
            <v>Heagle1979Holly1977OTC</v>
          </cell>
          <cell r="B10" t="str">
            <v>Heagle1979</v>
          </cell>
          <cell r="C10" t="str">
            <v>Heagle</v>
          </cell>
          <cell r="D10" t="str">
            <v>North America</v>
          </cell>
          <cell r="E10" t="str">
            <v>soft  red wheat</v>
          </cell>
          <cell r="F10" t="str">
            <v>Holly</v>
          </cell>
          <cell r="G10">
            <v>1977</v>
          </cell>
          <cell r="H10" t="str">
            <v>OTC</v>
          </cell>
          <cell r="I10" t="str">
            <v>field</v>
          </cell>
          <cell r="J10" t="str">
            <v>CF</v>
          </cell>
          <cell r="K10"/>
          <cell r="L10">
            <v>30</v>
          </cell>
          <cell r="M10">
            <v>7</v>
          </cell>
          <cell r="N10">
            <v>53</v>
          </cell>
          <cell r="O10">
            <v>4</v>
          </cell>
          <cell r="P10">
            <v>6.4205589999999999</v>
          </cell>
          <cell r="Q10" t="str">
            <v>yield</v>
          </cell>
          <cell r="R10">
            <v>4.95</v>
          </cell>
          <cell r="S10" t="str">
            <v>6.85789223212049</v>
          </cell>
          <cell r="T10" t="str">
            <v>0.738232331171482</v>
          </cell>
          <cell r="U10">
            <v>0.86908829235343799</v>
          </cell>
        </row>
        <row r="11">
          <cell r="A11" t="str">
            <v>Heagle1979Holly1977OTC</v>
          </cell>
          <cell r="B11" t="str">
            <v>Heagle1979</v>
          </cell>
          <cell r="C11" t="str">
            <v>Heagle</v>
          </cell>
          <cell r="D11" t="str">
            <v>North America</v>
          </cell>
          <cell r="E11" t="str">
            <v>soft  red wheat</v>
          </cell>
          <cell r="F11" t="str">
            <v>Holly</v>
          </cell>
          <cell r="G11">
            <v>1977</v>
          </cell>
          <cell r="H11" t="str">
            <v>OTC</v>
          </cell>
          <cell r="I11" t="str">
            <v>field</v>
          </cell>
          <cell r="J11" t="str">
            <v>NF</v>
          </cell>
          <cell r="K11"/>
          <cell r="L11">
            <v>60</v>
          </cell>
          <cell r="M11">
            <v>7</v>
          </cell>
          <cell r="N11">
            <v>53</v>
          </cell>
          <cell r="O11">
            <v>4</v>
          </cell>
          <cell r="P11">
            <v>22.414709999999999</v>
          </cell>
          <cell r="Q11" t="str">
            <v>yield</v>
          </cell>
          <cell r="R11">
            <v>4.91</v>
          </cell>
          <cell r="S11" t="str">
            <v>6.85789223212049</v>
          </cell>
          <cell r="T11" t="str">
            <v>0.732266817384238</v>
          </cell>
          <cell r="U11">
            <v>0.71069468970039895</v>
          </cell>
        </row>
        <row r="12">
          <cell r="A12" t="str">
            <v>Heagle1979Holly1977OTC</v>
          </cell>
          <cell r="B12" t="str">
            <v>Heagle1979</v>
          </cell>
          <cell r="C12" t="str">
            <v>Heagle</v>
          </cell>
          <cell r="D12" t="str">
            <v>North America</v>
          </cell>
          <cell r="E12" t="str">
            <v>soft  red wheat</v>
          </cell>
          <cell r="F12" t="str">
            <v>Holly</v>
          </cell>
          <cell r="G12">
            <v>1977</v>
          </cell>
          <cell r="H12" t="str">
            <v>OTC</v>
          </cell>
          <cell r="I12" t="str">
            <v>field</v>
          </cell>
          <cell r="J12" t="str">
            <v>EO3-2</v>
          </cell>
          <cell r="K12"/>
          <cell r="L12">
            <v>100</v>
          </cell>
          <cell r="M12">
            <v>7</v>
          </cell>
          <cell r="N12">
            <v>53</v>
          </cell>
          <cell r="O12">
            <v>4</v>
          </cell>
          <cell r="P12">
            <v>36.707799999999999</v>
          </cell>
          <cell r="Q12" t="str">
            <v>yield</v>
          </cell>
          <cell r="R12">
            <v>4.43</v>
          </cell>
          <cell r="S12" t="str">
            <v>6.85789223212049</v>
          </cell>
          <cell r="T12" t="str">
            <v>0.660680651937307</v>
          </cell>
          <cell r="U12">
            <v>0.58339255939159795</v>
          </cell>
        </row>
        <row r="13">
          <cell r="A13" t="str">
            <v>Heagle1979Holly1977OTC</v>
          </cell>
          <cell r="B13" t="str">
            <v>Heagle1979</v>
          </cell>
          <cell r="C13" t="str">
            <v>Heagle</v>
          </cell>
          <cell r="D13" t="str">
            <v>North America</v>
          </cell>
          <cell r="E13" t="str">
            <v>soft  red wheat</v>
          </cell>
          <cell r="F13" t="str">
            <v>Holly</v>
          </cell>
          <cell r="G13">
            <v>1977</v>
          </cell>
          <cell r="H13" t="str">
            <v>OTC</v>
          </cell>
          <cell r="I13" t="str">
            <v>field</v>
          </cell>
          <cell r="J13" t="str">
            <v>EO3-3</v>
          </cell>
          <cell r="K13"/>
          <cell r="L13">
            <v>130</v>
          </cell>
          <cell r="M13">
            <v>7</v>
          </cell>
          <cell r="N13">
            <v>53</v>
          </cell>
          <cell r="O13">
            <v>4</v>
          </cell>
          <cell r="P13">
            <v>47.635179999999998</v>
          </cell>
          <cell r="Q13" t="str">
            <v>yield</v>
          </cell>
          <cell r="R13">
            <v>3.3</v>
          </cell>
          <cell r="S13" t="str">
            <v>6.85789223212049</v>
          </cell>
          <cell r="T13" t="str">
            <v>0.492154887447655</v>
          </cell>
          <cell r="U13">
            <v>0.48772197408743301</v>
          </cell>
        </row>
        <row r="14">
          <cell r="A14" t="str">
            <v>Heagle1979Oasis1977OTC</v>
          </cell>
          <cell r="B14" t="str">
            <v>Heagle1979</v>
          </cell>
          <cell r="C14" t="str">
            <v>Heagle</v>
          </cell>
          <cell r="D14" t="str">
            <v>North America</v>
          </cell>
          <cell r="E14" t="str">
            <v>soft  red wheat</v>
          </cell>
          <cell r="F14" t="str">
            <v>Oasis</v>
          </cell>
          <cell r="G14">
            <v>1977</v>
          </cell>
          <cell r="H14" t="str">
            <v>OTC</v>
          </cell>
          <cell r="I14" t="str">
            <v>field</v>
          </cell>
          <cell r="J14" t="str">
            <v>CF</v>
          </cell>
          <cell r="K14"/>
          <cell r="L14">
            <v>30</v>
          </cell>
          <cell r="M14">
            <v>7</v>
          </cell>
          <cell r="N14">
            <v>53</v>
          </cell>
          <cell r="O14">
            <v>4</v>
          </cell>
          <cell r="P14">
            <v>6.4205589999999999</v>
          </cell>
          <cell r="Q14" t="str">
            <v>yield</v>
          </cell>
          <cell r="R14">
            <v>4.45</v>
          </cell>
          <cell r="S14" t="str">
            <v>6.28340536087913</v>
          </cell>
          <cell r="T14" t="str">
            <v>0.724341638771406</v>
          </cell>
          <cell r="U14">
            <v>0.86908829235343799</v>
          </cell>
        </row>
        <row r="15">
          <cell r="A15" t="str">
            <v>Heagle1979Oasis1977OTC</v>
          </cell>
          <cell r="B15" t="str">
            <v>Heagle1979</v>
          </cell>
          <cell r="C15" t="str">
            <v>Heagle</v>
          </cell>
          <cell r="D15" t="str">
            <v>North America</v>
          </cell>
          <cell r="E15" t="str">
            <v>soft  red wheat</v>
          </cell>
          <cell r="F15" t="str">
            <v>Oasis</v>
          </cell>
          <cell r="G15">
            <v>1977</v>
          </cell>
          <cell r="H15" t="str">
            <v>OTC</v>
          </cell>
          <cell r="I15" t="str">
            <v>field</v>
          </cell>
          <cell r="J15" t="str">
            <v>NF</v>
          </cell>
          <cell r="K15"/>
          <cell r="L15">
            <v>60</v>
          </cell>
          <cell r="M15">
            <v>7</v>
          </cell>
          <cell r="N15">
            <v>53</v>
          </cell>
          <cell r="O15">
            <v>4</v>
          </cell>
          <cell r="P15">
            <v>22.414709999999999</v>
          </cell>
          <cell r="Q15" t="str">
            <v>yield</v>
          </cell>
          <cell r="R15">
            <v>4.41</v>
          </cell>
          <cell r="S15" t="str">
            <v>6.28340536087913</v>
          </cell>
          <cell r="T15" t="str">
            <v>0.717830702692562</v>
          </cell>
          <cell r="U15">
            <v>0.71069468970039895</v>
          </cell>
        </row>
        <row r="16">
          <cell r="A16" t="str">
            <v>Heagle1979Oasis1977OTC</v>
          </cell>
          <cell r="B16" t="str">
            <v>Heagle1979</v>
          </cell>
          <cell r="C16" t="str">
            <v>Heagle</v>
          </cell>
          <cell r="D16" t="str">
            <v>North America</v>
          </cell>
          <cell r="E16" t="str">
            <v>soft  red wheat</v>
          </cell>
          <cell r="F16" t="str">
            <v>Oasis</v>
          </cell>
          <cell r="G16">
            <v>1977</v>
          </cell>
          <cell r="H16" t="str">
            <v>OTC</v>
          </cell>
          <cell r="I16" t="str">
            <v>field</v>
          </cell>
          <cell r="J16" t="str">
            <v>EO3-2</v>
          </cell>
          <cell r="K16"/>
          <cell r="L16">
            <v>100</v>
          </cell>
          <cell r="M16">
            <v>7</v>
          </cell>
          <cell r="N16">
            <v>53</v>
          </cell>
          <cell r="O16">
            <v>4</v>
          </cell>
          <cell r="P16">
            <v>36.707799999999999</v>
          </cell>
          <cell r="Q16" t="str">
            <v>yield</v>
          </cell>
          <cell r="R16">
            <v>3.89</v>
          </cell>
          <cell r="S16" t="str">
            <v>6.28340536087913</v>
          </cell>
          <cell r="T16" t="str">
            <v>0.633188533667588</v>
          </cell>
          <cell r="U16">
            <v>0.58339255939159795</v>
          </cell>
        </row>
        <row r="17">
          <cell r="A17" t="str">
            <v>Heagle1979Oasis1977OTC</v>
          </cell>
          <cell r="B17" t="str">
            <v>Heagle1979</v>
          </cell>
          <cell r="C17" t="str">
            <v>Heagle</v>
          </cell>
          <cell r="D17" t="str">
            <v>North America</v>
          </cell>
          <cell r="E17" t="str">
            <v>soft  red wheat</v>
          </cell>
          <cell r="F17" t="str">
            <v>Oasis</v>
          </cell>
          <cell r="G17">
            <v>1977</v>
          </cell>
          <cell r="H17" t="str">
            <v>OTC</v>
          </cell>
          <cell r="I17" t="str">
            <v>field</v>
          </cell>
          <cell r="J17" t="str">
            <v>EO3-3</v>
          </cell>
          <cell r="K17"/>
          <cell r="L17">
            <v>130</v>
          </cell>
          <cell r="M17">
            <v>7</v>
          </cell>
          <cell r="N17">
            <v>53</v>
          </cell>
          <cell r="O17">
            <v>4</v>
          </cell>
          <cell r="P17">
            <v>47.635179999999998</v>
          </cell>
          <cell r="Q17" t="str">
            <v>yield</v>
          </cell>
          <cell r="R17">
            <v>3.28</v>
          </cell>
          <cell r="S17" t="str">
            <v>6.28340536087913</v>
          </cell>
          <cell r="T17" t="str">
            <v>0.533896758465216</v>
          </cell>
          <cell r="U17">
            <v>0.48772197408743301</v>
          </cell>
        </row>
        <row r="18">
          <cell r="A18" t="str">
            <v>1985-215Abe1982OTC</v>
          </cell>
          <cell r="B18" t="str">
            <v>1985-215</v>
          </cell>
          <cell r="C18" t="str">
            <v>Kress</v>
          </cell>
          <cell r="D18" t="str">
            <v>North America</v>
          </cell>
          <cell r="E18" t="str">
            <v>wheat</v>
          </cell>
          <cell r="F18" t="str">
            <v>Abe</v>
          </cell>
          <cell r="G18">
            <v>1982</v>
          </cell>
          <cell r="H18" t="str">
            <v>OTC</v>
          </cell>
          <cell r="I18" t="str">
            <v>field</v>
          </cell>
          <cell r="J18" t="str">
            <v>CF</v>
          </cell>
          <cell r="K18"/>
          <cell r="L18">
            <v>23</v>
          </cell>
          <cell r="M18">
            <v>7</v>
          </cell>
          <cell r="N18">
            <v>56</v>
          </cell>
          <cell r="O18">
            <v>4</v>
          </cell>
          <cell r="P18">
            <v>1.18114946986415</v>
          </cell>
          <cell r="Q18" t="str">
            <v>yield</v>
          </cell>
          <cell r="R18">
            <v>531.5</v>
          </cell>
          <cell r="S18" t="str">
            <v>543.968767223088</v>
          </cell>
          <cell r="T18" t="str">
            <v>0.999327463134267</v>
          </cell>
          <cell r="U18">
            <v>0.95749225638023505</v>
          </cell>
        </row>
        <row r="19">
          <cell r="A19" t="str">
            <v>1985-215Abe1982OTC</v>
          </cell>
          <cell r="B19" t="str">
            <v>1985-215</v>
          </cell>
          <cell r="C19" t="str">
            <v>Kress</v>
          </cell>
          <cell r="D19" t="str">
            <v>North America</v>
          </cell>
          <cell r="E19" t="str">
            <v>wheat</v>
          </cell>
          <cell r="F19" t="str">
            <v>Abe</v>
          </cell>
          <cell r="G19">
            <v>1982</v>
          </cell>
          <cell r="H19" t="str">
            <v>OTC</v>
          </cell>
          <cell r="I19" t="str">
            <v>field</v>
          </cell>
          <cell r="J19" t="str">
            <v>NF</v>
          </cell>
          <cell r="K19"/>
          <cell r="L19">
            <v>41</v>
          </cell>
          <cell r="M19">
            <v>7</v>
          </cell>
          <cell r="N19">
            <v>56</v>
          </cell>
          <cell r="O19">
            <v>4</v>
          </cell>
          <cell r="P19">
            <v>5.5357140123631297</v>
          </cell>
          <cell r="Q19" t="str">
            <v>yield</v>
          </cell>
          <cell r="R19">
            <v>505</v>
          </cell>
          <cell r="S19" t="str">
            <v>543.968767223088</v>
          </cell>
          <cell r="T19" t="str">
            <v>0.949502105141684</v>
          </cell>
          <cell r="U19">
            <v>0.88018550956043196</v>
          </cell>
        </row>
        <row r="20">
          <cell r="A20" t="str">
            <v>1985-215Abe1982OTC</v>
          </cell>
          <cell r="B20" t="str">
            <v>1985-215</v>
          </cell>
          <cell r="C20" t="str">
            <v>Kress</v>
          </cell>
          <cell r="D20" t="str">
            <v>North America</v>
          </cell>
          <cell r="E20" t="str">
            <v>wheat</v>
          </cell>
          <cell r="F20" t="str">
            <v>Abe</v>
          </cell>
          <cell r="G20">
            <v>1982</v>
          </cell>
          <cell r="H20" t="str">
            <v>OTC</v>
          </cell>
          <cell r="I20" t="str">
            <v>field</v>
          </cell>
          <cell r="J20" t="str">
            <v>EO3-1</v>
          </cell>
          <cell r="K20"/>
          <cell r="L20">
            <v>68</v>
          </cell>
          <cell r="M20">
            <v>7</v>
          </cell>
          <cell r="N20">
            <v>56</v>
          </cell>
          <cell r="O20">
            <v>4</v>
          </cell>
          <cell r="P20">
            <v>13.533045231200999</v>
          </cell>
          <cell r="Q20" t="str">
            <v>yield</v>
          </cell>
          <cell r="R20">
            <v>463.3</v>
          </cell>
          <cell r="S20" t="str">
            <v>543.968767223088</v>
          </cell>
          <cell r="T20" t="str">
            <v>0.87109767388543</v>
          </cell>
          <cell r="U20">
            <v>0.79361936606549</v>
          </cell>
        </row>
        <row r="21">
          <cell r="A21" t="str">
            <v>1985-215Abe1982OTC</v>
          </cell>
          <cell r="B21" t="str">
            <v>1985-215</v>
          </cell>
          <cell r="C21" t="str">
            <v>Kress</v>
          </cell>
          <cell r="D21" t="str">
            <v>North America</v>
          </cell>
          <cell r="E21" t="str">
            <v>wheat</v>
          </cell>
          <cell r="F21" t="str">
            <v>Abe</v>
          </cell>
          <cell r="G21">
            <v>1982</v>
          </cell>
          <cell r="H21" t="str">
            <v>OTC</v>
          </cell>
          <cell r="I21" t="str">
            <v>field</v>
          </cell>
          <cell r="J21" t="str">
            <v>EO3-2</v>
          </cell>
          <cell r="K21"/>
          <cell r="L21">
            <v>95</v>
          </cell>
          <cell r="M21">
            <v>7</v>
          </cell>
          <cell r="N21">
            <v>56</v>
          </cell>
          <cell r="O21">
            <v>4</v>
          </cell>
          <cell r="P21">
            <v>23.216148995419001</v>
          </cell>
          <cell r="Q21" t="str">
            <v>yield</v>
          </cell>
          <cell r="R21">
            <v>360.6</v>
          </cell>
          <cell r="S21" t="str">
            <v>543.968767223088</v>
          </cell>
          <cell r="T21" t="str">
            <v>0.678000909136814</v>
          </cell>
          <cell r="U21">
            <v>0.70343072470900603</v>
          </cell>
        </row>
        <row r="22">
          <cell r="A22" t="str">
            <v>1985-215Abe1982OTC</v>
          </cell>
          <cell r="B22" t="str">
            <v>1985-215</v>
          </cell>
          <cell r="C22" t="str">
            <v>Kress</v>
          </cell>
          <cell r="D22" t="str">
            <v>North America</v>
          </cell>
          <cell r="E22" t="str">
            <v>wheat</v>
          </cell>
          <cell r="F22" t="str">
            <v>Abe</v>
          </cell>
          <cell r="G22">
            <v>1982</v>
          </cell>
          <cell r="H22" t="str">
            <v>OTC</v>
          </cell>
          <cell r="I22" t="str">
            <v>field</v>
          </cell>
          <cell r="J22" t="str">
            <v>EO3-3</v>
          </cell>
          <cell r="K22"/>
          <cell r="L22">
            <v>122</v>
          </cell>
          <cell r="M22">
            <v>7</v>
          </cell>
          <cell r="N22">
            <v>56</v>
          </cell>
          <cell r="O22">
            <v>4</v>
          </cell>
          <cell r="P22">
            <v>33.3905050705403</v>
          </cell>
          <cell r="Q22" t="str">
            <v>yield</v>
          </cell>
          <cell r="R22">
            <v>273.60000000000002</v>
          </cell>
          <cell r="S22" t="str">
            <v>543.968767223088</v>
          </cell>
          <cell r="T22" t="str">
            <v>0.514423318746069</v>
          </cell>
          <cell r="U22">
            <v>0.61263350948276896</v>
          </cell>
        </row>
        <row r="23">
          <cell r="A23" t="str">
            <v>1985-215Arthur-711982OTC</v>
          </cell>
          <cell r="B23" t="str">
            <v>1985-215</v>
          </cell>
          <cell r="C23" t="str">
            <v>Kress</v>
          </cell>
          <cell r="D23" t="str">
            <v>North America</v>
          </cell>
          <cell r="E23" t="str">
            <v>wheat</v>
          </cell>
          <cell r="F23" t="str">
            <v>Arthur-71</v>
          </cell>
          <cell r="G23">
            <v>1982</v>
          </cell>
          <cell r="H23" t="str">
            <v>OTC</v>
          </cell>
          <cell r="I23" t="str">
            <v>field</v>
          </cell>
          <cell r="J23" t="str">
            <v>CF</v>
          </cell>
          <cell r="K23"/>
          <cell r="L23">
            <v>23</v>
          </cell>
          <cell r="M23">
            <v>7</v>
          </cell>
          <cell r="N23">
            <v>56</v>
          </cell>
          <cell r="O23">
            <v>4</v>
          </cell>
          <cell r="P23">
            <v>1.18114946986415</v>
          </cell>
          <cell r="Q23" t="str">
            <v>yield</v>
          </cell>
          <cell r="R23">
            <v>464.7</v>
          </cell>
          <cell r="S23" t="str">
            <v>471.631427748442</v>
          </cell>
          <cell r="T23" t="str">
            <v>1.00773989943061</v>
          </cell>
          <cell r="U23">
            <v>0.95749225638023505</v>
          </cell>
        </row>
        <row r="24">
          <cell r="A24" t="str">
            <v>1985-215Arthur-711982OTC</v>
          </cell>
          <cell r="B24" t="str">
            <v>1985-215</v>
          </cell>
          <cell r="C24" t="str">
            <v>Kress</v>
          </cell>
          <cell r="D24" t="str">
            <v>North America</v>
          </cell>
          <cell r="E24" t="str">
            <v>wheat</v>
          </cell>
          <cell r="F24" t="str">
            <v>Arthur-71</v>
          </cell>
          <cell r="G24">
            <v>1982</v>
          </cell>
          <cell r="H24" t="str">
            <v>OTC</v>
          </cell>
          <cell r="I24" t="str">
            <v>field</v>
          </cell>
          <cell r="J24" t="str">
            <v>NF</v>
          </cell>
          <cell r="K24"/>
          <cell r="L24">
            <v>41</v>
          </cell>
          <cell r="M24">
            <v>7</v>
          </cell>
          <cell r="N24">
            <v>56</v>
          </cell>
          <cell r="O24">
            <v>4</v>
          </cell>
          <cell r="P24">
            <v>5.5357140123631297</v>
          </cell>
          <cell r="Q24" t="str">
            <v>yield</v>
          </cell>
          <cell r="R24">
            <v>430</v>
          </cell>
          <cell r="S24" t="str">
            <v>471.631427748442</v>
          </cell>
          <cell r="T24" t="str">
            <v>0.932490115677134</v>
          </cell>
          <cell r="U24">
            <v>0.88018550956043196</v>
          </cell>
        </row>
        <row r="25">
          <cell r="A25" t="str">
            <v>1985-215Arthur-711982OTC</v>
          </cell>
          <cell r="B25" t="str">
            <v>1985-215</v>
          </cell>
          <cell r="C25" t="str">
            <v>Kress</v>
          </cell>
          <cell r="D25" t="str">
            <v>North America</v>
          </cell>
          <cell r="E25" t="str">
            <v>wheat</v>
          </cell>
          <cell r="F25" t="str">
            <v>Arthur-71</v>
          </cell>
          <cell r="G25">
            <v>1982</v>
          </cell>
          <cell r="H25" t="str">
            <v>OTC</v>
          </cell>
          <cell r="I25" t="str">
            <v>field</v>
          </cell>
          <cell r="J25" t="str">
            <v>EO3-1</v>
          </cell>
          <cell r="K25"/>
          <cell r="L25">
            <v>68</v>
          </cell>
          <cell r="M25">
            <v>7</v>
          </cell>
          <cell r="N25">
            <v>56</v>
          </cell>
          <cell r="O25">
            <v>4</v>
          </cell>
          <cell r="P25">
            <v>13.533045231200999</v>
          </cell>
          <cell r="Q25" t="str">
            <v>yield</v>
          </cell>
          <cell r="R25">
            <v>395.8</v>
          </cell>
          <cell r="S25" t="str">
            <v>471.631427748442</v>
          </cell>
          <cell r="T25" t="str">
            <v>0.858324622755836</v>
          </cell>
          <cell r="U25">
            <v>0.79361936606549</v>
          </cell>
        </row>
        <row r="26">
          <cell r="A26" t="str">
            <v>1985-215Arthur-711982OTC</v>
          </cell>
          <cell r="B26" t="str">
            <v>1985-215</v>
          </cell>
          <cell r="C26" t="str">
            <v>Kress</v>
          </cell>
          <cell r="D26" t="str">
            <v>North America</v>
          </cell>
          <cell r="E26" t="str">
            <v>wheat</v>
          </cell>
          <cell r="F26" t="str">
            <v>Arthur-71</v>
          </cell>
          <cell r="G26">
            <v>1982</v>
          </cell>
          <cell r="H26" t="str">
            <v>OTC</v>
          </cell>
          <cell r="I26" t="str">
            <v>field</v>
          </cell>
          <cell r="J26" t="str">
            <v>EO3-2</v>
          </cell>
          <cell r="K26"/>
          <cell r="L26">
            <v>95</v>
          </cell>
          <cell r="M26">
            <v>7</v>
          </cell>
          <cell r="N26">
            <v>56</v>
          </cell>
          <cell r="O26">
            <v>4</v>
          </cell>
          <cell r="P26">
            <v>23.216148995419001</v>
          </cell>
          <cell r="Q26" t="str">
            <v>yield</v>
          </cell>
          <cell r="R26">
            <v>315.10000000000002</v>
          </cell>
          <cell r="S26" t="str">
            <v>471.631427748442</v>
          </cell>
          <cell r="T26" t="str">
            <v>0.683320082441546</v>
          </cell>
          <cell r="U26">
            <v>0.70343072470900603</v>
          </cell>
        </row>
        <row r="27">
          <cell r="A27" t="str">
            <v>1985-215Arthur-711982OTC</v>
          </cell>
          <cell r="B27" t="str">
            <v>1985-215</v>
          </cell>
          <cell r="C27" t="str">
            <v>Kress</v>
          </cell>
          <cell r="D27" t="str">
            <v>North America</v>
          </cell>
          <cell r="E27" t="str">
            <v>wheat</v>
          </cell>
          <cell r="F27" t="str">
            <v>Arthur-71</v>
          </cell>
          <cell r="G27">
            <v>1982</v>
          </cell>
          <cell r="H27" t="str">
            <v>OTC</v>
          </cell>
          <cell r="I27" t="str">
            <v>field</v>
          </cell>
          <cell r="J27" t="str">
            <v>EO3-3</v>
          </cell>
          <cell r="K27"/>
          <cell r="L27">
            <v>122</v>
          </cell>
          <cell r="M27">
            <v>7</v>
          </cell>
          <cell r="N27">
            <v>56</v>
          </cell>
          <cell r="O27">
            <v>4</v>
          </cell>
          <cell r="P27">
            <v>33.3905050705403</v>
          </cell>
          <cell r="Q27" t="str">
            <v>yield</v>
          </cell>
          <cell r="R27">
            <v>241.2</v>
          </cell>
          <cell r="S27" t="str">
            <v>471.631427748442</v>
          </cell>
          <cell r="T27" t="str">
            <v>0.523061897444941</v>
          </cell>
          <cell r="U27">
            <v>0.61263350948276896</v>
          </cell>
        </row>
        <row r="28">
          <cell r="A28" t="str">
            <v>1985-215Roland1982OTC</v>
          </cell>
          <cell r="B28" t="str">
            <v>1985-215</v>
          </cell>
          <cell r="C28" t="str">
            <v>Kress</v>
          </cell>
          <cell r="D28" t="str">
            <v>North America</v>
          </cell>
          <cell r="E28" t="str">
            <v>wheat</v>
          </cell>
          <cell r="F28" t="str">
            <v>Roland</v>
          </cell>
          <cell r="G28">
            <v>1982</v>
          </cell>
          <cell r="H28" t="str">
            <v>OTC</v>
          </cell>
          <cell r="I28" t="str">
            <v>field</v>
          </cell>
          <cell r="J28" t="str">
            <v>CF</v>
          </cell>
          <cell r="K28"/>
          <cell r="L28">
            <v>23</v>
          </cell>
          <cell r="M28">
            <v>7</v>
          </cell>
          <cell r="N28">
            <v>56</v>
          </cell>
          <cell r="O28">
            <v>4</v>
          </cell>
          <cell r="P28">
            <v>1.18114946986415</v>
          </cell>
          <cell r="Q28" t="str">
            <v>yield</v>
          </cell>
          <cell r="R28">
            <v>500.7</v>
          </cell>
          <cell r="S28" t="str">
            <v>430.168742859487</v>
          </cell>
          <cell r="T28" t="str">
            <v>1.19046672187138</v>
          </cell>
          <cell r="U28">
            <v>0.95749225638023505</v>
          </cell>
        </row>
        <row r="29">
          <cell r="A29" t="str">
            <v>1985-215Roland1982OTC</v>
          </cell>
          <cell r="B29" t="str">
            <v>1985-215</v>
          </cell>
          <cell r="C29" t="str">
            <v>Kress</v>
          </cell>
          <cell r="D29" t="str">
            <v>North America</v>
          </cell>
          <cell r="E29" t="str">
            <v>wheat</v>
          </cell>
          <cell r="F29" t="str">
            <v>Roland</v>
          </cell>
          <cell r="G29">
            <v>1982</v>
          </cell>
          <cell r="H29" t="str">
            <v>OTC</v>
          </cell>
          <cell r="I29" t="str">
            <v>field</v>
          </cell>
          <cell r="J29" t="str">
            <v>NF</v>
          </cell>
          <cell r="K29"/>
          <cell r="L29">
            <v>41</v>
          </cell>
          <cell r="M29">
            <v>7</v>
          </cell>
          <cell r="N29">
            <v>56</v>
          </cell>
          <cell r="O29">
            <v>4</v>
          </cell>
          <cell r="P29">
            <v>5.5357140123631297</v>
          </cell>
          <cell r="Q29" t="str">
            <v>yield</v>
          </cell>
          <cell r="R29">
            <v>466.8</v>
          </cell>
          <cell r="S29" t="str">
            <v>430.168742859487</v>
          </cell>
          <cell r="T29" t="str">
            <v>1.10986591925217</v>
          </cell>
          <cell r="U29">
            <v>0.88018550956043196</v>
          </cell>
        </row>
        <row r="30">
          <cell r="A30" t="str">
            <v>1985-215Roland1982OTC</v>
          </cell>
          <cell r="B30" t="str">
            <v>1985-215</v>
          </cell>
          <cell r="C30" t="str">
            <v>Kress</v>
          </cell>
          <cell r="D30" t="str">
            <v>North America</v>
          </cell>
          <cell r="E30" t="str">
            <v>wheat</v>
          </cell>
          <cell r="F30" t="str">
            <v>Roland</v>
          </cell>
          <cell r="G30">
            <v>1982</v>
          </cell>
          <cell r="H30" t="str">
            <v>OTC</v>
          </cell>
          <cell r="I30" t="str">
            <v>field</v>
          </cell>
          <cell r="J30" t="str">
            <v>EO3-1</v>
          </cell>
          <cell r="K30"/>
          <cell r="L30">
            <v>68</v>
          </cell>
          <cell r="M30">
            <v>7</v>
          </cell>
          <cell r="N30">
            <v>56</v>
          </cell>
          <cell r="O30">
            <v>4</v>
          </cell>
          <cell r="P30">
            <v>13.533045231200999</v>
          </cell>
          <cell r="Q30" t="str">
            <v>yield</v>
          </cell>
          <cell r="R30">
            <v>355.7</v>
          </cell>
          <cell r="S30" t="str">
            <v>430.168742859487</v>
          </cell>
          <cell r="T30" t="str">
            <v>0.845714026302478</v>
          </cell>
          <cell r="U30">
            <v>0.79361936606549</v>
          </cell>
        </row>
        <row r="31">
          <cell r="A31" t="str">
            <v>1985-215Roland1982OTC</v>
          </cell>
          <cell r="B31" t="str">
            <v>1985-215</v>
          </cell>
          <cell r="C31" t="str">
            <v>Kress</v>
          </cell>
          <cell r="D31" t="str">
            <v>North America</v>
          </cell>
          <cell r="E31" t="str">
            <v>wheat</v>
          </cell>
          <cell r="F31" t="str">
            <v>Roland</v>
          </cell>
          <cell r="G31">
            <v>1982</v>
          </cell>
          <cell r="H31" t="str">
            <v>OTC</v>
          </cell>
          <cell r="I31" t="str">
            <v>field</v>
          </cell>
          <cell r="J31" t="str">
            <v>EO3-2</v>
          </cell>
          <cell r="K31"/>
          <cell r="L31">
            <v>95</v>
          </cell>
          <cell r="M31">
            <v>7</v>
          </cell>
          <cell r="N31">
            <v>56</v>
          </cell>
          <cell r="O31">
            <v>4</v>
          </cell>
          <cell r="P31">
            <v>23.216148995419001</v>
          </cell>
          <cell r="Q31" t="str">
            <v>yield</v>
          </cell>
          <cell r="R31">
            <v>245.5</v>
          </cell>
          <cell r="S31" t="str">
            <v>430.168742859487</v>
          </cell>
          <cell r="T31" t="str">
            <v>0.583701977670111</v>
          </cell>
          <cell r="U31">
            <v>0.70343072470900603</v>
          </cell>
        </row>
        <row r="32">
          <cell r="A32" t="str">
            <v>1985-215Roland1982OTC</v>
          </cell>
          <cell r="B32" t="str">
            <v>1985-215</v>
          </cell>
          <cell r="C32" t="str">
            <v>Kress</v>
          </cell>
          <cell r="D32" t="str">
            <v>North America</v>
          </cell>
          <cell r="E32" t="str">
            <v>wheat</v>
          </cell>
          <cell r="F32" t="str">
            <v>Roland</v>
          </cell>
          <cell r="G32">
            <v>1982</v>
          </cell>
          <cell r="H32" t="str">
            <v>OTC</v>
          </cell>
          <cell r="I32" t="str">
            <v>field</v>
          </cell>
          <cell r="J32" t="str">
            <v>EO3-3</v>
          </cell>
          <cell r="K32"/>
          <cell r="L32">
            <v>122</v>
          </cell>
          <cell r="M32">
            <v>7</v>
          </cell>
          <cell r="N32">
            <v>56</v>
          </cell>
          <cell r="O32">
            <v>4</v>
          </cell>
          <cell r="P32">
            <v>33.3905050705403</v>
          </cell>
          <cell r="Q32" t="str">
            <v>yield</v>
          </cell>
          <cell r="R32">
            <v>185.9</v>
          </cell>
          <cell r="S32" t="str">
            <v>430.168742859487</v>
          </cell>
          <cell r="T32" t="str">
            <v>0.441996731767306</v>
          </cell>
          <cell r="U32">
            <v>0.61263350948276896</v>
          </cell>
        </row>
        <row r="33">
          <cell r="A33" t="str">
            <v>1985-215Abe1983OTC</v>
          </cell>
          <cell r="B33" t="str">
            <v>1985-215</v>
          </cell>
          <cell r="C33" t="str">
            <v>Kress</v>
          </cell>
          <cell r="D33" t="str">
            <v>North America</v>
          </cell>
          <cell r="E33" t="str">
            <v>wheat</v>
          </cell>
          <cell r="F33" t="str">
            <v>Abe</v>
          </cell>
          <cell r="G33">
            <v>1983</v>
          </cell>
          <cell r="H33" t="str">
            <v>OTC</v>
          </cell>
          <cell r="I33" t="str">
            <v>field</v>
          </cell>
          <cell r="J33" t="str">
            <v>CF</v>
          </cell>
          <cell r="K33"/>
          <cell r="L33">
            <v>18</v>
          </cell>
          <cell r="M33">
            <v>7</v>
          </cell>
          <cell r="N33">
            <v>54</v>
          </cell>
          <cell r="O33">
            <v>4</v>
          </cell>
          <cell r="P33">
            <v>0.92844217674115304</v>
          </cell>
          <cell r="Q33" t="str">
            <v>yield</v>
          </cell>
          <cell r="R33">
            <v>580.79999999999995</v>
          </cell>
          <cell r="S33" t="str">
            <v>720.733751696155</v>
          </cell>
          <cell r="T33" t="str">
            <v>0.824195551015142</v>
          </cell>
          <cell r="U33">
            <v>0.96485303287373703</v>
          </cell>
        </row>
        <row r="34">
          <cell r="A34" t="str">
            <v>1985-215Abe1983OTC</v>
          </cell>
          <cell r="B34" t="str">
            <v>1985-215</v>
          </cell>
          <cell r="C34" t="str">
            <v>Kress</v>
          </cell>
          <cell r="D34" t="str">
            <v>North America</v>
          </cell>
          <cell r="E34" t="str">
            <v>wheat</v>
          </cell>
          <cell r="F34" t="str">
            <v>Abe</v>
          </cell>
          <cell r="G34">
            <v>1983</v>
          </cell>
          <cell r="H34" t="str">
            <v>OTC</v>
          </cell>
          <cell r="I34" t="str">
            <v>field</v>
          </cell>
          <cell r="J34" t="str">
            <v>NF</v>
          </cell>
          <cell r="K34"/>
          <cell r="L34">
            <v>44</v>
          </cell>
          <cell r="M34">
            <v>7</v>
          </cell>
          <cell r="N34">
            <v>54</v>
          </cell>
          <cell r="O34">
            <v>4</v>
          </cell>
          <cell r="P34">
            <v>7.6334510419664303</v>
          </cell>
          <cell r="Q34" t="str">
            <v>yield</v>
          </cell>
          <cell r="R34">
            <v>598.6</v>
          </cell>
          <cell r="S34" t="str">
            <v>720.733751696155</v>
          </cell>
          <cell r="T34" t="str">
            <v>0.849454987668155</v>
          </cell>
          <cell r="U34">
            <v>0.85483920363977095</v>
          </cell>
        </row>
        <row r="35">
          <cell r="A35" t="str">
            <v>1985-215Abe1983OTC</v>
          </cell>
          <cell r="B35" t="str">
            <v>1985-215</v>
          </cell>
          <cell r="C35" t="str">
            <v>Kress</v>
          </cell>
          <cell r="D35" t="str">
            <v>North America</v>
          </cell>
          <cell r="E35" t="str">
            <v>wheat</v>
          </cell>
          <cell r="F35" t="str">
            <v>Abe</v>
          </cell>
          <cell r="G35">
            <v>1983</v>
          </cell>
          <cell r="H35" t="str">
            <v>OTC</v>
          </cell>
          <cell r="I35" t="str">
            <v>field</v>
          </cell>
          <cell r="J35" t="str">
            <v>EO3-1</v>
          </cell>
          <cell r="K35"/>
          <cell r="L35">
            <v>62</v>
          </cell>
          <cell r="M35">
            <v>7</v>
          </cell>
          <cell r="N35">
            <v>54</v>
          </cell>
          <cell r="O35">
            <v>4</v>
          </cell>
          <cell r="P35">
            <v>13.0387932804637</v>
          </cell>
          <cell r="Q35" t="str">
            <v>yield</v>
          </cell>
          <cell r="R35">
            <v>598.20000000000005</v>
          </cell>
          <cell r="S35" t="str">
            <v>720.733751696155</v>
          </cell>
          <cell r="T35" t="str">
            <v>0.848887359878199</v>
          </cell>
          <cell r="U35">
            <v>0.79844869575833399</v>
          </cell>
        </row>
        <row r="36">
          <cell r="A36" t="str">
            <v>1985-215Abe1983OTC</v>
          </cell>
          <cell r="B36" t="str">
            <v>1985-215</v>
          </cell>
          <cell r="C36" t="str">
            <v>Kress</v>
          </cell>
          <cell r="D36" t="str">
            <v>North America</v>
          </cell>
          <cell r="E36" t="str">
            <v>wheat</v>
          </cell>
          <cell r="F36" t="str">
            <v>Abe</v>
          </cell>
          <cell r="G36">
            <v>1983</v>
          </cell>
          <cell r="H36" t="str">
            <v>OTC</v>
          </cell>
          <cell r="I36" t="str">
            <v>field</v>
          </cell>
          <cell r="J36" t="str">
            <v>EO3-2</v>
          </cell>
          <cell r="K36"/>
          <cell r="L36">
            <v>78</v>
          </cell>
          <cell r="M36">
            <v>7</v>
          </cell>
          <cell r="N36">
            <v>54</v>
          </cell>
          <cell r="O36">
            <v>4</v>
          </cell>
          <cell r="P36">
            <v>18.443321520960399</v>
          </cell>
          <cell r="Q36" t="str">
            <v>yield</v>
          </cell>
          <cell r="R36">
            <v>576.20000000000005</v>
          </cell>
          <cell r="S36" t="str">
            <v>720.733751696155</v>
          </cell>
          <cell r="T36" t="str">
            <v>0.817667831430656</v>
          </cell>
          <cell r="U36">
            <v>0.74710066297854805</v>
          </cell>
        </row>
        <row r="37">
          <cell r="A37" t="str">
            <v>1985-215Abe1983OTC</v>
          </cell>
          <cell r="B37" t="str">
            <v>1985-215</v>
          </cell>
          <cell r="C37" t="str">
            <v>Kress</v>
          </cell>
          <cell r="D37" t="str">
            <v>North America</v>
          </cell>
          <cell r="E37" t="str">
            <v>wheat</v>
          </cell>
          <cell r="F37" t="str">
            <v>Abe</v>
          </cell>
          <cell r="G37">
            <v>1983</v>
          </cell>
          <cell r="H37" t="str">
            <v>OTC</v>
          </cell>
          <cell r="I37" t="str">
            <v>field</v>
          </cell>
          <cell r="J37" t="str">
            <v>EO3-3</v>
          </cell>
          <cell r="K37"/>
          <cell r="L37">
            <v>95</v>
          </cell>
          <cell r="M37">
            <v>7</v>
          </cell>
          <cell r="N37">
            <v>54</v>
          </cell>
          <cell r="O37">
            <v>4</v>
          </cell>
          <cell r="P37">
            <v>24.466415950252401</v>
          </cell>
          <cell r="Q37" t="str">
            <v>yield</v>
          </cell>
          <cell r="R37">
            <v>493.9</v>
          </cell>
          <cell r="S37" t="str">
            <v>720.733751696155</v>
          </cell>
          <cell r="T37" t="str">
            <v>0.700878413647346</v>
          </cell>
          <cell r="U37">
            <v>0.69214203024294896</v>
          </cell>
        </row>
        <row r="38">
          <cell r="A38" t="str">
            <v>1985-215Arthur-711983OTC</v>
          </cell>
          <cell r="B38" t="str">
            <v>1985-215</v>
          </cell>
          <cell r="C38" t="str">
            <v>Kress</v>
          </cell>
          <cell r="D38" t="str">
            <v>North America</v>
          </cell>
          <cell r="E38" t="str">
            <v>wheat</v>
          </cell>
          <cell r="F38" t="str">
            <v>Arthur-71</v>
          </cell>
          <cell r="G38">
            <v>1983</v>
          </cell>
          <cell r="H38" t="str">
            <v>OTC</v>
          </cell>
          <cell r="I38" t="str">
            <v>field</v>
          </cell>
          <cell r="J38" t="str">
            <v>CF</v>
          </cell>
          <cell r="K38"/>
          <cell r="L38">
            <v>18</v>
          </cell>
          <cell r="M38">
            <v>7</v>
          </cell>
          <cell r="N38">
            <v>54</v>
          </cell>
          <cell r="O38">
            <v>4</v>
          </cell>
          <cell r="P38">
            <v>0.92844217674115304</v>
          </cell>
          <cell r="Q38" t="str">
            <v>yield</v>
          </cell>
          <cell r="R38">
            <v>515.1</v>
          </cell>
          <cell r="S38" t="str">
            <v>640.546344970401</v>
          </cell>
          <cell r="T38" t="str">
            <v>0.822468949418775</v>
          </cell>
          <cell r="U38">
            <v>0.96485303287373703</v>
          </cell>
        </row>
        <row r="39">
          <cell r="A39" t="str">
            <v>1985-215Arthur-711983OTC</v>
          </cell>
          <cell r="B39" t="str">
            <v>1985-215</v>
          </cell>
          <cell r="C39" t="str">
            <v>Kress</v>
          </cell>
          <cell r="D39" t="str">
            <v>North America</v>
          </cell>
          <cell r="E39" t="str">
            <v>wheat</v>
          </cell>
          <cell r="F39" t="str">
            <v>Arthur-71</v>
          </cell>
          <cell r="G39">
            <v>1983</v>
          </cell>
          <cell r="H39" t="str">
            <v>OTC</v>
          </cell>
          <cell r="I39" t="str">
            <v>field</v>
          </cell>
          <cell r="J39" t="str">
            <v>NF</v>
          </cell>
          <cell r="K39"/>
          <cell r="L39">
            <v>44</v>
          </cell>
          <cell r="M39">
            <v>7</v>
          </cell>
          <cell r="N39">
            <v>54</v>
          </cell>
          <cell r="O39">
            <v>4</v>
          </cell>
          <cell r="P39">
            <v>7.6334510419664303</v>
          </cell>
          <cell r="Q39" t="str">
            <v>yield</v>
          </cell>
          <cell r="R39">
            <v>562.20000000000005</v>
          </cell>
          <cell r="S39" t="str">
            <v>640.546344970401</v>
          </cell>
          <cell r="T39" t="str">
            <v>0.897674322196147</v>
          </cell>
          <cell r="U39">
            <v>0.85483920363977095</v>
          </cell>
        </row>
        <row r="40">
          <cell r="A40" t="str">
            <v>1985-215Arthur-711983OTC</v>
          </cell>
          <cell r="B40" t="str">
            <v>1985-215</v>
          </cell>
          <cell r="C40" t="str">
            <v>Kress</v>
          </cell>
          <cell r="D40" t="str">
            <v>North America</v>
          </cell>
          <cell r="E40" t="str">
            <v>wheat</v>
          </cell>
          <cell r="F40" t="str">
            <v>Arthur-71</v>
          </cell>
          <cell r="G40">
            <v>1983</v>
          </cell>
          <cell r="H40" t="str">
            <v>OTC</v>
          </cell>
          <cell r="I40" t="str">
            <v>field</v>
          </cell>
          <cell r="J40" t="str">
            <v>EO3-1</v>
          </cell>
          <cell r="K40"/>
          <cell r="L40">
            <v>62</v>
          </cell>
          <cell r="M40">
            <v>7</v>
          </cell>
          <cell r="N40">
            <v>54</v>
          </cell>
          <cell r="O40">
            <v>4</v>
          </cell>
          <cell r="P40">
            <v>13.0387932804637</v>
          </cell>
          <cell r="Q40" t="str">
            <v>yield</v>
          </cell>
          <cell r="R40">
            <v>521.4</v>
          </cell>
          <cell r="S40" t="str">
            <v>640.546344970401</v>
          </cell>
          <cell r="T40" t="str">
            <v>0.83252826679664</v>
          </cell>
          <cell r="U40">
            <v>0.79844869575833399</v>
          </cell>
        </row>
        <row r="41">
          <cell r="A41" t="str">
            <v>1985-215Arthur-711983OTC</v>
          </cell>
          <cell r="B41" t="str">
            <v>1985-215</v>
          </cell>
          <cell r="C41" t="str">
            <v>Kress</v>
          </cell>
          <cell r="D41" t="str">
            <v>North America</v>
          </cell>
          <cell r="E41" t="str">
            <v>wheat</v>
          </cell>
          <cell r="F41" t="str">
            <v>Arthur-71</v>
          </cell>
          <cell r="G41">
            <v>1983</v>
          </cell>
          <cell r="H41" t="str">
            <v>OTC</v>
          </cell>
          <cell r="I41" t="str">
            <v>field</v>
          </cell>
          <cell r="J41" t="str">
            <v>EO3-2</v>
          </cell>
          <cell r="K41"/>
          <cell r="L41">
            <v>78</v>
          </cell>
          <cell r="M41">
            <v>7</v>
          </cell>
          <cell r="N41">
            <v>54</v>
          </cell>
          <cell r="O41">
            <v>4</v>
          </cell>
          <cell r="P41">
            <v>18.443321520960399</v>
          </cell>
          <cell r="Q41" t="str">
            <v>yield</v>
          </cell>
          <cell r="R41">
            <v>494.3</v>
          </cell>
          <cell r="S41" t="str">
            <v>640.546344970401</v>
          </cell>
          <cell r="T41" t="str">
            <v>0.789257234901379</v>
          </cell>
          <cell r="U41">
            <v>0.74710066297854805</v>
          </cell>
        </row>
        <row r="42">
          <cell r="A42" t="str">
            <v>1985-215Arthur-711983OTC</v>
          </cell>
          <cell r="B42" t="str">
            <v>1985-215</v>
          </cell>
          <cell r="C42" t="str">
            <v>Kress</v>
          </cell>
          <cell r="D42" t="str">
            <v>North America</v>
          </cell>
          <cell r="E42" t="str">
            <v>wheat</v>
          </cell>
          <cell r="F42" t="str">
            <v>Arthur-71</v>
          </cell>
          <cell r="G42">
            <v>1983</v>
          </cell>
          <cell r="H42" t="str">
            <v>OTC</v>
          </cell>
          <cell r="I42" t="str">
            <v>field</v>
          </cell>
          <cell r="J42" t="str">
            <v>EO3-3</v>
          </cell>
          <cell r="K42"/>
          <cell r="L42">
            <v>95</v>
          </cell>
          <cell r="M42">
            <v>7</v>
          </cell>
          <cell r="N42">
            <v>54</v>
          </cell>
          <cell r="O42">
            <v>4</v>
          </cell>
          <cell r="P42">
            <v>24.466415950252401</v>
          </cell>
          <cell r="Q42" t="str">
            <v>yield</v>
          </cell>
          <cell r="R42">
            <v>439.7</v>
          </cell>
          <cell r="S42" t="str">
            <v>640.546344970401</v>
          </cell>
          <cell r="T42" t="str">
            <v>0.702076484293215</v>
          </cell>
          <cell r="U42">
            <v>0.69214203024294896</v>
          </cell>
        </row>
        <row r="43">
          <cell r="A43" t="str">
            <v>1996-89/91Massey1991OTC</v>
          </cell>
          <cell r="B43" t="str">
            <v>1996-89/91</v>
          </cell>
          <cell r="C43" t="str">
            <v>Rudorff</v>
          </cell>
          <cell r="D43" t="str">
            <v>North America</v>
          </cell>
          <cell r="E43" t="str">
            <v>wheat</v>
          </cell>
          <cell r="F43" t="str">
            <v>Massey</v>
          </cell>
          <cell r="G43">
            <v>1991</v>
          </cell>
          <cell r="H43" t="str">
            <v>OTC</v>
          </cell>
          <cell r="I43" t="str">
            <v>field</v>
          </cell>
          <cell r="J43" t="str">
            <v>CF</v>
          </cell>
          <cell r="K43"/>
          <cell r="L43">
            <v>18.600000000000001</v>
          </cell>
          <cell r="M43">
            <v>7</v>
          </cell>
          <cell r="N43">
            <v>61</v>
          </cell>
          <cell r="O43">
            <v>4</v>
          </cell>
          <cell r="P43">
            <v>0.75102620657091901</v>
          </cell>
          <cell r="Q43" t="str">
            <v>yield</v>
          </cell>
          <cell r="R43">
            <v>538</v>
          </cell>
          <cell r="S43" t="str">
            <v>530.145299730778</v>
          </cell>
          <cell r="T43" t="str">
            <v>1.03792477587815</v>
          </cell>
          <cell r="U43">
            <v>0.97046462403498601</v>
          </cell>
        </row>
        <row r="44">
          <cell r="A44" t="str">
            <v>1996-89/91Massey1991OTC</v>
          </cell>
          <cell r="B44" t="str">
            <v>1996-89/91</v>
          </cell>
          <cell r="C44" t="str">
            <v>Rudorff</v>
          </cell>
          <cell r="D44" t="str">
            <v>North America</v>
          </cell>
          <cell r="E44" t="str">
            <v>wheat</v>
          </cell>
          <cell r="F44" t="str">
            <v>Massey</v>
          </cell>
          <cell r="G44">
            <v>1991</v>
          </cell>
          <cell r="H44" t="str">
            <v>OTC</v>
          </cell>
          <cell r="I44" t="str">
            <v>field</v>
          </cell>
          <cell r="J44" t="str">
            <v>EO3(CF)</v>
          </cell>
          <cell r="K44"/>
          <cell r="L44">
            <v>60.7</v>
          </cell>
          <cell r="M44">
            <v>7</v>
          </cell>
          <cell r="N44">
            <v>61</v>
          </cell>
          <cell r="O44">
            <v>4</v>
          </cell>
          <cell r="P44">
            <v>7.6927950240969301</v>
          </cell>
          <cell r="Q44" t="str">
            <v>yield</v>
          </cell>
          <cell r="R44">
            <v>414</v>
          </cell>
          <cell r="S44" t="str">
            <v>530.145299730778</v>
          </cell>
          <cell r="T44" t="str">
            <v>0.798700478092108</v>
          </cell>
          <cell r="U44">
            <v>0.85416470111169496</v>
          </cell>
        </row>
        <row r="45">
          <cell r="A45" t="str">
            <v>1996-89/91Saluda1992OTC</v>
          </cell>
          <cell r="B45" t="str">
            <v>1996-89/91</v>
          </cell>
          <cell r="C45" t="str">
            <v>Rudorff</v>
          </cell>
          <cell r="D45" t="str">
            <v>North America</v>
          </cell>
          <cell r="E45" t="str">
            <v>wheat</v>
          </cell>
          <cell r="F45" t="str">
            <v>Saluda</v>
          </cell>
          <cell r="G45">
            <v>1992</v>
          </cell>
          <cell r="H45" t="str">
            <v>OTC</v>
          </cell>
          <cell r="I45" t="str">
            <v>field</v>
          </cell>
          <cell r="J45" t="str">
            <v>CF</v>
          </cell>
          <cell r="K45"/>
          <cell r="L45">
            <v>20.2</v>
          </cell>
          <cell r="M45">
            <v>7</v>
          </cell>
          <cell r="N45">
            <v>71</v>
          </cell>
          <cell r="O45">
            <v>4</v>
          </cell>
          <cell r="P45">
            <v>0.39988967535184999</v>
          </cell>
          <cell r="Q45" t="str">
            <v>yield</v>
          </cell>
          <cell r="R45">
            <v>520</v>
          </cell>
          <cell r="S45" t="str">
            <v>553.277097557512</v>
          </cell>
          <cell r="T45" t="str">
            <v>0.961256233008401</v>
          </cell>
          <cell r="U45">
            <v>0.98291591284951596</v>
          </cell>
        </row>
        <row r="46">
          <cell r="A46" t="str">
            <v>1996-89/91Saluda1992OTC</v>
          </cell>
          <cell r="B46" t="str">
            <v>1996-89/91</v>
          </cell>
          <cell r="C46" t="str">
            <v>Rudorff</v>
          </cell>
          <cell r="D46" t="str">
            <v>North America</v>
          </cell>
          <cell r="E46" t="str">
            <v>wheat</v>
          </cell>
          <cell r="F46" t="str">
            <v>Saluda</v>
          </cell>
          <cell r="G46">
            <v>1992</v>
          </cell>
          <cell r="H46" t="str">
            <v>OTC</v>
          </cell>
          <cell r="I46" t="str">
            <v>field</v>
          </cell>
          <cell r="J46" t="str">
            <v>EO3</v>
          </cell>
          <cell r="K46"/>
          <cell r="L46">
            <v>64.8</v>
          </cell>
          <cell r="M46">
            <v>7</v>
          </cell>
          <cell r="N46">
            <v>71</v>
          </cell>
          <cell r="O46">
            <v>4</v>
          </cell>
          <cell r="P46">
            <v>14.4705939061522</v>
          </cell>
          <cell r="Q46" t="str">
            <v>yield</v>
          </cell>
          <cell r="R46">
            <v>434</v>
          </cell>
          <cell r="S46" t="str">
            <v>553.277097557512</v>
          </cell>
          <cell r="T46" t="str">
            <v>0.802279240626242</v>
          </cell>
          <cell r="U46">
            <v>0.78454942428974905</v>
          </cell>
        </row>
      </sheetData>
      <sheetData sheetId="2"/>
      <sheetData sheetId="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row>
        <row r="2">
          <cell r="A2" t="str">
            <v>Heagle1979combined cultivars1977OTC</v>
          </cell>
          <cell r="B2" t="str">
            <v>Heagle1979</v>
          </cell>
          <cell r="C2" t="str">
            <v>Heagle</v>
          </cell>
          <cell r="D2" t="str">
            <v>North America</v>
          </cell>
          <cell r="E2" t="str">
            <v>soft  red wheat</v>
          </cell>
          <cell r="F2" t="str">
            <v>combined cultivars</v>
          </cell>
          <cell r="G2">
            <v>1977</v>
          </cell>
          <cell r="H2" t="str">
            <v>OTC</v>
          </cell>
          <cell r="I2" t="str">
            <v>field</v>
          </cell>
          <cell r="J2" t="str">
            <v>CF</v>
          </cell>
          <cell r="K2"/>
          <cell r="L2">
            <v>30</v>
          </cell>
          <cell r="M2">
            <v>7</v>
          </cell>
          <cell r="N2">
            <v>53</v>
          </cell>
          <cell r="O2">
            <v>4</v>
          </cell>
          <cell r="P2">
            <v>6.4205589999999999</v>
          </cell>
          <cell r="Q2" t="str">
            <v>1000 grain weight</v>
          </cell>
          <cell r="R2">
            <v>3.49</v>
          </cell>
          <cell r="S2" t="str">
            <v>4.74680014575972</v>
          </cell>
          <cell r="T2" t="str">
            <v>0.737490770978687</v>
          </cell>
          <cell r="U2">
            <v>0.92031378739830105</v>
          </cell>
        </row>
        <row r="3">
          <cell r="A3" t="str">
            <v>Heagle1979combined cultivars1977OTC</v>
          </cell>
          <cell r="B3" t="str">
            <v>Heagle1979</v>
          </cell>
          <cell r="C3" t="str">
            <v>Heagle</v>
          </cell>
          <cell r="D3" t="str">
            <v>North America</v>
          </cell>
          <cell r="E3" t="str">
            <v>soft  red wheat</v>
          </cell>
          <cell r="F3" t="str">
            <v>combined cultivars</v>
          </cell>
          <cell r="G3">
            <v>1977</v>
          </cell>
          <cell r="H3" t="str">
            <v>OTC</v>
          </cell>
          <cell r="I3" t="str">
            <v>field</v>
          </cell>
          <cell r="J3" t="str">
            <v>NF</v>
          </cell>
          <cell r="K3"/>
          <cell r="L3">
            <v>60</v>
          </cell>
          <cell r="M3">
            <v>7</v>
          </cell>
          <cell r="N3">
            <v>53</v>
          </cell>
          <cell r="O3">
            <v>4</v>
          </cell>
          <cell r="P3">
            <v>22.414709999999999</v>
          </cell>
          <cell r="Q3" t="str">
            <v>1000 grain weight</v>
          </cell>
          <cell r="R3">
            <v>3.52</v>
          </cell>
          <cell r="S3" t="str">
            <v>4.74680014575972</v>
          </cell>
          <cell r="T3" t="str">
            <v>0.743830233193404</v>
          </cell>
          <cell r="U3">
            <v>0.76588201011906598</v>
          </cell>
        </row>
        <row r="4">
          <cell r="A4" t="str">
            <v>Heagle1979combined cultivars1977OTC</v>
          </cell>
          <cell r="B4" t="str">
            <v>Heagle1979</v>
          </cell>
          <cell r="C4" t="str">
            <v>Heagle</v>
          </cell>
          <cell r="D4" t="str">
            <v>North America</v>
          </cell>
          <cell r="E4" t="str">
            <v>soft  red wheat</v>
          </cell>
          <cell r="F4" t="str">
            <v>combined cultivars</v>
          </cell>
          <cell r="G4">
            <v>1977</v>
          </cell>
          <cell r="H4" t="str">
            <v>OTC</v>
          </cell>
          <cell r="I4" t="str">
            <v>field</v>
          </cell>
          <cell r="J4" t="str">
            <v>EO3-2</v>
          </cell>
          <cell r="K4"/>
          <cell r="L4">
            <v>100</v>
          </cell>
          <cell r="M4">
            <v>7</v>
          </cell>
          <cell r="N4">
            <v>53</v>
          </cell>
          <cell r="O4">
            <v>4</v>
          </cell>
          <cell r="P4">
            <v>36.707799999999999</v>
          </cell>
          <cell r="Q4" t="str">
            <v>1000 grain weight</v>
          </cell>
          <cell r="R4">
            <v>3.43</v>
          </cell>
          <cell r="S4" t="str">
            <v>4.74680014575972</v>
          </cell>
          <cell r="T4" t="str">
            <v>0.724811846549254</v>
          </cell>
          <cell r="U4">
            <v>0.63602149175250999</v>
          </cell>
        </row>
        <row r="5">
          <cell r="A5" t="str">
            <v>Heagle1979combined cultivars1977OTC</v>
          </cell>
          <cell r="B5" t="str">
            <v>Heagle1979</v>
          </cell>
          <cell r="C5" t="str">
            <v>Heagle</v>
          </cell>
          <cell r="D5" t="str">
            <v>North America</v>
          </cell>
          <cell r="E5" t="str">
            <v>soft  red wheat</v>
          </cell>
          <cell r="F5" t="str">
            <v>combined cultivars</v>
          </cell>
          <cell r="G5">
            <v>1977</v>
          </cell>
          <cell r="H5" t="str">
            <v>OTC</v>
          </cell>
          <cell r="I5" t="str">
            <v>field</v>
          </cell>
          <cell r="J5" t="str">
            <v>EO3-3</v>
          </cell>
          <cell r="K5"/>
          <cell r="L5">
            <v>130</v>
          </cell>
          <cell r="M5">
            <v>7</v>
          </cell>
          <cell r="N5">
            <v>53</v>
          </cell>
          <cell r="O5">
            <v>4</v>
          </cell>
          <cell r="P5">
            <v>47.635179999999998</v>
          </cell>
          <cell r="Q5" t="str">
            <v>1000 grain weight</v>
          </cell>
          <cell r="R5">
            <v>2.87</v>
          </cell>
          <cell r="S5" t="str">
            <v>4.74680014575972</v>
          </cell>
          <cell r="T5" t="str">
            <v>0.606475218541213</v>
          </cell>
          <cell r="U5">
            <v>0.53798792760806802</v>
          </cell>
        </row>
        <row r="6">
          <cell r="A6" t="str">
            <v>1985-215Abe1982OTC</v>
          </cell>
          <cell r="B6" t="str">
            <v>1985-215</v>
          </cell>
          <cell r="C6" t="str">
            <v>Kress</v>
          </cell>
          <cell r="D6" t="str">
            <v>North America</v>
          </cell>
          <cell r="E6" t="str">
            <v>wheat</v>
          </cell>
          <cell r="F6" t="str">
            <v>Abe</v>
          </cell>
          <cell r="G6">
            <v>1982</v>
          </cell>
          <cell r="H6" t="str">
            <v>OTC</v>
          </cell>
          <cell r="I6" t="str">
            <v>field</v>
          </cell>
          <cell r="J6" t="str">
            <v>CF</v>
          </cell>
          <cell r="K6"/>
          <cell r="L6">
            <v>23</v>
          </cell>
          <cell r="M6">
            <v>7</v>
          </cell>
          <cell r="N6">
            <v>56</v>
          </cell>
          <cell r="O6">
            <v>4</v>
          </cell>
          <cell r="P6">
            <v>1.18114946986415</v>
          </cell>
          <cell r="Q6" t="str">
            <v>1000 grain weight</v>
          </cell>
          <cell r="R6">
            <v>42.9</v>
          </cell>
          <cell r="S6" t="str">
            <v>43.0862770591875</v>
          </cell>
          <cell r="T6" t="str">
            <v>0.998735374064215</v>
          </cell>
          <cell r="U6">
            <v>0.982512980985915</v>
          </cell>
        </row>
        <row r="7">
          <cell r="A7" t="str">
            <v>1985-215Abe1982OTC</v>
          </cell>
          <cell r="B7" t="str">
            <v>1985-215</v>
          </cell>
          <cell r="C7" t="str">
            <v>Kress</v>
          </cell>
          <cell r="D7" t="str">
            <v>North America</v>
          </cell>
          <cell r="E7" t="str">
            <v>wheat</v>
          </cell>
          <cell r="F7" t="str">
            <v>Abe</v>
          </cell>
          <cell r="G7">
            <v>1982</v>
          </cell>
          <cell r="H7" t="str">
            <v>OTC</v>
          </cell>
          <cell r="I7" t="str">
            <v>field</v>
          </cell>
          <cell r="J7" t="str">
            <v>NF</v>
          </cell>
          <cell r="K7"/>
          <cell r="L7">
            <v>41</v>
          </cell>
          <cell r="M7">
            <v>7</v>
          </cell>
          <cell r="N7">
            <v>56</v>
          </cell>
          <cell r="O7">
            <v>4</v>
          </cell>
          <cell r="P7">
            <v>5.5357140123631297</v>
          </cell>
          <cell r="Q7" t="str">
            <v>1000 grain weight</v>
          </cell>
          <cell r="R7">
            <v>43.6</v>
          </cell>
          <cell r="S7" t="str">
            <v>43.0862770591875</v>
          </cell>
          <cell r="T7" t="str">
            <v>1.0150317554592</v>
          </cell>
          <cell r="U7">
            <v>0.92985837345123401</v>
          </cell>
        </row>
        <row r="8">
          <cell r="A8" t="str">
            <v>1985-215Abe1982OTC</v>
          </cell>
          <cell r="B8" t="str">
            <v>1985-215</v>
          </cell>
          <cell r="C8" t="str">
            <v>Kress</v>
          </cell>
          <cell r="D8" t="str">
            <v>North America</v>
          </cell>
          <cell r="E8" t="str">
            <v>wheat</v>
          </cell>
          <cell r="F8" t="str">
            <v>Abe</v>
          </cell>
          <cell r="G8">
            <v>1982</v>
          </cell>
          <cell r="H8" t="str">
            <v>OTC</v>
          </cell>
          <cell r="I8" t="str">
            <v>field</v>
          </cell>
          <cell r="J8" t="str">
            <v>EO3-1</v>
          </cell>
          <cell r="K8"/>
          <cell r="L8">
            <v>68</v>
          </cell>
          <cell r="M8">
            <v>7</v>
          </cell>
          <cell r="N8">
            <v>56</v>
          </cell>
          <cell r="O8">
            <v>4</v>
          </cell>
          <cell r="P8">
            <v>13.533045231200999</v>
          </cell>
          <cell r="Q8" t="str">
            <v>1000 grain weight</v>
          </cell>
          <cell r="R8">
            <v>38</v>
          </cell>
          <cell r="S8" t="str">
            <v>43.0862770591875</v>
          </cell>
          <cell r="T8" t="str">
            <v>0.884660704299304</v>
          </cell>
          <cell r="U8">
            <v>0.84908422220166102</v>
          </cell>
        </row>
        <row r="9">
          <cell r="A9" t="str">
            <v>1985-215Abe1982OTC</v>
          </cell>
          <cell r="B9" t="str">
            <v>1985-215</v>
          </cell>
          <cell r="C9" t="str">
            <v>Kress</v>
          </cell>
          <cell r="D9" t="str">
            <v>North America</v>
          </cell>
          <cell r="E9" t="str">
            <v>wheat</v>
          </cell>
          <cell r="F9" t="str">
            <v>Abe</v>
          </cell>
          <cell r="G9">
            <v>1982</v>
          </cell>
          <cell r="H9" t="str">
            <v>OTC</v>
          </cell>
          <cell r="I9" t="str">
            <v>field</v>
          </cell>
          <cell r="J9" t="str">
            <v>EO3-2</v>
          </cell>
          <cell r="K9"/>
          <cell r="L9">
            <v>95</v>
          </cell>
          <cell r="M9">
            <v>7</v>
          </cell>
          <cell r="N9">
            <v>56</v>
          </cell>
          <cell r="O9">
            <v>4</v>
          </cell>
          <cell r="P9">
            <v>23.216148995419001</v>
          </cell>
          <cell r="Q9" t="str">
            <v>1000 grain weight</v>
          </cell>
          <cell r="R9">
            <v>31</v>
          </cell>
          <cell r="S9" t="str">
            <v>43.0862770591875</v>
          </cell>
          <cell r="T9" t="str">
            <v>0.721696890349432</v>
          </cell>
          <cell r="U9">
            <v>0.75851150620396501</v>
          </cell>
        </row>
        <row r="10">
          <cell r="A10" t="str">
            <v>1985-215Abe1982OTC</v>
          </cell>
          <cell r="B10" t="str">
            <v>1985-215</v>
          </cell>
          <cell r="C10" t="str">
            <v>Kress</v>
          </cell>
          <cell r="D10" t="str">
            <v>North America</v>
          </cell>
          <cell r="E10" t="str">
            <v>wheat</v>
          </cell>
          <cell r="F10" t="str">
            <v>Abe</v>
          </cell>
          <cell r="G10">
            <v>1982</v>
          </cell>
          <cell r="H10" t="str">
            <v>OTC</v>
          </cell>
          <cell r="I10" t="str">
            <v>field</v>
          </cell>
          <cell r="J10" t="str">
            <v>EO3-3</v>
          </cell>
          <cell r="K10"/>
          <cell r="L10">
            <v>122</v>
          </cell>
          <cell r="M10">
            <v>7</v>
          </cell>
          <cell r="N10">
            <v>56</v>
          </cell>
          <cell r="O10">
            <v>4</v>
          </cell>
          <cell r="P10">
            <v>33.3905050705403</v>
          </cell>
          <cell r="Q10" t="str">
            <v>1000 grain weight</v>
          </cell>
          <cell r="R10">
            <v>26</v>
          </cell>
          <cell r="S10" t="str">
            <v>43.0862770591875</v>
          </cell>
          <cell r="T10" t="str">
            <v>0.605294166099524</v>
          </cell>
          <cell r="U10">
            <v>0.66593743127237603</v>
          </cell>
        </row>
        <row r="11">
          <cell r="A11" t="str">
            <v>1985-215Arthur-711982OTC</v>
          </cell>
          <cell r="B11" t="str">
            <v>1985-215</v>
          </cell>
          <cell r="C11" t="str">
            <v>Kress</v>
          </cell>
          <cell r="D11" t="str">
            <v>North America</v>
          </cell>
          <cell r="E11" t="str">
            <v>wheat</v>
          </cell>
          <cell r="F11" t="str">
            <v>Arthur-71</v>
          </cell>
          <cell r="G11">
            <v>1982</v>
          </cell>
          <cell r="H11" t="str">
            <v>OTC</v>
          </cell>
          <cell r="I11" t="str">
            <v>field</v>
          </cell>
          <cell r="J11" t="str">
            <v>CF</v>
          </cell>
          <cell r="K11"/>
          <cell r="L11">
            <v>23</v>
          </cell>
          <cell r="M11">
            <v>7</v>
          </cell>
          <cell r="N11">
            <v>56</v>
          </cell>
          <cell r="O11">
            <v>4</v>
          </cell>
          <cell r="P11">
            <v>1.18114946986415</v>
          </cell>
          <cell r="Q11" t="str">
            <v>1000 grain weight</v>
          </cell>
          <cell r="R11">
            <v>43.2</v>
          </cell>
          <cell r="S11" t="str">
            <v>43.8089229578175</v>
          </cell>
          <cell r="T11" t="str">
            <v>0.989129787078185</v>
          </cell>
          <cell r="U11">
            <v>0.982512980985915</v>
          </cell>
        </row>
        <row r="12">
          <cell r="A12" t="str">
            <v>1985-215Arthur-711982OTC</v>
          </cell>
          <cell r="B12" t="str">
            <v>1985-215</v>
          </cell>
          <cell r="C12" t="str">
            <v>Kress</v>
          </cell>
          <cell r="D12" t="str">
            <v>North America</v>
          </cell>
          <cell r="E12" t="str">
            <v>wheat</v>
          </cell>
          <cell r="F12" t="str">
            <v>Arthur-71</v>
          </cell>
          <cell r="G12">
            <v>1982</v>
          </cell>
          <cell r="H12" t="str">
            <v>OTC</v>
          </cell>
          <cell r="I12" t="str">
            <v>field</v>
          </cell>
          <cell r="J12" t="str">
            <v>NF</v>
          </cell>
          <cell r="K12"/>
          <cell r="L12">
            <v>41</v>
          </cell>
          <cell r="M12">
            <v>7</v>
          </cell>
          <cell r="N12">
            <v>56</v>
          </cell>
          <cell r="O12">
            <v>4</v>
          </cell>
          <cell r="P12">
            <v>5.5357140123631297</v>
          </cell>
          <cell r="Q12" t="str">
            <v>1000 grain weight</v>
          </cell>
          <cell r="R12">
            <v>42.6</v>
          </cell>
          <cell r="S12" t="str">
            <v>43.8089229578175</v>
          </cell>
          <cell r="T12" t="str">
            <v>0.975391873368765</v>
          </cell>
          <cell r="U12">
            <v>0.92985837345123401</v>
          </cell>
        </row>
        <row r="13">
          <cell r="A13" t="str">
            <v>1985-215Arthur-711982OTC</v>
          </cell>
          <cell r="B13" t="str">
            <v>1985-215</v>
          </cell>
          <cell r="C13" t="str">
            <v>Kress</v>
          </cell>
          <cell r="D13" t="str">
            <v>North America</v>
          </cell>
          <cell r="E13" t="str">
            <v>wheat</v>
          </cell>
          <cell r="F13" t="str">
            <v>Arthur-71</v>
          </cell>
          <cell r="G13">
            <v>1982</v>
          </cell>
          <cell r="H13" t="str">
            <v>OTC</v>
          </cell>
          <cell r="I13" t="str">
            <v>field</v>
          </cell>
          <cell r="J13" t="str">
            <v>EO3-1</v>
          </cell>
          <cell r="K13"/>
          <cell r="L13">
            <v>68</v>
          </cell>
          <cell r="M13">
            <v>7</v>
          </cell>
          <cell r="N13">
            <v>56</v>
          </cell>
          <cell r="O13">
            <v>4</v>
          </cell>
          <cell r="P13">
            <v>13.533045231200999</v>
          </cell>
          <cell r="Q13" t="str">
            <v>1000 grain weight</v>
          </cell>
          <cell r="R13">
            <v>39.4</v>
          </cell>
          <cell r="S13" t="str">
            <v>43.8089229578175</v>
          </cell>
          <cell r="T13" t="str">
            <v>0.902123000251863</v>
          </cell>
          <cell r="U13">
            <v>0.84908422220166102</v>
          </cell>
        </row>
        <row r="14">
          <cell r="A14" t="str">
            <v>1985-215Arthur-711982OTC</v>
          </cell>
          <cell r="B14" t="str">
            <v>1985-215</v>
          </cell>
          <cell r="C14" t="str">
            <v>Kress</v>
          </cell>
          <cell r="D14" t="str">
            <v>North America</v>
          </cell>
          <cell r="E14" t="str">
            <v>wheat</v>
          </cell>
          <cell r="F14" t="str">
            <v>Arthur-71</v>
          </cell>
          <cell r="G14">
            <v>1982</v>
          </cell>
          <cell r="H14" t="str">
            <v>OTC</v>
          </cell>
          <cell r="I14" t="str">
            <v>field</v>
          </cell>
          <cell r="J14" t="str">
            <v>EO3-2</v>
          </cell>
          <cell r="K14"/>
          <cell r="L14">
            <v>95</v>
          </cell>
          <cell r="M14">
            <v>7</v>
          </cell>
          <cell r="N14">
            <v>56</v>
          </cell>
          <cell r="O14">
            <v>4</v>
          </cell>
          <cell r="P14">
            <v>23.216148995419001</v>
          </cell>
          <cell r="Q14" t="str">
            <v>1000 grain weight</v>
          </cell>
          <cell r="R14">
            <v>32.4</v>
          </cell>
          <cell r="S14" t="str">
            <v>43.8089229578175</v>
          </cell>
          <cell r="T14" t="str">
            <v>0.741847340308639</v>
          </cell>
          <cell r="U14">
            <v>0.75851150620396501</v>
          </cell>
        </row>
        <row r="15">
          <cell r="A15" t="str">
            <v>1985-215Arthur-711982OTC</v>
          </cell>
          <cell r="B15" t="str">
            <v>1985-215</v>
          </cell>
          <cell r="C15" t="str">
            <v>Kress</v>
          </cell>
          <cell r="D15" t="str">
            <v>North America</v>
          </cell>
          <cell r="E15" t="str">
            <v>wheat</v>
          </cell>
          <cell r="F15" t="str">
            <v>Arthur-71</v>
          </cell>
          <cell r="G15">
            <v>1982</v>
          </cell>
          <cell r="H15" t="str">
            <v>OTC</v>
          </cell>
          <cell r="I15" t="str">
            <v>field</v>
          </cell>
          <cell r="J15" t="str">
            <v>EO3-3</v>
          </cell>
          <cell r="K15"/>
          <cell r="L15">
            <v>122</v>
          </cell>
          <cell r="M15">
            <v>7</v>
          </cell>
          <cell r="N15">
            <v>56</v>
          </cell>
          <cell r="O15">
            <v>4</v>
          </cell>
          <cell r="P15">
            <v>33.3905050705403</v>
          </cell>
          <cell r="Q15" t="str">
            <v>1000 grain weight</v>
          </cell>
          <cell r="R15">
            <v>26.5</v>
          </cell>
          <cell r="S15" t="str">
            <v>43.8089229578175</v>
          </cell>
          <cell r="T15" t="str">
            <v>0.606757855499349</v>
          </cell>
          <cell r="U15">
            <v>0.66593743127237603</v>
          </cell>
        </row>
        <row r="16">
          <cell r="A16" t="str">
            <v>1985-215Roland1982OTC</v>
          </cell>
          <cell r="B16" t="str">
            <v>1985-215</v>
          </cell>
          <cell r="C16" t="str">
            <v>Kress</v>
          </cell>
          <cell r="D16" t="str">
            <v>North America</v>
          </cell>
          <cell r="E16" t="str">
            <v>wheat</v>
          </cell>
          <cell r="F16" t="str">
            <v>Roland</v>
          </cell>
          <cell r="G16">
            <v>1982</v>
          </cell>
          <cell r="H16" t="str">
            <v>OTC</v>
          </cell>
          <cell r="I16" t="str">
            <v>field</v>
          </cell>
          <cell r="J16" t="str">
            <v>CF</v>
          </cell>
          <cell r="K16"/>
          <cell r="L16">
            <v>23</v>
          </cell>
          <cell r="M16">
            <v>7</v>
          </cell>
          <cell r="N16">
            <v>56</v>
          </cell>
          <cell r="O16">
            <v>4</v>
          </cell>
          <cell r="P16">
            <v>1.18114946986415</v>
          </cell>
          <cell r="Q16" t="str">
            <v>1000 grain weight</v>
          </cell>
          <cell r="R16">
            <v>36.4</v>
          </cell>
          <cell r="S16" t="str">
            <v>31.7754124028347</v>
          </cell>
          <cell r="T16" t="str">
            <v>1.14905891817053</v>
          </cell>
          <cell r="U16">
            <v>0.982512980985915</v>
          </cell>
        </row>
        <row r="17">
          <cell r="A17" t="str">
            <v>1985-215Roland1982OTC</v>
          </cell>
          <cell r="B17" t="str">
            <v>1985-215</v>
          </cell>
          <cell r="C17" t="str">
            <v>Kress</v>
          </cell>
          <cell r="D17" t="str">
            <v>North America</v>
          </cell>
          <cell r="E17" t="str">
            <v>wheat</v>
          </cell>
          <cell r="F17" t="str">
            <v>Roland</v>
          </cell>
          <cell r="G17">
            <v>1982</v>
          </cell>
          <cell r="H17" t="str">
            <v>OTC</v>
          </cell>
          <cell r="I17" t="str">
            <v>field</v>
          </cell>
          <cell r="J17" t="str">
            <v>NF</v>
          </cell>
          <cell r="K17"/>
          <cell r="L17">
            <v>41</v>
          </cell>
          <cell r="M17">
            <v>7</v>
          </cell>
          <cell r="N17">
            <v>56</v>
          </cell>
          <cell r="O17">
            <v>4</v>
          </cell>
          <cell r="P17">
            <v>5.5357140123631297</v>
          </cell>
          <cell r="Q17" t="str">
            <v>1000 grain weight</v>
          </cell>
          <cell r="R17">
            <v>33.200000000000003</v>
          </cell>
          <cell r="S17" t="str">
            <v>31.7754124028347</v>
          </cell>
          <cell r="T17" t="str">
            <v>1.04804274954015</v>
          </cell>
          <cell r="U17">
            <v>0.92985837345123401</v>
          </cell>
        </row>
        <row r="18">
          <cell r="A18" t="str">
            <v>1985-215Roland1982OTC</v>
          </cell>
          <cell r="B18" t="str">
            <v>1985-215</v>
          </cell>
          <cell r="C18" t="str">
            <v>Kress</v>
          </cell>
          <cell r="D18" t="str">
            <v>North America</v>
          </cell>
          <cell r="E18" t="str">
            <v>wheat</v>
          </cell>
          <cell r="F18" t="str">
            <v>Roland</v>
          </cell>
          <cell r="G18">
            <v>1982</v>
          </cell>
          <cell r="H18" t="str">
            <v>OTC</v>
          </cell>
          <cell r="I18" t="str">
            <v>field</v>
          </cell>
          <cell r="J18" t="str">
            <v>EO3-1</v>
          </cell>
          <cell r="K18"/>
          <cell r="L18">
            <v>68</v>
          </cell>
          <cell r="M18">
            <v>7</v>
          </cell>
          <cell r="N18">
            <v>56</v>
          </cell>
          <cell r="O18">
            <v>4</v>
          </cell>
          <cell r="P18">
            <v>13.533045231200999</v>
          </cell>
          <cell r="Q18" t="str">
            <v>1000 grain weight</v>
          </cell>
          <cell r="R18">
            <v>27.3</v>
          </cell>
          <cell r="S18" t="str">
            <v>31.7754124028347</v>
          </cell>
          <cell r="T18" t="str">
            <v>0.861794188627894</v>
          </cell>
          <cell r="U18">
            <v>0.84908422220166102</v>
          </cell>
        </row>
        <row r="19">
          <cell r="A19" t="str">
            <v>1985-215Roland1982OTC</v>
          </cell>
          <cell r="B19" t="str">
            <v>1985-215</v>
          </cell>
          <cell r="C19" t="str">
            <v>Kress</v>
          </cell>
          <cell r="D19" t="str">
            <v>North America</v>
          </cell>
          <cell r="E19" t="str">
            <v>wheat</v>
          </cell>
          <cell r="F19" t="str">
            <v>Roland</v>
          </cell>
          <cell r="G19">
            <v>1982</v>
          </cell>
          <cell r="H19" t="str">
            <v>OTC</v>
          </cell>
          <cell r="I19" t="str">
            <v>field</v>
          </cell>
          <cell r="J19" t="str">
            <v>EO3-2</v>
          </cell>
          <cell r="K19"/>
          <cell r="L19">
            <v>95</v>
          </cell>
          <cell r="M19">
            <v>7</v>
          </cell>
          <cell r="N19">
            <v>56</v>
          </cell>
          <cell r="O19">
            <v>4</v>
          </cell>
          <cell r="P19">
            <v>23.216148995419001</v>
          </cell>
          <cell r="Q19" t="str">
            <v>1000 grain weight</v>
          </cell>
          <cell r="R19">
            <v>20.7</v>
          </cell>
          <cell r="S19" t="str">
            <v>31.7754124028347</v>
          </cell>
          <cell r="T19" t="str">
            <v>0.653448340827744</v>
          </cell>
          <cell r="U19">
            <v>0.75851150620396501</v>
          </cell>
        </row>
        <row r="20">
          <cell r="A20" t="str">
            <v>1985-215Roland1982OTC</v>
          </cell>
          <cell r="B20" t="str">
            <v>1985-215</v>
          </cell>
          <cell r="C20" t="str">
            <v>Kress</v>
          </cell>
          <cell r="D20" t="str">
            <v>North America</v>
          </cell>
          <cell r="E20" t="str">
            <v>wheat</v>
          </cell>
          <cell r="F20" t="str">
            <v>Roland</v>
          </cell>
          <cell r="G20">
            <v>1982</v>
          </cell>
          <cell r="H20" t="str">
            <v>OTC</v>
          </cell>
          <cell r="I20" t="str">
            <v>field</v>
          </cell>
          <cell r="J20" t="str">
            <v>EO3-3</v>
          </cell>
          <cell r="K20"/>
          <cell r="L20">
            <v>122</v>
          </cell>
          <cell r="M20">
            <v>7</v>
          </cell>
          <cell r="N20">
            <v>56</v>
          </cell>
          <cell r="O20">
            <v>4</v>
          </cell>
          <cell r="P20">
            <v>33.3905050705403</v>
          </cell>
          <cell r="Q20" t="str">
            <v>1000 grain weight</v>
          </cell>
          <cell r="R20">
            <v>18.3</v>
          </cell>
          <cell r="S20" t="str">
            <v>31.7754124028347</v>
          </cell>
          <cell r="T20" t="str">
            <v>0.577686214354962</v>
          </cell>
          <cell r="U20">
            <v>0.66593743127237603</v>
          </cell>
        </row>
        <row r="21">
          <cell r="A21" t="str">
            <v>1985-215Abe1983OTC</v>
          </cell>
          <cell r="B21" t="str">
            <v>1985-215</v>
          </cell>
          <cell r="C21" t="str">
            <v>Kress</v>
          </cell>
          <cell r="D21" t="str">
            <v>North America</v>
          </cell>
          <cell r="E21" t="str">
            <v>wheat</v>
          </cell>
          <cell r="F21" t="str">
            <v>Abe</v>
          </cell>
          <cell r="G21">
            <v>1983</v>
          </cell>
          <cell r="H21" t="str">
            <v>OTC</v>
          </cell>
          <cell r="I21" t="str">
            <v>field</v>
          </cell>
          <cell r="J21" t="str">
            <v>CF</v>
          </cell>
          <cell r="K21"/>
          <cell r="L21">
            <v>18</v>
          </cell>
          <cell r="M21">
            <v>7</v>
          </cell>
          <cell r="N21">
            <v>54</v>
          </cell>
          <cell r="O21">
            <v>4</v>
          </cell>
          <cell r="P21">
            <v>0.92844217674115304</v>
          </cell>
          <cell r="Q21" t="str">
            <v>1000 grain weight</v>
          </cell>
          <cell r="R21">
            <v>34.4</v>
          </cell>
          <cell r="S21" t="str">
            <v>38.3531526567674</v>
          </cell>
          <cell r="T21" t="str">
            <v>0.899682936050492</v>
          </cell>
          <cell r="U21">
            <v>0.98606928251292303</v>
          </cell>
        </row>
        <row r="22">
          <cell r="A22" t="str">
            <v>1985-215Abe1983OTC</v>
          </cell>
          <cell r="B22" t="str">
            <v>1985-215</v>
          </cell>
          <cell r="C22" t="str">
            <v>Kress</v>
          </cell>
          <cell r="D22" t="str">
            <v>North America</v>
          </cell>
          <cell r="E22" t="str">
            <v>wheat</v>
          </cell>
          <cell r="F22" t="str">
            <v>Abe</v>
          </cell>
          <cell r="G22">
            <v>1983</v>
          </cell>
          <cell r="H22" t="str">
            <v>OTC</v>
          </cell>
          <cell r="I22" t="str">
            <v>field</v>
          </cell>
          <cell r="J22" t="str">
            <v>NF</v>
          </cell>
          <cell r="K22"/>
          <cell r="L22">
            <v>44</v>
          </cell>
          <cell r="M22">
            <v>7</v>
          </cell>
          <cell r="N22">
            <v>54</v>
          </cell>
          <cell r="O22">
            <v>4</v>
          </cell>
          <cell r="P22">
            <v>7.6334510419664303</v>
          </cell>
          <cell r="Q22" t="str">
            <v>1000 grain weight</v>
          </cell>
          <cell r="R22">
            <v>34.5</v>
          </cell>
          <cell r="S22" t="str">
            <v>38.3531526567674</v>
          </cell>
          <cell r="T22" t="str">
            <v>0.902298293422732</v>
          </cell>
          <cell r="U22">
            <v>0.90757781441823704</v>
          </cell>
        </row>
        <row r="23">
          <cell r="A23" t="str">
            <v>1985-215Abe1983OTC</v>
          </cell>
          <cell r="B23" t="str">
            <v>1985-215</v>
          </cell>
          <cell r="C23" t="str">
            <v>Kress</v>
          </cell>
          <cell r="D23" t="str">
            <v>North America</v>
          </cell>
          <cell r="E23" t="str">
            <v>wheat</v>
          </cell>
          <cell r="F23" t="str">
            <v>Abe</v>
          </cell>
          <cell r="G23">
            <v>1983</v>
          </cell>
          <cell r="H23" t="str">
            <v>OTC</v>
          </cell>
          <cell r="I23" t="str">
            <v>field</v>
          </cell>
          <cell r="J23" t="str">
            <v>EO3-1</v>
          </cell>
          <cell r="K23"/>
          <cell r="L23">
            <v>62</v>
          </cell>
          <cell r="M23">
            <v>7</v>
          </cell>
          <cell r="N23">
            <v>54</v>
          </cell>
          <cell r="O23">
            <v>4</v>
          </cell>
          <cell r="P23">
            <v>13.0387932804637</v>
          </cell>
          <cell r="Q23" t="str">
            <v>1000 grain weight</v>
          </cell>
          <cell r="R23">
            <v>33.6</v>
          </cell>
          <cell r="S23" t="str">
            <v>38.3531526567674</v>
          </cell>
          <cell r="T23" t="str">
            <v>0.878760077072574</v>
          </cell>
          <cell r="U23">
            <v>0.853838676291794</v>
          </cell>
        </row>
        <row r="24">
          <cell r="A24" t="str">
            <v>1985-215Abe1983OTC</v>
          </cell>
          <cell r="B24" t="str">
            <v>1985-215</v>
          </cell>
          <cell r="C24" t="str">
            <v>Kress</v>
          </cell>
          <cell r="D24" t="str">
            <v>North America</v>
          </cell>
          <cell r="E24" t="str">
            <v>wheat</v>
          </cell>
          <cell r="F24" t="str">
            <v>Abe</v>
          </cell>
          <cell r="G24">
            <v>1983</v>
          </cell>
          <cell r="H24" t="str">
            <v>OTC</v>
          </cell>
          <cell r="I24" t="str">
            <v>field</v>
          </cell>
          <cell r="J24" t="str">
            <v>EO3-2</v>
          </cell>
          <cell r="K24"/>
          <cell r="L24">
            <v>78</v>
          </cell>
          <cell r="M24">
            <v>7</v>
          </cell>
          <cell r="N24">
            <v>54</v>
          </cell>
          <cell r="O24">
            <v>4</v>
          </cell>
          <cell r="P24">
            <v>18.443321520960399</v>
          </cell>
          <cell r="Q24" t="str">
            <v>1000 grain weight</v>
          </cell>
          <cell r="R24">
            <v>32.6</v>
          </cell>
          <cell r="S24" t="str">
            <v>38.3531526567674</v>
          </cell>
          <cell r="T24" t="str">
            <v>0.852606503350176</v>
          </cell>
          <cell r="U24">
            <v>0.80267485765236601</v>
          </cell>
        </row>
        <row r="25">
          <cell r="A25" t="str">
            <v>1985-215Abe1983OTC</v>
          </cell>
          <cell r="B25" t="str">
            <v>1985-215</v>
          </cell>
          <cell r="C25" t="str">
            <v>Kress</v>
          </cell>
          <cell r="D25" t="str">
            <v>North America</v>
          </cell>
          <cell r="E25" t="str">
            <v>wheat</v>
          </cell>
          <cell r="F25" t="str">
            <v>Abe</v>
          </cell>
          <cell r="G25">
            <v>1983</v>
          </cell>
          <cell r="H25" t="str">
            <v>OTC</v>
          </cell>
          <cell r="I25" t="str">
            <v>field</v>
          </cell>
          <cell r="J25" t="str">
            <v>EO3-3</v>
          </cell>
          <cell r="K25"/>
          <cell r="L25">
            <v>95</v>
          </cell>
          <cell r="M25">
            <v>7</v>
          </cell>
          <cell r="N25">
            <v>54</v>
          </cell>
          <cell r="O25">
            <v>4</v>
          </cell>
          <cell r="P25">
            <v>24.466415950252401</v>
          </cell>
          <cell r="Q25" t="str">
            <v>1000 grain weight</v>
          </cell>
          <cell r="R25">
            <v>28.8</v>
          </cell>
          <cell r="S25" t="str">
            <v>38.3531526567674</v>
          </cell>
          <cell r="T25" t="str">
            <v>0.753222923205063</v>
          </cell>
          <cell r="U25">
            <v>0.74704273906851804</v>
          </cell>
        </row>
        <row r="26">
          <cell r="A26" t="str">
            <v>1985-215Arthur-711983OTC</v>
          </cell>
          <cell r="B26" t="str">
            <v>1985-215</v>
          </cell>
          <cell r="C26" t="str">
            <v>Kress</v>
          </cell>
          <cell r="D26" t="str">
            <v>North America</v>
          </cell>
          <cell r="E26" t="str">
            <v>wheat</v>
          </cell>
          <cell r="F26" t="str">
            <v>Arthur-71</v>
          </cell>
          <cell r="G26">
            <v>1983</v>
          </cell>
          <cell r="H26" t="str">
            <v>OTC</v>
          </cell>
          <cell r="I26" t="str">
            <v>field</v>
          </cell>
          <cell r="J26" t="str">
            <v>CF</v>
          </cell>
          <cell r="K26"/>
          <cell r="L26">
            <v>18</v>
          </cell>
          <cell r="M26">
            <v>7</v>
          </cell>
          <cell r="N26">
            <v>54</v>
          </cell>
          <cell r="O26">
            <v>4</v>
          </cell>
          <cell r="P26">
            <v>0.92844217674115304</v>
          </cell>
          <cell r="Q26" t="str">
            <v>1000 grain weight</v>
          </cell>
          <cell r="R26">
            <v>31</v>
          </cell>
          <cell r="S26" t="str">
            <v>34.1180415469034</v>
          </cell>
          <cell r="T26" t="str">
            <v>0.911401439253244</v>
          </cell>
          <cell r="U26">
            <v>0.98606928251292303</v>
          </cell>
        </row>
        <row r="27">
          <cell r="A27" t="str">
            <v>1985-215Arthur-711983OTC</v>
          </cell>
          <cell r="B27" t="str">
            <v>1985-215</v>
          </cell>
          <cell r="C27" t="str">
            <v>Kress</v>
          </cell>
          <cell r="D27" t="str">
            <v>North America</v>
          </cell>
          <cell r="E27" t="str">
            <v>wheat</v>
          </cell>
          <cell r="F27" t="str">
            <v>Arthur-71</v>
          </cell>
          <cell r="G27">
            <v>1983</v>
          </cell>
          <cell r="H27" t="str">
            <v>OTC</v>
          </cell>
          <cell r="I27" t="str">
            <v>field</v>
          </cell>
          <cell r="J27" t="str">
            <v>NF</v>
          </cell>
          <cell r="K27"/>
          <cell r="L27">
            <v>44</v>
          </cell>
          <cell r="M27">
            <v>7</v>
          </cell>
          <cell r="N27">
            <v>54</v>
          </cell>
          <cell r="O27">
            <v>4</v>
          </cell>
          <cell r="P27">
            <v>7.6334510419664303</v>
          </cell>
          <cell r="Q27" t="str">
            <v>1000 grain weight</v>
          </cell>
          <cell r="R27">
            <v>31.3</v>
          </cell>
          <cell r="S27" t="str">
            <v>34.1180415469034</v>
          </cell>
          <cell r="T27" t="str">
            <v>0.920221453181502</v>
          </cell>
          <cell r="U27">
            <v>0.90757781441823704</v>
          </cell>
        </row>
        <row r="28">
          <cell r="A28" t="str">
            <v>1985-215Arthur-711983OTC</v>
          </cell>
          <cell r="B28" t="str">
            <v>1985-215</v>
          </cell>
          <cell r="C28" t="str">
            <v>Kress</v>
          </cell>
          <cell r="D28" t="str">
            <v>North America</v>
          </cell>
          <cell r="E28" t="str">
            <v>wheat</v>
          </cell>
          <cell r="F28" t="str">
            <v>Arthur-71</v>
          </cell>
          <cell r="G28">
            <v>1983</v>
          </cell>
          <cell r="H28" t="str">
            <v>OTC</v>
          </cell>
          <cell r="I28" t="str">
            <v>field</v>
          </cell>
          <cell r="J28" t="str">
            <v>EO3-1</v>
          </cell>
          <cell r="K28"/>
          <cell r="L28">
            <v>62</v>
          </cell>
          <cell r="M28">
            <v>7</v>
          </cell>
          <cell r="N28">
            <v>54</v>
          </cell>
          <cell r="O28">
            <v>4</v>
          </cell>
          <cell r="P28">
            <v>13.0387932804637</v>
          </cell>
          <cell r="Q28" t="str">
            <v>1000 grain weight</v>
          </cell>
          <cell r="R28">
            <v>30.4</v>
          </cell>
          <cell r="S28" t="str">
            <v>34.1180415469034</v>
          </cell>
          <cell r="T28" t="str">
            <v>0.89376141139673</v>
          </cell>
          <cell r="U28">
            <v>0.853838676291794</v>
          </cell>
        </row>
        <row r="29">
          <cell r="A29" t="str">
            <v>1985-215Arthur-711983OTC</v>
          </cell>
          <cell r="B29" t="str">
            <v>1985-215</v>
          </cell>
          <cell r="C29" t="str">
            <v>Kress</v>
          </cell>
          <cell r="D29" t="str">
            <v>North America</v>
          </cell>
          <cell r="E29" t="str">
            <v>wheat</v>
          </cell>
          <cell r="F29" t="str">
            <v>Arthur-71</v>
          </cell>
          <cell r="G29">
            <v>1983</v>
          </cell>
          <cell r="H29" t="str">
            <v>OTC</v>
          </cell>
          <cell r="I29" t="str">
            <v>field</v>
          </cell>
          <cell r="J29" t="str">
            <v>EO3-2</v>
          </cell>
          <cell r="K29"/>
          <cell r="L29">
            <v>78</v>
          </cell>
          <cell r="M29">
            <v>7</v>
          </cell>
          <cell r="N29">
            <v>54</v>
          </cell>
          <cell r="O29">
            <v>4</v>
          </cell>
          <cell r="P29">
            <v>18.443321520960399</v>
          </cell>
          <cell r="Q29" t="str">
            <v>1000 grain weight</v>
          </cell>
          <cell r="R29">
            <v>27.3</v>
          </cell>
          <cell r="S29" t="str">
            <v>34.1180415469034</v>
          </cell>
          <cell r="T29" t="str">
            <v>0.802621267471406</v>
          </cell>
          <cell r="U29">
            <v>0.80267485765236601</v>
          </cell>
        </row>
        <row r="30">
          <cell r="A30" t="str">
            <v>1985-215Arthur-711983OTC</v>
          </cell>
          <cell r="B30" t="str">
            <v>1985-215</v>
          </cell>
          <cell r="C30" t="str">
            <v>Kress</v>
          </cell>
          <cell r="D30" t="str">
            <v>North America</v>
          </cell>
          <cell r="E30" t="str">
            <v>wheat</v>
          </cell>
          <cell r="F30" t="str">
            <v>Arthur-71</v>
          </cell>
          <cell r="G30">
            <v>1983</v>
          </cell>
          <cell r="H30" t="str">
            <v>OTC</v>
          </cell>
          <cell r="I30" t="str">
            <v>field</v>
          </cell>
          <cell r="J30" t="str">
            <v>EO3-3</v>
          </cell>
          <cell r="K30"/>
          <cell r="L30">
            <v>95</v>
          </cell>
          <cell r="M30">
            <v>7</v>
          </cell>
          <cell r="N30">
            <v>54</v>
          </cell>
          <cell r="O30">
            <v>4</v>
          </cell>
          <cell r="P30">
            <v>24.466415950252401</v>
          </cell>
          <cell r="Q30" t="str">
            <v>1000 grain weight</v>
          </cell>
          <cell r="R30">
            <v>25.9</v>
          </cell>
          <cell r="S30" t="str">
            <v>34.1180415469034</v>
          </cell>
          <cell r="T30" t="str">
            <v>0.761461202472872</v>
          </cell>
          <cell r="U30">
            <v>0.74704273906851804</v>
          </cell>
        </row>
        <row r="31">
          <cell r="A31" t="str">
            <v>1996-89/91Massey1991OTC</v>
          </cell>
          <cell r="B31" t="str">
            <v>1996-89/91</v>
          </cell>
          <cell r="C31" t="str">
            <v>Rudorff</v>
          </cell>
          <cell r="D31" t="str">
            <v>North America</v>
          </cell>
          <cell r="E31" t="str">
            <v>wheat</v>
          </cell>
          <cell r="F31" t="str">
            <v>Massey</v>
          </cell>
          <cell r="G31">
            <v>1991</v>
          </cell>
          <cell r="H31" t="str">
            <v>OTC</v>
          </cell>
          <cell r="I31" t="str">
            <v>field</v>
          </cell>
          <cell r="J31" t="str">
            <v>CF</v>
          </cell>
          <cell r="K31"/>
          <cell r="L31">
            <v>18.600000000000001</v>
          </cell>
          <cell r="M31">
            <v>7</v>
          </cell>
          <cell r="N31">
            <v>61</v>
          </cell>
          <cell r="O31">
            <v>4</v>
          </cell>
          <cell r="P31">
            <v>0.75102620657091901</v>
          </cell>
          <cell r="Q31" t="str">
            <v>1000 grain weight</v>
          </cell>
          <cell r="R31">
            <v>33.700000000000003</v>
          </cell>
          <cell r="S31" t="str">
            <v>33.62670274532</v>
          </cell>
          <cell r="T31" t="str">
            <v>1.00525843527407</v>
          </cell>
          <cell r="U31">
            <v>0.98862009088179403</v>
          </cell>
        </row>
        <row r="32">
          <cell r="A32" t="str">
            <v>1996-89/91Massey1991OTC</v>
          </cell>
          <cell r="B32" t="str">
            <v>1996-89/91</v>
          </cell>
          <cell r="C32" t="str">
            <v>Rudorff</v>
          </cell>
          <cell r="D32" t="str">
            <v>North America</v>
          </cell>
          <cell r="E32" t="str">
            <v>wheat</v>
          </cell>
          <cell r="F32" t="str">
            <v>Massey</v>
          </cell>
          <cell r="G32">
            <v>1991</v>
          </cell>
          <cell r="H32" t="str">
            <v>OTC</v>
          </cell>
          <cell r="I32" t="str">
            <v>field</v>
          </cell>
          <cell r="J32" t="str">
            <v>EO3(CF)</v>
          </cell>
          <cell r="K32"/>
          <cell r="L32">
            <v>60.7</v>
          </cell>
          <cell r="M32">
            <v>7</v>
          </cell>
          <cell r="N32">
            <v>61</v>
          </cell>
          <cell r="O32">
            <v>4</v>
          </cell>
          <cell r="P32">
            <v>7.6927950240969301</v>
          </cell>
          <cell r="Q32" t="str">
            <v>1000 grain weight</v>
          </cell>
          <cell r="R32">
            <v>29.9</v>
          </cell>
          <cell r="S32" t="str">
            <v>33.62670274532</v>
          </cell>
          <cell r="T32" t="str">
            <v>0.891905852068092</v>
          </cell>
          <cell r="U32">
            <v>0.90696342372281102</v>
          </cell>
        </row>
        <row r="33">
          <cell r="A33" t="str">
            <v>1996-89/91Saluda1992OTC</v>
          </cell>
          <cell r="B33" t="str">
            <v>1996-89/91</v>
          </cell>
          <cell r="C33" t="str">
            <v>Rudorff</v>
          </cell>
          <cell r="D33" t="str">
            <v>North America</v>
          </cell>
          <cell r="E33" t="str">
            <v>wheat</v>
          </cell>
          <cell r="F33" t="str">
            <v>Saluda</v>
          </cell>
          <cell r="G33">
            <v>1992</v>
          </cell>
          <cell r="H33" t="str">
            <v>OTC</v>
          </cell>
          <cell r="I33" t="str">
            <v>field</v>
          </cell>
          <cell r="J33" t="str">
            <v>CF</v>
          </cell>
          <cell r="K33"/>
          <cell r="L33">
            <v>20.2</v>
          </cell>
          <cell r="M33">
            <v>7</v>
          </cell>
          <cell r="N33">
            <v>71</v>
          </cell>
          <cell r="O33">
            <v>4</v>
          </cell>
          <cell r="P33">
            <v>0.39988967535184999</v>
          </cell>
          <cell r="Q33" t="str">
            <v>1000 grain weight</v>
          </cell>
          <cell r="R33">
            <v>33.9</v>
          </cell>
          <cell r="S33" t="str">
            <v>36.044094313357</v>
          </cell>
          <cell r="T33" t="str">
            <v>0.943403951023528</v>
          </cell>
          <cell r="U33">
            <v>0.993814676538057</v>
          </cell>
        </row>
        <row r="34">
          <cell r="A34" t="str">
            <v>1996-89/91Saluda1992OTC</v>
          </cell>
          <cell r="B34" t="str">
            <v>1996-89/91</v>
          </cell>
          <cell r="C34" t="str">
            <v>Rudorff</v>
          </cell>
          <cell r="D34" t="str">
            <v>North America</v>
          </cell>
          <cell r="E34" t="str">
            <v>wheat</v>
          </cell>
          <cell r="F34" t="str">
            <v>Saluda</v>
          </cell>
          <cell r="G34">
            <v>1992</v>
          </cell>
          <cell r="H34" t="str">
            <v>OTC</v>
          </cell>
          <cell r="I34" t="str">
            <v>field</v>
          </cell>
          <cell r="J34" t="str">
            <v>EO3</v>
          </cell>
          <cell r="K34"/>
          <cell r="L34">
            <v>64.8</v>
          </cell>
          <cell r="M34">
            <v>7</v>
          </cell>
          <cell r="N34">
            <v>71</v>
          </cell>
          <cell r="O34">
            <v>4</v>
          </cell>
          <cell r="P34">
            <v>14.4705939061522</v>
          </cell>
          <cell r="Q34" t="str">
            <v>1000 grain weight</v>
          </cell>
          <cell r="R34">
            <v>31.8</v>
          </cell>
          <cell r="S34" t="str">
            <v>36.044094313357</v>
          </cell>
          <cell r="T34" t="str">
            <v>0.884962998305256</v>
          </cell>
          <cell r="U34">
            <v>0.840115065377676</v>
          </cell>
        </row>
      </sheetData>
      <sheetData sheetId="2"/>
      <sheetData sheetId="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row>
        <row r="2">
          <cell r="A2" t="str">
            <v>1985-215Abe1982OTC</v>
          </cell>
          <cell r="B2" t="str">
            <v>1985-215</v>
          </cell>
          <cell r="C2" t="str">
            <v>Kress</v>
          </cell>
          <cell r="D2" t="str">
            <v>North America</v>
          </cell>
          <cell r="E2" t="str">
            <v>wheat</v>
          </cell>
          <cell r="F2" t="str">
            <v>Abe</v>
          </cell>
          <cell r="G2">
            <v>1982</v>
          </cell>
          <cell r="H2" t="str">
            <v>OTC</v>
          </cell>
          <cell r="I2" t="str">
            <v>field</v>
          </cell>
          <cell r="J2" t="str">
            <v>CF</v>
          </cell>
          <cell r="K2"/>
          <cell r="L2">
            <v>23</v>
          </cell>
          <cell r="M2">
            <v>7</v>
          </cell>
          <cell r="N2">
            <v>56</v>
          </cell>
          <cell r="O2">
            <v>4</v>
          </cell>
          <cell r="P2">
            <v>1.18114946986415</v>
          </cell>
          <cell r="Q2" t="str">
            <v>Total grain no. ear-1</v>
          </cell>
          <cell r="R2">
            <v>22.5</v>
          </cell>
          <cell r="S2" t="str">
            <v>22.5868360811436</v>
          </cell>
          <cell r="T2" t="str">
            <v>0.9961553179097</v>
          </cell>
          <cell r="U2">
            <v>0.99569619676603804</v>
          </cell>
        </row>
        <row r="3">
          <cell r="A3" t="str">
            <v>1985-215Abe1982OTC</v>
          </cell>
          <cell r="B3" t="str">
            <v>1985-215</v>
          </cell>
          <cell r="C3" t="str">
            <v>Kress</v>
          </cell>
          <cell r="D3" t="str">
            <v>North America</v>
          </cell>
          <cell r="E3" t="str">
            <v>wheat</v>
          </cell>
          <cell r="F3" t="str">
            <v>Abe</v>
          </cell>
          <cell r="G3">
            <v>1982</v>
          </cell>
          <cell r="H3" t="str">
            <v>OTC</v>
          </cell>
          <cell r="I3" t="str">
            <v>field</v>
          </cell>
          <cell r="J3" t="str">
            <v>NF</v>
          </cell>
          <cell r="K3"/>
          <cell r="L3">
            <v>41</v>
          </cell>
          <cell r="M3">
            <v>7</v>
          </cell>
          <cell r="N3">
            <v>56</v>
          </cell>
          <cell r="O3">
            <v>4</v>
          </cell>
          <cell r="P3">
            <v>5.5357140123631297</v>
          </cell>
          <cell r="Q3" t="str">
            <v>Total grain no. ear-1</v>
          </cell>
          <cell r="R3">
            <v>21.4</v>
          </cell>
          <cell r="S3" t="str">
            <v>22.5868360811436</v>
          </cell>
          <cell r="T3" t="str">
            <v>0.947454391256337</v>
          </cell>
          <cell r="U3">
            <v>0.97982928972969396</v>
          </cell>
        </row>
        <row r="4">
          <cell r="A4" t="str">
            <v>1985-215Abe1982OTC</v>
          </cell>
          <cell r="B4" t="str">
            <v>1985-215</v>
          </cell>
          <cell r="C4" t="str">
            <v>Kress</v>
          </cell>
          <cell r="D4" t="str">
            <v>North America</v>
          </cell>
          <cell r="E4" t="str">
            <v>wheat</v>
          </cell>
          <cell r="F4" t="str">
            <v>Abe</v>
          </cell>
          <cell r="G4">
            <v>1982</v>
          </cell>
          <cell r="H4" t="str">
            <v>OTC</v>
          </cell>
          <cell r="I4" t="str">
            <v>field</v>
          </cell>
          <cell r="J4" t="str">
            <v>EO3-1</v>
          </cell>
          <cell r="K4"/>
          <cell r="L4">
            <v>68</v>
          </cell>
          <cell r="M4">
            <v>7</v>
          </cell>
          <cell r="N4">
            <v>56</v>
          </cell>
          <cell r="O4">
            <v>4</v>
          </cell>
          <cell r="P4">
            <v>13.533045231200999</v>
          </cell>
          <cell r="Q4" t="str">
            <v>Total grain no. ear-1</v>
          </cell>
          <cell r="R4">
            <v>22.1</v>
          </cell>
          <cell r="S4" t="str">
            <v>22.5868360811436</v>
          </cell>
          <cell r="T4" t="str">
            <v>0.97844589003575</v>
          </cell>
          <cell r="U4">
            <v>0.95068908343526803</v>
          </cell>
        </row>
        <row r="5">
          <cell r="A5" t="str">
            <v>1985-215Abe1982OTC</v>
          </cell>
          <cell r="B5" t="str">
            <v>1985-215</v>
          </cell>
          <cell r="C5" t="str">
            <v>Kress</v>
          </cell>
          <cell r="D5" t="str">
            <v>North America</v>
          </cell>
          <cell r="E5" t="str">
            <v>wheat</v>
          </cell>
          <cell r="F5" t="str">
            <v>Abe</v>
          </cell>
          <cell r="G5">
            <v>1982</v>
          </cell>
          <cell r="H5" t="str">
            <v>OTC</v>
          </cell>
          <cell r="I5" t="str">
            <v>field</v>
          </cell>
          <cell r="J5" t="str">
            <v>EO3-2</v>
          </cell>
          <cell r="K5"/>
          <cell r="L5">
            <v>95</v>
          </cell>
          <cell r="M5">
            <v>7</v>
          </cell>
          <cell r="N5">
            <v>56</v>
          </cell>
          <cell r="O5">
            <v>4</v>
          </cell>
          <cell r="P5">
            <v>23.216148995419001</v>
          </cell>
          <cell r="Q5" t="str">
            <v>Total grain no. ear-1</v>
          </cell>
          <cell r="R5">
            <v>20.6</v>
          </cell>
          <cell r="S5" t="str">
            <v>22.5868360811436</v>
          </cell>
          <cell r="T5" t="str">
            <v>0.912035535508437</v>
          </cell>
          <cell r="U5">
            <v>0.915406358793454</v>
          </cell>
        </row>
        <row r="6">
          <cell r="A6" t="str">
            <v>1985-215Abe1982OTC</v>
          </cell>
          <cell r="B6" t="str">
            <v>1985-215</v>
          </cell>
          <cell r="C6" t="str">
            <v>Kress</v>
          </cell>
          <cell r="D6" t="str">
            <v>North America</v>
          </cell>
          <cell r="E6" t="str">
            <v>wheat</v>
          </cell>
          <cell r="F6" t="str">
            <v>Abe</v>
          </cell>
          <cell r="G6">
            <v>1982</v>
          </cell>
          <cell r="H6" t="str">
            <v>OTC</v>
          </cell>
          <cell r="I6" t="str">
            <v>field</v>
          </cell>
          <cell r="J6" t="str">
            <v>EO3-3</v>
          </cell>
          <cell r="K6"/>
          <cell r="L6">
            <v>122</v>
          </cell>
          <cell r="M6">
            <v>7</v>
          </cell>
          <cell r="N6">
            <v>56</v>
          </cell>
          <cell r="O6">
            <v>4</v>
          </cell>
          <cell r="P6">
            <v>33.3905050705403</v>
          </cell>
          <cell r="Q6" t="str">
            <v>Total grain no. ear-1</v>
          </cell>
          <cell r="R6">
            <v>20</v>
          </cell>
          <cell r="S6" t="str">
            <v>22.5868360811436</v>
          </cell>
          <cell r="T6" t="str">
            <v>0.885471393697511</v>
          </cell>
          <cell r="U6">
            <v>0.87833363871764503</v>
          </cell>
        </row>
        <row r="7">
          <cell r="A7" t="str">
            <v>1985-215Arthur-711982OTC</v>
          </cell>
          <cell r="B7" t="str">
            <v>1985-215</v>
          </cell>
          <cell r="C7" t="str">
            <v>Kress</v>
          </cell>
          <cell r="D7" t="str">
            <v>North America</v>
          </cell>
          <cell r="E7" t="str">
            <v>wheat</v>
          </cell>
          <cell r="F7" t="str">
            <v>Arthur-71</v>
          </cell>
          <cell r="G7">
            <v>1982</v>
          </cell>
          <cell r="H7" t="str">
            <v>OTC</v>
          </cell>
          <cell r="I7" t="str">
            <v>field</v>
          </cell>
          <cell r="J7" t="str">
            <v>CF</v>
          </cell>
          <cell r="K7"/>
          <cell r="L7">
            <v>23</v>
          </cell>
          <cell r="M7">
            <v>7</v>
          </cell>
          <cell r="N7">
            <v>56</v>
          </cell>
          <cell r="O7">
            <v>4</v>
          </cell>
          <cell r="P7">
            <v>1.18114946986415</v>
          </cell>
          <cell r="Q7" t="str">
            <v>Total grain no. ear-1</v>
          </cell>
          <cell r="R7">
            <v>23.1</v>
          </cell>
          <cell r="S7" t="str">
            <v>22.5947399424053</v>
          </cell>
          <cell r="T7" t="str">
            <v>1.02236170243995</v>
          </cell>
          <cell r="U7">
            <v>0.99569619676603804</v>
          </cell>
        </row>
        <row r="8">
          <cell r="A8" t="str">
            <v>1985-215Arthur-711982OTC</v>
          </cell>
          <cell r="B8" t="str">
            <v>1985-215</v>
          </cell>
          <cell r="C8" t="str">
            <v>Kress</v>
          </cell>
          <cell r="D8" t="str">
            <v>North America</v>
          </cell>
          <cell r="E8" t="str">
            <v>wheat</v>
          </cell>
          <cell r="F8" t="str">
            <v>Arthur-71</v>
          </cell>
          <cell r="G8">
            <v>1982</v>
          </cell>
          <cell r="H8" t="str">
            <v>OTC</v>
          </cell>
          <cell r="I8" t="str">
            <v>field</v>
          </cell>
          <cell r="J8" t="str">
            <v>NF</v>
          </cell>
          <cell r="K8"/>
          <cell r="L8">
            <v>41</v>
          </cell>
          <cell r="M8">
            <v>7</v>
          </cell>
          <cell r="N8">
            <v>56</v>
          </cell>
          <cell r="O8">
            <v>4</v>
          </cell>
          <cell r="P8">
            <v>5.5357140123631297</v>
          </cell>
          <cell r="Q8" t="str">
            <v>Total grain no. ear-1</v>
          </cell>
          <cell r="R8">
            <v>21.6</v>
          </cell>
          <cell r="S8" t="str">
            <v>22.5947399424053</v>
          </cell>
          <cell r="T8" t="str">
            <v>0.955974578904893</v>
          </cell>
          <cell r="U8">
            <v>0.97982928972969396</v>
          </cell>
        </row>
        <row r="9">
          <cell r="A9" t="str">
            <v>1985-215Arthur-711982OTC</v>
          </cell>
          <cell r="B9" t="str">
            <v>1985-215</v>
          </cell>
          <cell r="C9" t="str">
            <v>Kress</v>
          </cell>
          <cell r="D9" t="str">
            <v>North America</v>
          </cell>
          <cell r="E9" t="str">
            <v>wheat</v>
          </cell>
          <cell r="F9" t="str">
            <v>Arthur-71</v>
          </cell>
          <cell r="G9">
            <v>1982</v>
          </cell>
          <cell r="H9" t="str">
            <v>OTC</v>
          </cell>
          <cell r="I9" t="str">
            <v>field</v>
          </cell>
          <cell r="J9" t="str">
            <v>EO3-1</v>
          </cell>
          <cell r="K9"/>
          <cell r="L9">
            <v>68</v>
          </cell>
          <cell r="M9">
            <v>7</v>
          </cell>
          <cell r="N9">
            <v>56</v>
          </cell>
          <cell r="O9">
            <v>4</v>
          </cell>
          <cell r="P9">
            <v>13.533045231200999</v>
          </cell>
          <cell r="Q9" t="str">
            <v>Total grain no. ear-1</v>
          </cell>
          <cell r="R9">
            <v>21.8</v>
          </cell>
          <cell r="S9" t="str">
            <v>22.5947399424053</v>
          </cell>
          <cell r="T9" t="str">
            <v>0.964826195376234</v>
          </cell>
          <cell r="U9">
            <v>0.95068908343526803</v>
          </cell>
        </row>
        <row r="10">
          <cell r="A10" t="str">
            <v>1985-215Arthur-711982OTC</v>
          </cell>
          <cell r="B10" t="str">
            <v>1985-215</v>
          </cell>
          <cell r="C10" t="str">
            <v>Kress</v>
          </cell>
          <cell r="D10" t="str">
            <v>North America</v>
          </cell>
          <cell r="E10" t="str">
            <v>wheat</v>
          </cell>
          <cell r="F10" t="str">
            <v>Arthur-71</v>
          </cell>
          <cell r="G10">
            <v>1982</v>
          </cell>
          <cell r="H10" t="str">
            <v>OTC</v>
          </cell>
          <cell r="I10" t="str">
            <v>field</v>
          </cell>
          <cell r="J10" t="str">
            <v>EO3-2</v>
          </cell>
          <cell r="K10"/>
          <cell r="L10">
            <v>95</v>
          </cell>
          <cell r="M10">
            <v>7</v>
          </cell>
          <cell r="N10">
            <v>56</v>
          </cell>
          <cell r="O10">
            <v>4</v>
          </cell>
          <cell r="P10">
            <v>23.216148995419001</v>
          </cell>
          <cell r="Q10" t="str">
            <v>Total grain no. ear-1</v>
          </cell>
          <cell r="R10">
            <v>20.6</v>
          </cell>
          <cell r="S10" t="str">
            <v>22.5947399424053</v>
          </cell>
          <cell r="T10" t="str">
            <v>0.911716496548185</v>
          </cell>
          <cell r="U10">
            <v>0.915406358793454</v>
          </cell>
        </row>
        <row r="11">
          <cell r="A11" t="str">
            <v>1985-215Arthur-711982OTC</v>
          </cell>
          <cell r="B11" t="str">
            <v>1985-215</v>
          </cell>
          <cell r="C11" t="str">
            <v>Kress</v>
          </cell>
          <cell r="D11" t="str">
            <v>North America</v>
          </cell>
          <cell r="E11" t="str">
            <v>wheat</v>
          </cell>
          <cell r="F11" t="str">
            <v>Arthur-71</v>
          </cell>
          <cell r="G11">
            <v>1982</v>
          </cell>
          <cell r="H11" t="str">
            <v>OTC</v>
          </cell>
          <cell r="I11" t="str">
            <v>field</v>
          </cell>
          <cell r="J11" t="str">
            <v>EO3-3</v>
          </cell>
          <cell r="K11"/>
          <cell r="L11">
            <v>122</v>
          </cell>
          <cell r="M11">
            <v>7</v>
          </cell>
          <cell r="N11">
            <v>56</v>
          </cell>
          <cell r="O11">
            <v>4</v>
          </cell>
          <cell r="P11">
            <v>33.3905050705403</v>
          </cell>
          <cell r="Q11" t="str">
            <v>Total grain no. ear-1</v>
          </cell>
          <cell r="R11">
            <v>19.600000000000001</v>
          </cell>
          <cell r="S11" t="str">
            <v>22.5947399424053</v>
          </cell>
          <cell r="T11" t="str">
            <v>0.867458414191477</v>
          </cell>
          <cell r="U11">
            <v>0.87833363871764503</v>
          </cell>
        </row>
        <row r="12">
          <cell r="A12" t="str">
            <v>1985-215Roland1982OTC</v>
          </cell>
          <cell r="B12" t="str">
            <v>1985-215</v>
          </cell>
          <cell r="C12" t="str">
            <v>Kress</v>
          </cell>
          <cell r="D12" t="str">
            <v>North America</v>
          </cell>
          <cell r="E12" t="str">
            <v>wheat</v>
          </cell>
          <cell r="F12" t="str">
            <v>Roland</v>
          </cell>
          <cell r="G12">
            <v>1982</v>
          </cell>
          <cell r="H12" t="str">
            <v>OTC</v>
          </cell>
          <cell r="I12" t="str">
            <v>field</v>
          </cell>
          <cell r="J12" t="str">
            <v>CF</v>
          </cell>
          <cell r="K12"/>
          <cell r="L12">
            <v>23</v>
          </cell>
          <cell r="M12">
            <v>7</v>
          </cell>
          <cell r="N12">
            <v>56</v>
          </cell>
          <cell r="O12">
            <v>4</v>
          </cell>
          <cell r="P12">
            <v>1.18114946986415</v>
          </cell>
          <cell r="Q12" t="str">
            <v>Total grain no. ear-1</v>
          </cell>
          <cell r="R12">
            <v>30.8</v>
          </cell>
          <cell r="S12" t="str">
            <v>29.6177959054074</v>
          </cell>
          <cell r="T12" t="str">
            <v>1.03991518556307</v>
          </cell>
          <cell r="U12">
            <v>0.99569619676603804</v>
          </cell>
        </row>
        <row r="13">
          <cell r="A13" t="str">
            <v>1985-215Roland1982OTC</v>
          </cell>
          <cell r="B13" t="str">
            <v>1985-215</v>
          </cell>
          <cell r="C13" t="str">
            <v>Kress</v>
          </cell>
          <cell r="D13" t="str">
            <v>North America</v>
          </cell>
          <cell r="E13" t="str">
            <v>wheat</v>
          </cell>
          <cell r="F13" t="str">
            <v>Roland</v>
          </cell>
          <cell r="G13">
            <v>1982</v>
          </cell>
          <cell r="H13" t="str">
            <v>OTC</v>
          </cell>
          <cell r="I13" t="str">
            <v>field</v>
          </cell>
          <cell r="J13" t="str">
            <v>NF</v>
          </cell>
          <cell r="K13"/>
          <cell r="L13">
            <v>41</v>
          </cell>
          <cell r="M13">
            <v>7</v>
          </cell>
          <cell r="N13">
            <v>56</v>
          </cell>
          <cell r="O13">
            <v>4</v>
          </cell>
          <cell r="P13">
            <v>5.5357140123631297</v>
          </cell>
          <cell r="Q13" t="str">
            <v>Total grain no. ear-1</v>
          </cell>
          <cell r="R13">
            <v>30.9</v>
          </cell>
          <cell r="S13" t="str">
            <v>29.6177959054074</v>
          </cell>
          <cell r="T13" t="str">
            <v>1.04329153356814</v>
          </cell>
          <cell r="U13">
            <v>0.97982928972969396</v>
          </cell>
        </row>
        <row r="14">
          <cell r="A14" t="str">
            <v>1985-215Roland1982OTC</v>
          </cell>
          <cell r="B14" t="str">
            <v>1985-215</v>
          </cell>
          <cell r="C14" t="str">
            <v>Kress</v>
          </cell>
          <cell r="D14" t="str">
            <v>North America</v>
          </cell>
          <cell r="E14" t="str">
            <v>wheat</v>
          </cell>
          <cell r="F14" t="str">
            <v>Roland</v>
          </cell>
          <cell r="G14">
            <v>1982</v>
          </cell>
          <cell r="H14" t="str">
            <v>OTC</v>
          </cell>
          <cell r="I14" t="str">
            <v>field</v>
          </cell>
          <cell r="J14" t="str">
            <v>EO3-1</v>
          </cell>
          <cell r="K14"/>
          <cell r="L14">
            <v>68</v>
          </cell>
          <cell r="M14">
            <v>7</v>
          </cell>
          <cell r="N14">
            <v>56</v>
          </cell>
          <cell r="O14">
            <v>4</v>
          </cell>
          <cell r="P14">
            <v>13.533045231200999</v>
          </cell>
          <cell r="Q14" t="str">
            <v>Total grain no. ear-1</v>
          </cell>
          <cell r="R14">
            <v>29.1</v>
          </cell>
          <cell r="S14" t="str">
            <v>29.6177959054074</v>
          </cell>
          <cell r="T14" t="str">
            <v>0.982517269476792</v>
          </cell>
          <cell r="U14">
            <v>0.95068908343526803</v>
          </cell>
        </row>
        <row r="15">
          <cell r="A15" t="str">
            <v>1985-215Roland1982OTC</v>
          </cell>
          <cell r="B15" t="str">
            <v>1985-215</v>
          </cell>
          <cell r="C15" t="str">
            <v>Kress</v>
          </cell>
          <cell r="D15" t="str">
            <v>North America</v>
          </cell>
          <cell r="E15" t="str">
            <v>wheat</v>
          </cell>
          <cell r="F15" t="str">
            <v>Roland</v>
          </cell>
          <cell r="G15">
            <v>1982</v>
          </cell>
          <cell r="H15" t="str">
            <v>OTC</v>
          </cell>
          <cell r="I15" t="str">
            <v>field</v>
          </cell>
          <cell r="J15" t="str">
            <v>EO3-2</v>
          </cell>
          <cell r="K15"/>
          <cell r="L15">
            <v>95</v>
          </cell>
          <cell r="M15">
            <v>7</v>
          </cell>
          <cell r="N15">
            <v>56</v>
          </cell>
          <cell r="O15">
            <v>4</v>
          </cell>
          <cell r="P15">
            <v>23.216148995419001</v>
          </cell>
          <cell r="Q15" t="str">
            <v>Total grain no. ear-1</v>
          </cell>
          <cell r="R15">
            <v>26.8</v>
          </cell>
          <cell r="S15" t="str">
            <v>29.6177959054074</v>
          </cell>
          <cell r="T15" t="str">
            <v>0.90486126536007</v>
          </cell>
          <cell r="U15">
            <v>0.915406358793454</v>
          </cell>
        </row>
        <row r="16">
          <cell r="A16" t="str">
            <v>1985-215Roland1982OTC</v>
          </cell>
          <cell r="B16" t="str">
            <v>1985-215</v>
          </cell>
          <cell r="C16" t="str">
            <v>Kress</v>
          </cell>
          <cell r="D16" t="str">
            <v>North America</v>
          </cell>
          <cell r="E16" t="str">
            <v>wheat</v>
          </cell>
          <cell r="F16" t="str">
            <v>Roland</v>
          </cell>
          <cell r="G16">
            <v>1982</v>
          </cell>
          <cell r="H16" t="str">
            <v>OTC</v>
          </cell>
          <cell r="I16" t="str">
            <v>field</v>
          </cell>
          <cell r="J16" t="str">
            <v>EO3-3</v>
          </cell>
          <cell r="K16"/>
          <cell r="L16">
            <v>122</v>
          </cell>
          <cell r="M16">
            <v>7</v>
          </cell>
          <cell r="N16">
            <v>56</v>
          </cell>
          <cell r="O16">
            <v>4</v>
          </cell>
          <cell r="P16">
            <v>33.3905050705403</v>
          </cell>
          <cell r="Q16" t="str">
            <v>Total grain no. ear-1</v>
          </cell>
          <cell r="R16">
            <v>22.9</v>
          </cell>
          <cell r="S16" t="str">
            <v>29.6177959054074</v>
          </cell>
          <cell r="T16" t="str">
            <v>0.773183693162149</v>
          </cell>
          <cell r="U16">
            <v>0.87833363871764503</v>
          </cell>
        </row>
        <row r="17">
          <cell r="A17" t="str">
            <v>1985-215Abe1983OTC</v>
          </cell>
          <cell r="B17" t="str">
            <v>1985-215</v>
          </cell>
          <cell r="C17" t="str">
            <v>Kress</v>
          </cell>
          <cell r="D17" t="str">
            <v>North America</v>
          </cell>
          <cell r="E17" t="str">
            <v>wheat</v>
          </cell>
          <cell r="F17" t="str">
            <v>Abe</v>
          </cell>
          <cell r="G17">
            <v>1983</v>
          </cell>
          <cell r="H17" t="str">
            <v>OTC</v>
          </cell>
          <cell r="I17" t="str">
            <v>field</v>
          </cell>
          <cell r="J17" t="str">
            <v>CF</v>
          </cell>
          <cell r="K17"/>
          <cell r="L17">
            <v>18</v>
          </cell>
          <cell r="M17">
            <v>7</v>
          </cell>
          <cell r="N17">
            <v>54</v>
          </cell>
          <cell r="O17">
            <v>4</v>
          </cell>
          <cell r="P17">
            <v>0.92844217674115304</v>
          </cell>
          <cell r="Q17" t="str">
            <v>Total grain no. ear-1</v>
          </cell>
          <cell r="R17">
            <v>18.899999999999999</v>
          </cell>
          <cell r="S17" t="str">
            <v>20.3777623261972</v>
          </cell>
          <cell r="T17" t="str">
            <v>0.927481490564387</v>
          </cell>
          <cell r="U17">
            <v>0.996616996793391</v>
          </cell>
        </row>
        <row r="18">
          <cell r="A18" t="str">
            <v>1985-215Abe1983OTC</v>
          </cell>
          <cell r="B18" t="str">
            <v>1985-215</v>
          </cell>
          <cell r="C18" t="str">
            <v>Kress</v>
          </cell>
          <cell r="D18" t="str">
            <v>North America</v>
          </cell>
          <cell r="E18" t="str">
            <v>wheat</v>
          </cell>
          <cell r="F18" t="str">
            <v>Abe</v>
          </cell>
          <cell r="G18">
            <v>1983</v>
          </cell>
          <cell r="H18" t="str">
            <v>OTC</v>
          </cell>
          <cell r="I18" t="str">
            <v>field</v>
          </cell>
          <cell r="J18" t="str">
            <v>NF</v>
          </cell>
          <cell r="K18"/>
          <cell r="L18">
            <v>44</v>
          </cell>
          <cell r="M18">
            <v>7</v>
          </cell>
          <cell r="N18">
            <v>54</v>
          </cell>
          <cell r="O18">
            <v>4</v>
          </cell>
          <cell r="P18">
            <v>7.6334510419664303</v>
          </cell>
          <cell r="Q18" t="str">
            <v>Total grain no. ear-1</v>
          </cell>
          <cell r="R18">
            <v>18.600000000000001</v>
          </cell>
          <cell r="S18" t="str">
            <v>20.3777623261972</v>
          </cell>
          <cell r="T18" t="str">
            <v>0.91275956214273</v>
          </cell>
          <cell r="U18">
            <v>0.97218567856029003</v>
          </cell>
        </row>
        <row r="19">
          <cell r="A19" t="str">
            <v>1985-215Abe1983OTC</v>
          </cell>
          <cell r="B19" t="str">
            <v>1985-215</v>
          </cell>
          <cell r="C19" t="str">
            <v>Kress</v>
          </cell>
          <cell r="D19" t="str">
            <v>North America</v>
          </cell>
          <cell r="E19" t="str">
            <v>wheat</v>
          </cell>
          <cell r="F19" t="str">
            <v>Abe</v>
          </cell>
          <cell r="G19">
            <v>1983</v>
          </cell>
          <cell r="H19" t="str">
            <v>OTC</v>
          </cell>
          <cell r="I19" t="str">
            <v>field</v>
          </cell>
          <cell r="J19" t="str">
            <v>EO3-1</v>
          </cell>
          <cell r="K19"/>
          <cell r="L19">
            <v>62</v>
          </cell>
          <cell r="M19">
            <v>7</v>
          </cell>
          <cell r="N19">
            <v>54</v>
          </cell>
          <cell r="O19">
            <v>4</v>
          </cell>
          <cell r="P19">
            <v>13.0387932804637</v>
          </cell>
          <cell r="Q19" t="str">
            <v>Total grain no. ear-1</v>
          </cell>
          <cell r="R19">
            <v>20.3</v>
          </cell>
          <cell r="S19" t="str">
            <v>20.3777623261972</v>
          </cell>
          <cell r="T19" t="str">
            <v>0.996183823198786</v>
          </cell>
          <cell r="U19">
            <v>0.95249000967947295</v>
          </cell>
        </row>
        <row r="20">
          <cell r="A20" t="str">
            <v>1985-215Abe1983OTC</v>
          </cell>
          <cell r="B20" t="str">
            <v>1985-215</v>
          </cell>
          <cell r="C20" t="str">
            <v>Kress</v>
          </cell>
          <cell r="D20" t="str">
            <v>North America</v>
          </cell>
          <cell r="E20" t="str">
            <v>wheat</v>
          </cell>
          <cell r="F20" t="str">
            <v>Abe</v>
          </cell>
          <cell r="G20">
            <v>1983</v>
          </cell>
          <cell r="H20" t="str">
            <v>OTC</v>
          </cell>
          <cell r="I20" t="str">
            <v>field</v>
          </cell>
          <cell r="J20" t="str">
            <v>EO3-2</v>
          </cell>
          <cell r="K20"/>
          <cell r="L20">
            <v>78</v>
          </cell>
          <cell r="M20">
            <v>7</v>
          </cell>
          <cell r="N20">
            <v>54</v>
          </cell>
          <cell r="O20">
            <v>4</v>
          </cell>
          <cell r="P20">
            <v>18.443321520960399</v>
          </cell>
          <cell r="Q20" t="str">
            <v>Total grain no. ear-1</v>
          </cell>
          <cell r="R20">
            <v>19.8</v>
          </cell>
          <cell r="S20" t="str">
            <v>20.3777623261972</v>
          </cell>
          <cell r="T20" t="str">
            <v>0.971647275829358</v>
          </cell>
          <cell r="U20">
            <v>0.93279730705291997</v>
          </cell>
        </row>
        <row r="21">
          <cell r="A21" t="str">
            <v>1985-215Abe1983OTC</v>
          </cell>
          <cell r="B21" t="str">
            <v>1985-215</v>
          </cell>
          <cell r="C21" t="str">
            <v>Kress</v>
          </cell>
          <cell r="D21" t="str">
            <v>North America</v>
          </cell>
          <cell r="E21" t="str">
            <v>wheat</v>
          </cell>
          <cell r="F21" t="str">
            <v>Abe</v>
          </cell>
          <cell r="G21">
            <v>1983</v>
          </cell>
          <cell r="H21" t="str">
            <v>OTC</v>
          </cell>
          <cell r="I21" t="str">
            <v>field</v>
          </cell>
          <cell r="J21" t="str">
            <v>EO3-3</v>
          </cell>
          <cell r="K21"/>
          <cell r="L21">
            <v>95</v>
          </cell>
          <cell r="M21">
            <v>7</v>
          </cell>
          <cell r="N21">
            <v>54</v>
          </cell>
          <cell r="O21">
            <v>4</v>
          </cell>
          <cell r="P21">
            <v>24.466415950252401</v>
          </cell>
          <cell r="Q21" t="str">
            <v>Total grain no. ear-1</v>
          </cell>
          <cell r="R21">
            <v>19.5</v>
          </cell>
          <cell r="S21" t="str">
            <v>20.3777623261972</v>
          </cell>
          <cell r="T21" t="str">
            <v>0.956925347407701</v>
          </cell>
          <cell r="U21">
            <v>0.91085070957248404</v>
          </cell>
        </row>
        <row r="22">
          <cell r="A22" t="str">
            <v>1985-215Arthur-711983OTC</v>
          </cell>
          <cell r="B22" t="str">
            <v>1985-215</v>
          </cell>
          <cell r="C22" t="str">
            <v>Kress</v>
          </cell>
          <cell r="D22" t="str">
            <v>North America</v>
          </cell>
          <cell r="E22" t="str">
            <v>wheat</v>
          </cell>
          <cell r="F22" t="str">
            <v>Arthur-71</v>
          </cell>
          <cell r="G22">
            <v>1983</v>
          </cell>
          <cell r="H22" t="str">
            <v>OTC</v>
          </cell>
          <cell r="I22" t="str">
            <v>field</v>
          </cell>
          <cell r="J22" t="str">
            <v>CF</v>
          </cell>
          <cell r="K22"/>
          <cell r="L22">
            <v>18</v>
          </cell>
          <cell r="M22">
            <v>7</v>
          </cell>
          <cell r="N22">
            <v>54</v>
          </cell>
          <cell r="O22">
            <v>4</v>
          </cell>
          <cell r="P22">
            <v>0.92844217674115304</v>
          </cell>
          <cell r="Q22" t="str">
            <v>Total grain no. ear-1</v>
          </cell>
          <cell r="R22">
            <v>20.2</v>
          </cell>
          <cell r="S22" t="str">
            <v>22.6192323160115</v>
          </cell>
          <cell r="T22" t="str">
            <v>0.89304521541734</v>
          </cell>
          <cell r="U22">
            <v>0.996616996793391</v>
          </cell>
        </row>
        <row r="23">
          <cell r="A23" t="str">
            <v>1985-215Arthur-711983OTC</v>
          </cell>
          <cell r="B23" t="str">
            <v>1985-215</v>
          </cell>
          <cell r="C23" t="str">
            <v>Kress</v>
          </cell>
          <cell r="D23" t="str">
            <v>North America</v>
          </cell>
          <cell r="E23" t="str">
            <v>wheat</v>
          </cell>
          <cell r="F23" t="str">
            <v>Arthur-71</v>
          </cell>
          <cell r="G23">
            <v>1983</v>
          </cell>
          <cell r="H23" t="str">
            <v>OTC</v>
          </cell>
          <cell r="I23" t="str">
            <v>field</v>
          </cell>
          <cell r="J23" t="str">
            <v>NF</v>
          </cell>
          <cell r="K23"/>
          <cell r="L23">
            <v>44</v>
          </cell>
          <cell r="M23">
            <v>7</v>
          </cell>
          <cell r="N23">
            <v>54</v>
          </cell>
          <cell r="O23">
            <v>4</v>
          </cell>
          <cell r="P23">
            <v>7.6334510419664303</v>
          </cell>
          <cell r="Q23" t="str">
            <v>Total grain no. ear-1</v>
          </cell>
          <cell r="R23">
            <v>22.6</v>
          </cell>
          <cell r="S23" t="str">
            <v>22.6192323160115</v>
          </cell>
          <cell r="T23" t="str">
            <v>0.999149597447123</v>
          </cell>
          <cell r="U23">
            <v>0.97218567856029003</v>
          </cell>
        </row>
        <row r="24">
          <cell r="A24" t="str">
            <v>1985-215Arthur-711983OTC</v>
          </cell>
          <cell r="B24" t="str">
            <v>1985-215</v>
          </cell>
          <cell r="C24" t="str">
            <v>Kress</v>
          </cell>
          <cell r="D24" t="str">
            <v>North America</v>
          </cell>
          <cell r="E24" t="str">
            <v>wheat</v>
          </cell>
          <cell r="F24" t="str">
            <v>Arthur-71</v>
          </cell>
          <cell r="G24">
            <v>1983</v>
          </cell>
          <cell r="H24" t="str">
            <v>OTC</v>
          </cell>
          <cell r="I24" t="str">
            <v>field</v>
          </cell>
          <cell r="J24" t="str">
            <v>EO3-1</v>
          </cell>
          <cell r="K24"/>
          <cell r="L24">
            <v>62</v>
          </cell>
          <cell r="M24">
            <v>7</v>
          </cell>
          <cell r="N24">
            <v>54</v>
          </cell>
          <cell r="O24">
            <v>4</v>
          </cell>
          <cell r="P24">
            <v>13.0387932804637</v>
          </cell>
          <cell r="Q24" t="str">
            <v>Total grain no. ear-1</v>
          </cell>
          <cell r="R24">
            <v>21.7</v>
          </cell>
          <cell r="S24" t="str">
            <v>22.6192323160115</v>
          </cell>
          <cell r="T24" t="str">
            <v>0.959360454185955</v>
          </cell>
          <cell r="U24">
            <v>0.95249000967947295</v>
          </cell>
        </row>
        <row r="25">
          <cell r="A25" t="str">
            <v>1985-215Arthur-711983OTC</v>
          </cell>
          <cell r="B25" t="str">
            <v>1985-215</v>
          </cell>
          <cell r="C25" t="str">
            <v>Kress</v>
          </cell>
          <cell r="D25" t="str">
            <v>North America</v>
          </cell>
          <cell r="E25" t="str">
            <v>wheat</v>
          </cell>
          <cell r="F25" t="str">
            <v>Arthur-71</v>
          </cell>
          <cell r="G25">
            <v>1983</v>
          </cell>
          <cell r="H25" t="str">
            <v>OTC</v>
          </cell>
          <cell r="I25" t="str">
            <v>field</v>
          </cell>
          <cell r="J25" t="str">
            <v>EO3-2</v>
          </cell>
          <cell r="K25"/>
          <cell r="L25">
            <v>78</v>
          </cell>
          <cell r="M25">
            <v>7</v>
          </cell>
          <cell r="N25">
            <v>54</v>
          </cell>
          <cell r="O25">
            <v>4</v>
          </cell>
          <cell r="P25">
            <v>18.443321520960399</v>
          </cell>
          <cell r="Q25" t="str">
            <v>Total grain no. ear-1</v>
          </cell>
          <cell r="R25">
            <v>21.4</v>
          </cell>
          <cell r="S25" t="str">
            <v>22.6192323160115</v>
          </cell>
          <cell r="T25" t="str">
            <v>0.946097406432232</v>
          </cell>
          <cell r="U25">
            <v>0.93279730705291997</v>
          </cell>
        </row>
        <row r="26">
          <cell r="A26" t="str">
            <v>1985-215Arthur-711983OTC</v>
          </cell>
          <cell r="B26" t="str">
            <v>1985-215</v>
          </cell>
          <cell r="C26" t="str">
            <v>Kress</v>
          </cell>
          <cell r="D26" t="str">
            <v>North America</v>
          </cell>
          <cell r="E26" t="str">
            <v>wheat</v>
          </cell>
          <cell r="F26" t="str">
            <v>Arthur-71</v>
          </cell>
          <cell r="G26">
            <v>1983</v>
          </cell>
          <cell r="H26" t="str">
            <v>OTC</v>
          </cell>
          <cell r="I26" t="str">
            <v>field</v>
          </cell>
          <cell r="J26" t="str">
            <v>EO3-3</v>
          </cell>
          <cell r="K26"/>
          <cell r="L26">
            <v>95</v>
          </cell>
          <cell r="M26">
            <v>7</v>
          </cell>
          <cell r="N26">
            <v>54</v>
          </cell>
          <cell r="O26">
            <v>4</v>
          </cell>
          <cell r="P26">
            <v>24.466415950252401</v>
          </cell>
          <cell r="Q26" t="str">
            <v>Total grain no. ear-1</v>
          </cell>
          <cell r="R26">
            <v>21.9</v>
          </cell>
          <cell r="S26" t="str">
            <v>22.6192323160115</v>
          </cell>
          <cell r="T26" t="str">
            <v>0.96820248602177</v>
          </cell>
          <cell r="U26">
            <v>0.91085070957248404</v>
          </cell>
        </row>
      </sheetData>
      <sheetData sheetId="2"/>
      <sheetData sheetId="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cell r="V1" t="str">
            <v>M12</v>
          </cell>
        </row>
        <row r="2">
          <cell r="A2" t="str">
            <v>1985-215Abe1982OTC</v>
          </cell>
          <cell r="B2" t="str">
            <v>1985-215</v>
          </cell>
          <cell r="C2" t="str">
            <v>Kress</v>
          </cell>
          <cell r="D2" t="str">
            <v>North America</v>
          </cell>
          <cell r="E2" t="str">
            <v>wheat</v>
          </cell>
          <cell r="F2" t="str">
            <v>Abe</v>
          </cell>
          <cell r="G2">
            <v>1982</v>
          </cell>
          <cell r="H2" t="str">
            <v>OTC</v>
          </cell>
          <cell r="I2" t="str">
            <v>field</v>
          </cell>
          <cell r="J2" t="str">
            <v>CF</v>
          </cell>
          <cell r="K2"/>
          <cell r="L2">
            <v>23</v>
          </cell>
          <cell r="M2">
            <v>7</v>
          </cell>
          <cell r="N2">
            <v>56</v>
          </cell>
          <cell r="O2">
            <v>4</v>
          </cell>
          <cell r="P2">
            <v>1.18114946986415</v>
          </cell>
          <cell r="Q2" t="str">
            <v>ears no. plant-1</v>
          </cell>
          <cell r="R2">
            <v>91</v>
          </cell>
          <cell r="S2" t="str">
            <v>96.2570188300116</v>
          </cell>
          <cell r="T2" t="str">
            <v>0.945385605185888</v>
          </cell>
          <cell r="U2">
            <v>0.99971825277322801</v>
          </cell>
          <cell r="V2">
            <v>29.5035290967799</v>
          </cell>
        </row>
        <row r="3">
          <cell r="A3" t="str">
            <v>1985-215Abe1982OTC</v>
          </cell>
          <cell r="B3" t="str">
            <v>1985-215</v>
          </cell>
          <cell r="C3" t="str">
            <v>Kress</v>
          </cell>
          <cell r="D3" t="str">
            <v>North America</v>
          </cell>
          <cell r="E3" t="str">
            <v>wheat</v>
          </cell>
          <cell r="F3" t="str">
            <v>Abe</v>
          </cell>
          <cell r="G3">
            <v>1982</v>
          </cell>
          <cell r="H3" t="str">
            <v>OTC</v>
          </cell>
          <cell r="I3" t="str">
            <v>field</v>
          </cell>
          <cell r="J3" t="str">
            <v>NF</v>
          </cell>
          <cell r="K3"/>
          <cell r="L3">
            <v>41</v>
          </cell>
          <cell r="M3">
            <v>7</v>
          </cell>
          <cell r="N3">
            <v>56</v>
          </cell>
          <cell r="O3">
            <v>4</v>
          </cell>
          <cell r="P3">
            <v>5.5357140123631297</v>
          </cell>
          <cell r="Q3" t="str">
            <v>ears no. plant-1</v>
          </cell>
          <cell r="R3">
            <v>101</v>
          </cell>
          <cell r="S3" t="str">
            <v>96.2570188300116</v>
          </cell>
          <cell r="T3" t="str">
            <v>1.04927413322829</v>
          </cell>
          <cell r="U3">
            <v>0.998679530312647</v>
          </cell>
          <cell r="V3">
            <v>40.594096823441198</v>
          </cell>
        </row>
        <row r="4">
          <cell r="A4" t="str">
            <v>1985-215Abe1982OTC</v>
          </cell>
          <cell r="B4" t="str">
            <v>1985-215</v>
          </cell>
          <cell r="C4" t="str">
            <v>Kress</v>
          </cell>
          <cell r="D4" t="str">
            <v>North America</v>
          </cell>
          <cell r="E4" t="str">
            <v>wheat</v>
          </cell>
          <cell r="F4" t="str">
            <v>Abe</v>
          </cell>
          <cell r="G4">
            <v>1982</v>
          </cell>
          <cell r="H4" t="str">
            <v>OTC</v>
          </cell>
          <cell r="I4" t="str">
            <v>field</v>
          </cell>
          <cell r="J4" t="str">
            <v>EO3-1</v>
          </cell>
          <cell r="K4"/>
          <cell r="L4">
            <v>68</v>
          </cell>
          <cell r="M4">
            <v>7</v>
          </cell>
          <cell r="N4">
            <v>56</v>
          </cell>
          <cell r="O4">
            <v>4</v>
          </cell>
          <cell r="P4">
            <v>13.533045231200999</v>
          </cell>
          <cell r="Q4" t="str">
            <v>ears no. plant-1</v>
          </cell>
          <cell r="R4">
            <v>89</v>
          </cell>
          <cell r="S4" t="str">
            <v>96.2570188300116</v>
          </cell>
          <cell r="T4" t="str">
            <v>0.924607899577407</v>
          </cell>
          <cell r="U4">
            <v>0.99677187514285204</v>
          </cell>
          <cell r="V4">
            <v>50.391534036943099</v>
          </cell>
        </row>
        <row r="5">
          <cell r="A5" t="str">
            <v>1985-215Abe1982OTC</v>
          </cell>
          <cell r="B5" t="str">
            <v>1985-215</v>
          </cell>
          <cell r="C5" t="str">
            <v>Kress</v>
          </cell>
          <cell r="D5" t="str">
            <v>North America</v>
          </cell>
          <cell r="E5" t="str">
            <v>wheat</v>
          </cell>
          <cell r="F5" t="str">
            <v>Abe</v>
          </cell>
          <cell r="G5">
            <v>1982</v>
          </cell>
          <cell r="H5" t="str">
            <v>OTC</v>
          </cell>
          <cell r="I5" t="str">
            <v>field</v>
          </cell>
          <cell r="J5" t="str">
            <v>EO3-2</v>
          </cell>
          <cell r="K5"/>
          <cell r="L5">
            <v>95</v>
          </cell>
          <cell r="M5">
            <v>7</v>
          </cell>
          <cell r="N5">
            <v>56</v>
          </cell>
          <cell r="O5">
            <v>4</v>
          </cell>
          <cell r="P5">
            <v>23.216148995419001</v>
          </cell>
          <cell r="Q5" t="str">
            <v>ears no. plant-1</v>
          </cell>
          <cell r="R5">
            <v>87</v>
          </cell>
          <cell r="S5" t="str">
            <v>96.2570188300116</v>
          </cell>
          <cell r="T5" t="str">
            <v>0.903830193968926</v>
          </cell>
          <cell r="U5">
            <v>0.99446210173844896</v>
          </cell>
          <cell r="V5">
            <v>60.191533747051601</v>
          </cell>
        </row>
        <row r="6">
          <cell r="A6" t="str">
            <v>1985-215Abe1982OTC</v>
          </cell>
          <cell r="B6" t="str">
            <v>1985-215</v>
          </cell>
          <cell r="C6" t="str">
            <v>Kress</v>
          </cell>
          <cell r="D6" t="str">
            <v>North America</v>
          </cell>
          <cell r="E6" t="str">
            <v>wheat</v>
          </cell>
          <cell r="F6" t="str">
            <v>Abe</v>
          </cell>
          <cell r="G6">
            <v>1982</v>
          </cell>
          <cell r="H6" t="str">
            <v>OTC</v>
          </cell>
          <cell r="I6" t="str">
            <v>field</v>
          </cell>
          <cell r="J6" t="str">
            <v>EO3-3</v>
          </cell>
          <cell r="K6"/>
          <cell r="L6">
            <v>122</v>
          </cell>
          <cell r="M6">
            <v>7</v>
          </cell>
          <cell r="N6">
            <v>56</v>
          </cell>
          <cell r="O6">
            <v>4</v>
          </cell>
          <cell r="P6">
            <v>33.3905050705403</v>
          </cell>
          <cell r="Q6" t="str">
            <v>ears no. plant-1</v>
          </cell>
          <cell r="R6">
            <v>114</v>
          </cell>
          <cell r="S6" t="str">
            <v>96.2570188300116</v>
          </cell>
          <cell r="T6" t="str">
            <v>1.18432921968342</v>
          </cell>
          <cell r="U6">
            <v>0.99203514674122095</v>
          </cell>
          <cell r="V6">
            <v>69.991509221278605</v>
          </cell>
        </row>
        <row r="7">
          <cell r="A7" t="str">
            <v>1985-215Arthur-711982OTC</v>
          </cell>
          <cell r="B7" t="str">
            <v>1985-215</v>
          </cell>
          <cell r="C7" t="str">
            <v>Kress</v>
          </cell>
          <cell r="D7" t="str">
            <v>North America</v>
          </cell>
          <cell r="E7" t="str">
            <v>wheat</v>
          </cell>
          <cell r="F7" t="str">
            <v>Arthur-71</v>
          </cell>
          <cell r="G7">
            <v>1982</v>
          </cell>
          <cell r="H7" t="str">
            <v>OTC</v>
          </cell>
          <cell r="I7" t="str">
            <v>field</v>
          </cell>
          <cell r="J7" t="str">
            <v>CF</v>
          </cell>
          <cell r="K7"/>
          <cell r="L7">
            <v>23</v>
          </cell>
          <cell r="M7">
            <v>7</v>
          </cell>
          <cell r="N7">
            <v>56</v>
          </cell>
          <cell r="O7">
            <v>4</v>
          </cell>
          <cell r="P7">
            <v>1.18114946986415</v>
          </cell>
          <cell r="Q7" t="str">
            <v>ears no. plant-1</v>
          </cell>
          <cell r="R7">
            <v>78</v>
          </cell>
          <cell r="S7" t="str">
            <v>83.0038871055339</v>
          </cell>
          <cell r="T7" t="str">
            <v>0.939715026849625</v>
          </cell>
          <cell r="U7">
            <v>0.99971825277322801</v>
          </cell>
          <cell r="V7">
            <v>29.5035290967799</v>
          </cell>
        </row>
        <row r="8">
          <cell r="A8" t="str">
            <v>1985-215Arthur-711982OTC</v>
          </cell>
          <cell r="B8" t="str">
            <v>1985-215</v>
          </cell>
          <cell r="C8" t="str">
            <v>Kress</v>
          </cell>
          <cell r="D8" t="str">
            <v>North America</v>
          </cell>
          <cell r="E8" t="str">
            <v>wheat</v>
          </cell>
          <cell r="F8" t="str">
            <v>Arthur-71</v>
          </cell>
          <cell r="G8">
            <v>1982</v>
          </cell>
          <cell r="H8" t="str">
            <v>OTC</v>
          </cell>
          <cell r="I8" t="str">
            <v>field</v>
          </cell>
          <cell r="J8" t="str">
            <v>NF</v>
          </cell>
          <cell r="K8"/>
          <cell r="L8">
            <v>41</v>
          </cell>
          <cell r="M8">
            <v>7</v>
          </cell>
          <cell r="N8">
            <v>56</v>
          </cell>
          <cell r="O8">
            <v>4</v>
          </cell>
          <cell r="P8">
            <v>5.5357140123631297</v>
          </cell>
          <cell r="Q8" t="str">
            <v>ears no. plant-1</v>
          </cell>
          <cell r="R8">
            <v>87</v>
          </cell>
          <cell r="S8" t="str">
            <v>83.0038871055339</v>
          </cell>
          <cell r="T8" t="str">
            <v>1.04814368379381</v>
          </cell>
          <cell r="U8">
            <v>0.998679530312647</v>
          </cell>
          <cell r="V8">
            <v>40.594096823441198</v>
          </cell>
        </row>
        <row r="9">
          <cell r="A9" t="str">
            <v>1985-215Arthur-711982OTC</v>
          </cell>
          <cell r="B9" t="str">
            <v>1985-215</v>
          </cell>
          <cell r="C9" t="str">
            <v>Kress</v>
          </cell>
          <cell r="D9" t="str">
            <v>North America</v>
          </cell>
          <cell r="E9" t="str">
            <v>wheat</v>
          </cell>
          <cell r="F9" t="str">
            <v>Arthur-71</v>
          </cell>
          <cell r="G9">
            <v>1982</v>
          </cell>
          <cell r="H9" t="str">
            <v>OTC</v>
          </cell>
          <cell r="I9" t="str">
            <v>field</v>
          </cell>
          <cell r="J9" t="str">
            <v>EO3-1</v>
          </cell>
          <cell r="K9"/>
          <cell r="L9">
            <v>68</v>
          </cell>
          <cell r="M9">
            <v>7</v>
          </cell>
          <cell r="N9">
            <v>56</v>
          </cell>
          <cell r="O9">
            <v>4</v>
          </cell>
          <cell r="P9">
            <v>13.533045231200999</v>
          </cell>
          <cell r="Q9" t="str">
            <v>ears no. plant-1</v>
          </cell>
          <cell r="R9">
            <v>78</v>
          </cell>
          <cell r="S9" t="str">
            <v>83.0038871055339</v>
          </cell>
          <cell r="T9" t="str">
            <v>0.939715026849625</v>
          </cell>
          <cell r="U9">
            <v>0.99677187514285204</v>
          </cell>
          <cell r="V9">
            <v>50.391534036943099</v>
          </cell>
        </row>
        <row r="10">
          <cell r="A10" t="str">
            <v>1985-215Arthur-711982OTC</v>
          </cell>
          <cell r="B10" t="str">
            <v>1985-215</v>
          </cell>
          <cell r="C10" t="str">
            <v>Kress</v>
          </cell>
          <cell r="D10" t="str">
            <v>North America</v>
          </cell>
          <cell r="E10" t="str">
            <v>wheat</v>
          </cell>
          <cell r="F10" t="str">
            <v>Arthur-71</v>
          </cell>
          <cell r="G10">
            <v>1982</v>
          </cell>
          <cell r="H10" t="str">
            <v>OTC</v>
          </cell>
          <cell r="I10" t="str">
            <v>field</v>
          </cell>
          <cell r="J10" t="str">
            <v>EO3-2</v>
          </cell>
          <cell r="K10"/>
          <cell r="L10">
            <v>95</v>
          </cell>
          <cell r="M10">
            <v>7</v>
          </cell>
          <cell r="N10">
            <v>56</v>
          </cell>
          <cell r="O10">
            <v>4</v>
          </cell>
          <cell r="P10">
            <v>23.216148995419001</v>
          </cell>
          <cell r="Q10" t="str">
            <v>ears no. plant-1</v>
          </cell>
          <cell r="R10">
            <v>87</v>
          </cell>
          <cell r="S10" t="str">
            <v>83.0038871055339</v>
          </cell>
          <cell r="T10" t="str">
            <v>1.04814368379381</v>
          </cell>
          <cell r="U10">
            <v>0.99446210173844896</v>
          </cell>
          <cell r="V10">
            <v>60.191533747051601</v>
          </cell>
        </row>
        <row r="11">
          <cell r="A11" t="str">
            <v>1985-215Arthur-711982OTC</v>
          </cell>
          <cell r="B11" t="str">
            <v>1985-215</v>
          </cell>
          <cell r="C11" t="str">
            <v>Kress</v>
          </cell>
          <cell r="D11" t="str">
            <v>North America</v>
          </cell>
          <cell r="E11" t="str">
            <v>wheat</v>
          </cell>
          <cell r="F11" t="str">
            <v>Arthur-71</v>
          </cell>
          <cell r="G11">
            <v>1982</v>
          </cell>
          <cell r="H11" t="str">
            <v>OTC</v>
          </cell>
          <cell r="I11" t="str">
            <v>field</v>
          </cell>
          <cell r="J11" t="str">
            <v>EO3-3</v>
          </cell>
          <cell r="K11"/>
          <cell r="L11">
            <v>122</v>
          </cell>
          <cell r="M11">
            <v>7</v>
          </cell>
          <cell r="N11">
            <v>56</v>
          </cell>
          <cell r="O11">
            <v>4</v>
          </cell>
          <cell r="P11">
            <v>33.3905050705403</v>
          </cell>
          <cell r="Q11" t="str">
            <v>ears no. plant-1</v>
          </cell>
          <cell r="R11">
            <v>84</v>
          </cell>
          <cell r="S11" t="str">
            <v>83.0038871055339</v>
          </cell>
          <cell r="T11" t="str">
            <v>1.01200079814575</v>
          </cell>
          <cell r="U11">
            <v>0.99203514674122095</v>
          </cell>
          <cell r="V11">
            <v>69.991509221278605</v>
          </cell>
        </row>
        <row r="12">
          <cell r="A12" t="str">
            <v>1985-215Roland1982OTC</v>
          </cell>
          <cell r="B12" t="str">
            <v>1985-215</v>
          </cell>
          <cell r="C12" t="str">
            <v>Kress</v>
          </cell>
          <cell r="D12" t="str">
            <v>North America</v>
          </cell>
          <cell r="E12" t="str">
            <v>wheat</v>
          </cell>
          <cell r="F12" t="str">
            <v>Roland</v>
          </cell>
          <cell r="G12">
            <v>1982</v>
          </cell>
          <cell r="H12" t="str">
            <v>OTC</v>
          </cell>
          <cell r="I12" t="str">
            <v>field</v>
          </cell>
          <cell r="J12" t="str">
            <v>CF</v>
          </cell>
          <cell r="K12"/>
          <cell r="L12">
            <v>23</v>
          </cell>
          <cell r="M12">
            <v>7</v>
          </cell>
          <cell r="N12">
            <v>56</v>
          </cell>
          <cell r="O12">
            <v>4</v>
          </cell>
          <cell r="P12">
            <v>1.18114946986415</v>
          </cell>
          <cell r="Q12" t="str">
            <v>ears no. plant-1</v>
          </cell>
          <cell r="R12">
            <v>82</v>
          </cell>
          <cell r="S12" t="str">
            <v>79.9087066660627</v>
          </cell>
          <cell r="T12" t="str">
            <v>1.02617103218397</v>
          </cell>
          <cell r="U12">
            <v>0.99971825277322801</v>
          </cell>
          <cell r="V12">
            <v>29.5035290967799</v>
          </cell>
        </row>
        <row r="13">
          <cell r="A13" t="str">
            <v>1985-215Roland1982OTC</v>
          </cell>
          <cell r="B13" t="str">
            <v>1985-215</v>
          </cell>
          <cell r="C13" t="str">
            <v>Kress</v>
          </cell>
          <cell r="D13" t="str">
            <v>North America</v>
          </cell>
          <cell r="E13" t="str">
            <v>wheat</v>
          </cell>
          <cell r="F13" t="str">
            <v>Roland</v>
          </cell>
          <cell r="G13">
            <v>1982</v>
          </cell>
          <cell r="H13" t="str">
            <v>OTC</v>
          </cell>
          <cell r="I13" t="str">
            <v>field</v>
          </cell>
          <cell r="J13" t="str">
            <v>NF</v>
          </cell>
          <cell r="K13"/>
          <cell r="L13">
            <v>41</v>
          </cell>
          <cell r="M13">
            <v>7</v>
          </cell>
          <cell r="N13">
            <v>56</v>
          </cell>
          <cell r="O13">
            <v>4</v>
          </cell>
          <cell r="P13">
            <v>5.5357140123631297</v>
          </cell>
          <cell r="Q13" t="str">
            <v>ears no. plant-1</v>
          </cell>
          <cell r="R13">
            <v>75</v>
          </cell>
          <cell r="S13" t="str">
            <v>79.9087066660627</v>
          </cell>
          <cell r="T13" t="str">
            <v>0.938571066021928</v>
          </cell>
          <cell r="U13">
            <v>0.998679530312647</v>
          </cell>
          <cell r="V13">
            <v>40.594096823441198</v>
          </cell>
        </row>
        <row r="14">
          <cell r="A14" t="str">
            <v>1985-215Roland1982OTC</v>
          </cell>
          <cell r="B14" t="str">
            <v>1985-215</v>
          </cell>
          <cell r="C14" t="str">
            <v>Kress</v>
          </cell>
          <cell r="D14" t="str">
            <v>North America</v>
          </cell>
          <cell r="E14" t="str">
            <v>wheat</v>
          </cell>
          <cell r="F14" t="str">
            <v>Roland</v>
          </cell>
          <cell r="G14">
            <v>1982</v>
          </cell>
          <cell r="H14" t="str">
            <v>OTC</v>
          </cell>
          <cell r="I14" t="str">
            <v>field</v>
          </cell>
          <cell r="J14" t="str">
            <v>EO3-1</v>
          </cell>
          <cell r="K14"/>
          <cell r="L14">
            <v>68</v>
          </cell>
          <cell r="M14">
            <v>7</v>
          </cell>
          <cell r="N14">
            <v>56</v>
          </cell>
          <cell r="O14">
            <v>4</v>
          </cell>
          <cell r="P14">
            <v>13.533045231200999</v>
          </cell>
          <cell r="Q14" t="str">
            <v>ears no. plant-1</v>
          </cell>
          <cell r="R14">
            <v>84</v>
          </cell>
          <cell r="S14" t="str">
            <v>79.9087066660627</v>
          </cell>
          <cell r="T14" t="str">
            <v>1.05119959394456</v>
          </cell>
          <cell r="U14">
            <v>0.99677187514285204</v>
          </cell>
          <cell r="V14">
            <v>50.391534036943099</v>
          </cell>
        </row>
        <row r="15">
          <cell r="A15" t="str">
            <v>1985-215Roland1982OTC</v>
          </cell>
          <cell r="B15" t="str">
            <v>1985-215</v>
          </cell>
          <cell r="C15" t="str">
            <v>Kress</v>
          </cell>
          <cell r="D15" t="str">
            <v>North America</v>
          </cell>
          <cell r="E15" t="str">
            <v>wheat</v>
          </cell>
          <cell r="F15" t="str">
            <v>Roland</v>
          </cell>
          <cell r="G15">
            <v>1982</v>
          </cell>
          <cell r="H15" t="str">
            <v>OTC</v>
          </cell>
          <cell r="I15" t="str">
            <v>field</v>
          </cell>
          <cell r="J15" t="str">
            <v>EO3-2</v>
          </cell>
          <cell r="K15"/>
          <cell r="L15">
            <v>95</v>
          </cell>
          <cell r="M15">
            <v>7</v>
          </cell>
          <cell r="N15">
            <v>56</v>
          </cell>
          <cell r="O15">
            <v>4</v>
          </cell>
          <cell r="P15">
            <v>23.216148995419001</v>
          </cell>
          <cell r="Q15" t="str">
            <v>ears no. plant-1</v>
          </cell>
          <cell r="R15">
            <v>86</v>
          </cell>
          <cell r="S15" t="str">
            <v>79.9087066660627</v>
          </cell>
          <cell r="T15" t="str">
            <v>1.07622815570514</v>
          </cell>
          <cell r="U15">
            <v>0.99446210173844896</v>
          </cell>
          <cell r="V15">
            <v>60.191533747051601</v>
          </cell>
        </row>
        <row r="16">
          <cell r="A16" t="str">
            <v>1985-215Roland1982OTC</v>
          </cell>
          <cell r="B16" t="str">
            <v>1985-215</v>
          </cell>
          <cell r="C16" t="str">
            <v>Kress</v>
          </cell>
          <cell r="D16" t="str">
            <v>North America</v>
          </cell>
          <cell r="E16" t="str">
            <v>wheat</v>
          </cell>
          <cell r="F16" t="str">
            <v>Roland</v>
          </cell>
          <cell r="G16">
            <v>1982</v>
          </cell>
          <cell r="H16" t="str">
            <v>OTC</v>
          </cell>
          <cell r="I16" t="str">
            <v>field</v>
          </cell>
          <cell r="J16" t="str">
            <v>EO3-3</v>
          </cell>
          <cell r="K16"/>
          <cell r="L16">
            <v>122</v>
          </cell>
          <cell r="M16">
            <v>7</v>
          </cell>
          <cell r="N16">
            <v>56</v>
          </cell>
          <cell r="O16">
            <v>4</v>
          </cell>
          <cell r="P16">
            <v>33.3905050705403</v>
          </cell>
          <cell r="Q16" t="str">
            <v>ears no. plant-1</v>
          </cell>
          <cell r="R16">
            <v>72</v>
          </cell>
          <cell r="S16" t="str">
            <v>79.9087066660627</v>
          </cell>
          <cell r="T16" t="str">
            <v>0.901028223381051</v>
          </cell>
          <cell r="U16">
            <v>0.99203514674122095</v>
          </cell>
          <cell r="V16">
            <v>69.991509221278605</v>
          </cell>
        </row>
        <row r="17">
          <cell r="A17" t="str">
            <v>1985-215Abe1983OTC</v>
          </cell>
          <cell r="B17" t="str">
            <v>1985-215</v>
          </cell>
          <cell r="C17" t="str">
            <v>Kress</v>
          </cell>
          <cell r="D17" t="str">
            <v>North America</v>
          </cell>
          <cell r="E17" t="str">
            <v>wheat</v>
          </cell>
          <cell r="F17" t="str">
            <v>Abe</v>
          </cell>
          <cell r="G17">
            <v>1983</v>
          </cell>
          <cell r="H17" t="str">
            <v>OTC</v>
          </cell>
          <cell r="I17" t="str">
            <v>field</v>
          </cell>
          <cell r="J17" t="str">
            <v>CF</v>
          </cell>
          <cell r="K17"/>
          <cell r="L17">
            <v>18</v>
          </cell>
          <cell r="M17">
            <v>7</v>
          </cell>
          <cell r="N17">
            <v>54</v>
          </cell>
          <cell r="O17">
            <v>4</v>
          </cell>
          <cell r="P17">
            <v>0.92844217674115304</v>
          </cell>
          <cell r="Q17" t="str">
            <v>ears no. plant-1</v>
          </cell>
          <cell r="R17">
            <v>167</v>
          </cell>
          <cell r="S17" t="str">
            <v>166.237300019002</v>
          </cell>
          <cell r="T17" t="str">
            <v>1.00458801954141</v>
          </cell>
          <cell r="U17">
            <v>0.999778532679234</v>
          </cell>
          <cell r="V17">
            <v>28.117742929885601</v>
          </cell>
        </row>
        <row r="18">
          <cell r="A18" t="str">
            <v>1985-215Abe1983OTC</v>
          </cell>
          <cell r="B18" t="str">
            <v>1985-215</v>
          </cell>
          <cell r="C18" t="str">
            <v>Kress</v>
          </cell>
          <cell r="D18" t="str">
            <v>North America</v>
          </cell>
          <cell r="E18" t="str">
            <v>wheat</v>
          </cell>
          <cell r="F18" t="str">
            <v>Abe</v>
          </cell>
          <cell r="G18">
            <v>1983</v>
          </cell>
          <cell r="H18" t="str">
            <v>OTC</v>
          </cell>
          <cell r="I18" t="str">
            <v>field</v>
          </cell>
          <cell r="J18" t="str">
            <v>NF</v>
          </cell>
          <cell r="K18"/>
          <cell r="L18">
            <v>44</v>
          </cell>
          <cell r="M18">
            <v>7</v>
          </cell>
          <cell r="N18">
            <v>54</v>
          </cell>
          <cell r="O18">
            <v>4</v>
          </cell>
          <cell r="P18">
            <v>7.6334510419664303</v>
          </cell>
          <cell r="Q18" t="str">
            <v>ears no. plant-1</v>
          </cell>
          <cell r="R18">
            <v>196</v>
          </cell>
          <cell r="S18" t="str">
            <v>166.237300019002</v>
          </cell>
          <cell r="T18" t="str">
            <v>1.17903743610848</v>
          </cell>
          <cell r="U18">
            <v>0.99817914352361903</v>
          </cell>
          <cell r="V18">
            <v>43.564356970912499</v>
          </cell>
        </row>
        <row r="19">
          <cell r="A19" t="str">
            <v>1985-215Abe1983OTC</v>
          </cell>
          <cell r="B19" t="str">
            <v>1985-215</v>
          </cell>
          <cell r="C19" t="str">
            <v>Kress</v>
          </cell>
          <cell r="D19" t="str">
            <v>North America</v>
          </cell>
          <cell r="E19" t="str">
            <v>wheat</v>
          </cell>
          <cell r="F19" t="str">
            <v>Abe</v>
          </cell>
          <cell r="G19">
            <v>1983</v>
          </cell>
          <cell r="H19" t="str">
            <v>OTC</v>
          </cell>
          <cell r="I19" t="str">
            <v>field</v>
          </cell>
          <cell r="J19" t="str">
            <v>EO3-1</v>
          </cell>
          <cell r="K19"/>
          <cell r="L19">
            <v>62</v>
          </cell>
          <cell r="M19">
            <v>7</v>
          </cell>
          <cell r="N19">
            <v>54</v>
          </cell>
          <cell r="O19">
            <v>4</v>
          </cell>
          <cell r="P19">
            <v>13.0387932804637</v>
          </cell>
          <cell r="Q19" t="str">
            <v>ears no. plant-1</v>
          </cell>
          <cell r="R19">
            <v>154</v>
          </cell>
          <cell r="S19" t="str">
            <v>166.237300019002</v>
          </cell>
          <cell r="T19" t="str">
            <v>0.926386556942375</v>
          </cell>
          <cell r="U19">
            <v>0.99688977225917796</v>
          </cell>
          <cell r="V19">
            <v>49.861743068072002</v>
          </cell>
        </row>
        <row r="20">
          <cell r="A20" t="str">
            <v>1985-215Abe1983OTC</v>
          </cell>
          <cell r="B20" t="str">
            <v>1985-215</v>
          </cell>
          <cell r="C20" t="str">
            <v>Kress</v>
          </cell>
          <cell r="D20" t="str">
            <v>North America</v>
          </cell>
          <cell r="E20" t="str">
            <v>wheat</v>
          </cell>
          <cell r="F20" t="str">
            <v>Abe</v>
          </cell>
          <cell r="G20">
            <v>1983</v>
          </cell>
          <cell r="H20" t="str">
            <v>OTC</v>
          </cell>
          <cell r="I20" t="str">
            <v>field</v>
          </cell>
          <cell r="J20" t="str">
            <v>EO3-2</v>
          </cell>
          <cell r="K20"/>
          <cell r="L20">
            <v>78</v>
          </cell>
          <cell r="M20">
            <v>7</v>
          </cell>
          <cell r="N20">
            <v>54</v>
          </cell>
          <cell r="O20">
            <v>4</v>
          </cell>
          <cell r="P20">
            <v>18.443321520960399</v>
          </cell>
          <cell r="Q20" t="str">
            <v>ears no. plant-1</v>
          </cell>
          <cell r="R20">
            <v>160</v>
          </cell>
          <cell r="S20" t="str">
            <v>166.237300019002</v>
          </cell>
          <cell r="T20" t="str">
            <v>0.962479539680389</v>
          </cell>
          <cell r="U20">
            <v>0.99560059516294797</v>
          </cell>
          <cell r="V20">
            <v>55.4617428794541</v>
          </cell>
        </row>
        <row r="21">
          <cell r="A21" t="str">
            <v>1985-215Abe1983OTC</v>
          </cell>
          <cell r="B21" t="str">
            <v>1985-215</v>
          </cell>
          <cell r="C21" t="str">
            <v>Kress</v>
          </cell>
          <cell r="D21" t="str">
            <v>North America</v>
          </cell>
          <cell r="E21" t="str">
            <v>wheat</v>
          </cell>
          <cell r="F21" t="str">
            <v>Abe</v>
          </cell>
          <cell r="G21">
            <v>1983</v>
          </cell>
          <cell r="H21" t="str">
            <v>OTC</v>
          </cell>
          <cell r="I21" t="str">
            <v>field</v>
          </cell>
          <cell r="J21" t="str">
            <v>EO3-3</v>
          </cell>
          <cell r="K21"/>
          <cell r="L21">
            <v>95</v>
          </cell>
          <cell r="M21">
            <v>7</v>
          </cell>
          <cell r="N21">
            <v>54</v>
          </cell>
          <cell r="O21">
            <v>4</v>
          </cell>
          <cell r="P21">
            <v>24.466415950252401</v>
          </cell>
          <cell r="Q21" t="str">
            <v>ears no. plant-1</v>
          </cell>
          <cell r="R21">
            <v>155</v>
          </cell>
          <cell r="S21" t="str">
            <v>166.237300019002</v>
          </cell>
          <cell r="T21" t="str">
            <v>0.932402054065377</v>
          </cell>
          <cell r="U21">
            <v>0.99416386747069796</v>
          </cell>
          <cell r="V21">
            <v>61.411742750904303</v>
          </cell>
        </row>
        <row r="22">
          <cell r="A22" t="str">
            <v>1985-215Arthur-711983OTC</v>
          </cell>
          <cell r="B22" t="str">
            <v>1985-215</v>
          </cell>
          <cell r="C22" t="str">
            <v>Kress</v>
          </cell>
          <cell r="D22" t="str">
            <v>North America</v>
          </cell>
          <cell r="E22" t="str">
            <v>wheat</v>
          </cell>
          <cell r="F22" t="str">
            <v>Arthur-71</v>
          </cell>
          <cell r="G22">
            <v>1983</v>
          </cell>
          <cell r="H22" t="str">
            <v>OTC</v>
          </cell>
          <cell r="I22" t="str">
            <v>field</v>
          </cell>
          <cell r="J22" t="str">
            <v>CF</v>
          </cell>
          <cell r="K22"/>
          <cell r="L22">
            <v>18</v>
          </cell>
          <cell r="M22">
            <v>7</v>
          </cell>
          <cell r="N22">
            <v>54</v>
          </cell>
          <cell r="O22">
            <v>4</v>
          </cell>
          <cell r="P22">
            <v>0.92844217674115304</v>
          </cell>
          <cell r="Q22" t="str">
            <v>ears no. plant-1</v>
          </cell>
          <cell r="R22">
            <v>160</v>
          </cell>
          <cell r="S22" t="str">
            <v>146.710945965921</v>
          </cell>
          <cell r="T22" t="str">
            <v>1.09057984015157</v>
          </cell>
          <cell r="U22">
            <v>0.999778532679234</v>
          </cell>
          <cell r="V22">
            <v>28.117742929885601</v>
          </cell>
        </row>
        <row r="23">
          <cell r="A23" t="str">
            <v>1985-215Arthur-711983OTC</v>
          </cell>
          <cell r="B23" t="str">
            <v>1985-215</v>
          </cell>
          <cell r="C23" t="str">
            <v>Kress</v>
          </cell>
          <cell r="D23" t="str">
            <v>North America</v>
          </cell>
          <cell r="E23" t="str">
            <v>wheat</v>
          </cell>
          <cell r="F23" t="str">
            <v>Arthur-71</v>
          </cell>
          <cell r="G23">
            <v>1983</v>
          </cell>
          <cell r="H23" t="str">
            <v>OTC</v>
          </cell>
          <cell r="I23" t="str">
            <v>field</v>
          </cell>
          <cell r="J23" t="str">
            <v>NF</v>
          </cell>
          <cell r="K23"/>
          <cell r="L23">
            <v>44</v>
          </cell>
          <cell r="M23">
            <v>7</v>
          </cell>
          <cell r="N23">
            <v>54</v>
          </cell>
          <cell r="O23">
            <v>4</v>
          </cell>
          <cell r="P23">
            <v>7.6334510419664303</v>
          </cell>
          <cell r="Q23" t="str">
            <v>ears no. plant-1</v>
          </cell>
          <cell r="R23">
            <v>143</v>
          </cell>
          <cell r="S23" t="str">
            <v>146.710945965921</v>
          </cell>
          <cell r="T23" t="str">
            <v>0.974705732135465</v>
          </cell>
          <cell r="U23">
            <v>0.99817914352361903</v>
          </cell>
          <cell r="V23">
            <v>43.564356970912499</v>
          </cell>
        </row>
        <row r="24">
          <cell r="A24" t="str">
            <v>1985-215Arthur-711983OTC</v>
          </cell>
          <cell r="B24" t="str">
            <v>1985-215</v>
          </cell>
          <cell r="C24" t="str">
            <v>Kress</v>
          </cell>
          <cell r="D24" t="str">
            <v>North America</v>
          </cell>
          <cell r="E24" t="str">
            <v>wheat</v>
          </cell>
          <cell r="F24" t="str">
            <v>Arthur-71</v>
          </cell>
          <cell r="G24">
            <v>1983</v>
          </cell>
          <cell r="H24" t="str">
            <v>OTC</v>
          </cell>
          <cell r="I24" t="str">
            <v>field</v>
          </cell>
          <cell r="J24" t="str">
            <v>EO3-1</v>
          </cell>
          <cell r="K24"/>
          <cell r="L24">
            <v>62</v>
          </cell>
          <cell r="M24">
            <v>7</v>
          </cell>
          <cell r="N24">
            <v>54</v>
          </cell>
          <cell r="O24">
            <v>4</v>
          </cell>
          <cell r="P24">
            <v>13.0387932804637</v>
          </cell>
          <cell r="Q24" t="str">
            <v>ears no. plant-1</v>
          </cell>
          <cell r="R24">
            <v>137</v>
          </cell>
          <cell r="S24" t="str">
            <v>146.710945965921</v>
          </cell>
          <cell r="T24" t="str">
            <v>0.933808988129781</v>
          </cell>
          <cell r="U24">
            <v>0.99688977225917796</v>
          </cell>
          <cell r="V24">
            <v>49.861743068072002</v>
          </cell>
        </row>
        <row r="25">
          <cell r="A25" t="str">
            <v>1985-215Arthur-711983OTC</v>
          </cell>
          <cell r="B25" t="str">
            <v>1985-215</v>
          </cell>
          <cell r="C25" t="str">
            <v>Kress</v>
          </cell>
          <cell r="D25" t="str">
            <v>North America</v>
          </cell>
          <cell r="E25" t="str">
            <v>wheat</v>
          </cell>
          <cell r="F25" t="str">
            <v>Arthur-71</v>
          </cell>
          <cell r="G25">
            <v>1983</v>
          </cell>
          <cell r="H25" t="str">
            <v>OTC</v>
          </cell>
          <cell r="I25" t="str">
            <v>field</v>
          </cell>
          <cell r="J25" t="str">
            <v>EO3-2</v>
          </cell>
          <cell r="K25"/>
          <cell r="L25">
            <v>78</v>
          </cell>
          <cell r="M25">
            <v>7</v>
          </cell>
          <cell r="N25">
            <v>54</v>
          </cell>
          <cell r="O25">
            <v>4</v>
          </cell>
          <cell r="P25">
            <v>18.443321520960399</v>
          </cell>
          <cell r="Q25" t="str">
            <v>ears no. plant-1</v>
          </cell>
          <cell r="R25">
            <v>157</v>
          </cell>
          <cell r="S25" t="str">
            <v>146.710945965921</v>
          </cell>
          <cell r="T25" t="str">
            <v>1.07013146814873</v>
          </cell>
          <cell r="U25">
            <v>0.99560059516294797</v>
          </cell>
          <cell r="V25">
            <v>55.4617428794541</v>
          </cell>
        </row>
        <row r="26">
          <cell r="A26" t="str">
            <v>1985-215Arthur-711983OTC</v>
          </cell>
          <cell r="B26" t="str">
            <v>1985-215</v>
          </cell>
          <cell r="C26" t="str">
            <v>Kress</v>
          </cell>
          <cell r="D26" t="str">
            <v>North America</v>
          </cell>
          <cell r="E26" t="str">
            <v>wheat</v>
          </cell>
          <cell r="F26" t="str">
            <v>Arthur-71</v>
          </cell>
          <cell r="G26">
            <v>1983</v>
          </cell>
          <cell r="H26" t="str">
            <v>OTC</v>
          </cell>
          <cell r="I26" t="str">
            <v>field</v>
          </cell>
          <cell r="J26" t="str">
            <v>EO3-3</v>
          </cell>
          <cell r="K26"/>
          <cell r="L26">
            <v>95</v>
          </cell>
          <cell r="M26">
            <v>7</v>
          </cell>
          <cell r="N26">
            <v>54</v>
          </cell>
          <cell r="O26">
            <v>4</v>
          </cell>
          <cell r="P26">
            <v>24.466415950252401</v>
          </cell>
          <cell r="Q26" t="str">
            <v>ears no. plant-1</v>
          </cell>
          <cell r="R26">
            <v>136</v>
          </cell>
          <cell r="S26" t="str">
            <v>146.710945965921</v>
          </cell>
          <cell r="T26" t="str">
            <v>0.926992864128834</v>
          </cell>
          <cell r="U26">
            <v>0.99416386747069796</v>
          </cell>
          <cell r="V26">
            <v>61.411742750904303</v>
          </cell>
        </row>
      </sheetData>
      <sheetData sheetId="2"/>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row>
        <row r="2">
          <cell r="A2" t="str">
            <v>Heagle1979combined cultivars1977OTC</v>
          </cell>
          <cell r="B2" t="str">
            <v>Heagle1979</v>
          </cell>
          <cell r="C2" t="str">
            <v>Heagle</v>
          </cell>
          <cell r="D2" t="str">
            <v>North America</v>
          </cell>
          <cell r="E2" t="str">
            <v>soft  red wheat</v>
          </cell>
          <cell r="F2" t="str">
            <v>combined cultivars</v>
          </cell>
          <cell r="G2">
            <v>1977</v>
          </cell>
          <cell r="H2" t="str">
            <v>OTC</v>
          </cell>
          <cell r="I2" t="str">
            <v>field</v>
          </cell>
          <cell r="J2" t="str">
            <v>CF</v>
          </cell>
          <cell r="K2"/>
          <cell r="L2">
            <v>30</v>
          </cell>
          <cell r="M2">
            <v>7</v>
          </cell>
          <cell r="N2">
            <v>53</v>
          </cell>
          <cell r="O2">
            <v>4</v>
          </cell>
          <cell r="P2">
            <v>6.4205589999999999</v>
          </cell>
          <cell r="Q2" t="str">
            <v>Total grain no.</v>
          </cell>
          <cell r="R2">
            <v>145.55873925501399</v>
          </cell>
          <cell r="S2" t="str">
            <v>150.16026777209</v>
          </cell>
          <cell r="T2" t="str">
            <v>0.969355849944589</v>
          </cell>
          <cell r="U2">
            <v>0.97216914411177802</v>
          </cell>
        </row>
        <row r="3">
          <cell r="A3" t="str">
            <v>Heagle1979combined cultivars1977OTC</v>
          </cell>
          <cell r="B3" t="str">
            <v>Heagle1979</v>
          </cell>
          <cell r="C3" t="str">
            <v>Heagle</v>
          </cell>
          <cell r="D3" t="str">
            <v>North America</v>
          </cell>
          <cell r="E3" t="str">
            <v>soft  red wheat</v>
          </cell>
          <cell r="F3" t="str">
            <v>combined cultivars</v>
          </cell>
          <cell r="G3">
            <v>1977</v>
          </cell>
          <cell r="H3" t="str">
            <v>OTC</v>
          </cell>
          <cell r="I3" t="str">
            <v>field</v>
          </cell>
          <cell r="J3" t="str">
            <v>NF</v>
          </cell>
          <cell r="K3"/>
          <cell r="L3">
            <v>60</v>
          </cell>
          <cell r="M3">
            <v>7</v>
          </cell>
          <cell r="N3">
            <v>53</v>
          </cell>
          <cell r="O3">
            <v>4</v>
          </cell>
          <cell r="P3">
            <v>22.414709999999999</v>
          </cell>
          <cell r="Q3" t="str">
            <v>Total grain no.</v>
          </cell>
          <cell r="R3">
            <v>139.20454545454501</v>
          </cell>
          <cell r="S3" t="str">
            <v>150.16026777209</v>
          </cell>
          <cell r="T3" t="str">
            <v>0.927039772162581</v>
          </cell>
          <cell r="U3">
            <v>0.90284014777059196</v>
          </cell>
        </row>
        <row r="4">
          <cell r="A4" t="str">
            <v>Heagle1979combined cultivars1977OTC</v>
          </cell>
          <cell r="B4" t="str">
            <v>Heagle1979</v>
          </cell>
          <cell r="C4" t="str">
            <v>Heagle</v>
          </cell>
          <cell r="D4" t="str">
            <v>North America</v>
          </cell>
          <cell r="E4" t="str">
            <v>soft  red wheat</v>
          </cell>
          <cell r="F4" t="str">
            <v>combined cultivars</v>
          </cell>
          <cell r="G4">
            <v>1977</v>
          </cell>
          <cell r="H4" t="str">
            <v>OTC</v>
          </cell>
          <cell r="I4" t="str">
            <v>field</v>
          </cell>
          <cell r="J4" t="str">
            <v>EO3-2</v>
          </cell>
          <cell r="K4"/>
          <cell r="L4">
            <v>100</v>
          </cell>
          <cell r="M4">
            <v>7</v>
          </cell>
          <cell r="N4">
            <v>53</v>
          </cell>
          <cell r="O4">
            <v>4</v>
          </cell>
          <cell r="P4">
            <v>36.707799999999999</v>
          </cell>
          <cell r="Q4" t="str">
            <v>Total grain no.</v>
          </cell>
          <cell r="R4">
            <v>124.781341107872</v>
          </cell>
          <cell r="S4" t="str">
            <v>150.16026777209</v>
          </cell>
          <cell r="T4" t="str">
            <v>0.830987706996643</v>
          </cell>
          <cell r="U4">
            <v>0.84088465016613001</v>
          </cell>
        </row>
        <row r="5">
          <cell r="A5" t="str">
            <v>Heagle1979combined cultivars1977OTC</v>
          </cell>
          <cell r="B5" t="str">
            <v>Heagle1979</v>
          </cell>
          <cell r="C5" t="str">
            <v>Heagle</v>
          </cell>
          <cell r="D5" t="str">
            <v>North America</v>
          </cell>
          <cell r="E5" t="str">
            <v>soft  red wheat</v>
          </cell>
          <cell r="F5" t="str">
            <v>combined cultivars</v>
          </cell>
          <cell r="G5">
            <v>1977</v>
          </cell>
          <cell r="H5" t="str">
            <v>OTC</v>
          </cell>
          <cell r="I5" t="str">
            <v>field</v>
          </cell>
          <cell r="J5" t="str">
            <v>EO3-3</v>
          </cell>
          <cell r="K5"/>
          <cell r="L5">
            <v>130</v>
          </cell>
          <cell r="M5">
            <v>7</v>
          </cell>
          <cell r="N5">
            <v>53</v>
          </cell>
          <cell r="O5">
            <v>4</v>
          </cell>
          <cell r="P5">
            <v>47.635179999999998</v>
          </cell>
          <cell r="Q5" t="str">
            <v>Total grain no.</v>
          </cell>
          <cell r="R5">
            <v>117.77003484320601</v>
          </cell>
          <cell r="S5" t="str">
            <v>150.16026777209</v>
          </cell>
          <cell r="T5" t="str">
            <v>0.784295555235833</v>
          </cell>
          <cell r="U5">
            <v>0.79351831683894603</v>
          </cell>
        </row>
        <row r="6">
          <cell r="A6" t="str">
            <v>1985-215Abe1982OTC</v>
          </cell>
          <cell r="B6" t="str">
            <v>1985-215</v>
          </cell>
          <cell r="C6" t="str">
            <v>Kress</v>
          </cell>
          <cell r="D6" t="str">
            <v>North America</v>
          </cell>
          <cell r="E6" t="str">
            <v>wheat</v>
          </cell>
          <cell r="F6" t="str">
            <v>Abe</v>
          </cell>
          <cell r="G6">
            <v>1982</v>
          </cell>
          <cell r="H6" t="str">
            <v>OTC</v>
          </cell>
          <cell r="I6" t="str">
            <v>field</v>
          </cell>
          <cell r="J6" t="str">
            <v>CF</v>
          </cell>
          <cell r="K6"/>
          <cell r="L6">
            <v>23</v>
          </cell>
          <cell r="M6">
            <v>7</v>
          </cell>
          <cell r="N6">
            <v>56</v>
          </cell>
          <cell r="O6">
            <v>4</v>
          </cell>
          <cell r="P6">
            <v>1.18114946986415</v>
          </cell>
          <cell r="Q6" t="str">
            <v>Total grain no.</v>
          </cell>
          <cell r="R6">
            <v>12389.2773892774</v>
          </cell>
          <cell r="S6" t="str">
            <v>12495.2493322576</v>
          </cell>
          <cell r="T6" t="str">
            <v>0.991518985500417</v>
          </cell>
          <cell r="U6">
            <v>0.99488013416273502</v>
          </cell>
        </row>
        <row r="7">
          <cell r="A7" t="str">
            <v>1985-215Abe1982OTC</v>
          </cell>
          <cell r="B7" t="str">
            <v>1985-215</v>
          </cell>
          <cell r="C7" t="str">
            <v>Kress</v>
          </cell>
          <cell r="D7" t="str">
            <v>North America</v>
          </cell>
          <cell r="E7" t="str">
            <v>wheat</v>
          </cell>
          <cell r="F7" t="str">
            <v>Abe</v>
          </cell>
          <cell r="G7">
            <v>1982</v>
          </cell>
          <cell r="H7" t="str">
            <v>OTC</v>
          </cell>
          <cell r="I7" t="str">
            <v>field</v>
          </cell>
          <cell r="J7" t="str">
            <v>NF</v>
          </cell>
          <cell r="K7"/>
          <cell r="L7">
            <v>41</v>
          </cell>
          <cell r="M7">
            <v>7</v>
          </cell>
          <cell r="N7">
            <v>56</v>
          </cell>
          <cell r="O7">
            <v>4</v>
          </cell>
          <cell r="P7">
            <v>5.5357140123631297</v>
          </cell>
          <cell r="Q7" t="str">
            <v>Total grain no.</v>
          </cell>
          <cell r="R7">
            <v>11582.568807339399</v>
          </cell>
          <cell r="S7" t="str">
            <v>12495.2493322576</v>
          </cell>
          <cell r="T7" t="str">
            <v>0.926957764565139</v>
          </cell>
          <cell r="U7">
            <v>0.976004634655942</v>
          </cell>
        </row>
        <row r="8">
          <cell r="A8" t="str">
            <v>1985-215Abe1982OTC</v>
          </cell>
          <cell r="B8" t="str">
            <v>1985-215</v>
          </cell>
          <cell r="C8" t="str">
            <v>Kress</v>
          </cell>
          <cell r="D8" t="str">
            <v>North America</v>
          </cell>
          <cell r="E8" t="str">
            <v>wheat</v>
          </cell>
          <cell r="F8" t="str">
            <v>Abe</v>
          </cell>
          <cell r="G8">
            <v>1982</v>
          </cell>
          <cell r="H8" t="str">
            <v>OTC</v>
          </cell>
          <cell r="I8" t="str">
            <v>field</v>
          </cell>
          <cell r="J8" t="str">
            <v>EO3-1</v>
          </cell>
          <cell r="K8"/>
          <cell r="L8">
            <v>68</v>
          </cell>
          <cell r="M8">
            <v>7</v>
          </cell>
          <cell r="N8">
            <v>56</v>
          </cell>
          <cell r="O8">
            <v>4</v>
          </cell>
          <cell r="P8">
            <v>13.533045231200999</v>
          </cell>
          <cell r="Q8" t="str">
            <v>Total grain no.</v>
          </cell>
          <cell r="R8">
            <v>12192.1052631579</v>
          </cell>
          <cell r="S8" t="str">
            <v>12495.2493322576</v>
          </cell>
          <cell r="T8" t="str">
            <v>0.975739218826683</v>
          </cell>
          <cell r="U8">
            <v>0.94133902803055602</v>
          </cell>
        </row>
        <row r="9">
          <cell r="A9" t="str">
            <v>1985-215Abe1982OTC</v>
          </cell>
          <cell r="B9" t="str">
            <v>1985-215</v>
          </cell>
          <cell r="C9" t="str">
            <v>Kress</v>
          </cell>
          <cell r="D9" t="str">
            <v>North America</v>
          </cell>
          <cell r="E9" t="str">
            <v>wheat</v>
          </cell>
          <cell r="F9" t="str">
            <v>Abe</v>
          </cell>
          <cell r="G9">
            <v>1982</v>
          </cell>
          <cell r="H9" t="str">
            <v>OTC</v>
          </cell>
          <cell r="I9" t="str">
            <v>field</v>
          </cell>
          <cell r="J9" t="str">
            <v>EO3-2</v>
          </cell>
          <cell r="K9"/>
          <cell r="L9">
            <v>95</v>
          </cell>
          <cell r="M9">
            <v>7</v>
          </cell>
          <cell r="N9">
            <v>56</v>
          </cell>
          <cell r="O9">
            <v>4</v>
          </cell>
          <cell r="P9">
            <v>23.216148995419001</v>
          </cell>
          <cell r="Q9" t="str">
            <v>Total grain no.</v>
          </cell>
          <cell r="R9">
            <v>11632.2580645161</v>
          </cell>
          <cell r="S9" t="str">
            <v>12495.2493322576</v>
          </cell>
          <cell r="T9" t="str">
            <v>0.930934416335704</v>
          </cell>
          <cell r="U9">
            <v>0.89936619274976903</v>
          </cell>
        </row>
        <row r="10">
          <cell r="A10" t="str">
            <v>1985-215Abe1982OTC</v>
          </cell>
          <cell r="B10" t="str">
            <v>1985-215</v>
          </cell>
          <cell r="C10" t="str">
            <v>Kress</v>
          </cell>
          <cell r="D10" t="str">
            <v>North America</v>
          </cell>
          <cell r="E10" t="str">
            <v>wheat</v>
          </cell>
          <cell r="F10" t="str">
            <v>Abe</v>
          </cell>
          <cell r="G10">
            <v>1982</v>
          </cell>
          <cell r="H10" t="str">
            <v>OTC</v>
          </cell>
          <cell r="I10" t="str">
            <v>field</v>
          </cell>
          <cell r="J10" t="str">
            <v>EO3-3</v>
          </cell>
          <cell r="K10"/>
          <cell r="L10">
            <v>122</v>
          </cell>
          <cell r="M10">
            <v>7</v>
          </cell>
          <cell r="N10">
            <v>56</v>
          </cell>
          <cell r="O10">
            <v>4</v>
          </cell>
          <cell r="P10">
            <v>33.3905050705403</v>
          </cell>
          <cell r="Q10" t="str">
            <v>Total grain no.</v>
          </cell>
          <cell r="R10">
            <v>10523.0769230769</v>
          </cell>
          <cell r="S10" t="str">
            <v>12495.2493322576</v>
          </cell>
          <cell r="T10" t="str">
            <v>0.842166191560317</v>
          </cell>
          <cell r="U10">
            <v>0.85526395219454399</v>
          </cell>
        </row>
        <row r="11">
          <cell r="A11" t="str">
            <v>1985-215Arthur-711982OTC</v>
          </cell>
          <cell r="B11" t="str">
            <v>1985-215</v>
          </cell>
          <cell r="C11" t="str">
            <v>Kress</v>
          </cell>
          <cell r="D11" t="str">
            <v>North America</v>
          </cell>
          <cell r="E11" t="str">
            <v>wheat</v>
          </cell>
          <cell r="F11" t="str">
            <v>Arthur-71</v>
          </cell>
          <cell r="G11">
            <v>1982</v>
          </cell>
          <cell r="H11" t="str">
            <v>OTC</v>
          </cell>
          <cell r="I11" t="str">
            <v>field</v>
          </cell>
          <cell r="J11" t="str">
            <v>CF</v>
          </cell>
          <cell r="K11"/>
          <cell r="L11">
            <v>23</v>
          </cell>
          <cell r="M11">
            <v>7</v>
          </cell>
          <cell r="N11">
            <v>56</v>
          </cell>
          <cell r="O11">
            <v>4</v>
          </cell>
          <cell r="P11">
            <v>1.18114946986415</v>
          </cell>
          <cell r="Q11" t="str">
            <v>Total grain no.</v>
          </cell>
          <cell r="R11">
            <v>10756.9444444444</v>
          </cell>
          <cell r="S11" t="str">
            <v>10654.9175284078</v>
          </cell>
          <cell r="T11" t="str">
            <v>1.00957553420559</v>
          </cell>
          <cell r="U11">
            <v>0.99488013416273502</v>
          </cell>
        </row>
        <row r="12">
          <cell r="A12" t="str">
            <v>1985-215Arthur-711982OTC</v>
          </cell>
          <cell r="B12" t="str">
            <v>1985-215</v>
          </cell>
          <cell r="C12" t="str">
            <v>Kress</v>
          </cell>
          <cell r="D12" t="str">
            <v>North America</v>
          </cell>
          <cell r="E12" t="str">
            <v>wheat</v>
          </cell>
          <cell r="F12" t="str">
            <v>Arthur-71</v>
          </cell>
          <cell r="G12">
            <v>1982</v>
          </cell>
          <cell r="H12" t="str">
            <v>OTC</v>
          </cell>
          <cell r="I12" t="str">
            <v>field</v>
          </cell>
          <cell r="J12" t="str">
            <v>NF</v>
          </cell>
          <cell r="K12"/>
          <cell r="L12">
            <v>41</v>
          </cell>
          <cell r="M12">
            <v>7</v>
          </cell>
          <cell r="N12">
            <v>56</v>
          </cell>
          <cell r="O12">
            <v>4</v>
          </cell>
          <cell r="P12">
            <v>5.5357140123631297</v>
          </cell>
          <cell r="Q12" t="str">
            <v>Total grain no.</v>
          </cell>
          <cell r="R12">
            <v>10093.896713615</v>
          </cell>
          <cell r="S12" t="str">
            <v>10654.9175284078</v>
          </cell>
          <cell r="T12" t="str">
            <v>0.947346267287549</v>
          </cell>
          <cell r="U12">
            <v>0.976004634655942</v>
          </cell>
        </row>
        <row r="13">
          <cell r="A13" t="str">
            <v>1985-215Arthur-711982OTC</v>
          </cell>
          <cell r="B13" t="str">
            <v>1985-215</v>
          </cell>
          <cell r="C13" t="str">
            <v>Kress</v>
          </cell>
          <cell r="D13" t="str">
            <v>North America</v>
          </cell>
          <cell r="E13" t="str">
            <v>wheat</v>
          </cell>
          <cell r="F13" t="str">
            <v>Arthur-71</v>
          </cell>
          <cell r="G13">
            <v>1982</v>
          </cell>
          <cell r="H13" t="str">
            <v>OTC</v>
          </cell>
          <cell r="I13" t="str">
            <v>field</v>
          </cell>
          <cell r="J13" t="str">
            <v>EO3-1</v>
          </cell>
          <cell r="K13"/>
          <cell r="L13">
            <v>68</v>
          </cell>
          <cell r="M13">
            <v>7</v>
          </cell>
          <cell r="N13">
            <v>56</v>
          </cell>
          <cell r="O13">
            <v>4</v>
          </cell>
          <cell r="P13">
            <v>13.533045231200999</v>
          </cell>
          <cell r="Q13" t="str">
            <v>Total grain no.</v>
          </cell>
          <cell r="R13">
            <v>10045.685279187799</v>
          </cell>
          <cell r="S13" t="str">
            <v>10654.9175284078</v>
          </cell>
          <cell r="T13" t="str">
            <v>0.942821461482514</v>
          </cell>
          <cell r="U13">
            <v>0.94133902803055602</v>
          </cell>
        </row>
        <row r="14">
          <cell r="A14" t="str">
            <v>1985-215Arthur-711982OTC</v>
          </cell>
          <cell r="B14" t="str">
            <v>1985-215</v>
          </cell>
          <cell r="C14" t="str">
            <v>Kress</v>
          </cell>
          <cell r="D14" t="str">
            <v>North America</v>
          </cell>
          <cell r="E14" t="str">
            <v>wheat</v>
          </cell>
          <cell r="F14" t="str">
            <v>Arthur-71</v>
          </cell>
          <cell r="G14">
            <v>1982</v>
          </cell>
          <cell r="H14" t="str">
            <v>OTC</v>
          </cell>
          <cell r="I14" t="str">
            <v>field</v>
          </cell>
          <cell r="J14" t="str">
            <v>EO3-2</v>
          </cell>
          <cell r="K14"/>
          <cell r="L14">
            <v>95</v>
          </cell>
          <cell r="M14">
            <v>7</v>
          </cell>
          <cell r="N14">
            <v>56</v>
          </cell>
          <cell r="O14">
            <v>4</v>
          </cell>
          <cell r="P14">
            <v>23.216148995419001</v>
          </cell>
          <cell r="Q14" t="str">
            <v>Total grain no.</v>
          </cell>
          <cell r="R14">
            <v>9725.3086419753108</v>
          </cell>
          <cell r="S14" t="str">
            <v>10654.9175284078</v>
          </cell>
          <cell r="T14" t="str">
            <v>0.91275303300533</v>
          </cell>
          <cell r="U14">
            <v>0.89936619274976903</v>
          </cell>
        </row>
        <row r="15">
          <cell r="A15" t="str">
            <v>1985-215Arthur-711982OTC</v>
          </cell>
          <cell r="B15" t="str">
            <v>1985-215</v>
          </cell>
          <cell r="C15" t="str">
            <v>Kress</v>
          </cell>
          <cell r="D15" t="str">
            <v>North America</v>
          </cell>
          <cell r="E15" t="str">
            <v>wheat</v>
          </cell>
          <cell r="F15" t="str">
            <v>Arthur-71</v>
          </cell>
          <cell r="G15">
            <v>1982</v>
          </cell>
          <cell r="H15" t="str">
            <v>OTC</v>
          </cell>
          <cell r="I15" t="str">
            <v>field</v>
          </cell>
          <cell r="J15" t="str">
            <v>EO3-3</v>
          </cell>
          <cell r="K15"/>
          <cell r="L15">
            <v>122</v>
          </cell>
          <cell r="M15">
            <v>7</v>
          </cell>
          <cell r="N15">
            <v>56</v>
          </cell>
          <cell r="O15">
            <v>4</v>
          </cell>
          <cell r="P15">
            <v>33.3905050705403</v>
          </cell>
          <cell r="Q15" t="str">
            <v>Total grain no.</v>
          </cell>
          <cell r="R15">
            <v>9101.8867924528295</v>
          </cell>
          <cell r="S15" t="str">
            <v>10654.9175284078</v>
          </cell>
          <cell r="T15" t="str">
            <v>0.854242788761004</v>
          </cell>
          <cell r="U15">
            <v>0.85526395219454399</v>
          </cell>
        </row>
        <row r="16">
          <cell r="A16" t="str">
            <v>1985-215Roland1982OTC</v>
          </cell>
          <cell r="B16" t="str">
            <v>1985-215</v>
          </cell>
          <cell r="C16" t="str">
            <v>Kress</v>
          </cell>
          <cell r="D16" t="str">
            <v>North America</v>
          </cell>
          <cell r="E16" t="str">
            <v>wheat</v>
          </cell>
          <cell r="F16" t="str">
            <v>Roland</v>
          </cell>
          <cell r="G16">
            <v>1982</v>
          </cell>
          <cell r="H16" t="str">
            <v>OTC</v>
          </cell>
          <cell r="I16" t="str">
            <v>field</v>
          </cell>
          <cell r="J16" t="str">
            <v>CF</v>
          </cell>
          <cell r="K16"/>
          <cell r="L16">
            <v>23</v>
          </cell>
          <cell r="M16">
            <v>7</v>
          </cell>
          <cell r="N16">
            <v>56</v>
          </cell>
          <cell r="O16">
            <v>4</v>
          </cell>
          <cell r="P16">
            <v>1.18114946986415</v>
          </cell>
          <cell r="Q16" t="str">
            <v>Total grain no.</v>
          </cell>
          <cell r="R16">
            <v>13755.4945054945</v>
          </cell>
          <cell r="S16" t="str">
            <v>13398.5433619003</v>
          </cell>
          <cell r="T16" t="str">
            <v>1.02664100393538</v>
          </cell>
          <cell r="U16">
            <v>0.99488013416273502</v>
          </cell>
        </row>
        <row r="17">
          <cell r="A17" t="str">
            <v>1985-215Roland1982OTC</v>
          </cell>
          <cell r="B17" t="str">
            <v>1985-215</v>
          </cell>
          <cell r="C17" t="str">
            <v>Kress</v>
          </cell>
          <cell r="D17" t="str">
            <v>North America</v>
          </cell>
          <cell r="E17" t="str">
            <v>wheat</v>
          </cell>
          <cell r="F17" t="str">
            <v>Roland</v>
          </cell>
          <cell r="G17">
            <v>1982</v>
          </cell>
          <cell r="H17" t="str">
            <v>OTC</v>
          </cell>
          <cell r="I17" t="str">
            <v>field</v>
          </cell>
          <cell r="J17" t="str">
            <v>NF</v>
          </cell>
          <cell r="K17"/>
          <cell r="L17">
            <v>41</v>
          </cell>
          <cell r="M17">
            <v>7</v>
          </cell>
          <cell r="N17">
            <v>56</v>
          </cell>
          <cell r="O17">
            <v>4</v>
          </cell>
          <cell r="P17">
            <v>5.5357140123631297</v>
          </cell>
          <cell r="Q17" t="str">
            <v>Total grain no.</v>
          </cell>
          <cell r="R17">
            <v>14060.2409638554</v>
          </cell>
          <cell r="S17" t="str">
            <v>13398.5433619003</v>
          </cell>
          <cell r="T17" t="str">
            <v>1.04938574857778</v>
          </cell>
          <cell r="U17">
            <v>0.976004634655942</v>
          </cell>
        </row>
        <row r="18">
          <cell r="A18" t="str">
            <v>1985-215Roland1982OTC</v>
          </cell>
          <cell r="B18" t="str">
            <v>1985-215</v>
          </cell>
          <cell r="C18" t="str">
            <v>Kress</v>
          </cell>
          <cell r="D18" t="str">
            <v>North America</v>
          </cell>
          <cell r="E18" t="str">
            <v>wheat</v>
          </cell>
          <cell r="F18" t="str">
            <v>Roland</v>
          </cell>
          <cell r="G18">
            <v>1982</v>
          </cell>
          <cell r="H18" t="str">
            <v>OTC</v>
          </cell>
          <cell r="I18" t="str">
            <v>field</v>
          </cell>
          <cell r="J18" t="str">
            <v>EO3-1</v>
          </cell>
          <cell r="K18"/>
          <cell r="L18">
            <v>68</v>
          </cell>
          <cell r="M18">
            <v>7</v>
          </cell>
          <cell r="N18">
            <v>56</v>
          </cell>
          <cell r="O18">
            <v>4</v>
          </cell>
          <cell r="P18">
            <v>13.533045231200999</v>
          </cell>
          <cell r="Q18" t="str">
            <v>Total grain no.</v>
          </cell>
          <cell r="R18">
            <v>13029.304029303999</v>
          </cell>
          <cell r="S18" t="str">
            <v>13398.5433619003</v>
          </cell>
          <cell r="T18" t="str">
            <v>0.972441795086388</v>
          </cell>
          <cell r="U18">
            <v>0.94133902803055602</v>
          </cell>
        </row>
        <row r="19">
          <cell r="A19" t="str">
            <v>1985-215Roland1982OTC</v>
          </cell>
          <cell r="B19" t="str">
            <v>1985-215</v>
          </cell>
          <cell r="C19" t="str">
            <v>Kress</v>
          </cell>
          <cell r="D19" t="str">
            <v>North America</v>
          </cell>
          <cell r="E19" t="str">
            <v>wheat</v>
          </cell>
          <cell r="F19" t="str">
            <v>Roland</v>
          </cell>
          <cell r="G19">
            <v>1982</v>
          </cell>
          <cell r="H19" t="str">
            <v>OTC</v>
          </cell>
          <cell r="I19" t="str">
            <v>field</v>
          </cell>
          <cell r="J19" t="str">
            <v>EO3-2</v>
          </cell>
          <cell r="K19"/>
          <cell r="L19">
            <v>95</v>
          </cell>
          <cell r="M19">
            <v>7</v>
          </cell>
          <cell r="N19">
            <v>56</v>
          </cell>
          <cell r="O19">
            <v>4</v>
          </cell>
          <cell r="P19">
            <v>23.216148995419001</v>
          </cell>
          <cell r="Q19" t="str">
            <v>Total grain no.</v>
          </cell>
          <cell r="R19">
            <v>11859.9033816425</v>
          </cell>
          <cell r="S19" t="str">
            <v>13398.5433619003</v>
          </cell>
          <cell r="T19" t="str">
            <v>0.885163605673542</v>
          </cell>
          <cell r="U19">
            <v>0.89936619274976903</v>
          </cell>
        </row>
        <row r="20">
          <cell r="A20" t="str">
            <v>1985-215Roland1982OTC</v>
          </cell>
          <cell r="B20" t="str">
            <v>1985-215</v>
          </cell>
          <cell r="C20" t="str">
            <v>Kress</v>
          </cell>
          <cell r="D20" t="str">
            <v>North America</v>
          </cell>
          <cell r="E20" t="str">
            <v>wheat</v>
          </cell>
          <cell r="F20" t="str">
            <v>Roland</v>
          </cell>
          <cell r="G20">
            <v>1982</v>
          </cell>
          <cell r="H20" t="str">
            <v>OTC</v>
          </cell>
          <cell r="I20" t="str">
            <v>field</v>
          </cell>
          <cell r="J20" t="str">
            <v>EO3-3</v>
          </cell>
          <cell r="K20"/>
          <cell r="L20">
            <v>122</v>
          </cell>
          <cell r="M20">
            <v>7</v>
          </cell>
          <cell r="N20">
            <v>56</v>
          </cell>
          <cell r="O20">
            <v>4</v>
          </cell>
          <cell r="P20">
            <v>33.3905050705403</v>
          </cell>
          <cell r="Q20" t="str">
            <v>Total grain no.</v>
          </cell>
          <cell r="R20">
            <v>10158.4699453552</v>
          </cell>
          <cell r="S20" t="str">
            <v>13398.5433619003</v>
          </cell>
          <cell r="T20" t="str">
            <v>0.758177161786591</v>
          </cell>
          <cell r="U20">
            <v>0.85526395219454399</v>
          </cell>
        </row>
        <row r="21">
          <cell r="A21" t="str">
            <v>1985-215Abe1983OTC</v>
          </cell>
          <cell r="B21" t="str">
            <v>1985-215</v>
          </cell>
          <cell r="C21" t="str">
            <v>Kress</v>
          </cell>
          <cell r="D21" t="str">
            <v>North America</v>
          </cell>
          <cell r="E21" t="str">
            <v>wheat</v>
          </cell>
          <cell r="F21" t="str">
            <v>Abe</v>
          </cell>
          <cell r="G21">
            <v>1983</v>
          </cell>
          <cell r="H21" t="str">
            <v>OTC</v>
          </cell>
          <cell r="I21" t="str">
            <v>field</v>
          </cell>
          <cell r="J21" t="str">
            <v>CF</v>
          </cell>
          <cell r="K21"/>
          <cell r="L21">
            <v>18</v>
          </cell>
          <cell r="M21">
            <v>7</v>
          </cell>
          <cell r="N21">
            <v>54</v>
          </cell>
          <cell r="O21">
            <v>4</v>
          </cell>
          <cell r="P21">
            <v>0.92844217674115304</v>
          </cell>
          <cell r="Q21" t="str">
            <v>Total grain no.</v>
          </cell>
          <cell r="R21">
            <v>16883.720930232601</v>
          </cell>
          <cell r="S21" t="str">
            <v>18411.0762265954</v>
          </cell>
          <cell r="T21" t="str">
            <v>0.917041465268574</v>
          </cell>
          <cell r="U21">
            <v>0.99597553103661496</v>
          </cell>
        </row>
        <row r="22">
          <cell r="A22" t="str">
            <v>1985-215Abe1983OTC</v>
          </cell>
          <cell r="B22" t="str">
            <v>1985-215</v>
          </cell>
          <cell r="C22" t="str">
            <v>Kress</v>
          </cell>
          <cell r="D22" t="str">
            <v>North America</v>
          </cell>
          <cell r="E22" t="str">
            <v>wheat</v>
          </cell>
          <cell r="F22" t="str">
            <v>Abe</v>
          </cell>
          <cell r="G22">
            <v>1983</v>
          </cell>
          <cell r="H22" t="str">
            <v>OTC</v>
          </cell>
          <cell r="I22" t="str">
            <v>field</v>
          </cell>
          <cell r="J22" t="str">
            <v>NF</v>
          </cell>
          <cell r="K22"/>
          <cell r="L22">
            <v>44</v>
          </cell>
          <cell r="M22">
            <v>7</v>
          </cell>
          <cell r="N22">
            <v>54</v>
          </cell>
          <cell r="O22">
            <v>4</v>
          </cell>
          <cell r="P22">
            <v>7.6334510419664303</v>
          </cell>
          <cell r="Q22" t="str">
            <v>Total grain no.</v>
          </cell>
          <cell r="R22">
            <v>17350.7246376812</v>
          </cell>
          <cell r="S22" t="str">
            <v>18411.0762265954</v>
          </cell>
          <cell r="T22" t="str">
            <v>0.942406831465646</v>
          </cell>
          <cell r="U22">
            <v>0.96691168543490302</v>
          </cell>
        </row>
        <row r="23">
          <cell r="A23" t="str">
            <v>1985-215Abe1983OTC</v>
          </cell>
          <cell r="B23" t="str">
            <v>1985-215</v>
          </cell>
          <cell r="C23" t="str">
            <v>Kress</v>
          </cell>
          <cell r="D23" t="str">
            <v>North America</v>
          </cell>
          <cell r="E23" t="str">
            <v>wheat</v>
          </cell>
          <cell r="F23" t="str">
            <v>Abe</v>
          </cell>
          <cell r="G23">
            <v>1983</v>
          </cell>
          <cell r="H23" t="str">
            <v>OTC</v>
          </cell>
          <cell r="I23" t="str">
            <v>field</v>
          </cell>
          <cell r="J23" t="str">
            <v>EO3-1</v>
          </cell>
          <cell r="K23"/>
          <cell r="L23">
            <v>62</v>
          </cell>
          <cell r="M23">
            <v>7</v>
          </cell>
          <cell r="N23">
            <v>54</v>
          </cell>
          <cell r="O23">
            <v>4</v>
          </cell>
          <cell r="P23">
            <v>13.0387932804637</v>
          </cell>
          <cell r="Q23" t="str">
            <v>Total grain no.</v>
          </cell>
          <cell r="R23">
            <v>17803.571428571398</v>
          </cell>
          <cell r="S23" t="str">
            <v>18411.0762265954</v>
          </cell>
          <cell r="T23" t="str">
            <v>0.967003262926236</v>
          </cell>
          <cell r="U23">
            <v>0.94348143569478204</v>
          </cell>
        </row>
        <row r="24">
          <cell r="A24" t="str">
            <v>1985-215Abe1983OTC</v>
          </cell>
          <cell r="B24" t="str">
            <v>1985-215</v>
          </cell>
          <cell r="C24" t="str">
            <v>Kress</v>
          </cell>
          <cell r="D24" t="str">
            <v>North America</v>
          </cell>
          <cell r="E24" t="str">
            <v>wheat</v>
          </cell>
          <cell r="F24" t="str">
            <v>Abe</v>
          </cell>
          <cell r="G24">
            <v>1983</v>
          </cell>
          <cell r="H24" t="str">
            <v>OTC</v>
          </cell>
          <cell r="I24" t="str">
            <v>field</v>
          </cell>
          <cell r="J24" t="str">
            <v>EO3-2</v>
          </cell>
          <cell r="K24"/>
          <cell r="L24">
            <v>78</v>
          </cell>
          <cell r="M24">
            <v>7</v>
          </cell>
          <cell r="N24">
            <v>54</v>
          </cell>
          <cell r="O24">
            <v>4</v>
          </cell>
          <cell r="P24">
            <v>18.443321520960399</v>
          </cell>
          <cell r="Q24" t="str">
            <v>Total grain no.</v>
          </cell>
          <cell r="R24">
            <v>17674.846625766899</v>
          </cell>
          <cell r="S24" t="str">
            <v>18411.0762265954</v>
          </cell>
          <cell r="T24" t="str">
            <v>0.960011558771204</v>
          </cell>
          <cell r="U24">
            <v>0.92005471435148101</v>
          </cell>
        </row>
        <row r="25">
          <cell r="A25" t="str">
            <v>1985-215Abe1983OTC</v>
          </cell>
          <cell r="B25" t="str">
            <v>1985-215</v>
          </cell>
          <cell r="C25" t="str">
            <v>Kress</v>
          </cell>
          <cell r="D25" t="str">
            <v>North America</v>
          </cell>
          <cell r="E25" t="str">
            <v>wheat</v>
          </cell>
          <cell r="F25" t="str">
            <v>Abe</v>
          </cell>
          <cell r="G25">
            <v>1983</v>
          </cell>
          <cell r="H25" t="str">
            <v>OTC</v>
          </cell>
          <cell r="I25" t="str">
            <v>field</v>
          </cell>
          <cell r="J25" t="str">
            <v>EO3-3</v>
          </cell>
          <cell r="K25"/>
          <cell r="L25">
            <v>95</v>
          </cell>
          <cell r="M25">
            <v>7</v>
          </cell>
          <cell r="N25">
            <v>54</v>
          </cell>
          <cell r="O25">
            <v>4</v>
          </cell>
          <cell r="P25">
            <v>24.466415950252401</v>
          </cell>
          <cell r="Q25" t="str">
            <v>Total grain no.</v>
          </cell>
          <cell r="R25">
            <v>17149.305555555598</v>
          </cell>
          <cell r="S25" t="str">
            <v>18411.0762265954</v>
          </cell>
          <cell r="T25" t="str">
            <v>0.931466728216559</v>
          </cell>
          <cell r="U25">
            <v>0.89394672702644495</v>
          </cell>
        </row>
        <row r="26">
          <cell r="A26" t="str">
            <v>1985-215Arthur-711983OTC</v>
          </cell>
          <cell r="B26" t="str">
            <v>1985-215</v>
          </cell>
          <cell r="C26" t="str">
            <v>Kress</v>
          </cell>
          <cell r="D26" t="str">
            <v>North America</v>
          </cell>
          <cell r="E26" t="str">
            <v>wheat</v>
          </cell>
          <cell r="F26" t="str">
            <v>Arthur-71</v>
          </cell>
          <cell r="G26">
            <v>1983</v>
          </cell>
          <cell r="H26" t="str">
            <v>OTC</v>
          </cell>
          <cell r="I26" t="str">
            <v>field</v>
          </cell>
          <cell r="J26" t="str">
            <v>CF</v>
          </cell>
          <cell r="K26"/>
          <cell r="L26">
            <v>18</v>
          </cell>
          <cell r="M26">
            <v>7</v>
          </cell>
          <cell r="N26">
            <v>54</v>
          </cell>
          <cell r="O26">
            <v>4</v>
          </cell>
          <cell r="P26">
            <v>0.92844217674115304</v>
          </cell>
          <cell r="Q26" t="str">
            <v>Total grain no.</v>
          </cell>
          <cell r="R26">
            <v>16616.129032258101</v>
          </cell>
          <cell r="S26" t="str">
            <v>18393.8164530187</v>
          </cell>
          <cell r="T26" t="str">
            <v>0.903354041514233</v>
          </cell>
          <cell r="U26">
            <v>0.99597553103661496</v>
          </cell>
        </row>
        <row r="27">
          <cell r="A27" t="str">
            <v>1985-215Arthur-711983OTC</v>
          </cell>
          <cell r="B27" t="str">
            <v>1985-215</v>
          </cell>
          <cell r="C27" t="str">
            <v>Kress</v>
          </cell>
          <cell r="D27" t="str">
            <v>North America</v>
          </cell>
          <cell r="E27" t="str">
            <v>wheat</v>
          </cell>
          <cell r="F27" t="str">
            <v>Arthur-71</v>
          </cell>
          <cell r="G27">
            <v>1983</v>
          </cell>
          <cell r="H27" t="str">
            <v>OTC</v>
          </cell>
          <cell r="I27" t="str">
            <v>field</v>
          </cell>
          <cell r="J27" t="str">
            <v>NF</v>
          </cell>
          <cell r="K27"/>
          <cell r="L27">
            <v>44</v>
          </cell>
          <cell r="M27">
            <v>7</v>
          </cell>
          <cell r="N27">
            <v>54</v>
          </cell>
          <cell r="O27">
            <v>4</v>
          </cell>
          <cell r="P27">
            <v>7.6334510419664303</v>
          </cell>
          <cell r="Q27" t="str">
            <v>Total grain no.</v>
          </cell>
          <cell r="R27">
            <v>17961.661341853</v>
          </cell>
          <cell r="S27" t="str">
            <v>18393.8164530187</v>
          </cell>
          <cell r="T27" t="str">
            <v>0.976505378236576</v>
          </cell>
          <cell r="U27">
            <v>0.96691168543490302</v>
          </cell>
        </row>
        <row r="28">
          <cell r="A28" t="str">
            <v>1985-215Arthur-711983OTC</v>
          </cell>
          <cell r="B28" t="str">
            <v>1985-215</v>
          </cell>
          <cell r="C28" t="str">
            <v>Kress</v>
          </cell>
          <cell r="D28" t="str">
            <v>North America</v>
          </cell>
          <cell r="E28" t="str">
            <v>wheat</v>
          </cell>
          <cell r="F28" t="str">
            <v>Arthur-71</v>
          </cell>
          <cell r="G28">
            <v>1983</v>
          </cell>
          <cell r="H28" t="str">
            <v>OTC</v>
          </cell>
          <cell r="I28" t="str">
            <v>field</v>
          </cell>
          <cell r="J28" t="str">
            <v>EO3-1</v>
          </cell>
          <cell r="K28"/>
          <cell r="L28">
            <v>62</v>
          </cell>
          <cell r="M28">
            <v>7</v>
          </cell>
          <cell r="N28">
            <v>54</v>
          </cell>
          <cell r="O28">
            <v>4</v>
          </cell>
          <cell r="P28">
            <v>13.0387932804637</v>
          </cell>
          <cell r="Q28" t="str">
            <v>Total grain no.</v>
          </cell>
          <cell r="R28">
            <v>17151.315789473701</v>
          </cell>
          <cell r="S28" t="str">
            <v>18393.8164530187</v>
          </cell>
          <cell r="T28" t="str">
            <v>0.932450055342547</v>
          </cell>
          <cell r="U28">
            <v>0.94348143569478204</v>
          </cell>
        </row>
        <row r="29">
          <cell r="A29" t="str">
            <v>1985-215Arthur-711983OTC</v>
          </cell>
          <cell r="B29" t="str">
            <v>1985-215</v>
          </cell>
          <cell r="C29" t="str">
            <v>Kress</v>
          </cell>
          <cell r="D29" t="str">
            <v>North America</v>
          </cell>
          <cell r="E29" t="str">
            <v>wheat</v>
          </cell>
          <cell r="F29" t="str">
            <v>Arthur-71</v>
          </cell>
          <cell r="G29">
            <v>1983</v>
          </cell>
          <cell r="H29" t="str">
            <v>OTC</v>
          </cell>
          <cell r="I29" t="str">
            <v>field</v>
          </cell>
          <cell r="J29" t="str">
            <v>EO3-2</v>
          </cell>
          <cell r="K29"/>
          <cell r="L29">
            <v>78</v>
          </cell>
          <cell r="M29">
            <v>7</v>
          </cell>
          <cell r="N29">
            <v>54</v>
          </cell>
          <cell r="O29">
            <v>4</v>
          </cell>
          <cell r="P29">
            <v>18.443321520960399</v>
          </cell>
          <cell r="Q29" t="str">
            <v>Total grain no.</v>
          </cell>
          <cell r="R29">
            <v>18106.227106227099</v>
          </cell>
          <cell r="S29" t="str">
            <v>18393.8164530187</v>
          </cell>
          <cell r="T29" t="str">
            <v>0.984364854246805</v>
          </cell>
          <cell r="U29">
            <v>0.92005471435148101</v>
          </cell>
        </row>
        <row r="30">
          <cell r="A30" t="str">
            <v>1985-215Arthur-711983OTC</v>
          </cell>
          <cell r="B30" t="str">
            <v>1985-215</v>
          </cell>
          <cell r="C30" t="str">
            <v>Kress</v>
          </cell>
          <cell r="D30" t="str">
            <v>North America</v>
          </cell>
          <cell r="E30" t="str">
            <v>wheat</v>
          </cell>
          <cell r="F30" t="str">
            <v>Arthur-71</v>
          </cell>
          <cell r="G30">
            <v>1983</v>
          </cell>
          <cell r="H30" t="str">
            <v>OTC</v>
          </cell>
          <cell r="I30" t="str">
            <v>field</v>
          </cell>
          <cell r="J30" t="str">
            <v>EO3-3</v>
          </cell>
          <cell r="K30"/>
          <cell r="L30">
            <v>95</v>
          </cell>
          <cell r="M30">
            <v>7</v>
          </cell>
          <cell r="N30">
            <v>54</v>
          </cell>
          <cell r="O30">
            <v>4</v>
          </cell>
          <cell r="P30">
            <v>24.466415950252401</v>
          </cell>
          <cell r="Q30" t="str">
            <v>Total grain no.</v>
          </cell>
          <cell r="R30">
            <v>16976.833976834001</v>
          </cell>
          <cell r="S30" t="str">
            <v>18393.8164530187</v>
          </cell>
          <cell r="T30" t="str">
            <v>0.922964160624661</v>
          </cell>
          <cell r="U30">
            <v>0.89394672702644495</v>
          </cell>
        </row>
        <row r="31">
          <cell r="A31" t="str">
            <v>1996-89/91Massey1991OTC</v>
          </cell>
          <cell r="B31" t="str">
            <v>1996-89/91</v>
          </cell>
          <cell r="C31" t="str">
            <v>Rudorff</v>
          </cell>
          <cell r="D31" t="str">
            <v>North America</v>
          </cell>
          <cell r="E31" t="str">
            <v>wheat</v>
          </cell>
          <cell r="F31" t="str">
            <v>Massey</v>
          </cell>
          <cell r="G31">
            <v>1991</v>
          </cell>
          <cell r="H31" t="str">
            <v>OTC</v>
          </cell>
          <cell r="I31" t="str">
            <v>field</v>
          </cell>
          <cell r="J31" t="str">
            <v>CF</v>
          </cell>
          <cell r="K31"/>
          <cell r="L31">
            <v>18.600000000000001</v>
          </cell>
          <cell r="M31">
            <v>7</v>
          </cell>
          <cell r="N31">
            <v>61</v>
          </cell>
          <cell r="O31">
            <v>4</v>
          </cell>
          <cell r="P31">
            <v>0.75102620657091901</v>
          </cell>
          <cell r="Q31" t="str">
            <v>Total grain no.</v>
          </cell>
          <cell r="R31">
            <v>17300</v>
          </cell>
          <cell r="S31" t="str">
            <v>17212.2316685661</v>
          </cell>
          <cell r="T31" t="str">
            <v>1.00509914738858</v>
          </cell>
          <cell r="U31">
            <v>0.99674456661410105</v>
          </cell>
        </row>
        <row r="32">
          <cell r="A32" t="str">
            <v>1996-89/91Massey1991OTC</v>
          </cell>
          <cell r="B32" t="str">
            <v>1996-89/91</v>
          </cell>
          <cell r="C32" t="str">
            <v>Rudorff</v>
          </cell>
          <cell r="D32" t="str">
            <v>North America</v>
          </cell>
          <cell r="E32" t="str">
            <v>wheat</v>
          </cell>
          <cell r="F32" t="str">
            <v>Massey</v>
          </cell>
          <cell r="G32">
            <v>1991</v>
          </cell>
          <cell r="H32" t="str">
            <v>OTC</v>
          </cell>
          <cell r="I32" t="str">
            <v>field</v>
          </cell>
          <cell r="J32" t="str">
            <v>EO3(CF)</v>
          </cell>
          <cell r="K32"/>
          <cell r="L32">
            <v>60.7</v>
          </cell>
          <cell r="M32">
            <v>7</v>
          </cell>
          <cell r="N32">
            <v>61</v>
          </cell>
          <cell r="O32">
            <v>4</v>
          </cell>
          <cell r="P32">
            <v>7.6927950240969301</v>
          </cell>
          <cell r="Q32" t="str">
            <v>Total grain no.</v>
          </cell>
          <cell r="R32">
            <v>16500</v>
          </cell>
          <cell r="S32" t="str">
            <v>17212.2316685661</v>
          </cell>
          <cell r="T32" t="str">
            <v>0.958620574098932</v>
          </cell>
          <cell r="U32">
            <v>0.96665445022931795</v>
          </cell>
        </row>
        <row r="33">
          <cell r="A33" t="str">
            <v>1996-89/91Saluda1992OTC</v>
          </cell>
          <cell r="B33" t="str">
            <v>1996-89/91</v>
          </cell>
          <cell r="C33" t="str">
            <v>Rudorff</v>
          </cell>
          <cell r="D33" t="str">
            <v>North America</v>
          </cell>
          <cell r="E33" t="str">
            <v>wheat</v>
          </cell>
          <cell r="F33" t="str">
            <v>Saluda</v>
          </cell>
          <cell r="G33">
            <v>1992</v>
          </cell>
          <cell r="H33" t="str">
            <v>OTC</v>
          </cell>
          <cell r="I33" t="str">
            <v>field</v>
          </cell>
          <cell r="J33" t="str">
            <v>CF</v>
          </cell>
          <cell r="K33"/>
          <cell r="L33">
            <v>20.2</v>
          </cell>
          <cell r="M33">
            <v>7</v>
          </cell>
          <cell r="N33">
            <v>71</v>
          </cell>
          <cell r="O33">
            <v>4</v>
          </cell>
          <cell r="P33">
            <v>0.39988967535184999</v>
          </cell>
          <cell r="Q33" t="str">
            <v>Total grain no.</v>
          </cell>
          <cell r="R33">
            <v>16000</v>
          </cell>
          <cell r="S33" t="str">
            <v>16069.0833758392</v>
          </cell>
          <cell r="T33" t="str">
            <v>0.995700815503449</v>
          </cell>
          <cell r="U33">
            <v>0.99826661947554896</v>
          </cell>
        </row>
        <row r="34">
          <cell r="A34" t="str">
            <v>1996-89/91Saluda1992OTC</v>
          </cell>
          <cell r="B34" t="str">
            <v>1996-89/91</v>
          </cell>
          <cell r="C34" t="str">
            <v>Rudorff</v>
          </cell>
          <cell r="D34" t="str">
            <v>North America</v>
          </cell>
          <cell r="E34" t="str">
            <v>wheat</v>
          </cell>
          <cell r="F34" t="str">
            <v>Saluda</v>
          </cell>
          <cell r="G34">
            <v>1992</v>
          </cell>
          <cell r="H34" t="str">
            <v>OTC</v>
          </cell>
          <cell r="I34" t="str">
            <v>field</v>
          </cell>
          <cell r="J34" t="str">
            <v>EO3</v>
          </cell>
          <cell r="K34"/>
          <cell r="L34">
            <v>64.8</v>
          </cell>
          <cell r="M34">
            <v>7</v>
          </cell>
          <cell r="N34">
            <v>71</v>
          </cell>
          <cell r="O34">
            <v>4</v>
          </cell>
          <cell r="P34">
            <v>14.4705939061522</v>
          </cell>
          <cell r="Q34" t="str">
            <v>Total grain no.</v>
          </cell>
          <cell r="R34">
            <v>15100</v>
          </cell>
          <cell r="S34" t="str">
            <v>16069.0833758392</v>
          </cell>
          <cell r="T34" t="str">
            <v>0.93969264463138</v>
          </cell>
          <cell r="U34">
            <v>0.93727508561460704</v>
          </cell>
        </row>
      </sheetData>
      <sheetData sheetId="2"/>
      <sheetData sheetId="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row>
        <row r="2">
          <cell r="A2" t="str">
            <v>1985-119Albis1986OTC</v>
          </cell>
          <cell r="B2" t="str">
            <v>1985-119</v>
          </cell>
          <cell r="C2" t="str">
            <v>Fuhrer</v>
          </cell>
          <cell r="D2" t="str">
            <v>Europe</v>
          </cell>
          <cell r="E2" t="str">
            <v>wheat</v>
          </cell>
          <cell r="F2" t="str">
            <v>Albis</v>
          </cell>
          <cell r="G2">
            <v>1986</v>
          </cell>
          <cell r="H2" t="str">
            <v>OTC</v>
          </cell>
          <cell r="I2" t="str">
            <v>field</v>
          </cell>
          <cell r="J2" t="str">
            <v>CF</v>
          </cell>
          <cell r="K2"/>
          <cell r="L2">
            <v>20</v>
          </cell>
          <cell r="M2">
            <v>8</v>
          </cell>
          <cell r="N2">
            <v>72</v>
          </cell>
          <cell r="O2">
            <v>4</v>
          </cell>
          <cell r="P2">
            <v>0.13472763978990401</v>
          </cell>
          <cell r="Q2" t="str">
            <v>yield</v>
          </cell>
          <cell r="R2">
            <v>664</v>
          </cell>
          <cell r="S2" t="str">
            <v>670.898108256769</v>
          </cell>
          <cell r="T2" t="str">
            <v>1.01692541346673</v>
          </cell>
          <cell r="U2">
            <v>0.99493242962781903</v>
          </cell>
        </row>
        <row r="3">
          <cell r="A3" t="str">
            <v>1985-119Albis1986OTC</v>
          </cell>
          <cell r="B3" t="str">
            <v>1985-119</v>
          </cell>
          <cell r="C3" t="str">
            <v>Fuhrer</v>
          </cell>
          <cell r="D3" t="str">
            <v>Europe</v>
          </cell>
          <cell r="E3" t="str">
            <v>wheat</v>
          </cell>
          <cell r="F3" t="str">
            <v>Albis</v>
          </cell>
          <cell r="G3">
            <v>1986</v>
          </cell>
          <cell r="H3" t="str">
            <v>OTC</v>
          </cell>
          <cell r="I3" t="str">
            <v>field</v>
          </cell>
          <cell r="J3" t="str">
            <v>NF</v>
          </cell>
          <cell r="K3"/>
          <cell r="L3">
            <v>35</v>
          </cell>
          <cell r="M3">
            <v>8</v>
          </cell>
          <cell r="N3">
            <v>72</v>
          </cell>
          <cell r="O3">
            <v>4</v>
          </cell>
          <cell r="P3">
            <v>2.7820454495208602</v>
          </cell>
          <cell r="Q3" t="str">
            <v>yield</v>
          </cell>
          <cell r="R3">
            <v>611</v>
          </cell>
          <cell r="S3" t="str">
            <v>670.898108256769</v>
          </cell>
          <cell r="T3" t="str">
            <v>0.935755162090618</v>
          </cell>
          <cell r="U3">
            <v>0.91779028287435904</v>
          </cell>
        </row>
        <row r="4">
          <cell r="A4" t="str">
            <v>1985-119Albis1986OTC</v>
          </cell>
          <cell r="B4" t="str">
            <v>1985-119</v>
          </cell>
          <cell r="C4" t="str">
            <v>Fuhrer</v>
          </cell>
          <cell r="D4" t="str">
            <v>Europe</v>
          </cell>
          <cell r="E4" t="str">
            <v>wheat</v>
          </cell>
          <cell r="F4" t="str">
            <v>Albis</v>
          </cell>
          <cell r="G4">
            <v>1986</v>
          </cell>
          <cell r="H4" t="str">
            <v>OTC</v>
          </cell>
          <cell r="I4" t="str">
            <v>field</v>
          </cell>
          <cell r="J4" t="str">
            <v>EO3-2</v>
          </cell>
          <cell r="K4"/>
          <cell r="L4">
            <v>103</v>
          </cell>
          <cell r="M4">
            <v>8</v>
          </cell>
          <cell r="N4">
            <v>72</v>
          </cell>
          <cell r="O4">
            <v>4</v>
          </cell>
          <cell r="P4">
            <v>34.528958228277801</v>
          </cell>
          <cell r="Q4" t="str">
            <v>yield</v>
          </cell>
          <cell r="R4">
            <v>256</v>
          </cell>
          <cell r="S4" t="str">
            <v>670.898108256769</v>
          </cell>
          <cell r="T4" t="str">
            <v>0.392067629288377</v>
          </cell>
          <cell r="U4">
            <v>0.40857827976149302</v>
          </cell>
        </row>
        <row r="5">
          <cell r="A5" t="str">
            <v>1985-119Albis1987OTC</v>
          </cell>
          <cell r="B5" t="str">
            <v>1985-119</v>
          </cell>
          <cell r="C5" t="str">
            <v>Fuhrer</v>
          </cell>
          <cell r="D5" t="str">
            <v>Europe</v>
          </cell>
          <cell r="E5" t="str">
            <v>wheat</v>
          </cell>
          <cell r="F5" t="str">
            <v>Albis</v>
          </cell>
          <cell r="G5">
            <v>1987</v>
          </cell>
          <cell r="H5" t="str">
            <v>OTC</v>
          </cell>
          <cell r="I5" t="str">
            <v>field</v>
          </cell>
          <cell r="J5" t="str">
            <v>CF</v>
          </cell>
          <cell r="K5"/>
          <cell r="L5">
            <v>16</v>
          </cell>
          <cell r="M5">
            <v>8</v>
          </cell>
          <cell r="N5">
            <v>90</v>
          </cell>
          <cell r="O5">
            <v>4</v>
          </cell>
          <cell r="P5">
            <v>0</v>
          </cell>
          <cell r="Q5" t="str">
            <v>yield</v>
          </cell>
          <cell r="R5">
            <v>617</v>
          </cell>
          <cell r="S5" t="str">
            <v>611.171375734559</v>
          </cell>
          <cell r="T5" t="str">
            <v>1.03728893890112</v>
          </cell>
          <cell r="U5">
            <v>1</v>
          </cell>
        </row>
        <row r="6">
          <cell r="A6" t="str">
            <v>1985-119Albis1987OTC</v>
          </cell>
          <cell r="B6" t="str">
            <v>1985-119</v>
          </cell>
          <cell r="C6" t="str">
            <v>Fuhrer</v>
          </cell>
          <cell r="D6" t="str">
            <v>Europe</v>
          </cell>
          <cell r="E6" t="str">
            <v>wheat</v>
          </cell>
          <cell r="F6" t="str">
            <v>Albis</v>
          </cell>
          <cell r="G6">
            <v>1987</v>
          </cell>
          <cell r="H6" t="str">
            <v>OTC</v>
          </cell>
          <cell r="I6" t="str">
            <v>field</v>
          </cell>
          <cell r="J6" t="str">
            <v>NF</v>
          </cell>
          <cell r="K6"/>
          <cell r="L6">
            <v>33</v>
          </cell>
          <cell r="M6">
            <v>8</v>
          </cell>
          <cell r="N6">
            <v>90</v>
          </cell>
          <cell r="O6">
            <v>4</v>
          </cell>
          <cell r="P6">
            <v>2.0812598193567</v>
          </cell>
          <cell r="Q6" t="str">
            <v>yield</v>
          </cell>
          <cell r="R6">
            <v>554</v>
          </cell>
          <cell r="S6" t="str">
            <v>611.171375734559</v>
          </cell>
          <cell r="T6" t="str">
            <v>0.931374509159188</v>
          </cell>
          <cell r="U6">
            <v>0.93528862993781503</v>
          </cell>
        </row>
        <row r="7">
          <cell r="A7" t="str">
            <v>1985-119Albis1987OTC</v>
          </cell>
          <cell r="B7" t="str">
            <v>1985-119</v>
          </cell>
          <cell r="C7" t="str">
            <v>Fuhrer</v>
          </cell>
          <cell r="D7" t="str">
            <v>Europe</v>
          </cell>
          <cell r="E7" t="str">
            <v>wheat</v>
          </cell>
          <cell r="F7" t="str">
            <v>Albis</v>
          </cell>
          <cell r="G7">
            <v>1987</v>
          </cell>
          <cell r="H7" t="str">
            <v>OTC</v>
          </cell>
          <cell r="I7" t="str">
            <v>field</v>
          </cell>
          <cell r="J7" t="str">
            <v>EO3-1</v>
          </cell>
          <cell r="K7"/>
          <cell r="L7">
            <v>65</v>
          </cell>
          <cell r="M7">
            <v>8</v>
          </cell>
          <cell r="N7">
            <v>90</v>
          </cell>
          <cell r="O7">
            <v>4</v>
          </cell>
          <cell r="P7">
            <v>17.275867995722599</v>
          </cell>
          <cell r="Q7" t="str">
            <v>yield</v>
          </cell>
          <cell r="R7">
            <v>386</v>
          </cell>
          <cell r="S7" t="str">
            <v>611.171375734559</v>
          </cell>
          <cell r="T7" t="str">
            <v>0.648936029847376</v>
          </cell>
          <cell r="U7">
            <v>0.66357389793912602</v>
          </cell>
        </row>
        <row r="8">
          <cell r="A8" t="str">
            <v>1985-119Albis1987OTC</v>
          </cell>
          <cell r="B8" t="str">
            <v>1985-119</v>
          </cell>
          <cell r="C8" t="str">
            <v>Fuhrer</v>
          </cell>
          <cell r="D8" t="str">
            <v>Europe</v>
          </cell>
          <cell r="E8" t="str">
            <v>wheat</v>
          </cell>
          <cell r="F8" t="str">
            <v>Albis</v>
          </cell>
          <cell r="G8">
            <v>1987</v>
          </cell>
          <cell r="H8" t="str">
            <v>OTC</v>
          </cell>
          <cell r="I8" t="str">
            <v>field</v>
          </cell>
          <cell r="J8" t="str">
            <v>EO3-2</v>
          </cell>
          <cell r="K8"/>
          <cell r="L8">
            <v>95</v>
          </cell>
          <cell r="M8">
            <v>8</v>
          </cell>
          <cell r="N8">
            <v>90</v>
          </cell>
          <cell r="O8">
            <v>4</v>
          </cell>
          <cell r="P8">
            <v>37.769273886058301</v>
          </cell>
          <cell r="Q8" t="str">
            <v>yield</v>
          </cell>
          <cell r="R8">
            <v>213</v>
          </cell>
          <cell r="S8" t="str">
            <v>611.171375734559</v>
          </cell>
          <cell r="T8" t="str">
            <v>0.35809164341319</v>
          </cell>
          <cell r="U8">
            <v>0.36173057413905002</v>
          </cell>
        </row>
        <row r="9">
          <cell r="A9" t="str">
            <v>1985-119Albis1988OTC</v>
          </cell>
          <cell r="B9" t="str">
            <v>1985-119</v>
          </cell>
          <cell r="C9" t="str">
            <v>Fuhrer</v>
          </cell>
          <cell r="D9" t="str">
            <v>Europe</v>
          </cell>
          <cell r="E9" t="str">
            <v>wheat</v>
          </cell>
          <cell r="F9" t="str">
            <v>Albis</v>
          </cell>
          <cell r="G9">
            <v>1988</v>
          </cell>
          <cell r="H9" t="str">
            <v>OTC</v>
          </cell>
          <cell r="I9" t="str">
            <v>field</v>
          </cell>
          <cell r="J9" t="str">
            <v>CF</v>
          </cell>
          <cell r="K9"/>
          <cell r="L9">
            <v>22</v>
          </cell>
          <cell r="M9">
            <v>8</v>
          </cell>
          <cell r="N9">
            <v>81</v>
          </cell>
          <cell r="O9">
            <v>4</v>
          </cell>
          <cell r="P9">
            <v>0.16916951417220799</v>
          </cell>
          <cell r="Q9" t="str">
            <v>yield</v>
          </cell>
          <cell r="R9">
            <v>668</v>
          </cell>
          <cell r="S9" t="str">
            <v>634.528216207673</v>
          </cell>
          <cell r="T9" t="str">
            <v>1.08169074039199</v>
          </cell>
          <cell r="U9">
            <v>0.99366378382139198</v>
          </cell>
        </row>
        <row r="10">
          <cell r="A10" t="str">
            <v>1985-119Albis1988OTC</v>
          </cell>
          <cell r="B10" t="str">
            <v>1985-119</v>
          </cell>
          <cell r="C10" t="str">
            <v>Fuhrer</v>
          </cell>
          <cell r="D10" t="str">
            <v>Europe</v>
          </cell>
          <cell r="E10" t="str">
            <v>wheat</v>
          </cell>
          <cell r="F10" t="str">
            <v>Albis</v>
          </cell>
          <cell r="G10">
            <v>1988</v>
          </cell>
          <cell r="H10" t="str">
            <v>OTC</v>
          </cell>
          <cell r="I10" t="str">
            <v>field</v>
          </cell>
          <cell r="J10" t="str">
            <v>NF</v>
          </cell>
          <cell r="K10"/>
          <cell r="L10">
            <v>35</v>
          </cell>
          <cell r="M10">
            <v>8</v>
          </cell>
          <cell r="N10">
            <v>81</v>
          </cell>
          <cell r="O10">
            <v>4</v>
          </cell>
          <cell r="P10">
            <v>2.7820454495208602</v>
          </cell>
          <cell r="Q10" t="str">
            <v>yield</v>
          </cell>
          <cell r="R10">
            <v>611</v>
          </cell>
          <cell r="S10" t="str">
            <v>634.528216207673</v>
          </cell>
          <cell r="T10" t="str">
            <v>0.989390782005244</v>
          </cell>
          <cell r="U10">
            <v>0.91779028287435904</v>
          </cell>
        </row>
        <row r="11">
          <cell r="A11" t="str">
            <v>1985-119Albis1988OTC</v>
          </cell>
          <cell r="B11" t="str">
            <v>1985-119</v>
          </cell>
          <cell r="C11" t="str">
            <v>Fuhrer</v>
          </cell>
          <cell r="D11" t="str">
            <v>Europe</v>
          </cell>
          <cell r="E11" t="str">
            <v>wheat</v>
          </cell>
          <cell r="F11" t="str">
            <v>Albis</v>
          </cell>
          <cell r="G11">
            <v>1988</v>
          </cell>
          <cell r="H11" t="str">
            <v>OTC</v>
          </cell>
          <cell r="I11" t="str">
            <v>field</v>
          </cell>
          <cell r="J11" t="str">
            <v>EO3-1</v>
          </cell>
          <cell r="K11"/>
          <cell r="L11">
            <v>63</v>
          </cell>
          <cell r="M11">
            <v>8</v>
          </cell>
          <cell r="N11">
            <v>81</v>
          </cell>
          <cell r="O11">
            <v>4</v>
          </cell>
          <cell r="P11">
            <v>14.829808857695401</v>
          </cell>
          <cell r="Q11" t="str">
            <v>yield</v>
          </cell>
          <cell r="R11">
            <v>461</v>
          </cell>
          <cell r="S11" t="str">
            <v>634.528216207673</v>
          </cell>
          <cell r="T11" t="str">
            <v>0.746496154671715</v>
          </cell>
          <cell r="U11">
            <v>0.70136148993250902</v>
          </cell>
        </row>
        <row r="12">
          <cell r="A12" t="str">
            <v>1985-119Albis1988OTC</v>
          </cell>
          <cell r="B12" t="str">
            <v>1985-119</v>
          </cell>
          <cell r="C12" t="str">
            <v>Fuhrer</v>
          </cell>
          <cell r="D12" t="str">
            <v>Europe</v>
          </cell>
          <cell r="E12" t="str">
            <v>wheat</v>
          </cell>
          <cell r="F12" t="str">
            <v>Albis</v>
          </cell>
          <cell r="G12">
            <v>1988</v>
          </cell>
          <cell r="H12" t="str">
            <v>OTC</v>
          </cell>
          <cell r="I12" t="str">
            <v>field</v>
          </cell>
          <cell r="J12" t="str">
            <v>EO3-2</v>
          </cell>
          <cell r="K12"/>
          <cell r="L12">
            <v>89</v>
          </cell>
          <cell r="M12">
            <v>8</v>
          </cell>
          <cell r="N12">
            <v>81</v>
          </cell>
          <cell r="O12">
            <v>4</v>
          </cell>
          <cell r="P12">
            <v>30.493562298089302</v>
          </cell>
          <cell r="Q12" t="str">
            <v>yield</v>
          </cell>
          <cell r="R12">
            <v>231</v>
          </cell>
          <cell r="S12" t="str">
            <v>634.528216207673</v>
          </cell>
          <cell r="T12" t="str">
            <v>0.374057726093636</v>
          </cell>
          <cell r="U12">
            <v>0.46721022829009401</v>
          </cell>
        </row>
        <row r="13">
          <cell r="A13" t="str">
            <v>1991-89Drabant1987OTC</v>
          </cell>
          <cell r="B13" t="str">
            <v>1991-89</v>
          </cell>
          <cell r="C13" t="str">
            <v>Pleijel</v>
          </cell>
          <cell r="D13" t="str">
            <v>Europe</v>
          </cell>
          <cell r="E13" t="str">
            <v>wheat</v>
          </cell>
          <cell r="F13" t="str">
            <v>Drabant</v>
          </cell>
          <cell r="G13">
            <v>1987</v>
          </cell>
          <cell r="H13" t="str">
            <v>OTC</v>
          </cell>
          <cell r="I13" t="str">
            <v>field</v>
          </cell>
          <cell r="J13" t="str">
            <v>CF</v>
          </cell>
          <cell r="K13"/>
          <cell r="L13">
            <v>3</v>
          </cell>
          <cell r="M13">
            <v>7</v>
          </cell>
          <cell r="N13">
            <v>62</v>
          </cell>
          <cell r="O13">
            <v>7</v>
          </cell>
          <cell r="P13">
            <v>0</v>
          </cell>
          <cell r="Q13" t="str">
            <v>yield</v>
          </cell>
          <cell r="R13">
            <v>423</v>
          </cell>
          <cell r="S13" t="str">
            <v>408.45608306315</v>
          </cell>
          <cell r="T13" t="str">
            <v>1.06407585250337</v>
          </cell>
          <cell r="U13">
            <v>1</v>
          </cell>
        </row>
        <row r="14">
          <cell r="A14" t="str">
            <v>1991-89Drabant1987OTC</v>
          </cell>
          <cell r="B14" t="str">
            <v>1991-89</v>
          </cell>
          <cell r="C14" t="str">
            <v>Pleijel</v>
          </cell>
          <cell r="D14" t="str">
            <v>Europe</v>
          </cell>
          <cell r="E14" t="str">
            <v>wheat</v>
          </cell>
          <cell r="F14" t="str">
            <v>Drabant</v>
          </cell>
          <cell r="G14">
            <v>1987</v>
          </cell>
          <cell r="H14" t="str">
            <v>OTC</v>
          </cell>
          <cell r="I14" t="str">
            <v>field</v>
          </cell>
          <cell r="J14" t="str">
            <v>NF</v>
          </cell>
          <cell r="K14"/>
          <cell r="L14">
            <v>15</v>
          </cell>
          <cell r="M14">
            <v>7</v>
          </cell>
          <cell r="N14">
            <v>62</v>
          </cell>
          <cell r="O14">
            <v>7</v>
          </cell>
          <cell r="P14">
            <v>0</v>
          </cell>
          <cell r="Q14" t="str">
            <v>yield</v>
          </cell>
          <cell r="R14">
            <v>396</v>
          </cell>
          <cell r="S14" t="str">
            <v>408.45608306315</v>
          </cell>
          <cell r="T14" t="str">
            <v>0.996156117237198</v>
          </cell>
          <cell r="U14">
            <v>1</v>
          </cell>
        </row>
        <row r="15">
          <cell r="A15" t="str">
            <v>1991-89Drabant1987OTC</v>
          </cell>
          <cell r="B15" t="str">
            <v>1991-89</v>
          </cell>
          <cell r="C15" t="str">
            <v>Pleijel</v>
          </cell>
          <cell r="D15" t="str">
            <v>Europe</v>
          </cell>
          <cell r="E15" t="str">
            <v>wheat</v>
          </cell>
          <cell r="F15" t="str">
            <v>Drabant</v>
          </cell>
          <cell r="G15">
            <v>1987</v>
          </cell>
          <cell r="H15" t="str">
            <v>OTC</v>
          </cell>
          <cell r="I15" t="str">
            <v>field</v>
          </cell>
          <cell r="J15" t="str">
            <v>EO3</v>
          </cell>
          <cell r="K15"/>
          <cell r="L15">
            <v>42</v>
          </cell>
          <cell r="M15">
            <v>7</v>
          </cell>
          <cell r="N15">
            <v>62</v>
          </cell>
          <cell r="O15">
            <v>7</v>
          </cell>
          <cell r="P15">
            <v>0.52157833216543703</v>
          </cell>
          <cell r="Q15" t="str">
            <v>yield</v>
          </cell>
          <cell r="R15">
            <v>368</v>
          </cell>
          <cell r="S15" t="str">
            <v>408.45608306315</v>
          </cell>
          <cell r="T15" t="str">
            <v>0.925720836220427</v>
          </cell>
          <cell r="U15">
            <v>0.98125081511763201</v>
          </cell>
        </row>
        <row r="16">
          <cell r="A16" t="str">
            <v>1991-89Drabant1988OTC</v>
          </cell>
          <cell r="B16" t="str">
            <v>1991-89</v>
          </cell>
          <cell r="C16" t="str">
            <v>Pleijel</v>
          </cell>
          <cell r="D16" t="str">
            <v>Europe</v>
          </cell>
          <cell r="E16" t="str">
            <v>wheat</v>
          </cell>
          <cell r="F16" t="str">
            <v>Drabant</v>
          </cell>
          <cell r="G16">
            <v>1988</v>
          </cell>
          <cell r="H16" t="str">
            <v>OTC</v>
          </cell>
          <cell r="I16" t="str">
            <v>field</v>
          </cell>
          <cell r="J16" t="str">
            <v>CF</v>
          </cell>
          <cell r="K16"/>
          <cell r="L16">
            <v>6</v>
          </cell>
          <cell r="M16">
            <v>7</v>
          </cell>
          <cell r="N16">
            <v>56</v>
          </cell>
          <cell r="O16">
            <v>5</v>
          </cell>
          <cell r="P16">
            <v>0</v>
          </cell>
          <cell r="Q16" t="str">
            <v>yield</v>
          </cell>
          <cell r="R16">
            <v>615</v>
          </cell>
          <cell r="S16" t="str">
            <v>572.526739048357</v>
          </cell>
          <cell r="T16" t="str">
            <v>1.10371496175824</v>
          </cell>
          <cell r="U16">
            <v>1</v>
          </cell>
        </row>
        <row r="17">
          <cell r="A17" t="str">
            <v>1991-89Drabant1988OTC</v>
          </cell>
          <cell r="B17" t="str">
            <v>1991-89</v>
          </cell>
          <cell r="C17" t="str">
            <v>Pleijel</v>
          </cell>
          <cell r="D17" t="str">
            <v>Europe</v>
          </cell>
          <cell r="E17" t="str">
            <v>wheat</v>
          </cell>
          <cell r="F17" t="str">
            <v>Drabant</v>
          </cell>
          <cell r="G17">
            <v>1988</v>
          </cell>
          <cell r="H17" t="str">
            <v>OTC</v>
          </cell>
          <cell r="I17" t="str">
            <v>field</v>
          </cell>
          <cell r="J17" t="str">
            <v>NF</v>
          </cell>
          <cell r="K17"/>
          <cell r="L17">
            <v>22</v>
          </cell>
          <cell r="M17">
            <v>7</v>
          </cell>
          <cell r="N17">
            <v>56</v>
          </cell>
          <cell r="O17">
            <v>5</v>
          </cell>
          <cell r="P17">
            <v>2.6422220032823501E-2</v>
          </cell>
          <cell r="Q17" t="str">
            <v>yield</v>
          </cell>
          <cell r="R17">
            <v>577</v>
          </cell>
          <cell r="S17" t="str">
            <v>572.526739048357</v>
          </cell>
          <cell r="T17" t="str">
            <v>1.0355179397309</v>
          </cell>
          <cell r="U17">
            <v>0.99899261190558397</v>
          </cell>
        </row>
        <row r="18">
          <cell r="A18" t="str">
            <v>1991-89Drabant1988OTC</v>
          </cell>
          <cell r="B18" t="str">
            <v>1991-89</v>
          </cell>
          <cell r="C18" t="str">
            <v>Pleijel</v>
          </cell>
          <cell r="D18" t="str">
            <v>Europe</v>
          </cell>
          <cell r="E18" t="str">
            <v>wheat</v>
          </cell>
          <cell r="F18" t="str">
            <v>Drabant</v>
          </cell>
          <cell r="G18">
            <v>1988</v>
          </cell>
          <cell r="H18" t="str">
            <v>OTC</v>
          </cell>
          <cell r="I18" t="str">
            <v>field</v>
          </cell>
          <cell r="J18" t="str">
            <v>EO3-1</v>
          </cell>
          <cell r="K18"/>
          <cell r="L18">
            <v>44</v>
          </cell>
          <cell r="M18">
            <v>7</v>
          </cell>
          <cell r="N18">
            <v>56</v>
          </cell>
          <cell r="O18">
            <v>5</v>
          </cell>
          <cell r="P18">
            <v>1.28822803845163</v>
          </cell>
          <cell r="Q18" t="str">
            <v>yield</v>
          </cell>
          <cell r="R18">
            <v>535</v>
          </cell>
          <cell r="S18" t="str">
            <v>572.526739048357</v>
          </cell>
          <cell r="T18" t="str">
            <v>0.960142283805945</v>
          </cell>
          <cell r="U18">
            <v>0.95715781253516896</v>
          </cell>
        </row>
        <row r="19">
          <cell r="A19" t="str">
            <v>1991-89Drabant1988OTC</v>
          </cell>
          <cell r="B19" t="str">
            <v>1991-89</v>
          </cell>
          <cell r="C19" t="str">
            <v>Pleijel</v>
          </cell>
          <cell r="D19" t="str">
            <v>Europe</v>
          </cell>
          <cell r="E19" t="str">
            <v>wheat</v>
          </cell>
          <cell r="F19" t="str">
            <v>Drabant</v>
          </cell>
          <cell r="G19">
            <v>1988</v>
          </cell>
          <cell r="H19" t="str">
            <v>OTC</v>
          </cell>
          <cell r="I19" t="str">
            <v>field</v>
          </cell>
          <cell r="J19" t="str">
            <v>EO3-2</v>
          </cell>
          <cell r="K19"/>
          <cell r="L19">
            <v>56</v>
          </cell>
          <cell r="M19">
            <v>7</v>
          </cell>
          <cell r="N19">
            <v>56</v>
          </cell>
          <cell r="O19">
            <v>5</v>
          </cell>
          <cell r="P19">
            <v>2.5792630900391802</v>
          </cell>
          <cell r="Q19" t="str">
            <v>yield</v>
          </cell>
          <cell r="R19">
            <v>448</v>
          </cell>
          <cell r="S19" t="str">
            <v>572.526739048357</v>
          </cell>
          <cell r="T19" t="str">
            <v>0.804006996532829</v>
          </cell>
          <cell r="U19">
            <v>0.92270771669648</v>
          </cell>
        </row>
        <row r="20">
          <cell r="A20" t="str">
            <v>1992-37Albis1989OTC</v>
          </cell>
          <cell r="B20" t="str">
            <v>1992-37</v>
          </cell>
          <cell r="C20" t="str">
            <v>Fuhrer</v>
          </cell>
          <cell r="D20" t="str">
            <v>Europe</v>
          </cell>
          <cell r="E20" t="str">
            <v>wheat</v>
          </cell>
          <cell r="F20" t="str">
            <v>Albis</v>
          </cell>
          <cell r="G20">
            <v>1989</v>
          </cell>
          <cell r="H20" t="str">
            <v>OTC</v>
          </cell>
          <cell r="I20" t="str">
            <v>field</v>
          </cell>
          <cell r="J20" t="str">
            <v>CF</v>
          </cell>
          <cell r="K20"/>
          <cell r="L20">
            <v>20.000549761468498</v>
          </cell>
          <cell r="M20">
            <v>7</v>
          </cell>
          <cell r="N20">
            <v>91</v>
          </cell>
          <cell r="O20">
            <v>3</v>
          </cell>
          <cell r="P20">
            <v>0</v>
          </cell>
          <cell r="Q20" t="str">
            <v>yield</v>
          </cell>
          <cell r="R20">
            <v>661</v>
          </cell>
          <cell r="S20" t="str">
            <v>720.796051858337</v>
          </cell>
          <cell r="T20" t="str">
            <v>0.942251090984576</v>
          </cell>
          <cell r="U20">
            <v>1</v>
          </cell>
        </row>
        <row r="21">
          <cell r="A21" t="str">
            <v>1992-37Albis1989OTC</v>
          </cell>
          <cell r="B21" t="str">
            <v>1992-37</v>
          </cell>
          <cell r="C21" t="str">
            <v>Fuhrer</v>
          </cell>
          <cell r="D21" t="str">
            <v>Europe</v>
          </cell>
          <cell r="E21" t="str">
            <v>wheat</v>
          </cell>
          <cell r="F21" t="str">
            <v>Albis</v>
          </cell>
          <cell r="G21">
            <v>1989</v>
          </cell>
          <cell r="H21" t="str">
            <v>OTC</v>
          </cell>
          <cell r="I21" t="str">
            <v>field</v>
          </cell>
          <cell r="J21" t="str">
            <v>NF</v>
          </cell>
          <cell r="K21"/>
          <cell r="L21">
            <v>38.889957869522</v>
          </cell>
          <cell r="M21">
            <v>7</v>
          </cell>
          <cell r="N21">
            <v>91</v>
          </cell>
          <cell r="O21">
            <v>3</v>
          </cell>
          <cell r="P21">
            <v>4.6083782087559699</v>
          </cell>
          <cell r="Q21" t="str">
            <v>yield</v>
          </cell>
          <cell r="R21">
            <v>630</v>
          </cell>
          <cell r="S21" t="str">
            <v>720.796051858337</v>
          </cell>
          <cell r="T21" t="str">
            <v>0.898060797761396</v>
          </cell>
          <cell r="U21">
            <v>0.87744000778341102</v>
          </cell>
        </row>
        <row r="22">
          <cell r="A22" t="str">
            <v>1992-37Albis1989OTC</v>
          </cell>
          <cell r="B22" t="str">
            <v>1992-37</v>
          </cell>
          <cell r="C22" t="str">
            <v>Fuhrer</v>
          </cell>
          <cell r="D22" t="str">
            <v>Europe</v>
          </cell>
          <cell r="E22" t="str">
            <v>wheat</v>
          </cell>
          <cell r="F22" t="str">
            <v>Albis</v>
          </cell>
          <cell r="G22">
            <v>1989</v>
          </cell>
          <cell r="H22" t="str">
            <v>OTC</v>
          </cell>
          <cell r="I22" t="str">
            <v>field</v>
          </cell>
          <cell r="J22" t="str">
            <v>EO3-1</v>
          </cell>
          <cell r="K22"/>
          <cell r="L22">
            <v>53.890370190623301</v>
          </cell>
          <cell r="M22">
            <v>7</v>
          </cell>
          <cell r="N22">
            <v>91</v>
          </cell>
          <cell r="O22">
            <v>3</v>
          </cell>
          <cell r="P22">
            <v>11.012574761161099</v>
          </cell>
          <cell r="Q22" t="str">
            <v>yield</v>
          </cell>
          <cell r="R22">
            <v>536</v>
          </cell>
          <cell r="S22" t="str">
            <v>720.796051858337</v>
          </cell>
          <cell r="T22" t="str">
            <v>0.764064424762076</v>
          </cell>
          <cell r="U22">
            <v>0.76233969575396399</v>
          </cell>
        </row>
        <row r="23">
          <cell r="A23" t="str">
            <v>1992-37Albis1989OTC</v>
          </cell>
          <cell r="B23" t="str">
            <v>1992-37</v>
          </cell>
          <cell r="C23" t="str">
            <v>Fuhrer</v>
          </cell>
          <cell r="D23" t="str">
            <v>Europe</v>
          </cell>
          <cell r="E23" t="str">
            <v>wheat</v>
          </cell>
          <cell r="F23" t="str">
            <v>Albis</v>
          </cell>
          <cell r="G23">
            <v>1989</v>
          </cell>
          <cell r="H23" t="str">
            <v>OTC</v>
          </cell>
          <cell r="I23" t="str">
            <v>field</v>
          </cell>
          <cell r="J23" t="str">
            <v>EO3-2</v>
          </cell>
          <cell r="K23"/>
          <cell r="L23">
            <v>67.779640858309804</v>
          </cell>
          <cell r="M23">
            <v>7</v>
          </cell>
          <cell r="N23">
            <v>91</v>
          </cell>
          <cell r="O23">
            <v>3</v>
          </cell>
          <cell r="P23">
            <v>18.596503033997301</v>
          </cell>
          <cell r="Q23" t="str">
            <v>yield</v>
          </cell>
          <cell r="R23">
            <v>467</v>
          </cell>
          <cell r="S23" t="str">
            <v>720.796051858337</v>
          </cell>
          <cell r="T23" t="str">
            <v>0.665705385007257</v>
          </cell>
          <cell r="U23">
            <v>0.64345542694005797</v>
          </cell>
        </row>
        <row r="24">
          <cell r="A24" t="str">
            <v>1992-37Albis1990OTC</v>
          </cell>
          <cell r="B24" t="str">
            <v>1992-37</v>
          </cell>
          <cell r="C24" t="str">
            <v>Fuhrer</v>
          </cell>
          <cell r="D24" t="str">
            <v>Europe</v>
          </cell>
          <cell r="E24" t="str">
            <v>wheat</v>
          </cell>
          <cell r="F24" t="str">
            <v>Albis</v>
          </cell>
          <cell r="G24">
            <v>1990</v>
          </cell>
          <cell r="H24" t="str">
            <v>OTC</v>
          </cell>
          <cell r="I24" t="str">
            <v>field</v>
          </cell>
          <cell r="J24" t="str">
            <v>CF</v>
          </cell>
          <cell r="K24"/>
          <cell r="L24">
            <v>18.818200606618099</v>
          </cell>
          <cell r="M24">
            <v>7</v>
          </cell>
          <cell r="N24">
            <v>88</v>
          </cell>
          <cell r="O24">
            <v>3</v>
          </cell>
          <cell r="P24">
            <v>0</v>
          </cell>
          <cell r="Q24" t="str">
            <v>yield</v>
          </cell>
          <cell r="R24">
            <v>739</v>
          </cell>
          <cell r="S24" t="str">
            <v>867.060552786109</v>
          </cell>
          <cell r="T24" t="str">
            <v>0.875734781149198</v>
          </cell>
          <cell r="U24">
            <v>1</v>
          </cell>
        </row>
        <row r="25">
          <cell r="A25" t="str">
            <v>1992-37Albis1990OTC</v>
          </cell>
          <cell r="B25" t="str">
            <v>1992-37</v>
          </cell>
          <cell r="C25" t="str">
            <v>Fuhrer</v>
          </cell>
          <cell r="D25" t="str">
            <v>Europe</v>
          </cell>
          <cell r="E25" t="str">
            <v>wheat</v>
          </cell>
          <cell r="F25" t="str">
            <v>Albis</v>
          </cell>
          <cell r="G25">
            <v>1990</v>
          </cell>
          <cell r="H25" t="str">
            <v>OTC</v>
          </cell>
          <cell r="I25" t="str">
            <v>field</v>
          </cell>
          <cell r="J25" t="str">
            <v>NF</v>
          </cell>
          <cell r="K25"/>
          <cell r="L25">
            <v>42.064213120675802</v>
          </cell>
          <cell r="M25">
            <v>7</v>
          </cell>
          <cell r="N25">
            <v>88</v>
          </cell>
          <cell r="O25">
            <v>3</v>
          </cell>
          <cell r="P25">
            <v>6.5846869894592803</v>
          </cell>
          <cell r="Q25" t="str">
            <v>yield</v>
          </cell>
          <cell r="R25">
            <v>688</v>
          </cell>
          <cell r="S25" t="str">
            <v>867.060552786109</v>
          </cell>
          <cell r="T25" t="str">
            <v>0.815298416008996</v>
          </cell>
          <cell r="U25">
            <v>0.83898537081868596</v>
          </cell>
        </row>
        <row r="26">
          <cell r="A26" t="str">
            <v>1992-37Albis1990OTC</v>
          </cell>
          <cell r="B26" t="str">
            <v>1992-37</v>
          </cell>
          <cell r="C26" t="str">
            <v>Fuhrer</v>
          </cell>
          <cell r="D26" t="str">
            <v>Europe</v>
          </cell>
          <cell r="E26" t="str">
            <v>wheat</v>
          </cell>
          <cell r="F26" t="str">
            <v>Albis</v>
          </cell>
          <cell r="G26">
            <v>1990</v>
          </cell>
          <cell r="H26" t="str">
            <v>OTC</v>
          </cell>
          <cell r="I26" t="str">
            <v>field</v>
          </cell>
          <cell r="J26" t="str">
            <v>EO3-1</v>
          </cell>
          <cell r="K26"/>
          <cell r="L26">
            <v>60.328937238863901</v>
          </cell>
          <cell r="M26">
            <v>7</v>
          </cell>
          <cell r="N26">
            <v>88</v>
          </cell>
          <cell r="O26">
            <v>3</v>
          </cell>
          <cell r="P26">
            <v>15.4082260212028</v>
          </cell>
          <cell r="Q26" t="str">
            <v>yield</v>
          </cell>
          <cell r="R26">
            <v>630</v>
          </cell>
          <cell r="S26" t="str">
            <v>867.060552786109</v>
          </cell>
          <cell r="T26" t="str">
            <v>0.74656686349661</v>
          </cell>
          <cell r="U26">
            <v>0.69235476334354495</v>
          </cell>
        </row>
        <row r="27">
          <cell r="A27" t="str">
            <v>1992-37Albis1990OTC</v>
          </cell>
          <cell r="B27" t="str">
            <v>1992-37</v>
          </cell>
          <cell r="C27" t="str">
            <v>Fuhrer</v>
          </cell>
          <cell r="D27" t="str">
            <v>Europe</v>
          </cell>
          <cell r="E27" t="str">
            <v>wheat</v>
          </cell>
          <cell r="F27" t="str">
            <v>Albis</v>
          </cell>
          <cell r="G27">
            <v>1990</v>
          </cell>
          <cell r="H27" t="str">
            <v>OTC</v>
          </cell>
          <cell r="I27" t="str">
            <v>field</v>
          </cell>
          <cell r="J27" t="str">
            <v>EO3-2</v>
          </cell>
          <cell r="K27"/>
          <cell r="L27">
            <v>77.486708380192198</v>
          </cell>
          <cell r="M27">
            <v>7</v>
          </cell>
          <cell r="N27">
            <v>88</v>
          </cell>
          <cell r="O27">
            <v>3</v>
          </cell>
          <cell r="P27">
            <v>25.126809126261598</v>
          </cell>
          <cell r="Q27" t="str">
            <v>yield</v>
          </cell>
          <cell r="R27">
            <v>502</v>
          </cell>
          <cell r="S27" t="str">
            <v>867.060552786109</v>
          </cell>
          <cell r="T27" t="str">
            <v>0.594883437262378</v>
          </cell>
          <cell r="U27">
            <v>0.54589197580136095</v>
          </cell>
        </row>
        <row r="28">
          <cell r="A28" t="str">
            <v>1996-30Promessa1991OTC</v>
          </cell>
          <cell r="B28" t="str">
            <v>1996-30</v>
          </cell>
          <cell r="C28" t="str">
            <v>Finnan</v>
          </cell>
          <cell r="D28" t="str">
            <v>Europe</v>
          </cell>
          <cell r="E28" t="str">
            <v>wheat</v>
          </cell>
          <cell r="F28" t="str">
            <v>Promessa</v>
          </cell>
          <cell r="G28">
            <v>1991</v>
          </cell>
          <cell r="H28" t="str">
            <v>OTC</v>
          </cell>
          <cell r="I28" t="str">
            <v>field</v>
          </cell>
          <cell r="J28" t="str">
            <v>CF</v>
          </cell>
          <cell r="K28"/>
          <cell r="L28">
            <v>5.6</v>
          </cell>
          <cell r="M28">
            <v>12</v>
          </cell>
          <cell r="N28">
            <v>102</v>
          </cell>
          <cell r="O28">
            <v>3</v>
          </cell>
          <cell r="P28">
            <v>0</v>
          </cell>
          <cell r="Q28" t="str">
            <v>yield</v>
          </cell>
          <cell r="R28">
            <v>1616</v>
          </cell>
          <cell r="S28" t="str">
            <v>1336.40938327353</v>
          </cell>
          <cell r="T28" t="str">
            <v>1.24245145439415</v>
          </cell>
          <cell r="U28">
            <v>1</v>
          </cell>
        </row>
        <row r="29">
          <cell r="A29" t="str">
            <v>1996-30Promessa1991OTC</v>
          </cell>
          <cell r="B29" t="str">
            <v>1996-30</v>
          </cell>
          <cell r="C29" t="str">
            <v>Finnan</v>
          </cell>
          <cell r="D29" t="str">
            <v>Europe</v>
          </cell>
          <cell r="E29" t="str">
            <v>wheat</v>
          </cell>
          <cell r="F29" t="str">
            <v>Promessa</v>
          </cell>
          <cell r="G29">
            <v>1991</v>
          </cell>
          <cell r="H29" t="str">
            <v>OTC</v>
          </cell>
          <cell r="I29" t="str">
            <v>field</v>
          </cell>
          <cell r="J29" t="str">
            <v>NF</v>
          </cell>
          <cell r="K29"/>
          <cell r="L29">
            <v>24.9099</v>
          </cell>
          <cell r="M29">
            <v>12</v>
          </cell>
          <cell r="N29">
            <v>102</v>
          </cell>
          <cell r="O29">
            <v>3</v>
          </cell>
          <cell r="P29">
            <v>0.37197880276734202</v>
          </cell>
          <cell r="Q29" t="str">
            <v>yield</v>
          </cell>
          <cell r="R29">
            <v>1676</v>
          </cell>
          <cell r="S29" t="str">
            <v>1336.40938327353</v>
          </cell>
          <cell r="T29" t="str">
            <v>1.28858207770087</v>
          </cell>
          <cell r="U29">
            <v>0.98639947582968102</v>
          </cell>
        </row>
        <row r="30">
          <cell r="A30" t="str">
            <v>1996-30Promessa1991OTC</v>
          </cell>
          <cell r="B30" t="str">
            <v>1996-30</v>
          </cell>
          <cell r="C30" t="str">
            <v>Finnan</v>
          </cell>
          <cell r="D30" t="str">
            <v>Europe</v>
          </cell>
          <cell r="E30" t="str">
            <v>wheat</v>
          </cell>
          <cell r="F30" t="str">
            <v>Promessa</v>
          </cell>
          <cell r="G30">
            <v>1991</v>
          </cell>
          <cell r="H30" t="str">
            <v>OTC</v>
          </cell>
          <cell r="I30" t="str">
            <v>field</v>
          </cell>
          <cell r="J30" t="str">
            <v>EO3-1</v>
          </cell>
          <cell r="K30"/>
          <cell r="L30">
            <v>32.614100000000001</v>
          </cell>
          <cell r="M30">
            <v>12</v>
          </cell>
          <cell r="N30">
            <v>102</v>
          </cell>
          <cell r="O30">
            <v>3</v>
          </cell>
          <cell r="P30">
            <v>1.9622365305235701</v>
          </cell>
          <cell r="Q30" t="str">
            <v>yield</v>
          </cell>
          <cell r="R30">
            <v>752</v>
          </cell>
          <cell r="S30" t="str">
            <v>1336.40938327353</v>
          </cell>
          <cell r="T30" t="str">
            <v>0.578170478777477</v>
          </cell>
          <cell r="U30">
            <v>0.93841424768567405</v>
          </cell>
        </row>
        <row r="31">
          <cell r="A31" t="str">
            <v>1996-30Promessa1992OTC</v>
          </cell>
          <cell r="B31" t="str">
            <v>1996-30</v>
          </cell>
          <cell r="C31" t="str">
            <v>Finnan</v>
          </cell>
          <cell r="D31" t="str">
            <v>Europe</v>
          </cell>
          <cell r="E31" t="str">
            <v>wheat</v>
          </cell>
          <cell r="F31" t="str">
            <v>Promessa</v>
          </cell>
          <cell r="G31">
            <v>1992</v>
          </cell>
          <cell r="H31" t="str">
            <v>OTC</v>
          </cell>
          <cell r="I31" t="str">
            <v>field</v>
          </cell>
          <cell r="J31" t="str">
            <v>CF</v>
          </cell>
          <cell r="K31"/>
          <cell r="L31">
            <v>6.2309000000000001</v>
          </cell>
          <cell r="M31">
            <v>12</v>
          </cell>
          <cell r="N31">
            <v>102</v>
          </cell>
          <cell r="O31">
            <v>3</v>
          </cell>
          <cell r="P31">
            <v>0</v>
          </cell>
          <cell r="Q31" t="str">
            <v>yield</v>
          </cell>
          <cell r="R31">
            <v>1288</v>
          </cell>
          <cell r="S31" t="str">
            <v>1451.0160333032</v>
          </cell>
          <cell r="T31" t="str">
            <v>0.912055444825919</v>
          </cell>
          <cell r="U31">
            <v>1</v>
          </cell>
        </row>
        <row r="32">
          <cell r="A32" t="str">
            <v>1996-30Promessa1992OTC</v>
          </cell>
          <cell r="B32" t="str">
            <v>1996-30</v>
          </cell>
          <cell r="C32" t="str">
            <v>Finnan</v>
          </cell>
          <cell r="D32" t="str">
            <v>Europe</v>
          </cell>
          <cell r="E32" t="str">
            <v>wheat</v>
          </cell>
          <cell r="F32" t="str">
            <v>Promessa</v>
          </cell>
          <cell r="G32">
            <v>1992</v>
          </cell>
          <cell r="H32" t="str">
            <v>OTC</v>
          </cell>
          <cell r="I32" t="str">
            <v>field</v>
          </cell>
          <cell r="J32" t="str">
            <v>NF</v>
          </cell>
          <cell r="K32"/>
          <cell r="L32">
            <v>25.098700000000001</v>
          </cell>
          <cell r="M32">
            <v>12</v>
          </cell>
          <cell r="N32">
            <v>102</v>
          </cell>
          <cell r="O32">
            <v>3</v>
          </cell>
          <cell r="P32">
            <v>0.39783406177585601</v>
          </cell>
          <cell r="Q32" t="str">
            <v>yield</v>
          </cell>
          <cell r="R32">
            <v>1328</v>
          </cell>
          <cell r="S32" t="str">
            <v>1451.0160333032</v>
          </cell>
          <cell r="T32" t="str">
            <v>0.940380148081383</v>
          </cell>
          <cell r="U32">
            <v>0.98549744997819699</v>
          </cell>
        </row>
        <row r="33">
          <cell r="A33" t="str">
            <v>1996-30Promessa1992OTC</v>
          </cell>
          <cell r="B33" t="str">
            <v>1996-30</v>
          </cell>
          <cell r="C33" t="str">
            <v>Finnan</v>
          </cell>
          <cell r="D33" t="str">
            <v>Europe</v>
          </cell>
          <cell r="E33" t="str">
            <v>wheat</v>
          </cell>
          <cell r="F33" t="str">
            <v>Promessa</v>
          </cell>
          <cell r="G33">
            <v>1992</v>
          </cell>
          <cell r="H33" t="str">
            <v>OTC</v>
          </cell>
          <cell r="I33" t="str">
            <v>field</v>
          </cell>
          <cell r="J33" t="str">
            <v>EO3-2</v>
          </cell>
          <cell r="K33"/>
          <cell r="L33">
            <v>33.418599999999998</v>
          </cell>
          <cell r="M33">
            <v>12</v>
          </cell>
          <cell r="N33">
            <v>102</v>
          </cell>
          <cell r="O33">
            <v>3</v>
          </cell>
          <cell r="P33">
            <v>2.2160216957603098</v>
          </cell>
          <cell r="Q33" t="str">
            <v>yield</v>
          </cell>
          <cell r="R33">
            <v>1512</v>
          </cell>
          <cell r="S33" t="str">
            <v>1451.0160333032</v>
          </cell>
          <cell r="T33" t="str">
            <v>1.07067378305651</v>
          </cell>
          <cell r="U33">
            <v>0.93180782613893398</v>
          </cell>
        </row>
        <row r="34">
          <cell r="A34" t="str">
            <v>1996-30Promessa1993OTC</v>
          </cell>
          <cell r="B34" t="str">
            <v>1996-30</v>
          </cell>
          <cell r="C34" t="str">
            <v>Finnan</v>
          </cell>
          <cell r="D34" t="str">
            <v>Europe</v>
          </cell>
          <cell r="E34" t="str">
            <v>wheat</v>
          </cell>
          <cell r="F34" t="str">
            <v>Promessa</v>
          </cell>
          <cell r="G34">
            <v>1993</v>
          </cell>
          <cell r="H34" t="str">
            <v>OTC</v>
          </cell>
          <cell r="I34" t="str">
            <v>field</v>
          </cell>
          <cell r="J34" t="str">
            <v>CF</v>
          </cell>
          <cell r="K34"/>
          <cell r="L34">
            <v>6.7001999999999997</v>
          </cell>
          <cell r="M34">
            <v>12</v>
          </cell>
          <cell r="N34">
            <v>102</v>
          </cell>
          <cell r="O34">
            <v>3</v>
          </cell>
          <cell r="P34">
            <v>0</v>
          </cell>
          <cell r="Q34" t="str">
            <v>yield</v>
          </cell>
          <cell r="R34">
            <v>1620</v>
          </cell>
          <cell r="S34" t="str">
            <v>1629.12444723888</v>
          </cell>
          <cell r="T34" t="str">
            <v>1.02173516860026</v>
          </cell>
          <cell r="U34">
            <v>1</v>
          </cell>
        </row>
        <row r="35">
          <cell r="A35" t="str">
            <v>1996-30Promessa1993OTC</v>
          </cell>
          <cell r="B35" t="str">
            <v>1996-30</v>
          </cell>
          <cell r="C35" t="str">
            <v>Finnan</v>
          </cell>
          <cell r="D35" t="str">
            <v>Europe</v>
          </cell>
          <cell r="E35" t="str">
            <v>wheat</v>
          </cell>
          <cell r="F35" t="str">
            <v>Promessa</v>
          </cell>
          <cell r="G35">
            <v>1993</v>
          </cell>
          <cell r="H35" t="str">
            <v>OTC</v>
          </cell>
          <cell r="I35" t="str">
            <v>field</v>
          </cell>
          <cell r="J35" t="str">
            <v>EO3-2</v>
          </cell>
          <cell r="K35"/>
          <cell r="L35">
            <v>33.987499999999997</v>
          </cell>
          <cell r="M35">
            <v>12</v>
          </cell>
          <cell r="N35">
            <v>102</v>
          </cell>
          <cell r="O35">
            <v>3</v>
          </cell>
          <cell r="P35">
            <v>2.4089980077313702</v>
          </cell>
          <cell r="Q35" t="str">
            <v>yield</v>
          </cell>
          <cell r="R35">
            <v>1568</v>
          </cell>
          <cell r="S35" t="str">
            <v>1629.12444723888</v>
          </cell>
          <cell r="T35" t="str">
            <v>0.988938731089632</v>
          </cell>
          <cell r="U35">
            <v>0.92692432175523898</v>
          </cell>
        </row>
        <row r="36">
          <cell r="A36" t="str">
            <v>1996-30Promessa1993OTC</v>
          </cell>
          <cell r="B36" t="str">
            <v>1996-30</v>
          </cell>
          <cell r="C36" t="str">
            <v>Finnan</v>
          </cell>
          <cell r="D36" t="str">
            <v>Europe</v>
          </cell>
          <cell r="E36" t="str">
            <v>wheat</v>
          </cell>
          <cell r="F36" t="str">
            <v>Promessa</v>
          </cell>
          <cell r="G36">
            <v>1993</v>
          </cell>
          <cell r="H36" t="str">
            <v>OTC</v>
          </cell>
          <cell r="I36" t="str">
            <v>field</v>
          </cell>
          <cell r="J36" t="str">
            <v>EO3-1</v>
          </cell>
          <cell r="K36"/>
          <cell r="L36">
            <v>34.003999999999998</v>
          </cell>
          <cell r="M36">
            <v>12</v>
          </cell>
          <cell r="N36">
            <v>102</v>
          </cell>
          <cell r="O36">
            <v>3</v>
          </cell>
          <cell r="P36">
            <v>2.4147688436996</v>
          </cell>
          <cell r="Q36" t="str">
            <v>yield</v>
          </cell>
          <cell r="R36">
            <v>1348</v>
          </cell>
          <cell r="S36" t="str">
            <v>1629.12444723888</v>
          </cell>
          <cell r="T36" t="str">
            <v>0.850184572390832</v>
          </cell>
          <cell r="U36">
            <v>0.92678003100345197</v>
          </cell>
        </row>
        <row r="37">
          <cell r="A37" t="str">
            <v>1997-75Minaret1995OTC</v>
          </cell>
          <cell r="B37" t="str">
            <v>1997-75</v>
          </cell>
          <cell r="C37" t="str">
            <v>Mulholland</v>
          </cell>
          <cell r="D37" t="str">
            <v>Europe</v>
          </cell>
          <cell r="E37" t="str">
            <v>wheat</v>
          </cell>
          <cell r="F37" t="str">
            <v>Minaret</v>
          </cell>
          <cell r="G37">
            <v>1995</v>
          </cell>
          <cell r="H37" t="str">
            <v>OTC</v>
          </cell>
          <cell r="I37" t="str">
            <v>field</v>
          </cell>
          <cell r="J37" t="str">
            <v>AA</v>
          </cell>
          <cell r="K37">
            <v>1.357</v>
          </cell>
          <cell r="L37">
            <v>26</v>
          </cell>
          <cell r="M37">
            <v>7</v>
          </cell>
          <cell r="N37">
            <v>104</v>
          </cell>
          <cell r="O37">
            <v>3</v>
          </cell>
          <cell r="P37">
            <v>1.17432692307692</v>
          </cell>
          <cell r="Q37" t="str">
            <v>yield</v>
          </cell>
          <cell r="R37">
            <v>627.4</v>
          </cell>
          <cell r="S37" t="str">
            <v>788.071052938247</v>
          </cell>
          <cell r="T37" t="str">
            <v>0.818006448841272</v>
          </cell>
          <cell r="U37">
            <v>0.96052655524031305</v>
          </cell>
        </row>
        <row r="38">
          <cell r="A38" t="str">
            <v>1997-75Minaret1995OTC</v>
          </cell>
          <cell r="B38" t="str">
            <v>1997-75</v>
          </cell>
          <cell r="C38" t="str">
            <v>Mulholland</v>
          </cell>
          <cell r="D38" t="str">
            <v>Europe</v>
          </cell>
          <cell r="E38" t="str">
            <v>wheat</v>
          </cell>
          <cell r="F38" t="str">
            <v>Minaret</v>
          </cell>
          <cell r="G38">
            <v>1995</v>
          </cell>
          <cell r="H38" t="str">
            <v>OTC</v>
          </cell>
          <cell r="I38" t="str">
            <v>field</v>
          </cell>
          <cell r="J38" t="str">
            <v>EO3</v>
          </cell>
          <cell r="K38">
            <v>18.670999999999999</v>
          </cell>
          <cell r="L38">
            <v>60</v>
          </cell>
          <cell r="M38">
            <v>7</v>
          </cell>
          <cell r="N38">
            <v>104</v>
          </cell>
          <cell r="O38">
            <v>3</v>
          </cell>
          <cell r="P38">
            <v>16.1575961538462</v>
          </cell>
          <cell r="Q38" t="str">
            <v>yield</v>
          </cell>
          <cell r="R38">
            <v>613.1</v>
          </cell>
          <cell r="S38" t="str">
            <v>788.071052938247</v>
          </cell>
          <cell r="T38" t="str">
            <v>0.799362055761211</v>
          </cell>
          <cell r="U38">
            <v>0.68075506218372195</v>
          </cell>
        </row>
        <row r="39">
          <cell r="A39" t="str">
            <v>1998-73Minaret1996OTC</v>
          </cell>
          <cell r="B39" t="str">
            <v>1998-73</v>
          </cell>
          <cell r="C39" t="str">
            <v>Mulholland</v>
          </cell>
          <cell r="D39" t="str">
            <v>Europe</v>
          </cell>
          <cell r="E39" t="str">
            <v>wheat</v>
          </cell>
          <cell r="F39" t="str">
            <v>Minaret</v>
          </cell>
          <cell r="G39">
            <v>1996</v>
          </cell>
          <cell r="H39" t="str">
            <v>OTC</v>
          </cell>
          <cell r="I39" t="str">
            <v>field</v>
          </cell>
          <cell r="J39" t="str">
            <v>AA</v>
          </cell>
          <cell r="K39">
            <v>1.887</v>
          </cell>
          <cell r="L39">
            <v>26</v>
          </cell>
          <cell r="M39">
            <v>7</v>
          </cell>
          <cell r="N39">
            <v>115</v>
          </cell>
          <cell r="O39">
            <v>3</v>
          </cell>
          <cell r="P39">
            <v>1.4767826086956499</v>
          </cell>
          <cell r="Q39" t="str">
            <v>yield</v>
          </cell>
          <cell r="R39">
            <v>918</v>
          </cell>
          <cell r="S39" t="str">
            <v>1137.48296754718</v>
          </cell>
          <cell r="T39" t="str">
            <v>0.829230690844709</v>
          </cell>
          <cell r="U39">
            <v>0.95171869229018102</v>
          </cell>
        </row>
        <row r="40">
          <cell r="A40" t="str">
            <v>1998-73Minaret1996OTC</v>
          </cell>
          <cell r="B40" t="str">
            <v>1998-73</v>
          </cell>
          <cell r="C40" t="str">
            <v>Mulholland</v>
          </cell>
          <cell r="D40" t="str">
            <v>Europe</v>
          </cell>
          <cell r="E40" t="str">
            <v>wheat</v>
          </cell>
          <cell r="F40" t="str">
            <v>Minaret</v>
          </cell>
          <cell r="G40">
            <v>1996</v>
          </cell>
          <cell r="H40" t="str">
            <v>OTC</v>
          </cell>
          <cell r="I40" t="str">
            <v>field</v>
          </cell>
          <cell r="J40" t="str">
            <v>EO3</v>
          </cell>
          <cell r="K40">
            <v>35.497999999999998</v>
          </cell>
          <cell r="L40">
            <v>84</v>
          </cell>
          <cell r="M40">
            <v>7</v>
          </cell>
          <cell r="N40">
            <v>115</v>
          </cell>
          <cell r="O40">
            <v>3</v>
          </cell>
          <cell r="P40">
            <v>27.781043478260901</v>
          </cell>
          <cell r="Q40" t="str">
            <v>yield</v>
          </cell>
          <cell r="R40">
            <v>644</v>
          </cell>
          <cell r="S40" t="str">
            <v>1137.48296754718</v>
          </cell>
          <cell r="T40" t="str">
            <v>0.581726105559905</v>
          </cell>
          <cell r="U40">
            <v>0.50685685117486601</v>
          </cell>
        </row>
        <row r="41">
          <cell r="A41" t="str">
            <v>1995-120Ralle1991OTC</v>
          </cell>
          <cell r="B41" t="str">
            <v>1995-120</v>
          </cell>
          <cell r="C41" t="str">
            <v>Mortensen</v>
          </cell>
          <cell r="D41" t="str">
            <v>Europe</v>
          </cell>
          <cell r="E41" t="str">
            <v>wheat</v>
          </cell>
          <cell r="F41" t="str">
            <v>Ralle</v>
          </cell>
          <cell r="G41">
            <v>1991</v>
          </cell>
          <cell r="H41" t="str">
            <v>OTC</v>
          </cell>
          <cell r="I41" t="str">
            <v>field</v>
          </cell>
          <cell r="J41" t="str">
            <v>CF</v>
          </cell>
          <cell r="K41"/>
          <cell r="L41">
            <v>17</v>
          </cell>
          <cell r="M41">
            <v>8</v>
          </cell>
          <cell r="N41">
            <v>67</v>
          </cell>
          <cell r="O41">
            <v>5</v>
          </cell>
          <cell r="P41">
            <v>0</v>
          </cell>
          <cell r="Q41" t="str">
            <v>yield</v>
          </cell>
          <cell r="R41">
            <v>1480</v>
          </cell>
          <cell r="S41" t="str">
            <v>1437.23379545094</v>
          </cell>
          <cell r="T41" t="str">
            <v>1.0580638665858</v>
          </cell>
          <cell r="U41">
            <v>1</v>
          </cell>
        </row>
        <row r="42">
          <cell r="A42" t="str">
            <v>1995-120Ralle1991OTC</v>
          </cell>
          <cell r="B42" t="str">
            <v>1995-120</v>
          </cell>
          <cell r="C42" t="str">
            <v>Mortensen</v>
          </cell>
          <cell r="D42" t="str">
            <v>Europe</v>
          </cell>
          <cell r="E42" t="str">
            <v>wheat</v>
          </cell>
          <cell r="F42" t="str">
            <v>Ralle</v>
          </cell>
          <cell r="G42">
            <v>1991</v>
          </cell>
          <cell r="H42" t="str">
            <v>OTC</v>
          </cell>
          <cell r="I42" t="str">
            <v>field</v>
          </cell>
          <cell r="J42" t="str">
            <v>NF</v>
          </cell>
          <cell r="K42"/>
          <cell r="L42">
            <v>29</v>
          </cell>
          <cell r="M42">
            <v>8</v>
          </cell>
          <cell r="N42">
            <v>67</v>
          </cell>
          <cell r="O42">
            <v>5</v>
          </cell>
          <cell r="P42">
            <v>1.0571921133271101</v>
          </cell>
          <cell r="Q42" t="str">
            <v>yield</v>
          </cell>
          <cell r="R42">
            <v>1320</v>
          </cell>
          <cell r="S42" t="str">
            <v>1437.23379545094</v>
          </cell>
          <cell r="T42" t="str">
            <v>0.943678583711658</v>
          </cell>
          <cell r="U42">
            <v>0.96406079327397898</v>
          </cell>
        </row>
        <row r="43">
          <cell r="A43" t="str">
            <v>1995-120Ralle1991OTC</v>
          </cell>
          <cell r="B43" t="str">
            <v>1995-120</v>
          </cell>
          <cell r="C43" t="str">
            <v>Mortensen</v>
          </cell>
          <cell r="D43" t="str">
            <v>Europe</v>
          </cell>
          <cell r="E43" t="str">
            <v>wheat</v>
          </cell>
          <cell r="F43" t="str">
            <v>Ralle</v>
          </cell>
          <cell r="G43">
            <v>1991</v>
          </cell>
          <cell r="H43" t="str">
            <v>OTC</v>
          </cell>
          <cell r="I43" t="str">
            <v>field</v>
          </cell>
          <cell r="J43" t="str">
            <v>EO3</v>
          </cell>
          <cell r="K43"/>
          <cell r="L43">
            <v>61</v>
          </cell>
          <cell r="M43">
            <v>8</v>
          </cell>
          <cell r="N43">
            <v>67</v>
          </cell>
          <cell r="O43">
            <v>5</v>
          </cell>
          <cell r="P43">
            <v>8.7904993566869791</v>
          </cell>
          <cell r="Q43" t="str">
            <v>yield</v>
          </cell>
          <cell r="R43">
            <v>1080</v>
          </cell>
          <cell r="S43" t="str">
            <v>1437.23379545094</v>
          </cell>
          <cell r="T43" t="str">
            <v>0.772100659400447</v>
          </cell>
          <cell r="U43">
            <v>0.79966020192090603</v>
          </cell>
        </row>
        <row r="44">
          <cell r="A44" t="str">
            <v>1998-75Satu1992OTC</v>
          </cell>
          <cell r="B44" t="str">
            <v>1998-75</v>
          </cell>
          <cell r="C44" t="str">
            <v>Ojanperä</v>
          </cell>
          <cell r="D44" t="str">
            <v>Europe</v>
          </cell>
          <cell r="E44" t="str">
            <v>wheat</v>
          </cell>
          <cell r="F44" t="str">
            <v>Satu</v>
          </cell>
          <cell r="G44">
            <v>1992</v>
          </cell>
          <cell r="H44" t="str">
            <v>OTC</v>
          </cell>
          <cell r="I44" t="str">
            <v>field</v>
          </cell>
          <cell r="J44" t="str">
            <v>CF</v>
          </cell>
          <cell r="K44">
            <v>0</v>
          </cell>
          <cell r="L44">
            <v>14</v>
          </cell>
          <cell r="M44">
            <v>8</v>
          </cell>
          <cell r="N44">
            <v>78</v>
          </cell>
          <cell r="O44">
            <v>5</v>
          </cell>
          <cell r="P44">
            <v>0</v>
          </cell>
          <cell r="Q44" t="str">
            <v>yield</v>
          </cell>
          <cell r="R44">
            <v>350</v>
          </cell>
          <cell r="S44" t="str">
            <v>393.840075502932</v>
          </cell>
          <cell r="T44" t="str">
            <v>0.913115525280915</v>
          </cell>
          <cell r="U44">
            <v>1</v>
          </cell>
        </row>
        <row r="45">
          <cell r="A45" t="str">
            <v>1998-75Satu1992OTC</v>
          </cell>
          <cell r="B45" t="str">
            <v>1998-75</v>
          </cell>
          <cell r="C45" t="str">
            <v>Ojanperä</v>
          </cell>
          <cell r="D45" t="str">
            <v>Europe</v>
          </cell>
          <cell r="E45" t="str">
            <v>wheat</v>
          </cell>
          <cell r="F45" t="str">
            <v>Satu</v>
          </cell>
          <cell r="G45">
            <v>1992</v>
          </cell>
          <cell r="H45" t="str">
            <v>OTC</v>
          </cell>
          <cell r="I45" t="str">
            <v>field</v>
          </cell>
          <cell r="J45" t="str">
            <v>NF</v>
          </cell>
          <cell r="K45">
            <v>0.67100000000000004</v>
          </cell>
          <cell r="L45">
            <v>30</v>
          </cell>
          <cell r="M45">
            <v>8</v>
          </cell>
          <cell r="N45">
            <v>78</v>
          </cell>
          <cell r="O45">
            <v>5</v>
          </cell>
          <cell r="P45">
            <v>0.67100000000000004</v>
          </cell>
          <cell r="Q45" t="str">
            <v>yield</v>
          </cell>
          <cell r="R45">
            <v>370</v>
          </cell>
          <cell r="S45" t="str">
            <v>393.840075502932</v>
          </cell>
          <cell r="T45" t="str">
            <v>0.965293555296967</v>
          </cell>
          <cell r="U45">
            <v>0.97627013137302698</v>
          </cell>
        </row>
        <row r="46">
          <cell r="A46" t="str">
            <v>1998-75Satu1992OTC</v>
          </cell>
          <cell r="B46" t="str">
            <v>1998-75</v>
          </cell>
          <cell r="C46" t="str">
            <v>Ojanperä</v>
          </cell>
          <cell r="D46" t="str">
            <v>Europe</v>
          </cell>
          <cell r="E46" t="str">
            <v>wheat</v>
          </cell>
          <cell r="F46" t="str">
            <v>Satu</v>
          </cell>
          <cell r="G46">
            <v>1992</v>
          </cell>
          <cell r="H46" t="str">
            <v>OTC</v>
          </cell>
          <cell r="I46" t="str">
            <v>field</v>
          </cell>
          <cell r="J46" t="str">
            <v>EO3</v>
          </cell>
          <cell r="K46">
            <v>13.744</v>
          </cell>
          <cell r="L46">
            <v>61</v>
          </cell>
          <cell r="M46">
            <v>8</v>
          </cell>
          <cell r="N46">
            <v>78</v>
          </cell>
          <cell r="O46">
            <v>5</v>
          </cell>
          <cell r="P46">
            <v>13.744</v>
          </cell>
          <cell r="Q46" t="str">
            <v>yield</v>
          </cell>
          <cell r="R46">
            <v>305</v>
          </cell>
          <cell r="S46" t="str">
            <v>393.840075502932</v>
          </cell>
          <cell r="T46" t="str">
            <v>0.795714957744797</v>
          </cell>
          <cell r="U46">
            <v>0.71841046697976996</v>
          </cell>
        </row>
        <row r="47">
          <cell r="A47" t="str">
            <v>1998-75Satu1993OTC</v>
          </cell>
          <cell r="B47" t="str">
            <v>1998-75</v>
          </cell>
          <cell r="C47" t="str">
            <v>Ojanperä</v>
          </cell>
          <cell r="D47" t="str">
            <v>Europe</v>
          </cell>
          <cell r="E47" t="str">
            <v>wheat</v>
          </cell>
          <cell r="F47" t="str">
            <v>Satu</v>
          </cell>
          <cell r="G47">
            <v>1993</v>
          </cell>
          <cell r="H47" t="str">
            <v>OTC</v>
          </cell>
          <cell r="I47" t="str">
            <v>field</v>
          </cell>
          <cell r="J47" t="str">
            <v>CF</v>
          </cell>
          <cell r="K47">
            <v>0</v>
          </cell>
          <cell r="L47">
            <v>9</v>
          </cell>
          <cell r="M47">
            <v>8</v>
          </cell>
          <cell r="N47">
            <v>82</v>
          </cell>
          <cell r="O47">
            <v>5</v>
          </cell>
          <cell r="P47">
            <v>0</v>
          </cell>
          <cell r="Q47" t="str">
            <v>yield</v>
          </cell>
          <cell r="R47">
            <v>480</v>
          </cell>
          <cell r="S47" t="str">
            <v>482.252958440992</v>
          </cell>
          <cell r="T47" t="str">
            <v>1.02268980234185</v>
          </cell>
          <cell r="U47">
            <v>1</v>
          </cell>
        </row>
        <row r="48">
          <cell r="A48" t="str">
            <v>1998-75Satu1993OTC</v>
          </cell>
          <cell r="B48" t="str">
            <v>1998-75</v>
          </cell>
          <cell r="C48" t="str">
            <v>Ojanperä</v>
          </cell>
          <cell r="D48" t="str">
            <v>Europe</v>
          </cell>
          <cell r="E48" t="str">
            <v>wheat</v>
          </cell>
          <cell r="F48" t="str">
            <v>Satu</v>
          </cell>
          <cell r="G48">
            <v>1993</v>
          </cell>
          <cell r="H48" t="str">
            <v>OTC</v>
          </cell>
          <cell r="I48" t="str">
            <v>field</v>
          </cell>
          <cell r="J48" t="str">
            <v>NF</v>
          </cell>
          <cell r="K48">
            <v>0</v>
          </cell>
          <cell r="L48">
            <v>21</v>
          </cell>
          <cell r="M48">
            <v>8</v>
          </cell>
          <cell r="N48">
            <v>82</v>
          </cell>
          <cell r="O48">
            <v>5</v>
          </cell>
          <cell r="P48">
            <v>0</v>
          </cell>
          <cell r="Q48" t="str">
            <v>yield</v>
          </cell>
          <cell r="R48">
            <v>450</v>
          </cell>
          <cell r="S48" t="str">
            <v>482.252958440992</v>
          </cell>
          <cell r="T48" t="str">
            <v>0.958771689695485</v>
          </cell>
          <cell r="U48">
            <v>1</v>
          </cell>
        </row>
        <row r="49">
          <cell r="A49" t="str">
            <v>1998-75Satu1993OTC</v>
          </cell>
          <cell r="B49" t="str">
            <v>1998-75</v>
          </cell>
          <cell r="C49" t="str">
            <v>Ojanperä</v>
          </cell>
          <cell r="D49" t="str">
            <v>Europe</v>
          </cell>
          <cell r="E49" t="str">
            <v>wheat</v>
          </cell>
          <cell r="F49" t="str">
            <v>Satu</v>
          </cell>
          <cell r="G49">
            <v>1993</v>
          </cell>
          <cell r="H49" t="str">
            <v>OTC</v>
          </cell>
          <cell r="I49" t="str">
            <v>field</v>
          </cell>
          <cell r="J49" t="str">
            <v>EO3</v>
          </cell>
          <cell r="K49">
            <v>4.609</v>
          </cell>
          <cell r="L49">
            <v>45</v>
          </cell>
          <cell r="M49">
            <v>8</v>
          </cell>
          <cell r="N49">
            <v>82</v>
          </cell>
          <cell r="O49">
            <v>5</v>
          </cell>
          <cell r="P49">
            <v>4.609</v>
          </cell>
          <cell r="Q49" t="str">
            <v>yield</v>
          </cell>
          <cell r="R49">
            <v>420</v>
          </cell>
          <cell r="S49" t="str">
            <v>482.252958440992</v>
          </cell>
          <cell r="T49" t="str">
            <v>0.894853577049119</v>
          </cell>
          <cell r="U49">
            <v>0.87742722058133005</v>
          </cell>
        </row>
        <row r="50">
          <cell r="A50" t="str">
            <v>1998-84Dragon1995OTC</v>
          </cell>
          <cell r="B50" t="str">
            <v>1998-84</v>
          </cell>
          <cell r="C50" t="str">
            <v>Pleijel</v>
          </cell>
          <cell r="D50" t="str">
            <v>Europe</v>
          </cell>
          <cell r="E50" t="str">
            <v>wheat</v>
          </cell>
          <cell r="F50" t="str">
            <v>Dragon</v>
          </cell>
          <cell r="G50">
            <v>1995</v>
          </cell>
          <cell r="H50" t="str">
            <v>OTC</v>
          </cell>
          <cell r="I50" t="str">
            <v>field</v>
          </cell>
          <cell r="J50" t="str">
            <v>NF</v>
          </cell>
          <cell r="K50">
            <v>1.3093749999999999E-2</v>
          </cell>
          <cell r="L50">
            <v>21.436869047619101</v>
          </cell>
          <cell r="M50">
            <v>12</v>
          </cell>
          <cell r="N50">
            <v>98</v>
          </cell>
          <cell r="O50">
            <v>5</v>
          </cell>
          <cell r="P50">
            <v>1.2024872448979601E-2</v>
          </cell>
          <cell r="Q50" t="str">
            <v>yield</v>
          </cell>
          <cell r="R50">
            <v>590</v>
          </cell>
          <cell r="S50" t="str">
            <v>608.900519511061</v>
          </cell>
          <cell r="T50" t="str">
            <v>0.995596258120645</v>
          </cell>
          <cell r="U50">
            <v>0.99954069255229205</v>
          </cell>
        </row>
        <row r="51">
          <cell r="A51" t="str">
            <v>1998-84Dragon1995OTC</v>
          </cell>
          <cell r="B51" t="str">
            <v>1998-84</v>
          </cell>
          <cell r="C51" t="str">
            <v>Pleijel</v>
          </cell>
          <cell r="D51" t="str">
            <v>Europe</v>
          </cell>
          <cell r="E51" t="str">
            <v>wheat</v>
          </cell>
          <cell r="F51" t="str">
            <v>Dragon</v>
          </cell>
          <cell r="G51">
            <v>1995</v>
          </cell>
          <cell r="H51" t="str">
            <v>OTC</v>
          </cell>
          <cell r="I51" t="str">
            <v>field</v>
          </cell>
          <cell r="J51" t="str">
            <v>EO3-1</v>
          </cell>
          <cell r="K51">
            <v>0.89017187499999995</v>
          </cell>
          <cell r="L51">
            <v>29.599224206349199</v>
          </cell>
          <cell r="M51">
            <v>12</v>
          </cell>
          <cell r="N51">
            <v>98</v>
          </cell>
          <cell r="O51">
            <v>5</v>
          </cell>
          <cell r="P51">
            <v>0.81750478316326503</v>
          </cell>
          <cell r="Q51" t="str">
            <v>yield</v>
          </cell>
          <cell r="R51">
            <v>606</v>
          </cell>
          <cell r="S51" t="str">
            <v>608.900519511061</v>
          </cell>
          <cell r="T51" t="str">
            <v>1.02259547867985</v>
          </cell>
          <cell r="U51">
            <v>0.97153156603132595</v>
          </cell>
        </row>
        <row r="52">
          <cell r="A52" t="str">
            <v>1998-84Dragon1995OTC</v>
          </cell>
          <cell r="B52" t="str">
            <v>1998-84</v>
          </cell>
          <cell r="C52" t="str">
            <v>Pleijel</v>
          </cell>
          <cell r="D52" t="str">
            <v>Europe</v>
          </cell>
          <cell r="E52" t="str">
            <v>wheat</v>
          </cell>
          <cell r="F52" t="str">
            <v>Dragon</v>
          </cell>
          <cell r="G52">
            <v>1995</v>
          </cell>
          <cell r="H52" t="str">
            <v>OTC</v>
          </cell>
          <cell r="I52" t="str">
            <v>field</v>
          </cell>
          <cell r="J52" t="str">
            <v>EO3-2</v>
          </cell>
          <cell r="K52">
            <v>2.3906512499999999</v>
          </cell>
          <cell r="L52">
            <v>35.929928571428597</v>
          </cell>
          <cell r="M52">
            <v>12</v>
          </cell>
          <cell r="N52">
            <v>98</v>
          </cell>
          <cell r="O52">
            <v>5</v>
          </cell>
          <cell r="P52">
            <v>2.1954960459183699</v>
          </cell>
          <cell r="Q52" t="str">
            <v>yield</v>
          </cell>
          <cell r="R52">
            <v>527</v>
          </cell>
          <cell r="S52" t="str">
            <v>608.900519511061</v>
          </cell>
          <cell r="T52" t="str">
            <v>0.88928682716878</v>
          </cell>
          <cell r="U52">
            <v>0.93233413494158301</v>
          </cell>
        </row>
        <row r="53">
          <cell r="A53" t="str">
            <v>2000-X96Dragon1994OTC</v>
          </cell>
          <cell r="B53" t="str">
            <v>2000-X96</v>
          </cell>
          <cell r="C53" t="str">
            <v>Pleijel</v>
          </cell>
          <cell r="D53" t="str">
            <v>Europe</v>
          </cell>
          <cell r="E53" t="str">
            <v>wheat</v>
          </cell>
          <cell r="F53" t="str">
            <v>Dragon</v>
          </cell>
          <cell r="G53">
            <v>1994</v>
          </cell>
          <cell r="H53" t="str">
            <v>OTC</v>
          </cell>
          <cell r="I53" t="str">
            <v>field</v>
          </cell>
          <cell r="J53" t="str">
            <v>NF</v>
          </cell>
          <cell r="K53">
            <v>2.2709999999999999</v>
          </cell>
          <cell r="L53">
            <v>33</v>
          </cell>
          <cell r="M53">
            <v>12</v>
          </cell>
          <cell r="N53">
            <v>71</v>
          </cell>
          <cell r="O53">
            <v>3</v>
          </cell>
          <cell r="P53">
            <v>2.2709999999999999</v>
          </cell>
          <cell r="Q53" t="str">
            <v>yield</v>
          </cell>
          <cell r="R53">
            <v>568.32181018227504</v>
          </cell>
          <cell r="S53" t="str">
            <v>671.076755752668</v>
          </cell>
          <cell r="T53" t="str">
            <v>0.8701612018455</v>
          </cell>
          <cell r="U53">
            <v>0.93040474262762096</v>
          </cell>
        </row>
        <row r="54">
          <cell r="A54" t="str">
            <v>2000-X96Dragon1994OTC</v>
          </cell>
          <cell r="B54" t="str">
            <v>2000-X96</v>
          </cell>
          <cell r="C54" t="str">
            <v>Pleijel</v>
          </cell>
          <cell r="D54" t="str">
            <v>Europe</v>
          </cell>
          <cell r="E54" t="str">
            <v>wheat</v>
          </cell>
          <cell r="F54" t="str">
            <v>Dragon</v>
          </cell>
          <cell r="G54">
            <v>1994</v>
          </cell>
          <cell r="H54" t="str">
            <v>OTC</v>
          </cell>
          <cell r="I54" t="str">
            <v>field</v>
          </cell>
          <cell r="J54" t="str">
            <v>EO3-1</v>
          </cell>
          <cell r="K54">
            <v>7.1619999999999999</v>
          </cell>
          <cell r="L54">
            <v>39</v>
          </cell>
          <cell r="M54">
            <v>12</v>
          </cell>
          <cell r="N54">
            <v>71</v>
          </cell>
          <cell r="O54">
            <v>3</v>
          </cell>
          <cell r="P54">
            <v>7.1619999999999999</v>
          </cell>
          <cell r="Q54" t="str">
            <v>yield</v>
          </cell>
          <cell r="R54">
            <v>558.11439346323095</v>
          </cell>
          <cell r="S54" t="str">
            <v>671.076755752668</v>
          </cell>
          <cell r="T54" t="str">
            <v>0.854532560042834</v>
          </cell>
          <cell r="U54">
            <v>0.82840400154000204</v>
          </cell>
        </row>
        <row r="55">
          <cell r="A55" t="str">
            <v>2000-X96Dragon1994OTC</v>
          </cell>
          <cell r="B55" t="str">
            <v>2000-X96</v>
          </cell>
          <cell r="C55" t="str">
            <v>Pleijel</v>
          </cell>
          <cell r="D55" t="str">
            <v>Europe</v>
          </cell>
          <cell r="E55" t="str">
            <v>wheat</v>
          </cell>
          <cell r="F55" t="str">
            <v>Dragon</v>
          </cell>
          <cell r="G55">
            <v>1994</v>
          </cell>
          <cell r="H55" t="str">
            <v>OTC</v>
          </cell>
          <cell r="I55" t="str">
            <v>field</v>
          </cell>
          <cell r="J55" t="str">
            <v>EO3-2</v>
          </cell>
          <cell r="K55">
            <v>12.052</v>
          </cell>
          <cell r="L55">
            <v>46</v>
          </cell>
          <cell r="M55">
            <v>12</v>
          </cell>
          <cell r="N55">
            <v>71</v>
          </cell>
          <cell r="O55">
            <v>3</v>
          </cell>
          <cell r="P55">
            <v>12.052</v>
          </cell>
          <cell r="Q55" t="str">
            <v>yield</v>
          </cell>
          <cell r="R55">
            <v>504.63859208045301</v>
          </cell>
          <cell r="S55" t="str">
            <v>671.076755752668</v>
          </cell>
          <cell r="T55" t="str">
            <v>0.772655414441181</v>
          </cell>
          <cell r="U55">
            <v>0.74541834619780301</v>
          </cell>
        </row>
        <row r="56">
          <cell r="A56" t="str">
            <v>2013-18Astron2006OTC</v>
          </cell>
          <cell r="B56" t="str">
            <v>2013-18</v>
          </cell>
          <cell r="C56" t="str">
            <v>Burkart</v>
          </cell>
          <cell r="D56" t="str">
            <v>Europe</v>
          </cell>
          <cell r="E56" t="str">
            <v>wheat</v>
          </cell>
          <cell r="F56" t="str">
            <v>Astron</v>
          </cell>
          <cell r="G56">
            <v>2006</v>
          </cell>
          <cell r="H56" t="str">
            <v>OTC</v>
          </cell>
          <cell r="I56" t="str">
            <v>field</v>
          </cell>
          <cell r="J56" t="str">
            <v>NF</v>
          </cell>
          <cell r="K56">
            <v>1.7</v>
          </cell>
          <cell r="L56">
            <v>36</v>
          </cell>
          <cell r="M56">
            <v>8</v>
          </cell>
          <cell r="N56">
            <v>55</v>
          </cell>
          <cell r="O56">
            <v>4</v>
          </cell>
          <cell r="P56">
            <v>1.7</v>
          </cell>
          <cell r="Q56" t="str">
            <v>yield</v>
          </cell>
          <cell r="R56">
            <v>688.1</v>
          </cell>
          <cell r="S56" t="str">
            <v>736.581314820325</v>
          </cell>
          <cell r="T56" t="str">
            <v>0.959861226508669</v>
          </cell>
          <cell r="U56">
            <v>0.94548383790926405</v>
          </cell>
        </row>
        <row r="57">
          <cell r="A57" t="str">
            <v>2013-18Astron2006OTC</v>
          </cell>
          <cell r="B57" t="str">
            <v>2013-18</v>
          </cell>
          <cell r="C57" t="str">
            <v>Burkart</v>
          </cell>
          <cell r="D57" t="str">
            <v>Europe</v>
          </cell>
          <cell r="E57" t="str">
            <v>wheat</v>
          </cell>
          <cell r="F57" t="str">
            <v>Astron</v>
          </cell>
          <cell r="G57">
            <v>2006</v>
          </cell>
          <cell r="H57" t="str">
            <v>OTC</v>
          </cell>
          <cell r="I57" t="str">
            <v>field</v>
          </cell>
          <cell r="J57" t="str">
            <v>EO3-1</v>
          </cell>
          <cell r="K57">
            <v>6.46</v>
          </cell>
          <cell r="L57">
            <v>51</v>
          </cell>
          <cell r="M57">
            <v>8</v>
          </cell>
          <cell r="N57">
            <v>55</v>
          </cell>
          <cell r="O57">
            <v>4</v>
          </cell>
          <cell r="P57">
            <v>6.46</v>
          </cell>
          <cell r="Q57" t="str">
            <v>yield</v>
          </cell>
          <cell r="R57">
            <v>598.1</v>
          </cell>
          <cell r="S57" t="str">
            <v>736.581314820325</v>
          </cell>
          <cell r="T57" t="str">
            <v>0.83431623248777</v>
          </cell>
          <cell r="U57">
            <v>0.84130312999798396</v>
          </cell>
        </row>
        <row r="58">
          <cell r="A58" t="str">
            <v>2013-18Astron2006OTC</v>
          </cell>
          <cell r="B58" t="str">
            <v>2013-18</v>
          </cell>
          <cell r="C58" t="str">
            <v>Burkart</v>
          </cell>
          <cell r="D58" t="str">
            <v>Europe</v>
          </cell>
          <cell r="E58" t="str">
            <v>wheat</v>
          </cell>
          <cell r="F58" t="str">
            <v>Astron</v>
          </cell>
          <cell r="G58">
            <v>2006</v>
          </cell>
          <cell r="H58" t="str">
            <v>OTC</v>
          </cell>
          <cell r="I58" t="str">
            <v>field</v>
          </cell>
          <cell r="J58" t="str">
            <v>EO3-2</v>
          </cell>
          <cell r="K58">
            <v>10.039999999999999</v>
          </cell>
          <cell r="L58">
            <v>58</v>
          </cell>
          <cell r="M58">
            <v>8</v>
          </cell>
          <cell r="N58">
            <v>55</v>
          </cell>
          <cell r="O58">
            <v>4</v>
          </cell>
          <cell r="P58">
            <v>10.039999999999999</v>
          </cell>
          <cell r="Q58" t="str">
            <v>yield</v>
          </cell>
          <cell r="R58">
            <v>554.29999999999995</v>
          </cell>
          <cell r="S58" t="str">
            <v>736.581314820325</v>
          </cell>
          <cell r="T58" t="str">
            <v>0.773217668730933</v>
          </cell>
          <cell r="U58">
            <v>0.77845640333173205</v>
          </cell>
        </row>
        <row r="59">
          <cell r="A59" t="str">
            <v>2013-18Pegasus2006OTC</v>
          </cell>
          <cell r="B59" t="str">
            <v>2013-18</v>
          </cell>
          <cell r="C59" t="str">
            <v>Burkart</v>
          </cell>
          <cell r="D59" t="str">
            <v>Europe</v>
          </cell>
          <cell r="E59" t="str">
            <v>wheat</v>
          </cell>
          <cell r="F59" t="str">
            <v>Pegasus</v>
          </cell>
          <cell r="G59">
            <v>2006</v>
          </cell>
          <cell r="H59" t="str">
            <v>OTC</v>
          </cell>
          <cell r="I59" t="str">
            <v>field</v>
          </cell>
          <cell r="J59" t="str">
            <v>NF</v>
          </cell>
          <cell r="K59">
            <v>1.7</v>
          </cell>
          <cell r="L59">
            <v>36</v>
          </cell>
          <cell r="M59">
            <v>8</v>
          </cell>
          <cell r="N59">
            <v>55</v>
          </cell>
          <cell r="O59">
            <v>4</v>
          </cell>
          <cell r="P59">
            <v>1.7</v>
          </cell>
          <cell r="Q59" t="str">
            <v>yield</v>
          </cell>
          <cell r="R59">
            <v>888.4</v>
          </cell>
          <cell r="S59" t="str">
            <v>880.166646825803</v>
          </cell>
          <cell r="T59" t="str">
            <v>1.03710142546204</v>
          </cell>
          <cell r="U59">
            <v>0.94548383790926405</v>
          </cell>
        </row>
        <row r="60">
          <cell r="A60" t="str">
            <v>2013-18Pegasus2006OTC</v>
          </cell>
          <cell r="B60" t="str">
            <v>2013-18</v>
          </cell>
          <cell r="C60" t="str">
            <v>Burkart</v>
          </cell>
          <cell r="D60" t="str">
            <v>Europe</v>
          </cell>
          <cell r="E60" t="str">
            <v>wheat</v>
          </cell>
          <cell r="F60" t="str">
            <v>Pegasus</v>
          </cell>
          <cell r="G60">
            <v>2006</v>
          </cell>
          <cell r="H60" t="str">
            <v>OTC</v>
          </cell>
          <cell r="I60" t="str">
            <v>field</v>
          </cell>
          <cell r="J60" t="str">
            <v>EO3-1</v>
          </cell>
          <cell r="K60">
            <v>6.46</v>
          </cell>
          <cell r="L60">
            <v>51</v>
          </cell>
          <cell r="M60">
            <v>8</v>
          </cell>
          <cell r="N60">
            <v>55</v>
          </cell>
          <cell r="O60">
            <v>4</v>
          </cell>
          <cell r="P60">
            <v>6.46</v>
          </cell>
          <cell r="Q60" t="str">
            <v>yield</v>
          </cell>
          <cell r="R60">
            <v>715.3</v>
          </cell>
          <cell r="S60" t="str">
            <v>880.166646825803</v>
          </cell>
          <cell r="T60" t="str">
            <v>0.835027746097476</v>
          </cell>
          <cell r="U60">
            <v>0.84130312999798396</v>
          </cell>
        </row>
        <row r="61">
          <cell r="A61" t="str">
            <v>2013-18Pegasus2006OTC</v>
          </cell>
          <cell r="B61" t="str">
            <v>2013-18</v>
          </cell>
          <cell r="C61" t="str">
            <v>Burkart</v>
          </cell>
          <cell r="D61" t="str">
            <v>Europe</v>
          </cell>
          <cell r="E61" t="str">
            <v>wheat</v>
          </cell>
          <cell r="F61" t="str">
            <v>Pegasus</v>
          </cell>
          <cell r="G61">
            <v>2006</v>
          </cell>
          <cell r="H61" t="str">
            <v>OTC</v>
          </cell>
          <cell r="I61" t="str">
            <v>field</v>
          </cell>
          <cell r="J61" t="str">
            <v>EO3-2</v>
          </cell>
          <cell r="K61">
            <v>10.039999999999999</v>
          </cell>
          <cell r="L61">
            <v>58</v>
          </cell>
          <cell r="M61">
            <v>8</v>
          </cell>
          <cell r="N61">
            <v>55</v>
          </cell>
          <cell r="O61">
            <v>4</v>
          </cell>
          <cell r="P61">
            <v>10.039999999999999</v>
          </cell>
          <cell r="Q61" t="str">
            <v>yield</v>
          </cell>
          <cell r="R61">
            <v>612.5</v>
          </cell>
          <cell r="S61" t="str">
            <v>880.166646825803</v>
          </cell>
          <cell r="T61" t="str">
            <v>0.715020962511819</v>
          </cell>
          <cell r="U61">
            <v>0.77845640333173205</v>
          </cell>
        </row>
      </sheetData>
      <sheetData sheetId="2"/>
      <sheetData sheetId="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row>
        <row r="2">
          <cell r="A2" t="str">
            <v>1985-119Albis1986OTC</v>
          </cell>
          <cell r="B2" t="str">
            <v>1985-119</v>
          </cell>
          <cell r="C2" t="str">
            <v>Fuhrer</v>
          </cell>
          <cell r="D2" t="str">
            <v>Europe</v>
          </cell>
          <cell r="E2" t="str">
            <v>wheat</v>
          </cell>
          <cell r="F2" t="str">
            <v>Albis</v>
          </cell>
          <cell r="G2">
            <v>1986</v>
          </cell>
          <cell r="H2" t="str">
            <v>OTC</v>
          </cell>
          <cell r="I2" t="str">
            <v>field</v>
          </cell>
          <cell r="J2" t="str">
            <v>CF</v>
          </cell>
          <cell r="K2"/>
          <cell r="L2">
            <v>20</v>
          </cell>
          <cell r="M2">
            <v>8</v>
          </cell>
          <cell r="N2">
            <v>72</v>
          </cell>
          <cell r="O2">
            <v>4</v>
          </cell>
          <cell r="P2">
            <v>0.13472763978990401</v>
          </cell>
          <cell r="Q2" t="str">
            <v>1000 grain weight</v>
          </cell>
          <cell r="R2">
            <v>33.5</v>
          </cell>
          <cell r="S2" t="str">
            <v>34.7134719567917</v>
          </cell>
          <cell r="T2" t="str">
            <v>1.00371062278894</v>
          </cell>
          <cell r="U2">
            <v>0.99441367058983798</v>
          </cell>
        </row>
        <row r="3">
          <cell r="A3" t="str">
            <v>1985-119Albis1986OTC</v>
          </cell>
          <cell r="B3" t="str">
            <v>1985-119</v>
          </cell>
          <cell r="C3" t="str">
            <v>Fuhrer</v>
          </cell>
          <cell r="D3" t="str">
            <v>Europe</v>
          </cell>
          <cell r="E3" t="str">
            <v>wheat</v>
          </cell>
          <cell r="F3" t="str">
            <v>Albis</v>
          </cell>
          <cell r="G3">
            <v>1986</v>
          </cell>
          <cell r="H3" t="str">
            <v>OTC</v>
          </cell>
          <cell r="I3" t="str">
            <v>field</v>
          </cell>
          <cell r="J3" t="str">
            <v>NF</v>
          </cell>
          <cell r="K3"/>
          <cell r="L3">
            <v>35</v>
          </cell>
          <cell r="M3">
            <v>8</v>
          </cell>
          <cell r="N3">
            <v>72</v>
          </cell>
          <cell r="O3">
            <v>4</v>
          </cell>
          <cell r="P3">
            <v>2.7820454495208602</v>
          </cell>
          <cell r="Q3" t="str">
            <v>1000 grain weight</v>
          </cell>
          <cell r="R3">
            <v>30.7</v>
          </cell>
          <cell r="S3" t="str">
            <v>34.7134719567917</v>
          </cell>
          <cell r="T3" t="str">
            <v>0.919818391630462</v>
          </cell>
          <cell r="U3">
            <v>0.92549557669395299</v>
          </cell>
        </row>
        <row r="4">
          <cell r="A4" t="str">
            <v>1985-119Albis1986OTC</v>
          </cell>
          <cell r="B4" t="str">
            <v>1985-119</v>
          </cell>
          <cell r="C4" t="str">
            <v>Fuhrer</v>
          </cell>
          <cell r="D4" t="str">
            <v>Europe</v>
          </cell>
          <cell r="E4" t="str">
            <v>wheat</v>
          </cell>
          <cell r="F4" t="str">
            <v>Albis</v>
          </cell>
          <cell r="G4">
            <v>1986</v>
          </cell>
          <cell r="H4" t="str">
            <v>OTC</v>
          </cell>
          <cell r="I4" t="str">
            <v>field</v>
          </cell>
          <cell r="J4" t="str">
            <v>EO3-2</v>
          </cell>
          <cell r="K4"/>
          <cell r="L4">
            <v>103</v>
          </cell>
          <cell r="M4">
            <v>8</v>
          </cell>
          <cell r="N4">
            <v>72</v>
          </cell>
          <cell r="O4">
            <v>4</v>
          </cell>
          <cell r="P4">
            <v>34.528958228277801</v>
          </cell>
          <cell r="Q4" t="str">
            <v>1000 grain weight</v>
          </cell>
          <cell r="R4">
            <v>20.3</v>
          </cell>
          <cell r="S4" t="str">
            <v>34.7134719567917</v>
          </cell>
          <cell r="T4" t="str">
            <v>0.60821867589897</v>
          </cell>
          <cell r="U4">
            <v>0.61013920005175304</v>
          </cell>
        </row>
        <row r="5">
          <cell r="A5" t="str">
            <v>1985-119Albis1987OTC</v>
          </cell>
          <cell r="B5" t="str">
            <v>1985-119</v>
          </cell>
          <cell r="C5" t="str">
            <v>Fuhrer</v>
          </cell>
          <cell r="D5" t="str">
            <v>Europe</v>
          </cell>
          <cell r="E5" t="str">
            <v>wheat</v>
          </cell>
          <cell r="F5" t="str">
            <v>Albis</v>
          </cell>
          <cell r="G5">
            <v>1987</v>
          </cell>
          <cell r="H5" t="str">
            <v>OTC</v>
          </cell>
          <cell r="I5" t="str">
            <v>field</v>
          </cell>
          <cell r="J5" t="str">
            <v>CF</v>
          </cell>
          <cell r="K5"/>
          <cell r="L5">
            <v>16</v>
          </cell>
          <cell r="M5">
            <v>8</v>
          </cell>
          <cell r="N5">
            <v>90</v>
          </cell>
          <cell r="O5">
            <v>4</v>
          </cell>
          <cell r="P5">
            <v>0</v>
          </cell>
          <cell r="Q5" t="str">
            <v>1000 grain weight</v>
          </cell>
          <cell r="R5">
            <v>33.700000000000003</v>
          </cell>
          <cell r="S5" t="str">
            <v>33.5133075164064</v>
          </cell>
          <cell r="T5" t="str">
            <v>1.04586198049907</v>
          </cell>
          <cell r="U5">
            <v>1</v>
          </cell>
        </row>
        <row r="6">
          <cell r="A6" t="str">
            <v>1985-119Albis1987OTC</v>
          </cell>
          <cell r="B6" t="str">
            <v>1985-119</v>
          </cell>
          <cell r="C6" t="str">
            <v>Fuhrer</v>
          </cell>
          <cell r="D6" t="str">
            <v>Europe</v>
          </cell>
          <cell r="E6" t="str">
            <v>wheat</v>
          </cell>
          <cell r="F6" t="str">
            <v>Albis</v>
          </cell>
          <cell r="G6">
            <v>1987</v>
          </cell>
          <cell r="H6" t="str">
            <v>OTC</v>
          </cell>
          <cell r="I6" t="str">
            <v>field</v>
          </cell>
          <cell r="J6" t="str">
            <v>NF</v>
          </cell>
          <cell r="K6"/>
          <cell r="L6">
            <v>33</v>
          </cell>
          <cell r="M6">
            <v>8</v>
          </cell>
          <cell r="N6">
            <v>90</v>
          </cell>
          <cell r="O6">
            <v>4</v>
          </cell>
          <cell r="P6">
            <v>2.0812598193567</v>
          </cell>
          <cell r="Q6" t="str">
            <v>1000 grain weight</v>
          </cell>
          <cell r="R6">
            <v>32.1</v>
          </cell>
          <cell r="S6" t="str">
            <v>33.5133075164064</v>
          </cell>
          <cell r="T6" t="str">
            <v>0.99620681228546</v>
          </cell>
          <cell r="U6">
            <v>0.93916471235918397</v>
          </cell>
        </row>
        <row r="7">
          <cell r="A7" t="str">
            <v>1985-119Albis1987OTC</v>
          </cell>
          <cell r="B7" t="str">
            <v>1985-119</v>
          </cell>
          <cell r="C7" t="str">
            <v>Fuhrer</v>
          </cell>
          <cell r="D7" t="str">
            <v>Europe</v>
          </cell>
          <cell r="E7" t="str">
            <v>wheat</v>
          </cell>
          <cell r="F7" t="str">
            <v>Albis</v>
          </cell>
          <cell r="G7">
            <v>1987</v>
          </cell>
          <cell r="H7" t="str">
            <v>OTC</v>
          </cell>
          <cell r="I7" t="str">
            <v>field</v>
          </cell>
          <cell r="J7" t="str">
            <v>EO3-1</v>
          </cell>
          <cell r="K7"/>
          <cell r="L7">
            <v>65</v>
          </cell>
          <cell r="M7">
            <v>8</v>
          </cell>
          <cell r="N7">
            <v>90</v>
          </cell>
          <cell r="O7">
            <v>4</v>
          </cell>
          <cell r="P7">
            <v>17.275867995722599</v>
          </cell>
          <cell r="Q7" t="str">
            <v>1000 grain weight</v>
          </cell>
          <cell r="R7">
            <v>24.3</v>
          </cell>
          <cell r="S7" t="str">
            <v>33.5133075164064</v>
          </cell>
          <cell r="T7" t="str">
            <v>0.754137867244133</v>
          </cell>
          <cell r="U7">
            <v>0.76254167572945697</v>
          </cell>
        </row>
        <row r="8">
          <cell r="A8" t="str">
            <v>1985-119Albis1987OTC</v>
          </cell>
          <cell r="B8" t="str">
            <v>1985-119</v>
          </cell>
          <cell r="C8" t="str">
            <v>Fuhrer</v>
          </cell>
          <cell r="D8" t="str">
            <v>Europe</v>
          </cell>
          <cell r="E8" t="str">
            <v>wheat</v>
          </cell>
          <cell r="F8" t="str">
            <v>Albis</v>
          </cell>
          <cell r="G8">
            <v>1987</v>
          </cell>
          <cell r="H8" t="str">
            <v>OTC</v>
          </cell>
          <cell r="I8" t="str">
            <v>field</v>
          </cell>
          <cell r="J8" t="str">
            <v>EO3-2</v>
          </cell>
          <cell r="K8"/>
          <cell r="L8">
            <v>95</v>
          </cell>
          <cell r="M8">
            <v>8</v>
          </cell>
          <cell r="N8">
            <v>90</v>
          </cell>
          <cell r="O8">
            <v>4</v>
          </cell>
          <cell r="P8">
            <v>37.769273886058301</v>
          </cell>
          <cell r="Q8" t="str">
            <v>1000 grain weight</v>
          </cell>
          <cell r="R8">
            <v>17.100000000000001</v>
          </cell>
          <cell r="S8" t="str">
            <v>33.5133075164064</v>
          </cell>
          <cell r="T8" t="str">
            <v>0.530689610282909</v>
          </cell>
          <cell r="U8">
            <v>0.58225049667448603</v>
          </cell>
        </row>
        <row r="9">
          <cell r="A9" t="str">
            <v>1985-119Albis1988OTC</v>
          </cell>
          <cell r="B9" t="str">
            <v>1985-119</v>
          </cell>
          <cell r="C9" t="str">
            <v>Fuhrer</v>
          </cell>
          <cell r="D9" t="str">
            <v>Europe</v>
          </cell>
          <cell r="E9" t="str">
            <v>wheat</v>
          </cell>
          <cell r="F9" t="str">
            <v>Albis</v>
          </cell>
          <cell r="G9">
            <v>1988</v>
          </cell>
          <cell r="H9" t="str">
            <v>OTC</v>
          </cell>
          <cell r="I9" t="str">
            <v>field</v>
          </cell>
          <cell r="J9" t="str">
            <v>CF</v>
          </cell>
          <cell r="K9"/>
          <cell r="L9">
            <v>22</v>
          </cell>
          <cell r="M9">
            <v>8</v>
          </cell>
          <cell r="N9">
            <v>81</v>
          </cell>
          <cell r="O9">
            <v>4</v>
          </cell>
          <cell r="P9">
            <v>0.16916951417220799</v>
          </cell>
          <cell r="Q9" t="str">
            <v>1000 grain weight</v>
          </cell>
          <cell r="R9">
            <v>36.1</v>
          </cell>
          <cell r="S9" t="str">
            <v>37.1033134838943</v>
          </cell>
          <cell r="T9" t="str">
            <v>1.01194351743445</v>
          </cell>
          <cell r="U9">
            <v>0.99304308655392703</v>
          </cell>
        </row>
        <row r="10">
          <cell r="A10" t="str">
            <v>1985-119Albis1988OTC</v>
          </cell>
          <cell r="B10" t="str">
            <v>1985-119</v>
          </cell>
          <cell r="C10" t="str">
            <v>Fuhrer</v>
          </cell>
          <cell r="D10" t="str">
            <v>Europe</v>
          </cell>
          <cell r="E10" t="str">
            <v>wheat</v>
          </cell>
          <cell r="F10" t="str">
            <v>Albis</v>
          </cell>
          <cell r="G10">
            <v>1988</v>
          </cell>
          <cell r="H10" t="str">
            <v>OTC</v>
          </cell>
          <cell r="I10" t="str">
            <v>field</v>
          </cell>
          <cell r="J10" t="str">
            <v>NF</v>
          </cell>
          <cell r="K10"/>
          <cell r="L10">
            <v>35</v>
          </cell>
          <cell r="M10">
            <v>8</v>
          </cell>
          <cell r="N10">
            <v>81</v>
          </cell>
          <cell r="O10">
            <v>4</v>
          </cell>
          <cell r="P10">
            <v>2.7820454495208602</v>
          </cell>
          <cell r="Q10" t="str">
            <v>1000 grain weight</v>
          </cell>
          <cell r="R10">
            <v>35.700000000000003</v>
          </cell>
          <cell r="S10" t="str">
            <v>37.1033134838943</v>
          </cell>
          <cell r="T10" t="str">
            <v>1.00073084688116</v>
          </cell>
          <cell r="U10">
            <v>0.92549557669395299</v>
          </cell>
        </row>
        <row r="11">
          <cell r="A11" t="str">
            <v>1985-119Albis1988OTC</v>
          </cell>
          <cell r="B11" t="str">
            <v>1985-119</v>
          </cell>
          <cell r="C11" t="str">
            <v>Fuhrer</v>
          </cell>
          <cell r="D11" t="str">
            <v>Europe</v>
          </cell>
          <cell r="E11" t="str">
            <v>wheat</v>
          </cell>
          <cell r="F11" t="str">
            <v>Albis</v>
          </cell>
          <cell r="G11">
            <v>1988</v>
          </cell>
          <cell r="H11" t="str">
            <v>OTC</v>
          </cell>
          <cell r="I11" t="str">
            <v>field</v>
          </cell>
          <cell r="J11" t="str">
            <v>EO3-1</v>
          </cell>
          <cell r="K11"/>
          <cell r="L11">
            <v>63</v>
          </cell>
          <cell r="M11">
            <v>8</v>
          </cell>
          <cell r="N11">
            <v>81</v>
          </cell>
          <cell r="O11">
            <v>4</v>
          </cell>
          <cell r="P11">
            <v>14.829808857695401</v>
          </cell>
          <cell r="Q11" t="str">
            <v>1000 grain weight</v>
          </cell>
          <cell r="R11">
            <v>27.6</v>
          </cell>
          <cell r="S11" t="str">
            <v>37.1033134838943</v>
          </cell>
          <cell r="T11" t="str">
            <v>0.773674268177033</v>
          </cell>
          <cell r="U11">
            <v>0.78535965860048096</v>
          </cell>
        </row>
        <row r="12">
          <cell r="A12" t="str">
            <v>1985-119Albis1988OTC</v>
          </cell>
          <cell r="B12" t="str">
            <v>1985-119</v>
          </cell>
          <cell r="C12" t="str">
            <v>Fuhrer</v>
          </cell>
          <cell r="D12" t="str">
            <v>Europe</v>
          </cell>
          <cell r="E12" t="str">
            <v>wheat</v>
          </cell>
          <cell r="F12" t="str">
            <v>Albis</v>
          </cell>
          <cell r="G12">
            <v>1988</v>
          </cell>
          <cell r="H12" t="str">
            <v>OTC</v>
          </cell>
          <cell r="I12" t="str">
            <v>field</v>
          </cell>
          <cell r="J12" t="str">
            <v>EO3-2</v>
          </cell>
          <cell r="K12"/>
          <cell r="L12">
            <v>89</v>
          </cell>
          <cell r="M12">
            <v>8</v>
          </cell>
          <cell r="N12">
            <v>81</v>
          </cell>
          <cell r="O12">
            <v>4</v>
          </cell>
          <cell r="P12">
            <v>30.493562298089302</v>
          </cell>
          <cell r="Q12" t="str">
            <v>1000 grain weight</v>
          </cell>
          <cell r="R12">
            <v>21.2</v>
          </cell>
          <cell r="S12" t="str">
            <v>37.1033134838943</v>
          </cell>
          <cell r="T12" t="str">
            <v>0.594271539324388</v>
          </cell>
          <cell r="U12">
            <v>0.64506817564139496</v>
          </cell>
        </row>
        <row r="13">
          <cell r="A13" t="str">
            <v>1991-89Drabant1987OTC</v>
          </cell>
          <cell r="B13" t="str">
            <v>1991-89</v>
          </cell>
          <cell r="C13" t="str">
            <v>Pleijel</v>
          </cell>
          <cell r="D13" t="str">
            <v>Europe</v>
          </cell>
          <cell r="E13" t="str">
            <v>wheat</v>
          </cell>
          <cell r="F13" t="str">
            <v>Drabant</v>
          </cell>
          <cell r="G13">
            <v>1987</v>
          </cell>
          <cell r="H13" t="str">
            <v>OTC</v>
          </cell>
          <cell r="I13" t="str">
            <v>field</v>
          </cell>
          <cell r="J13" t="str">
            <v>CF</v>
          </cell>
          <cell r="K13"/>
          <cell r="L13">
            <v>3</v>
          </cell>
          <cell r="M13">
            <v>7</v>
          </cell>
          <cell r="N13">
            <v>62</v>
          </cell>
          <cell r="O13">
            <v>7</v>
          </cell>
          <cell r="P13">
            <v>0</v>
          </cell>
          <cell r="Q13" t="str">
            <v>1000 grain weight</v>
          </cell>
          <cell r="R13">
            <v>39</v>
          </cell>
          <cell r="S13" t="str">
            <v>37.7285838539582</v>
          </cell>
          <cell r="T13" t="str">
            <v>1.07511734693575</v>
          </cell>
          <cell r="U13">
            <v>1</v>
          </cell>
        </row>
        <row r="14">
          <cell r="A14" t="str">
            <v>1991-89Drabant1987OTC</v>
          </cell>
          <cell r="B14" t="str">
            <v>1991-89</v>
          </cell>
          <cell r="C14" t="str">
            <v>Pleijel</v>
          </cell>
          <cell r="D14" t="str">
            <v>Europe</v>
          </cell>
          <cell r="E14" t="str">
            <v>wheat</v>
          </cell>
          <cell r="F14" t="str">
            <v>Drabant</v>
          </cell>
          <cell r="G14">
            <v>1987</v>
          </cell>
          <cell r="H14" t="str">
            <v>OTC</v>
          </cell>
          <cell r="I14" t="str">
            <v>field</v>
          </cell>
          <cell r="J14" t="str">
            <v>NF</v>
          </cell>
          <cell r="K14"/>
          <cell r="L14">
            <v>15</v>
          </cell>
          <cell r="M14">
            <v>7</v>
          </cell>
          <cell r="N14">
            <v>62</v>
          </cell>
          <cell r="O14">
            <v>7</v>
          </cell>
          <cell r="P14">
            <v>0</v>
          </cell>
          <cell r="Q14" t="str">
            <v>1000 grain weight</v>
          </cell>
          <cell r="R14">
            <v>36.799999999999997</v>
          </cell>
          <cell r="S14" t="str">
            <v>37.7285838539582</v>
          </cell>
          <cell r="T14" t="str">
            <v>1.01446970172399</v>
          </cell>
          <cell r="U14">
            <v>1</v>
          </cell>
        </row>
        <row r="15">
          <cell r="A15" t="str">
            <v>1991-89Drabant1987OTC</v>
          </cell>
          <cell r="B15" t="str">
            <v>1991-89</v>
          </cell>
          <cell r="C15" t="str">
            <v>Pleijel</v>
          </cell>
          <cell r="D15" t="str">
            <v>Europe</v>
          </cell>
          <cell r="E15" t="str">
            <v>wheat</v>
          </cell>
          <cell r="F15" t="str">
            <v>Drabant</v>
          </cell>
          <cell r="G15">
            <v>1987</v>
          </cell>
          <cell r="H15" t="str">
            <v>OTC</v>
          </cell>
          <cell r="I15" t="str">
            <v>field</v>
          </cell>
          <cell r="J15" t="str">
            <v>EO3</v>
          </cell>
          <cell r="K15"/>
          <cell r="L15">
            <v>42</v>
          </cell>
          <cell r="M15">
            <v>7</v>
          </cell>
          <cell r="N15">
            <v>62</v>
          </cell>
          <cell r="O15">
            <v>7</v>
          </cell>
          <cell r="P15">
            <v>0.52157833216543703</v>
          </cell>
          <cell r="Q15" t="str">
            <v>1000 grain weight</v>
          </cell>
          <cell r="R15">
            <v>32.6</v>
          </cell>
          <cell r="S15" t="str">
            <v>37.7285838539582</v>
          </cell>
          <cell r="T15" t="str">
            <v>0.898687833592444</v>
          </cell>
          <cell r="U15">
            <v>0.98017542918011502</v>
          </cell>
        </row>
        <row r="16">
          <cell r="A16" t="str">
            <v>1991-89Drabant1988OTC</v>
          </cell>
          <cell r="B16" t="str">
            <v>1991-89</v>
          </cell>
          <cell r="C16" t="str">
            <v>Pleijel</v>
          </cell>
          <cell r="D16" t="str">
            <v>Europe</v>
          </cell>
          <cell r="E16" t="str">
            <v>wheat</v>
          </cell>
          <cell r="F16" t="str">
            <v>Drabant</v>
          </cell>
          <cell r="G16">
            <v>1988</v>
          </cell>
          <cell r="H16" t="str">
            <v>OTC</v>
          </cell>
          <cell r="I16" t="str">
            <v>field</v>
          </cell>
          <cell r="J16" t="str">
            <v>CF</v>
          </cell>
          <cell r="K16"/>
          <cell r="L16">
            <v>6</v>
          </cell>
          <cell r="M16">
            <v>7</v>
          </cell>
          <cell r="N16">
            <v>56</v>
          </cell>
          <cell r="O16">
            <v>5</v>
          </cell>
          <cell r="P16">
            <v>0</v>
          </cell>
          <cell r="Q16" t="str">
            <v>1000 grain weight</v>
          </cell>
          <cell r="R16">
            <v>41.2</v>
          </cell>
          <cell r="S16" t="str">
            <v>39.3742145145736</v>
          </cell>
          <cell r="T16" t="str">
            <v>1.08829611645375</v>
          </cell>
          <cell r="U16">
            <v>1</v>
          </cell>
        </row>
        <row r="17">
          <cell r="A17" t="str">
            <v>1991-89Drabant1988OTC</v>
          </cell>
          <cell r="B17" t="str">
            <v>1991-89</v>
          </cell>
          <cell r="C17" t="str">
            <v>Pleijel</v>
          </cell>
          <cell r="D17" t="str">
            <v>Europe</v>
          </cell>
          <cell r="E17" t="str">
            <v>wheat</v>
          </cell>
          <cell r="F17" t="str">
            <v>Drabant</v>
          </cell>
          <cell r="G17">
            <v>1988</v>
          </cell>
          <cell r="H17" t="str">
            <v>OTC</v>
          </cell>
          <cell r="I17" t="str">
            <v>field</v>
          </cell>
          <cell r="J17" t="str">
            <v>NF</v>
          </cell>
          <cell r="K17"/>
          <cell r="L17">
            <v>22</v>
          </cell>
          <cell r="M17">
            <v>7</v>
          </cell>
          <cell r="N17">
            <v>56</v>
          </cell>
          <cell r="O17">
            <v>5</v>
          </cell>
          <cell r="P17">
            <v>2.6422220032823501E-2</v>
          </cell>
          <cell r="Q17" t="str">
            <v>1000 grain weight</v>
          </cell>
          <cell r="R17">
            <v>39.6</v>
          </cell>
          <cell r="S17" t="str">
            <v>39.3742145145736</v>
          </cell>
          <cell r="T17" t="str">
            <v>1.04603218960118</v>
          </cell>
          <cell r="U17">
            <v>0.99887493055114096</v>
          </cell>
        </row>
        <row r="18">
          <cell r="A18" t="str">
            <v>1991-89Drabant1988OTC</v>
          </cell>
          <cell r="B18" t="str">
            <v>1991-89</v>
          </cell>
          <cell r="C18" t="str">
            <v>Pleijel</v>
          </cell>
          <cell r="D18" t="str">
            <v>Europe</v>
          </cell>
          <cell r="E18" t="str">
            <v>wheat</v>
          </cell>
          <cell r="F18" t="str">
            <v>Drabant</v>
          </cell>
          <cell r="G18">
            <v>1988</v>
          </cell>
          <cell r="H18" t="str">
            <v>OTC</v>
          </cell>
          <cell r="I18" t="str">
            <v>field</v>
          </cell>
          <cell r="J18" t="str">
            <v>EO3-1</v>
          </cell>
          <cell r="K18"/>
          <cell r="L18">
            <v>44</v>
          </cell>
          <cell r="M18">
            <v>7</v>
          </cell>
          <cell r="N18">
            <v>56</v>
          </cell>
          <cell r="O18">
            <v>5</v>
          </cell>
          <cell r="P18">
            <v>1.28822803845163</v>
          </cell>
          <cell r="Q18" t="str">
            <v>1000 grain weight</v>
          </cell>
          <cell r="R18">
            <v>37.299999999999997</v>
          </cell>
          <cell r="S18" t="str">
            <v>39.3742145145736</v>
          </cell>
          <cell r="T18" t="str">
            <v>0.985277794750602</v>
          </cell>
          <cell r="U18">
            <v>0.95758089831815096</v>
          </cell>
        </row>
        <row r="19">
          <cell r="A19" t="str">
            <v>1991-89Drabant1988OTC</v>
          </cell>
          <cell r="B19" t="str">
            <v>1991-89</v>
          </cell>
          <cell r="C19" t="str">
            <v>Pleijel</v>
          </cell>
          <cell r="D19" t="str">
            <v>Europe</v>
          </cell>
          <cell r="E19" t="str">
            <v>wheat</v>
          </cell>
          <cell r="F19" t="str">
            <v>Drabant</v>
          </cell>
          <cell r="G19">
            <v>1988</v>
          </cell>
          <cell r="H19" t="str">
            <v>OTC</v>
          </cell>
          <cell r="I19" t="str">
            <v>field</v>
          </cell>
          <cell r="J19" t="str">
            <v>EO3-2</v>
          </cell>
          <cell r="K19"/>
          <cell r="L19">
            <v>56</v>
          </cell>
          <cell r="M19">
            <v>7</v>
          </cell>
          <cell r="N19">
            <v>56</v>
          </cell>
          <cell r="O19">
            <v>5</v>
          </cell>
          <cell r="P19">
            <v>2.5792630900391802</v>
          </cell>
          <cell r="Q19" t="str">
            <v>1000 grain weight</v>
          </cell>
          <cell r="R19">
            <v>30</v>
          </cell>
          <cell r="S19" t="str">
            <v>39.3742145145736</v>
          </cell>
          <cell r="T19" t="str">
            <v>0.792448628485739</v>
          </cell>
          <cell r="U19">
            <v>0.92925595674644401</v>
          </cell>
        </row>
        <row r="20">
          <cell r="A20" t="str">
            <v>1992-37Albis1989OTC</v>
          </cell>
          <cell r="B20" t="str">
            <v>1992-37</v>
          </cell>
          <cell r="C20" t="str">
            <v>Fuhrer</v>
          </cell>
          <cell r="D20" t="str">
            <v>Europe</v>
          </cell>
          <cell r="E20" t="str">
            <v>wheat</v>
          </cell>
          <cell r="F20" t="str">
            <v>Albis</v>
          </cell>
          <cell r="G20">
            <v>1989</v>
          </cell>
          <cell r="H20" t="str">
            <v>OTC</v>
          </cell>
          <cell r="I20" t="str">
            <v>field</v>
          </cell>
          <cell r="J20" t="str">
            <v>CF</v>
          </cell>
          <cell r="K20"/>
          <cell r="L20">
            <v>20.000549761468498</v>
          </cell>
          <cell r="M20">
            <v>7</v>
          </cell>
          <cell r="N20">
            <v>91</v>
          </cell>
          <cell r="O20">
            <v>3</v>
          </cell>
          <cell r="P20">
            <v>0</v>
          </cell>
          <cell r="Q20" t="str">
            <v>1000 grain weight</v>
          </cell>
          <cell r="R20">
            <v>37.700000000000003</v>
          </cell>
          <cell r="S20" t="str">
            <v>41.8955774155276</v>
          </cell>
          <cell r="T20" t="str">
            <v>0.935911828797332</v>
          </cell>
          <cell r="U20">
            <v>1</v>
          </cell>
        </row>
        <row r="21">
          <cell r="A21" t="str">
            <v>1992-37Albis1989OTC</v>
          </cell>
          <cell r="B21" t="str">
            <v>1992-37</v>
          </cell>
          <cell r="C21" t="str">
            <v>Fuhrer</v>
          </cell>
          <cell r="D21" t="str">
            <v>Europe</v>
          </cell>
          <cell r="E21" t="str">
            <v>wheat</v>
          </cell>
          <cell r="F21" t="str">
            <v>Albis</v>
          </cell>
          <cell r="G21">
            <v>1989</v>
          </cell>
          <cell r="H21" t="str">
            <v>OTC</v>
          </cell>
          <cell r="I21" t="str">
            <v>field</v>
          </cell>
          <cell r="J21" t="str">
            <v>NF</v>
          </cell>
          <cell r="K21"/>
          <cell r="L21">
            <v>38.889957869522</v>
          </cell>
          <cell r="M21">
            <v>7</v>
          </cell>
          <cell r="N21">
            <v>91</v>
          </cell>
          <cell r="O21">
            <v>3</v>
          </cell>
          <cell r="P21">
            <v>4.6083782087559699</v>
          </cell>
          <cell r="Q21" t="str">
            <v>1000 grain weight</v>
          </cell>
          <cell r="R21">
            <v>38.4</v>
          </cell>
          <cell r="S21" t="str">
            <v>41.8955774155276</v>
          </cell>
          <cell r="T21" t="str">
            <v>0.953289502011075</v>
          </cell>
          <cell r="U21">
            <v>0.89646244183367296</v>
          </cell>
        </row>
        <row r="22">
          <cell r="A22" t="str">
            <v>1992-37Albis1989OTC</v>
          </cell>
          <cell r="B22" t="str">
            <v>1992-37</v>
          </cell>
          <cell r="C22" t="str">
            <v>Fuhrer</v>
          </cell>
          <cell r="D22" t="str">
            <v>Europe</v>
          </cell>
          <cell r="E22" t="str">
            <v>wheat</v>
          </cell>
          <cell r="F22" t="str">
            <v>Albis</v>
          </cell>
          <cell r="G22">
            <v>1989</v>
          </cell>
          <cell r="H22" t="str">
            <v>OTC</v>
          </cell>
          <cell r="I22" t="str">
            <v>field</v>
          </cell>
          <cell r="J22" t="str">
            <v>EO3-1</v>
          </cell>
          <cell r="K22"/>
          <cell r="L22">
            <v>53.890370190623301</v>
          </cell>
          <cell r="M22">
            <v>7</v>
          </cell>
          <cell r="N22">
            <v>91</v>
          </cell>
          <cell r="O22">
            <v>3</v>
          </cell>
          <cell r="P22">
            <v>11.012574761161099</v>
          </cell>
          <cell r="Q22" t="str">
            <v>1000 grain weight</v>
          </cell>
          <cell r="R22">
            <v>34</v>
          </cell>
          <cell r="S22" t="str">
            <v>41.8955774155276</v>
          </cell>
          <cell r="T22" t="str">
            <v>0.844058413238973</v>
          </cell>
          <cell r="U22">
            <v>0.82256503600643804</v>
          </cell>
        </row>
        <row r="23">
          <cell r="A23" t="str">
            <v>1992-37Albis1989OTC</v>
          </cell>
          <cell r="B23" t="str">
            <v>1992-37</v>
          </cell>
          <cell r="C23" t="str">
            <v>Fuhrer</v>
          </cell>
          <cell r="D23" t="str">
            <v>Europe</v>
          </cell>
          <cell r="E23" t="str">
            <v>wheat</v>
          </cell>
          <cell r="F23" t="str">
            <v>Albis</v>
          </cell>
          <cell r="G23">
            <v>1989</v>
          </cell>
          <cell r="H23" t="str">
            <v>OTC</v>
          </cell>
          <cell r="I23" t="str">
            <v>field</v>
          </cell>
          <cell r="J23" t="str">
            <v>EO3-2</v>
          </cell>
          <cell r="K23"/>
          <cell r="L23">
            <v>67.779640858309804</v>
          </cell>
          <cell r="M23">
            <v>7</v>
          </cell>
          <cell r="N23">
            <v>91</v>
          </cell>
          <cell r="O23">
            <v>3</v>
          </cell>
          <cell r="P23">
            <v>18.596503033997301</v>
          </cell>
          <cell r="Q23" t="str">
            <v>1000 grain weight</v>
          </cell>
          <cell r="R23">
            <v>29.6</v>
          </cell>
          <cell r="S23" t="str">
            <v>41.8955774155276</v>
          </cell>
          <cell r="T23" t="str">
            <v>0.73482732446687</v>
          </cell>
          <cell r="U23">
            <v>0.75043866773918499</v>
          </cell>
        </row>
        <row r="24">
          <cell r="A24" t="str">
            <v>1992-37Albis1990OTC</v>
          </cell>
          <cell r="B24" t="str">
            <v>1992-37</v>
          </cell>
          <cell r="C24" t="str">
            <v>Fuhrer</v>
          </cell>
          <cell r="D24" t="str">
            <v>Europe</v>
          </cell>
          <cell r="E24" t="str">
            <v>wheat</v>
          </cell>
          <cell r="F24" t="str">
            <v>Albis</v>
          </cell>
          <cell r="G24">
            <v>1990</v>
          </cell>
          <cell r="H24" t="str">
            <v>OTC</v>
          </cell>
          <cell r="I24" t="str">
            <v>field</v>
          </cell>
          <cell r="J24" t="str">
            <v>CF</v>
          </cell>
          <cell r="K24"/>
          <cell r="L24">
            <v>18.818200606618099</v>
          </cell>
          <cell r="M24">
            <v>7</v>
          </cell>
          <cell r="N24">
            <v>88</v>
          </cell>
          <cell r="O24">
            <v>3</v>
          </cell>
          <cell r="P24">
            <v>0</v>
          </cell>
          <cell r="Q24" t="str">
            <v>1000 grain weight</v>
          </cell>
          <cell r="R24">
            <v>39.1</v>
          </cell>
          <cell r="S24" t="str">
            <v>45.3780861895983</v>
          </cell>
          <cell r="T24" t="str">
            <v>0.896174017000845</v>
          </cell>
          <cell r="U24">
            <v>1</v>
          </cell>
        </row>
        <row r="25">
          <cell r="A25" t="str">
            <v>1992-37Albis1990OTC</v>
          </cell>
          <cell r="B25" t="str">
            <v>1992-37</v>
          </cell>
          <cell r="C25" t="str">
            <v>Fuhrer</v>
          </cell>
          <cell r="D25" t="str">
            <v>Europe</v>
          </cell>
          <cell r="E25" t="str">
            <v>wheat</v>
          </cell>
          <cell r="F25" t="str">
            <v>Albis</v>
          </cell>
          <cell r="G25">
            <v>1990</v>
          </cell>
          <cell r="H25" t="str">
            <v>OTC</v>
          </cell>
          <cell r="I25" t="str">
            <v>field</v>
          </cell>
          <cell r="J25" t="str">
            <v>NF</v>
          </cell>
          <cell r="K25"/>
          <cell r="L25">
            <v>42.064213120675802</v>
          </cell>
          <cell r="M25">
            <v>7</v>
          </cell>
          <cell r="N25">
            <v>88</v>
          </cell>
          <cell r="O25">
            <v>3</v>
          </cell>
          <cell r="P25">
            <v>6.5846869894592803</v>
          </cell>
          <cell r="Q25" t="str">
            <v>1000 grain weight</v>
          </cell>
          <cell r="R25">
            <v>38.6</v>
          </cell>
          <cell r="S25" t="str">
            <v>45.3780861895983</v>
          </cell>
          <cell r="T25" t="str">
            <v>0.884713991207995</v>
          </cell>
          <cell r="U25">
            <v>0.87082838698397402</v>
          </cell>
        </row>
        <row r="26">
          <cell r="A26" t="str">
            <v>1992-37Albis1990OTC</v>
          </cell>
          <cell r="B26" t="str">
            <v>1992-37</v>
          </cell>
          <cell r="C26" t="str">
            <v>Fuhrer</v>
          </cell>
          <cell r="D26" t="str">
            <v>Europe</v>
          </cell>
          <cell r="E26" t="str">
            <v>wheat</v>
          </cell>
          <cell r="F26" t="str">
            <v>Albis</v>
          </cell>
          <cell r="G26">
            <v>1990</v>
          </cell>
          <cell r="H26" t="str">
            <v>OTC</v>
          </cell>
          <cell r="I26" t="str">
            <v>field</v>
          </cell>
          <cell r="J26" t="str">
            <v>EO3-1</v>
          </cell>
          <cell r="K26"/>
          <cell r="L26">
            <v>60.328937238863901</v>
          </cell>
          <cell r="M26">
            <v>7</v>
          </cell>
          <cell r="N26">
            <v>88</v>
          </cell>
          <cell r="O26">
            <v>3</v>
          </cell>
          <cell r="P26">
            <v>15.4082260212028</v>
          </cell>
          <cell r="Q26" t="str">
            <v>1000 grain weight</v>
          </cell>
          <cell r="R26">
            <v>36.4</v>
          </cell>
          <cell r="S26" t="str">
            <v>45.3780861895983</v>
          </cell>
          <cell r="T26" t="str">
            <v>0.834289877719456</v>
          </cell>
          <cell r="U26">
            <v>0.77990883517991605</v>
          </cell>
        </row>
        <row r="27">
          <cell r="A27" t="str">
            <v>1992-37Albis1990OTC</v>
          </cell>
          <cell r="B27" t="str">
            <v>1992-37</v>
          </cell>
          <cell r="C27" t="str">
            <v>Fuhrer</v>
          </cell>
          <cell r="D27" t="str">
            <v>Europe</v>
          </cell>
          <cell r="E27" t="str">
            <v>wheat</v>
          </cell>
          <cell r="F27" t="str">
            <v>Albis</v>
          </cell>
          <cell r="G27">
            <v>1990</v>
          </cell>
          <cell r="H27" t="str">
            <v>OTC</v>
          </cell>
          <cell r="I27" t="str">
            <v>field</v>
          </cell>
          <cell r="J27" t="str">
            <v>EO3-2</v>
          </cell>
          <cell r="K27"/>
          <cell r="L27">
            <v>77.486708380192198</v>
          </cell>
          <cell r="M27">
            <v>7</v>
          </cell>
          <cell r="N27">
            <v>88</v>
          </cell>
          <cell r="O27">
            <v>3</v>
          </cell>
          <cell r="P27">
            <v>25.126809126261598</v>
          </cell>
          <cell r="Q27" t="str">
            <v>1000 grain weight</v>
          </cell>
          <cell r="R27">
            <v>31</v>
          </cell>
          <cell r="S27" t="str">
            <v>45.3780861895983</v>
          </cell>
          <cell r="T27" t="str">
            <v>0.71052159915668</v>
          </cell>
          <cell r="U27">
            <v>0.69201114061673397</v>
          </cell>
        </row>
        <row r="28">
          <cell r="A28" t="str">
            <v>1996-30Promessa1991OTC</v>
          </cell>
          <cell r="B28" t="str">
            <v>1996-30</v>
          </cell>
          <cell r="C28" t="str">
            <v>Finnan</v>
          </cell>
          <cell r="D28" t="str">
            <v>Europe</v>
          </cell>
          <cell r="E28" t="str">
            <v>wheat</v>
          </cell>
          <cell r="F28" t="str">
            <v>Promessa</v>
          </cell>
          <cell r="G28">
            <v>1991</v>
          </cell>
          <cell r="H28" t="str">
            <v>OTC</v>
          </cell>
          <cell r="I28" t="str">
            <v>field</v>
          </cell>
          <cell r="J28" t="str">
            <v>CF</v>
          </cell>
          <cell r="K28"/>
          <cell r="L28">
            <v>5.6</v>
          </cell>
          <cell r="M28">
            <v>12</v>
          </cell>
          <cell r="N28">
            <v>102</v>
          </cell>
          <cell r="O28">
            <v>3</v>
          </cell>
          <cell r="P28">
            <v>0</v>
          </cell>
          <cell r="Q28" t="str">
            <v>1000 grain weight</v>
          </cell>
          <cell r="R28">
            <v>51.66</v>
          </cell>
          <cell r="S28" t="str">
            <v>47.29034072642</v>
          </cell>
          <cell r="T28" t="str">
            <v>1.13617106575379</v>
          </cell>
          <cell r="U28">
            <v>1</v>
          </cell>
        </row>
        <row r="29">
          <cell r="A29" t="str">
            <v>1996-30Promessa1991OTC</v>
          </cell>
          <cell r="B29" t="str">
            <v>1996-30</v>
          </cell>
          <cell r="C29" t="str">
            <v>Finnan</v>
          </cell>
          <cell r="D29" t="str">
            <v>Europe</v>
          </cell>
          <cell r="E29" t="str">
            <v>wheat</v>
          </cell>
          <cell r="F29" t="str">
            <v>Promessa</v>
          </cell>
          <cell r="G29">
            <v>1991</v>
          </cell>
          <cell r="H29" t="str">
            <v>OTC</v>
          </cell>
          <cell r="I29" t="str">
            <v>field</v>
          </cell>
          <cell r="J29" t="str">
            <v>NF</v>
          </cell>
          <cell r="K29"/>
          <cell r="L29">
            <v>24.9099</v>
          </cell>
          <cell r="M29">
            <v>12</v>
          </cell>
          <cell r="N29">
            <v>102</v>
          </cell>
          <cell r="O29">
            <v>3</v>
          </cell>
          <cell r="P29">
            <v>0.37197880276734202</v>
          </cell>
          <cell r="Q29" t="str">
            <v>1000 grain weight</v>
          </cell>
          <cell r="R29">
            <v>50.66</v>
          </cell>
          <cell r="S29" t="str">
            <v>47.29034072642</v>
          </cell>
          <cell r="T29" t="str">
            <v>1.11417782019138</v>
          </cell>
          <cell r="U29">
            <v>0.98539769624139695</v>
          </cell>
        </row>
        <row r="30">
          <cell r="A30" t="str">
            <v>1996-30Promessa1991OTC</v>
          </cell>
          <cell r="B30" t="str">
            <v>1996-30</v>
          </cell>
          <cell r="C30" t="str">
            <v>Finnan</v>
          </cell>
          <cell r="D30" t="str">
            <v>Europe</v>
          </cell>
          <cell r="E30" t="str">
            <v>wheat</v>
          </cell>
          <cell r="F30" t="str">
            <v>Promessa</v>
          </cell>
          <cell r="G30">
            <v>1991</v>
          </cell>
          <cell r="H30" t="str">
            <v>OTC</v>
          </cell>
          <cell r="I30" t="str">
            <v>field</v>
          </cell>
          <cell r="J30" t="str">
            <v>EO3-1</v>
          </cell>
          <cell r="K30"/>
          <cell r="L30">
            <v>32.614100000000001</v>
          </cell>
          <cell r="M30">
            <v>12</v>
          </cell>
          <cell r="N30">
            <v>102</v>
          </cell>
          <cell r="O30">
            <v>3</v>
          </cell>
          <cell r="P30">
            <v>1.9622365305235701</v>
          </cell>
          <cell r="Q30" t="str">
            <v>1000 grain weight</v>
          </cell>
          <cell r="R30">
            <v>33.33</v>
          </cell>
          <cell r="S30" t="str">
            <v>47.29034072642</v>
          </cell>
          <cell r="T30" t="str">
            <v>0.733034874594922</v>
          </cell>
          <cell r="U30">
            <v>0.941697305450791</v>
          </cell>
        </row>
        <row r="31">
          <cell r="A31" t="str">
            <v>1996-30Promessa1992OTC</v>
          </cell>
          <cell r="B31" t="str">
            <v>1996-30</v>
          </cell>
          <cell r="C31" t="str">
            <v>Finnan</v>
          </cell>
          <cell r="D31" t="str">
            <v>Europe</v>
          </cell>
          <cell r="E31" t="str">
            <v>wheat</v>
          </cell>
          <cell r="F31" t="str">
            <v>Promessa</v>
          </cell>
          <cell r="G31">
            <v>1992</v>
          </cell>
          <cell r="H31" t="str">
            <v>OTC</v>
          </cell>
          <cell r="I31" t="str">
            <v>field</v>
          </cell>
          <cell r="J31" t="str">
            <v>CF</v>
          </cell>
          <cell r="K31"/>
          <cell r="L31">
            <v>6.2309000000000001</v>
          </cell>
          <cell r="M31">
            <v>12</v>
          </cell>
          <cell r="N31">
            <v>102</v>
          </cell>
          <cell r="O31">
            <v>3</v>
          </cell>
          <cell r="P31">
            <v>0</v>
          </cell>
          <cell r="Q31" t="str">
            <v>1000 grain weight</v>
          </cell>
          <cell r="R31">
            <v>47.33</v>
          </cell>
          <cell r="S31" t="str">
            <v>51.9443571874343</v>
          </cell>
          <cell r="T31" t="str">
            <v>0.947676027154944</v>
          </cell>
          <cell r="U31">
            <v>1</v>
          </cell>
        </row>
        <row r="32">
          <cell r="A32" t="str">
            <v>1996-30Promessa1992OTC</v>
          </cell>
          <cell r="B32" t="str">
            <v>1996-30</v>
          </cell>
          <cell r="C32" t="str">
            <v>Finnan</v>
          </cell>
          <cell r="D32" t="str">
            <v>Europe</v>
          </cell>
          <cell r="E32" t="str">
            <v>wheat</v>
          </cell>
          <cell r="F32" t="str">
            <v>Promessa</v>
          </cell>
          <cell r="G32">
            <v>1992</v>
          </cell>
          <cell r="H32" t="str">
            <v>OTC</v>
          </cell>
          <cell r="I32" t="str">
            <v>field</v>
          </cell>
          <cell r="J32" t="str">
            <v>NF</v>
          </cell>
          <cell r="K32"/>
          <cell r="L32">
            <v>25.098700000000001</v>
          </cell>
          <cell r="M32">
            <v>12</v>
          </cell>
          <cell r="N32">
            <v>102</v>
          </cell>
          <cell r="O32">
            <v>3</v>
          </cell>
          <cell r="P32">
            <v>0.39783406177585601</v>
          </cell>
          <cell r="Q32" t="str">
            <v>1000 grain weight</v>
          </cell>
          <cell r="R32">
            <v>46.66</v>
          </cell>
          <cell r="S32" t="str">
            <v>51.9443571874343</v>
          </cell>
          <cell r="T32" t="str">
            <v>0.934260794993655</v>
          </cell>
          <cell r="U32">
            <v>0.98447142812268496</v>
          </cell>
        </row>
        <row r="33">
          <cell r="A33" t="str">
            <v>1996-30Promessa1992OTC</v>
          </cell>
          <cell r="B33" t="str">
            <v>1996-30</v>
          </cell>
          <cell r="C33" t="str">
            <v>Finnan</v>
          </cell>
          <cell r="D33" t="str">
            <v>Europe</v>
          </cell>
          <cell r="E33" t="str">
            <v>wheat</v>
          </cell>
          <cell r="F33" t="str">
            <v>Promessa</v>
          </cell>
          <cell r="G33">
            <v>1992</v>
          </cell>
          <cell r="H33" t="str">
            <v>OTC</v>
          </cell>
          <cell r="I33" t="str">
            <v>field</v>
          </cell>
          <cell r="J33" t="str">
            <v>EO3-2</v>
          </cell>
          <cell r="K33"/>
          <cell r="L33">
            <v>33.418599999999998</v>
          </cell>
          <cell r="M33">
            <v>12</v>
          </cell>
          <cell r="N33">
            <v>102</v>
          </cell>
          <cell r="O33">
            <v>3</v>
          </cell>
          <cell r="P33">
            <v>2.2160216957603098</v>
          </cell>
          <cell r="Q33" t="str">
            <v>1000 grain weight</v>
          </cell>
          <cell r="R33">
            <v>52</v>
          </cell>
          <cell r="S33" t="str">
            <v>51.9443571874343</v>
          </cell>
          <cell r="T33" t="str">
            <v>1.04118219759259</v>
          </cell>
          <cell r="U33">
            <v>0.93637893752157597</v>
          </cell>
        </row>
        <row r="34">
          <cell r="A34" t="str">
            <v>1996-30Promessa1993OTC</v>
          </cell>
          <cell r="B34" t="str">
            <v>1996-30</v>
          </cell>
          <cell r="C34" t="str">
            <v>Finnan</v>
          </cell>
          <cell r="D34" t="str">
            <v>Europe</v>
          </cell>
          <cell r="E34" t="str">
            <v>wheat</v>
          </cell>
          <cell r="F34" t="str">
            <v>Promessa</v>
          </cell>
          <cell r="G34">
            <v>1993</v>
          </cell>
          <cell r="H34" t="str">
            <v>OTC</v>
          </cell>
          <cell r="I34" t="str">
            <v>field</v>
          </cell>
          <cell r="J34" t="str">
            <v>CF</v>
          </cell>
          <cell r="K34"/>
          <cell r="L34">
            <v>6.7001999999999997</v>
          </cell>
          <cell r="M34">
            <v>12</v>
          </cell>
          <cell r="N34">
            <v>102</v>
          </cell>
          <cell r="O34">
            <v>3</v>
          </cell>
          <cell r="P34">
            <v>0</v>
          </cell>
          <cell r="Q34" t="str">
            <v>1000 grain weight</v>
          </cell>
          <cell r="R34">
            <v>54.66</v>
          </cell>
          <cell r="S34" t="str">
            <v>55.3513495320128</v>
          </cell>
          <cell r="T34" t="str">
            <v>1.02707741604555</v>
          </cell>
          <cell r="U34">
            <v>1</v>
          </cell>
        </row>
        <row r="35">
          <cell r="A35" t="str">
            <v>1996-30Promessa1993OTC</v>
          </cell>
          <cell r="B35" t="str">
            <v>1996-30</v>
          </cell>
          <cell r="C35" t="str">
            <v>Finnan</v>
          </cell>
          <cell r="D35" t="str">
            <v>Europe</v>
          </cell>
          <cell r="E35" t="str">
            <v>wheat</v>
          </cell>
          <cell r="F35" t="str">
            <v>Promessa</v>
          </cell>
          <cell r="G35">
            <v>1993</v>
          </cell>
          <cell r="H35" t="str">
            <v>OTC</v>
          </cell>
          <cell r="I35" t="str">
            <v>field</v>
          </cell>
          <cell r="J35" t="str">
            <v>EO3-2</v>
          </cell>
          <cell r="K35"/>
          <cell r="L35">
            <v>33.987499999999997</v>
          </cell>
          <cell r="M35">
            <v>12</v>
          </cell>
          <cell r="N35">
            <v>102</v>
          </cell>
          <cell r="O35">
            <v>3</v>
          </cell>
          <cell r="P35">
            <v>2.4089980077313702</v>
          </cell>
          <cell r="Q35" t="str">
            <v>1000 grain weight</v>
          </cell>
          <cell r="R35">
            <v>50.66</v>
          </cell>
          <cell r="S35" t="str">
            <v>55.3513495320128</v>
          </cell>
          <cell r="T35" t="str">
            <v>0.951916243996849</v>
          </cell>
          <cell r="U35">
            <v>0.93252878692180496</v>
          </cell>
        </row>
        <row r="36">
          <cell r="A36" t="str">
            <v>1996-30Promessa1993OTC</v>
          </cell>
          <cell r="B36" t="str">
            <v>1996-30</v>
          </cell>
          <cell r="C36" t="str">
            <v>Finnan</v>
          </cell>
          <cell r="D36" t="str">
            <v>Europe</v>
          </cell>
          <cell r="E36" t="str">
            <v>wheat</v>
          </cell>
          <cell r="F36" t="str">
            <v>Promessa</v>
          </cell>
          <cell r="G36">
            <v>1993</v>
          </cell>
          <cell r="H36" t="str">
            <v>OTC</v>
          </cell>
          <cell r="I36" t="str">
            <v>field</v>
          </cell>
          <cell r="J36" t="str">
            <v>EO3-1</v>
          </cell>
          <cell r="K36"/>
          <cell r="L36">
            <v>34.003999999999998</v>
          </cell>
          <cell r="M36">
            <v>12</v>
          </cell>
          <cell r="N36">
            <v>102</v>
          </cell>
          <cell r="O36">
            <v>3</v>
          </cell>
          <cell r="P36">
            <v>2.4147688436996</v>
          </cell>
          <cell r="Q36" t="str">
            <v>1000 grain weight</v>
          </cell>
          <cell r="R36">
            <v>47.33</v>
          </cell>
          <cell r="S36" t="str">
            <v>55.3513495320128</v>
          </cell>
          <cell r="T36" t="str">
            <v>0.889344568266302</v>
          </cell>
          <cell r="U36">
            <v>0.93241602149339997</v>
          </cell>
        </row>
        <row r="37">
          <cell r="A37" t="str">
            <v>1997-75Minaret1995OTC</v>
          </cell>
          <cell r="B37" t="str">
            <v>1997-75</v>
          </cell>
          <cell r="C37" t="str">
            <v>Mulholland</v>
          </cell>
          <cell r="D37" t="str">
            <v>Europe</v>
          </cell>
          <cell r="E37" t="str">
            <v>wheat</v>
          </cell>
          <cell r="F37" t="str">
            <v>Minaret</v>
          </cell>
          <cell r="G37">
            <v>1995</v>
          </cell>
          <cell r="H37" t="str">
            <v>OTC</v>
          </cell>
          <cell r="I37" t="str">
            <v>field</v>
          </cell>
          <cell r="J37" t="str">
            <v>AA</v>
          </cell>
          <cell r="K37">
            <v>1.357</v>
          </cell>
          <cell r="L37">
            <v>26</v>
          </cell>
          <cell r="M37">
            <v>7</v>
          </cell>
          <cell r="N37">
            <v>104</v>
          </cell>
          <cell r="O37">
            <v>3</v>
          </cell>
          <cell r="P37">
            <v>1.17432692307692</v>
          </cell>
          <cell r="Q37" t="str">
            <v>1000 grain weight</v>
          </cell>
          <cell r="R37">
            <v>39.200000000000003</v>
          </cell>
          <cell r="S37" t="str">
            <v>47.9765700392408</v>
          </cell>
          <cell r="T37" t="str">
            <v>0.84980373875474</v>
          </cell>
          <cell r="U37">
            <v>0.96057785931458495</v>
          </cell>
        </row>
        <row r="38">
          <cell r="A38" t="str">
            <v>1997-75Minaret1995OTC</v>
          </cell>
          <cell r="B38" t="str">
            <v>1997-75</v>
          </cell>
          <cell r="C38" t="str">
            <v>Mulholland</v>
          </cell>
          <cell r="D38" t="str">
            <v>Europe</v>
          </cell>
          <cell r="E38" t="str">
            <v>wheat</v>
          </cell>
          <cell r="F38" t="str">
            <v>Minaret</v>
          </cell>
          <cell r="G38">
            <v>1995</v>
          </cell>
          <cell r="H38" t="str">
            <v>OTC</v>
          </cell>
          <cell r="I38" t="str">
            <v>field</v>
          </cell>
          <cell r="J38" t="str">
            <v>EO3</v>
          </cell>
          <cell r="K38">
            <v>18.670999999999999</v>
          </cell>
          <cell r="L38">
            <v>60</v>
          </cell>
          <cell r="M38">
            <v>7</v>
          </cell>
          <cell r="N38">
            <v>104</v>
          </cell>
          <cell r="O38">
            <v>3</v>
          </cell>
          <cell r="P38">
            <v>16.1575961538462</v>
          </cell>
          <cell r="Q38" t="str">
            <v>1000 grain weight</v>
          </cell>
          <cell r="R38">
            <v>40.299999999999997</v>
          </cell>
          <cell r="S38" t="str">
            <v>47.9765700392408</v>
          </cell>
          <cell r="T38" t="str">
            <v>0.873650272240205</v>
          </cell>
          <cell r="U38">
            <v>0.77290066762227205</v>
          </cell>
        </row>
        <row r="39">
          <cell r="A39" t="str">
            <v>1998-73Minaret1996OTC</v>
          </cell>
          <cell r="B39" t="str">
            <v>1998-73</v>
          </cell>
          <cell r="C39" t="str">
            <v>Mulholland</v>
          </cell>
          <cell r="D39" t="str">
            <v>Europe</v>
          </cell>
          <cell r="E39" t="str">
            <v>wheat</v>
          </cell>
          <cell r="F39" t="str">
            <v>Minaret</v>
          </cell>
          <cell r="G39">
            <v>1996</v>
          </cell>
          <cell r="H39" t="str">
            <v>OTC</v>
          </cell>
          <cell r="I39" t="str">
            <v>field</v>
          </cell>
          <cell r="J39" t="str">
            <v>AA</v>
          </cell>
          <cell r="K39">
            <v>1.887</v>
          </cell>
          <cell r="L39">
            <v>26</v>
          </cell>
          <cell r="M39">
            <v>7</v>
          </cell>
          <cell r="N39">
            <v>115</v>
          </cell>
          <cell r="O39">
            <v>3</v>
          </cell>
          <cell r="P39">
            <v>1.4767826086956499</v>
          </cell>
          <cell r="Q39" t="str">
            <v>1000 grain weight</v>
          </cell>
          <cell r="R39">
            <v>38.200000000000003</v>
          </cell>
          <cell r="S39" t="str">
            <v>46.8191258114531</v>
          </cell>
          <cell r="T39" t="str">
            <v>0.848597658052183</v>
          </cell>
          <cell r="U39">
            <v>0.95283913150291899</v>
          </cell>
        </row>
        <row r="40">
          <cell r="A40" t="str">
            <v>1998-73Minaret1996OTC</v>
          </cell>
          <cell r="B40" t="str">
            <v>1998-73</v>
          </cell>
          <cell r="C40" t="str">
            <v>Mulholland</v>
          </cell>
          <cell r="D40" t="str">
            <v>Europe</v>
          </cell>
          <cell r="E40" t="str">
            <v>wheat</v>
          </cell>
          <cell r="F40" t="str">
            <v>Minaret</v>
          </cell>
          <cell r="G40">
            <v>1996</v>
          </cell>
          <cell r="H40" t="str">
            <v>OTC</v>
          </cell>
          <cell r="I40" t="str">
            <v>field</v>
          </cell>
          <cell r="J40" t="str">
            <v>EO3</v>
          </cell>
          <cell r="K40">
            <v>35.497999999999998</v>
          </cell>
          <cell r="L40">
            <v>84</v>
          </cell>
          <cell r="M40">
            <v>7</v>
          </cell>
          <cell r="N40">
            <v>115</v>
          </cell>
          <cell r="O40">
            <v>3</v>
          </cell>
          <cell r="P40">
            <v>27.781043478260901</v>
          </cell>
          <cell r="Q40" t="str">
            <v>1000 grain weight</v>
          </cell>
          <cell r="R40">
            <v>33.799999999999997</v>
          </cell>
          <cell r="S40" t="str">
            <v>46.8191258114531</v>
          </cell>
          <cell r="T40" t="str">
            <v>0.750853425187534</v>
          </cell>
          <cell r="U40">
            <v>0.66870937431920796</v>
          </cell>
        </row>
        <row r="41">
          <cell r="A41" t="str">
            <v>1995-120Ralle1991OTC</v>
          </cell>
          <cell r="B41" t="str">
            <v>1995-120</v>
          </cell>
          <cell r="C41" t="str">
            <v>Mortensen</v>
          </cell>
          <cell r="D41" t="str">
            <v>Europe</v>
          </cell>
          <cell r="E41" t="str">
            <v>wheat</v>
          </cell>
          <cell r="F41" t="str">
            <v>Ralle</v>
          </cell>
          <cell r="G41">
            <v>1991</v>
          </cell>
          <cell r="H41" t="str">
            <v>OTC</v>
          </cell>
          <cell r="I41" t="str">
            <v>field</v>
          </cell>
          <cell r="J41" t="str">
            <v>CF</v>
          </cell>
          <cell r="K41"/>
          <cell r="L41">
            <v>17</v>
          </cell>
          <cell r="M41">
            <v>8</v>
          </cell>
          <cell r="N41">
            <v>67</v>
          </cell>
          <cell r="O41">
            <v>5</v>
          </cell>
          <cell r="P41">
            <v>0</v>
          </cell>
          <cell r="Q41" t="str">
            <v>1000 grain weight</v>
          </cell>
          <cell r="R41">
            <v>47.9</v>
          </cell>
          <cell r="S41" t="str">
            <v>49.2331837020577</v>
          </cell>
          <cell r="T41" t="str">
            <v>1.0119041083652</v>
          </cell>
          <cell r="U41">
            <v>1</v>
          </cell>
        </row>
        <row r="42">
          <cell r="A42" t="str">
            <v>1995-120Ralle1991OTC</v>
          </cell>
          <cell r="B42" t="str">
            <v>1995-120</v>
          </cell>
          <cell r="C42" t="str">
            <v>Mortensen</v>
          </cell>
          <cell r="D42" t="str">
            <v>Europe</v>
          </cell>
          <cell r="E42" t="str">
            <v>wheat</v>
          </cell>
          <cell r="F42" t="str">
            <v>Ralle</v>
          </cell>
          <cell r="G42">
            <v>1991</v>
          </cell>
          <cell r="H42" t="str">
            <v>OTC</v>
          </cell>
          <cell r="I42" t="str">
            <v>field</v>
          </cell>
          <cell r="J42" t="str">
            <v>NF</v>
          </cell>
          <cell r="K42"/>
          <cell r="L42">
            <v>29</v>
          </cell>
          <cell r="M42">
            <v>8</v>
          </cell>
          <cell r="N42">
            <v>67</v>
          </cell>
          <cell r="O42">
            <v>5</v>
          </cell>
          <cell r="P42">
            <v>1.0571921133271101</v>
          </cell>
          <cell r="Q42" t="str">
            <v>1000 grain weight</v>
          </cell>
          <cell r="R42">
            <v>44.9</v>
          </cell>
          <cell r="S42" t="str">
            <v>49.2331837020577</v>
          </cell>
          <cell r="T42" t="str">
            <v>0.948528068175314</v>
          </cell>
          <cell r="U42">
            <v>0.96377435895671204</v>
          </cell>
        </row>
        <row r="43">
          <cell r="A43" t="str">
            <v>1995-120Ralle1991OTC</v>
          </cell>
          <cell r="B43" t="str">
            <v>1995-120</v>
          </cell>
          <cell r="C43" t="str">
            <v>Mortensen</v>
          </cell>
          <cell r="D43" t="str">
            <v>Europe</v>
          </cell>
          <cell r="E43" t="str">
            <v>wheat</v>
          </cell>
          <cell r="F43" t="str">
            <v>Ralle</v>
          </cell>
          <cell r="G43">
            <v>1991</v>
          </cell>
          <cell r="H43" t="str">
            <v>OTC</v>
          </cell>
          <cell r="I43" t="str">
            <v>field</v>
          </cell>
          <cell r="J43" t="str">
            <v>EO3</v>
          </cell>
          <cell r="K43"/>
          <cell r="L43">
            <v>61</v>
          </cell>
          <cell r="M43">
            <v>8</v>
          </cell>
          <cell r="N43">
            <v>67</v>
          </cell>
          <cell r="O43">
            <v>5</v>
          </cell>
          <cell r="P43">
            <v>8.7904993566869791</v>
          </cell>
          <cell r="Q43" t="str">
            <v>1000 grain weight</v>
          </cell>
          <cell r="R43">
            <v>40.200000000000003</v>
          </cell>
          <cell r="S43" t="str">
            <v>49.2331837020577</v>
          </cell>
          <cell r="T43" t="str">
            <v>0.849238938544491</v>
          </cell>
          <cell r="U43">
            <v>0.84575403230206903</v>
          </cell>
        </row>
        <row r="44">
          <cell r="A44" t="str">
            <v>1998-75Satu1992OTC</v>
          </cell>
          <cell r="B44" t="str">
            <v>1998-75</v>
          </cell>
          <cell r="C44" t="str">
            <v>Ojanperä</v>
          </cell>
          <cell r="D44" t="str">
            <v>Europe</v>
          </cell>
          <cell r="E44" t="str">
            <v>wheat</v>
          </cell>
          <cell r="F44" t="str">
            <v>Satu</v>
          </cell>
          <cell r="G44">
            <v>1992</v>
          </cell>
          <cell r="H44" t="str">
            <v>OTC</v>
          </cell>
          <cell r="I44" t="str">
            <v>field</v>
          </cell>
          <cell r="J44" t="str">
            <v>CF</v>
          </cell>
          <cell r="K44">
            <v>0</v>
          </cell>
          <cell r="L44">
            <v>14</v>
          </cell>
          <cell r="M44">
            <v>8</v>
          </cell>
          <cell r="N44">
            <v>78</v>
          </cell>
          <cell r="O44">
            <v>5</v>
          </cell>
          <cell r="P44">
            <v>0</v>
          </cell>
          <cell r="Q44" t="str">
            <v>1000 grain weight</v>
          </cell>
          <cell r="R44">
            <v>33.799999999999997</v>
          </cell>
          <cell r="S44" t="str">
            <v>37.3060119541839</v>
          </cell>
          <cell r="T44" t="str">
            <v>0.942322675042005</v>
          </cell>
          <cell r="U44">
            <v>1</v>
          </cell>
        </row>
        <row r="45">
          <cell r="A45" t="str">
            <v>1998-75Satu1992OTC</v>
          </cell>
          <cell r="B45" t="str">
            <v>1998-75</v>
          </cell>
          <cell r="C45" t="str">
            <v>Ojanperä</v>
          </cell>
          <cell r="D45" t="str">
            <v>Europe</v>
          </cell>
          <cell r="E45" t="str">
            <v>wheat</v>
          </cell>
          <cell r="F45" t="str">
            <v>Satu</v>
          </cell>
          <cell r="G45">
            <v>1992</v>
          </cell>
          <cell r="H45" t="str">
            <v>OTC</v>
          </cell>
          <cell r="I45" t="str">
            <v>field</v>
          </cell>
          <cell r="J45" t="str">
            <v>NF</v>
          </cell>
          <cell r="K45">
            <v>0.67100000000000004</v>
          </cell>
          <cell r="L45">
            <v>30</v>
          </cell>
          <cell r="M45">
            <v>8</v>
          </cell>
          <cell r="N45">
            <v>78</v>
          </cell>
          <cell r="O45">
            <v>5</v>
          </cell>
          <cell r="P45">
            <v>0.67100000000000004</v>
          </cell>
          <cell r="Q45" t="str">
            <v>1000 grain weight</v>
          </cell>
          <cell r="R45">
            <v>34.4</v>
          </cell>
          <cell r="S45" t="str">
            <v>37.3060119541839</v>
          </cell>
          <cell r="T45" t="str">
            <v>0.959050296492455</v>
          </cell>
          <cell r="U45">
            <v>0.97526694153090498</v>
          </cell>
        </row>
        <row r="46">
          <cell r="A46" t="str">
            <v>1998-75Satu1992OTC</v>
          </cell>
          <cell r="B46" t="str">
            <v>1998-75</v>
          </cell>
          <cell r="C46" t="str">
            <v>Ojanperä</v>
          </cell>
          <cell r="D46" t="str">
            <v>Europe</v>
          </cell>
          <cell r="E46" t="str">
            <v>wheat</v>
          </cell>
          <cell r="F46" t="str">
            <v>Satu</v>
          </cell>
          <cell r="G46">
            <v>1992</v>
          </cell>
          <cell r="H46" t="str">
            <v>OTC</v>
          </cell>
          <cell r="I46" t="str">
            <v>field</v>
          </cell>
          <cell r="J46" t="str">
            <v>EO3</v>
          </cell>
          <cell r="K46">
            <v>13.744</v>
          </cell>
          <cell r="L46">
            <v>61</v>
          </cell>
          <cell r="M46">
            <v>8</v>
          </cell>
          <cell r="N46">
            <v>78</v>
          </cell>
          <cell r="O46">
            <v>5</v>
          </cell>
          <cell r="P46">
            <v>13.744</v>
          </cell>
          <cell r="Q46" t="str">
            <v>1000 grain weight</v>
          </cell>
          <cell r="R46">
            <v>30.8</v>
          </cell>
          <cell r="S46" t="str">
            <v>37.3060119541839</v>
          </cell>
          <cell r="T46" t="str">
            <v>0.858684567789756</v>
          </cell>
          <cell r="U46">
            <v>0.79570333872592502</v>
          </cell>
        </row>
        <row r="47">
          <cell r="A47" t="str">
            <v>1998-75Satu1993OTC</v>
          </cell>
          <cell r="B47" t="str">
            <v>1998-75</v>
          </cell>
          <cell r="C47" t="str">
            <v>Ojanperä</v>
          </cell>
          <cell r="D47" t="str">
            <v>Europe</v>
          </cell>
          <cell r="E47" t="str">
            <v>wheat</v>
          </cell>
          <cell r="F47" t="str">
            <v>Satu</v>
          </cell>
          <cell r="G47">
            <v>1993</v>
          </cell>
          <cell r="H47" t="str">
            <v>OTC</v>
          </cell>
          <cell r="I47" t="str">
            <v>field</v>
          </cell>
          <cell r="J47" t="str">
            <v>CF</v>
          </cell>
          <cell r="K47">
            <v>0</v>
          </cell>
          <cell r="L47">
            <v>9</v>
          </cell>
          <cell r="M47">
            <v>8</v>
          </cell>
          <cell r="N47">
            <v>82</v>
          </cell>
          <cell r="O47">
            <v>5</v>
          </cell>
          <cell r="P47">
            <v>0</v>
          </cell>
          <cell r="Q47" t="str">
            <v>1000 grain weight</v>
          </cell>
          <cell r="R47">
            <v>36.4</v>
          </cell>
          <cell r="S47" t="str">
            <v>37.7551887666256</v>
          </cell>
          <cell r="T47" t="str">
            <v>1.00273576202402</v>
          </cell>
          <cell r="U47">
            <v>1</v>
          </cell>
        </row>
        <row r="48">
          <cell r="A48" t="str">
            <v>1998-75Satu1993OTC</v>
          </cell>
          <cell r="B48" t="str">
            <v>1998-75</v>
          </cell>
          <cell r="C48" t="str">
            <v>Ojanperä</v>
          </cell>
          <cell r="D48" t="str">
            <v>Europe</v>
          </cell>
          <cell r="E48" t="str">
            <v>wheat</v>
          </cell>
          <cell r="F48" t="str">
            <v>Satu</v>
          </cell>
          <cell r="G48">
            <v>1993</v>
          </cell>
          <cell r="H48" t="str">
            <v>OTC</v>
          </cell>
          <cell r="I48" t="str">
            <v>field</v>
          </cell>
          <cell r="J48" t="str">
            <v>NF</v>
          </cell>
          <cell r="K48">
            <v>0</v>
          </cell>
          <cell r="L48">
            <v>21</v>
          </cell>
          <cell r="M48">
            <v>8</v>
          </cell>
          <cell r="N48">
            <v>82</v>
          </cell>
          <cell r="O48">
            <v>5</v>
          </cell>
          <cell r="P48">
            <v>0</v>
          </cell>
          <cell r="Q48" t="str">
            <v>1000 grain weight</v>
          </cell>
          <cell r="R48">
            <v>36.700000000000003</v>
          </cell>
          <cell r="S48" t="str">
            <v>37.7551887666256</v>
          </cell>
          <cell r="T48" t="str">
            <v>1.01100006775499</v>
          </cell>
          <cell r="U48">
            <v>1</v>
          </cell>
        </row>
        <row r="49">
          <cell r="A49" t="str">
            <v>1998-75Satu1993OTC</v>
          </cell>
          <cell r="B49" t="str">
            <v>1998-75</v>
          </cell>
          <cell r="C49" t="str">
            <v>Ojanperä</v>
          </cell>
          <cell r="D49" t="str">
            <v>Europe</v>
          </cell>
          <cell r="E49" t="str">
            <v>wheat</v>
          </cell>
          <cell r="F49" t="str">
            <v>Satu</v>
          </cell>
          <cell r="G49">
            <v>1993</v>
          </cell>
          <cell r="H49" t="str">
            <v>OTC</v>
          </cell>
          <cell r="I49" t="str">
            <v>field</v>
          </cell>
          <cell r="J49" t="str">
            <v>EO3</v>
          </cell>
          <cell r="K49">
            <v>4.609</v>
          </cell>
          <cell r="L49">
            <v>45</v>
          </cell>
          <cell r="M49">
            <v>8</v>
          </cell>
          <cell r="N49">
            <v>82</v>
          </cell>
          <cell r="O49">
            <v>5</v>
          </cell>
          <cell r="P49">
            <v>4.609</v>
          </cell>
          <cell r="Q49" t="str">
            <v>1000 grain weight</v>
          </cell>
          <cell r="R49">
            <v>32.1</v>
          </cell>
          <cell r="S49" t="str">
            <v>37.7551887666256</v>
          </cell>
          <cell r="T49" t="str">
            <v>0.884280713213489</v>
          </cell>
          <cell r="U49">
            <v>0.89645365309291303</v>
          </cell>
        </row>
        <row r="50">
          <cell r="A50" t="str">
            <v>1998-84Dragon1995OTC</v>
          </cell>
          <cell r="B50" t="str">
            <v>1998-84</v>
          </cell>
          <cell r="C50" t="str">
            <v>Pleijel</v>
          </cell>
          <cell r="D50" t="str">
            <v>Europe</v>
          </cell>
          <cell r="E50" t="str">
            <v>wheat</v>
          </cell>
          <cell r="F50" t="str">
            <v>Dragon</v>
          </cell>
          <cell r="G50">
            <v>1995</v>
          </cell>
          <cell r="H50" t="str">
            <v>OTC</v>
          </cell>
          <cell r="I50" t="str">
            <v>field</v>
          </cell>
          <cell r="J50" t="str">
            <v>NF</v>
          </cell>
          <cell r="K50">
            <v>1.3093749999999999E-2</v>
          </cell>
          <cell r="L50">
            <v>21.436869047619101</v>
          </cell>
          <cell r="M50">
            <v>12</v>
          </cell>
          <cell r="N50">
            <v>98</v>
          </cell>
          <cell r="O50">
            <v>5</v>
          </cell>
          <cell r="P50">
            <v>1.2024872448979601E-2</v>
          </cell>
          <cell r="Q50" t="str">
            <v>1000 grain weight</v>
          </cell>
          <cell r="R50">
            <v>41.7</v>
          </cell>
          <cell r="S50" t="str">
            <v>43.3769825620131</v>
          </cell>
          <cell r="T50" t="str">
            <v>0.999858363148842</v>
          </cell>
          <cell r="U50">
            <v>0.99948612240839496</v>
          </cell>
        </row>
        <row r="51">
          <cell r="A51" t="str">
            <v>1998-84Dragon1995OTC</v>
          </cell>
          <cell r="B51" t="str">
            <v>1998-84</v>
          </cell>
          <cell r="C51" t="str">
            <v>Pleijel</v>
          </cell>
          <cell r="D51" t="str">
            <v>Europe</v>
          </cell>
          <cell r="E51" t="str">
            <v>wheat</v>
          </cell>
          <cell r="F51" t="str">
            <v>Dragon</v>
          </cell>
          <cell r="G51">
            <v>1995</v>
          </cell>
          <cell r="H51" t="str">
            <v>OTC</v>
          </cell>
          <cell r="I51" t="str">
            <v>field</v>
          </cell>
          <cell r="J51" t="str">
            <v>EO3-1</v>
          </cell>
          <cell r="K51">
            <v>0.89017187499999995</v>
          </cell>
          <cell r="L51">
            <v>29.599224206349199</v>
          </cell>
          <cell r="M51">
            <v>12</v>
          </cell>
          <cell r="N51">
            <v>98</v>
          </cell>
          <cell r="O51">
            <v>5</v>
          </cell>
          <cell r="P51">
            <v>0.81750478316326503</v>
          </cell>
          <cell r="Q51" t="str">
            <v>1000 grain weight</v>
          </cell>
          <cell r="R51">
            <v>41.5</v>
          </cell>
          <cell r="S51" t="str">
            <v>43.3769825620131</v>
          </cell>
          <cell r="T51" t="str">
            <v>0.995062879392732</v>
          </cell>
          <cell r="U51">
            <v>0.97071947846523698</v>
          </cell>
        </row>
        <row r="52">
          <cell r="A52" t="str">
            <v>1998-84Dragon1995OTC</v>
          </cell>
          <cell r="B52" t="str">
            <v>1998-84</v>
          </cell>
          <cell r="C52" t="str">
            <v>Pleijel</v>
          </cell>
          <cell r="D52" t="str">
            <v>Europe</v>
          </cell>
          <cell r="E52" t="str">
            <v>wheat</v>
          </cell>
          <cell r="F52" t="str">
            <v>Dragon</v>
          </cell>
          <cell r="G52">
            <v>1995</v>
          </cell>
          <cell r="H52" t="str">
            <v>OTC</v>
          </cell>
          <cell r="I52" t="str">
            <v>field</v>
          </cell>
          <cell r="J52" t="str">
            <v>EO3-2</v>
          </cell>
          <cell r="K52">
            <v>2.3906512499999999</v>
          </cell>
          <cell r="L52">
            <v>35.929928571428597</v>
          </cell>
          <cell r="M52">
            <v>12</v>
          </cell>
          <cell r="N52">
            <v>98</v>
          </cell>
          <cell r="O52">
            <v>5</v>
          </cell>
          <cell r="P52">
            <v>2.1954960459183699</v>
          </cell>
          <cell r="Q52" t="str">
            <v>1000 grain weight</v>
          </cell>
          <cell r="R52">
            <v>38.1</v>
          </cell>
          <cell r="S52" t="str">
            <v>43.3769825620131</v>
          </cell>
          <cell r="T52" t="str">
            <v>0.91353965553887</v>
          </cell>
          <cell r="U52">
            <v>0.93679788154017096</v>
          </cell>
        </row>
        <row r="53">
          <cell r="A53" t="str">
            <v>2000-X96Dragon1994OTC</v>
          </cell>
          <cell r="B53" t="str">
            <v>2000-X96</v>
          </cell>
          <cell r="C53" t="str">
            <v>Pleijel</v>
          </cell>
          <cell r="D53" t="str">
            <v>Europe</v>
          </cell>
          <cell r="E53" t="str">
            <v>wheat</v>
          </cell>
          <cell r="F53" t="str">
            <v>Dragon</v>
          </cell>
          <cell r="G53">
            <v>1994</v>
          </cell>
          <cell r="H53" t="str">
            <v>OTC</v>
          </cell>
          <cell r="I53" t="str">
            <v>field</v>
          </cell>
          <cell r="J53" t="str">
            <v>NF</v>
          </cell>
          <cell r="K53">
            <v>2.2709999999999999</v>
          </cell>
          <cell r="L53">
            <v>33</v>
          </cell>
          <cell r="M53">
            <v>12</v>
          </cell>
          <cell r="N53">
            <v>71</v>
          </cell>
          <cell r="O53">
            <v>3</v>
          </cell>
          <cell r="P53">
            <v>2.2709999999999999</v>
          </cell>
          <cell r="Q53" t="str">
            <v>1000 grain weight</v>
          </cell>
          <cell r="R53">
            <v>35.761674718196502</v>
          </cell>
          <cell r="S53" t="str">
            <v>39.4228355979794</v>
          </cell>
          <cell r="T53" t="str">
            <v>0.943477952972357</v>
          </cell>
          <cell r="U53">
            <v>0.93526594564564502</v>
          </cell>
        </row>
        <row r="54">
          <cell r="A54" t="str">
            <v>2000-X96Dragon1994OTC</v>
          </cell>
          <cell r="B54" t="str">
            <v>2000-X96</v>
          </cell>
          <cell r="C54" t="str">
            <v>Pleijel</v>
          </cell>
          <cell r="D54" t="str">
            <v>Europe</v>
          </cell>
          <cell r="E54" t="str">
            <v>wheat</v>
          </cell>
          <cell r="F54" t="str">
            <v>Dragon</v>
          </cell>
          <cell r="G54">
            <v>1994</v>
          </cell>
          <cell r="H54" t="str">
            <v>OTC</v>
          </cell>
          <cell r="I54" t="str">
            <v>field</v>
          </cell>
          <cell r="J54" t="str">
            <v>EO3-1</v>
          </cell>
          <cell r="K54">
            <v>7.1619999999999999</v>
          </cell>
          <cell r="L54">
            <v>39</v>
          </cell>
          <cell r="M54">
            <v>12</v>
          </cell>
          <cell r="N54">
            <v>71</v>
          </cell>
          <cell r="O54">
            <v>3</v>
          </cell>
          <cell r="P54">
            <v>7.1619999999999999</v>
          </cell>
          <cell r="Q54" t="str">
            <v>1000 grain weight</v>
          </cell>
          <cell r="R54">
            <v>33.659259259259301</v>
          </cell>
          <cell r="S54" t="str">
            <v>39.4228355979794</v>
          </cell>
          <cell r="T54" t="str">
            <v>0.888011237581475</v>
          </cell>
          <cell r="U54">
            <v>0.86399438929979799</v>
          </cell>
        </row>
        <row r="55">
          <cell r="A55" t="str">
            <v>2000-X96Dragon1994OTC</v>
          </cell>
          <cell r="B55" t="str">
            <v>2000-X96</v>
          </cell>
          <cell r="C55" t="str">
            <v>Pleijel</v>
          </cell>
          <cell r="D55" t="str">
            <v>Europe</v>
          </cell>
          <cell r="E55" t="str">
            <v>wheat</v>
          </cell>
          <cell r="F55" t="str">
            <v>Dragon</v>
          </cell>
          <cell r="G55">
            <v>1994</v>
          </cell>
          <cell r="H55" t="str">
            <v>OTC</v>
          </cell>
          <cell r="I55" t="str">
            <v>field</v>
          </cell>
          <cell r="J55" t="str">
            <v>EO3-2</v>
          </cell>
          <cell r="K55">
            <v>12.052</v>
          </cell>
          <cell r="L55">
            <v>46</v>
          </cell>
          <cell r="M55">
            <v>12</v>
          </cell>
          <cell r="N55">
            <v>71</v>
          </cell>
          <cell r="O55">
            <v>3</v>
          </cell>
          <cell r="P55">
            <v>12.052</v>
          </cell>
          <cell r="Q55" t="str">
            <v>1000 grain weight</v>
          </cell>
          <cell r="R55">
            <v>29.691465378421899</v>
          </cell>
          <cell r="S55" t="str">
            <v>39.4228355979794</v>
          </cell>
          <cell r="T55" t="str">
            <v>0.783331407064368</v>
          </cell>
          <cell r="U55">
            <v>0.81217518305625502</v>
          </cell>
        </row>
        <row r="56">
          <cell r="A56" t="str">
            <v>2006-90Dragon1999OTC</v>
          </cell>
          <cell r="B56" t="str">
            <v>2006-90</v>
          </cell>
          <cell r="C56" t="str">
            <v>Pleijel</v>
          </cell>
          <cell r="D56" t="str">
            <v>Europe</v>
          </cell>
          <cell r="E56" t="str">
            <v>wheat</v>
          </cell>
          <cell r="F56" t="str">
            <v>Dragon</v>
          </cell>
          <cell r="G56">
            <v>1999</v>
          </cell>
          <cell r="H56" t="str">
            <v>OTC</v>
          </cell>
          <cell r="I56" t="str">
            <v>field</v>
          </cell>
          <cell r="J56" t="str">
            <v>CF</v>
          </cell>
          <cell r="K56">
            <v>0</v>
          </cell>
          <cell r="L56">
            <v>9</v>
          </cell>
          <cell r="M56">
            <v>12</v>
          </cell>
          <cell r="N56">
            <v>70</v>
          </cell>
          <cell r="O56">
            <v>6</v>
          </cell>
          <cell r="P56">
            <v>0</v>
          </cell>
          <cell r="Q56" t="str">
            <v>1000 grain weight</v>
          </cell>
          <cell r="R56">
            <v>38.6666666666667</v>
          </cell>
          <cell r="S56" t="str">
            <v>38.7408235384312</v>
          </cell>
          <cell r="T56" t="str">
            <v>1.03807719983135</v>
          </cell>
          <cell r="U56">
            <v>1</v>
          </cell>
        </row>
        <row r="57">
          <cell r="A57" t="str">
            <v>2006-90Dragon1999OTC</v>
          </cell>
          <cell r="B57" t="str">
            <v>2006-90</v>
          </cell>
          <cell r="C57" t="str">
            <v>Pleijel</v>
          </cell>
          <cell r="D57" t="str">
            <v>Europe</v>
          </cell>
          <cell r="E57" t="str">
            <v>wheat</v>
          </cell>
          <cell r="F57" t="str">
            <v>Dragon</v>
          </cell>
          <cell r="G57">
            <v>1999</v>
          </cell>
          <cell r="H57" t="str">
            <v>OTC</v>
          </cell>
          <cell r="I57" t="str">
            <v>field</v>
          </cell>
          <cell r="J57" t="str">
            <v>EO3</v>
          </cell>
          <cell r="K57">
            <v>9.6999999999999993</v>
          </cell>
          <cell r="L57">
            <v>57</v>
          </cell>
          <cell r="M57">
            <v>12</v>
          </cell>
          <cell r="N57">
            <v>70</v>
          </cell>
          <cell r="O57">
            <v>6</v>
          </cell>
          <cell r="P57">
            <v>9.6999999999999993</v>
          </cell>
          <cell r="Q57" t="str">
            <v>1000 grain weight</v>
          </cell>
          <cell r="R57">
            <v>30</v>
          </cell>
          <cell r="S57" t="str">
            <v>38.7408235384312</v>
          </cell>
          <cell r="T57" t="str">
            <v>0.805404724007079</v>
          </cell>
          <cell r="U57">
            <v>0.83607228108952303</v>
          </cell>
        </row>
        <row r="58">
          <cell r="A58" t="str">
            <v>2006-90Lantvete1999OTC</v>
          </cell>
          <cell r="B58" t="str">
            <v>2006-90</v>
          </cell>
          <cell r="C58" t="str">
            <v>Pleijel</v>
          </cell>
          <cell r="D58" t="str">
            <v>Europe</v>
          </cell>
          <cell r="E58" t="str">
            <v>wheat</v>
          </cell>
          <cell r="F58" t="str">
            <v>Lantvete</v>
          </cell>
          <cell r="G58">
            <v>1999</v>
          </cell>
          <cell r="H58" t="str">
            <v>OTC</v>
          </cell>
          <cell r="I58" t="str">
            <v>field</v>
          </cell>
          <cell r="J58" t="str">
            <v>CF</v>
          </cell>
          <cell r="K58">
            <v>0</v>
          </cell>
          <cell r="L58">
            <v>9</v>
          </cell>
          <cell r="M58">
            <v>12</v>
          </cell>
          <cell r="N58">
            <v>70</v>
          </cell>
          <cell r="O58">
            <v>6</v>
          </cell>
          <cell r="P58">
            <v>0</v>
          </cell>
          <cell r="Q58" t="str">
            <v>1000 grain weight</v>
          </cell>
          <cell r="R58">
            <v>34.3333333333333</v>
          </cell>
          <cell r="S58" t="str">
            <v>36.8458279094583</v>
          </cell>
          <cell r="T58" t="str">
            <v>0.969146467317934</v>
          </cell>
          <cell r="U58">
            <v>1</v>
          </cell>
        </row>
        <row r="59">
          <cell r="A59" t="str">
            <v>2006-90Lantvete1999OTC</v>
          </cell>
          <cell r="B59" t="str">
            <v>2006-90</v>
          </cell>
          <cell r="C59" t="str">
            <v>Pleijel</v>
          </cell>
          <cell r="D59" t="str">
            <v>Europe</v>
          </cell>
          <cell r="E59" t="str">
            <v>wheat</v>
          </cell>
          <cell r="F59" t="str">
            <v>Lantvete</v>
          </cell>
          <cell r="G59">
            <v>1999</v>
          </cell>
          <cell r="H59" t="str">
            <v>OTC</v>
          </cell>
          <cell r="I59" t="str">
            <v>field</v>
          </cell>
          <cell r="J59" t="str">
            <v>EO3</v>
          </cell>
          <cell r="K59">
            <v>9</v>
          </cell>
          <cell r="L59">
            <v>52</v>
          </cell>
          <cell r="M59">
            <v>12</v>
          </cell>
          <cell r="N59">
            <v>70</v>
          </cell>
          <cell r="O59">
            <v>6</v>
          </cell>
          <cell r="P59">
            <v>9</v>
          </cell>
          <cell r="Q59" t="str">
            <v>1000 grain weight</v>
          </cell>
          <cell r="R59">
            <v>30.8333333333333</v>
          </cell>
          <cell r="S59" t="str">
            <v>36.8458279094583</v>
          </cell>
          <cell r="T59" t="str">
            <v>0.870349982785523</v>
          </cell>
          <cell r="U59">
            <v>0.843496611570417</v>
          </cell>
        </row>
      </sheetData>
      <sheetData sheetId="2"/>
      <sheetData sheetId="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row>
        <row r="2">
          <cell r="A2" t="str">
            <v>1985-119Albis1986OTC</v>
          </cell>
          <cell r="B2" t="str">
            <v>1985-119</v>
          </cell>
          <cell r="C2" t="str">
            <v>Fuhrer</v>
          </cell>
          <cell r="D2" t="str">
            <v>Europe</v>
          </cell>
          <cell r="E2" t="str">
            <v>wheat</v>
          </cell>
          <cell r="F2" t="str">
            <v>Albis</v>
          </cell>
          <cell r="G2">
            <v>1986</v>
          </cell>
          <cell r="H2" t="str">
            <v>OTC</v>
          </cell>
          <cell r="I2" t="str">
            <v>field</v>
          </cell>
          <cell r="J2" t="str">
            <v>CF</v>
          </cell>
          <cell r="K2"/>
          <cell r="L2">
            <v>20</v>
          </cell>
          <cell r="M2">
            <v>8</v>
          </cell>
          <cell r="N2">
            <v>72</v>
          </cell>
          <cell r="O2">
            <v>4</v>
          </cell>
          <cell r="P2">
            <v>0.13472763978990401</v>
          </cell>
          <cell r="Q2" t="str">
            <v>Total grain no. ear-1</v>
          </cell>
          <cell r="R2">
            <v>41.1</v>
          </cell>
          <cell r="S2" t="str">
            <v>39.6147499653528</v>
          </cell>
          <cell r="T2" t="str">
            <v>1.03749388148982</v>
          </cell>
          <cell r="U2">
            <v>0.99908479706864095</v>
          </cell>
        </row>
        <row r="3">
          <cell r="A3" t="str">
            <v>1985-119Albis1986OTC</v>
          </cell>
          <cell r="B3" t="str">
            <v>1985-119</v>
          </cell>
          <cell r="C3" t="str">
            <v>Fuhrer</v>
          </cell>
          <cell r="D3" t="str">
            <v>Europe</v>
          </cell>
          <cell r="E3" t="str">
            <v>wheat</v>
          </cell>
          <cell r="F3" t="str">
            <v>Albis</v>
          </cell>
          <cell r="G3">
            <v>1986</v>
          </cell>
          <cell r="H3" t="str">
            <v>OTC</v>
          </cell>
          <cell r="I3" t="str">
            <v>field</v>
          </cell>
          <cell r="J3" t="str">
            <v>NF</v>
          </cell>
          <cell r="K3"/>
          <cell r="L3">
            <v>35</v>
          </cell>
          <cell r="M3">
            <v>8</v>
          </cell>
          <cell r="N3">
            <v>72</v>
          </cell>
          <cell r="O3">
            <v>4</v>
          </cell>
          <cell r="P3">
            <v>2.7820454495208602</v>
          </cell>
          <cell r="Q3" t="str">
            <v>Total grain no. ear-1</v>
          </cell>
          <cell r="R3">
            <v>39</v>
          </cell>
          <cell r="S3" t="str">
            <v>39.6147499653528</v>
          </cell>
          <cell r="T3" t="str">
            <v>0.984483245209314</v>
          </cell>
          <cell r="U3">
            <v>0.98110160502717703</v>
          </cell>
        </row>
        <row r="4">
          <cell r="A4" t="str">
            <v>1985-119Albis1986OTC</v>
          </cell>
          <cell r="B4" t="str">
            <v>1985-119</v>
          </cell>
          <cell r="C4" t="str">
            <v>Fuhrer</v>
          </cell>
          <cell r="D4" t="str">
            <v>Europe</v>
          </cell>
          <cell r="E4" t="str">
            <v>wheat</v>
          </cell>
          <cell r="F4" t="str">
            <v>Albis</v>
          </cell>
          <cell r="G4">
            <v>1986</v>
          </cell>
          <cell r="H4" t="str">
            <v>OTC</v>
          </cell>
          <cell r="I4" t="str">
            <v>field</v>
          </cell>
          <cell r="J4" t="str">
            <v>EO3-2</v>
          </cell>
          <cell r="K4"/>
          <cell r="L4">
            <v>103</v>
          </cell>
          <cell r="M4">
            <v>8</v>
          </cell>
          <cell r="N4">
            <v>72</v>
          </cell>
          <cell r="O4">
            <v>4</v>
          </cell>
          <cell r="P4">
            <v>34.528958228277801</v>
          </cell>
          <cell r="Q4" t="str">
            <v>Total grain no. ear-1</v>
          </cell>
          <cell r="R4">
            <v>29.1</v>
          </cell>
          <cell r="S4" t="str">
            <v>39.6147499653528</v>
          </cell>
          <cell r="T4" t="str">
            <v>0.73457595988695</v>
          </cell>
          <cell r="U4">
            <v>0.76544528038027104</v>
          </cell>
        </row>
        <row r="5">
          <cell r="A5" t="str">
            <v>1985-119Albis1987OTC</v>
          </cell>
          <cell r="B5" t="str">
            <v>1985-119</v>
          </cell>
          <cell r="C5" t="str">
            <v>Fuhrer</v>
          </cell>
          <cell r="D5" t="str">
            <v>Europe</v>
          </cell>
          <cell r="E5" t="str">
            <v>wheat</v>
          </cell>
          <cell r="F5" t="str">
            <v>Albis</v>
          </cell>
          <cell r="G5">
            <v>1987</v>
          </cell>
          <cell r="H5" t="str">
            <v>OTC</v>
          </cell>
          <cell r="I5" t="str">
            <v>field</v>
          </cell>
          <cell r="J5" t="str">
            <v>CF</v>
          </cell>
          <cell r="K5"/>
          <cell r="L5">
            <v>16</v>
          </cell>
          <cell r="M5">
            <v>8</v>
          </cell>
          <cell r="N5">
            <v>90</v>
          </cell>
          <cell r="O5">
            <v>4</v>
          </cell>
          <cell r="P5">
            <v>0</v>
          </cell>
          <cell r="Q5" t="str">
            <v>Total grain no. ear-1</v>
          </cell>
          <cell r="R5">
            <v>34.6</v>
          </cell>
          <cell r="S5" t="str">
            <v>33.8258517695133</v>
          </cell>
          <cell r="T5" t="str">
            <v>1.02288780016214</v>
          </cell>
          <cell r="U5">
            <v>1</v>
          </cell>
        </row>
        <row r="6">
          <cell r="A6" t="str">
            <v>1985-119Albis1987OTC</v>
          </cell>
          <cell r="B6" t="str">
            <v>1985-119</v>
          </cell>
          <cell r="C6" t="str">
            <v>Fuhrer</v>
          </cell>
          <cell r="D6" t="str">
            <v>Europe</v>
          </cell>
          <cell r="E6" t="str">
            <v>wheat</v>
          </cell>
          <cell r="F6" t="str">
            <v>Albis</v>
          </cell>
          <cell r="G6">
            <v>1987</v>
          </cell>
          <cell r="H6" t="str">
            <v>OTC</v>
          </cell>
          <cell r="I6" t="str">
            <v>field</v>
          </cell>
          <cell r="J6" t="str">
            <v>NF</v>
          </cell>
          <cell r="K6"/>
          <cell r="L6">
            <v>33</v>
          </cell>
          <cell r="M6">
            <v>8</v>
          </cell>
          <cell r="N6">
            <v>90</v>
          </cell>
          <cell r="O6">
            <v>4</v>
          </cell>
          <cell r="P6">
            <v>2.0812598193567</v>
          </cell>
          <cell r="Q6" t="str">
            <v>Total grain no. ear-1</v>
          </cell>
          <cell r="R6">
            <v>33.299999999999997</v>
          </cell>
          <cell r="S6" t="str">
            <v>33.8258517695133</v>
          </cell>
          <cell r="T6" t="str">
            <v>0.984455599578014</v>
          </cell>
          <cell r="U6">
            <v>0.985862031795946</v>
          </cell>
        </row>
        <row r="7">
          <cell r="A7" t="str">
            <v>1985-119Albis1987OTC</v>
          </cell>
          <cell r="B7" t="str">
            <v>1985-119</v>
          </cell>
          <cell r="C7" t="str">
            <v>Fuhrer</v>
          </cell>
          <cell r="D7" t="str">
            <v>Europe</v>
          </cell>
          <cell r="E7" t="str">
            <v>wheat</v>
          </cell>
          <cell r="F7" t="str">
            <v>Albis</v>
          </cell>
          <cell r="G7">
            <v>1987</v>
          </cell>
          <cell r="H7" t="str">
            <v>OTC</v>
          </cell>
          <cell r="I7" t="str">
            <v>field</v>
          </cell>
          <cell r="J7" t="str">
            <v>EO3-1</v>
          </cell>
          <cell r="K7"/>
          <cell r="L7">
            <v>65</v>
          </cell>
          <cell r="M7">
            <v>8</v>
          </cell>
          <cell r="N7">
            <v>90</v>
          </cell>
          <cell r="O7">
            <v>4</v>
          </cell>
          <cell r="P7">
            <v>17.275867995722599</v>
          </cell>
          <cell r="Q7" t="str">
            <v>Total grain no. ear-1</v>
          </cell>
          <cell r="R7">
            <v>30.5</v>
          </cell>
          <cell r="S7" t="str">
            <v>33.8258517695133</v>
          </cell>
          <cell r="T7" t="str">
            <v>0.901678552166049</v>
          </cell>
          <cell r="U7">
            <v>0.88264527565922202</v>
          </cell>
        </row>
        <row r="8">
          <cell r="A8" t="str">
            <v>1985-119Albis1987OTC</v>
          </cell>
          <cell r="B8" t="str">
            <v>1985-119</v>
          </cell>
          <cell r="C8" t="str">
            <v>Fuhrer</v>
          </cell>
          <cell r="D8" t="str">
            <v>Europe</v>
          </cell>
          <cell r="E8" t="str">
            <v>wheat</v>
          </cell>
          <cell r="F8" t="str">
            <v>Albis</v>
          </cell>
          <cell r="G8">
            <v>1987</v>
          </cell>
          <cell r="H8" t="str">
            <v>OTC</v>
          </cell>
          <cell r="I8" t="str">
            <v>field</v>
          </cell>
          <cell r="J8" t="str">
            <v>EO3-2</v>
          </cell>
          <cell r="K8"/>
          <cell r="L8">
            <v>95</v>
          </cell>
          <cell r="M8">
            <v>8</v>
          </cell>
          <cell r="N8">
            <v>90</v>
          </cell>
          <cell r="O8">
            <v>4</v>
          </cell>
          <cell r="P8">
            <v>37.769273886058301</v>
          </cell>
          <cell r="Q8" t="str">
            <v>Total grain no. ear-1</v>
          </cell>
          <cell r="R8">
            <v>24.1</v>
          </cell>
          <cell r="S8" t="str">
            <v>33.8258517695133</v>
          </cell>
          <cell r="T8" t="str">
            <v>0.712473872367271</v>
          </cell>
          <cell r="U8">
            <v>0.74343386244908904</v>
          </cell>
        </row>
        <row r="9">
          <cell r="A9" t="str">
            <v>1985-119Albis1988OTC</v>
          </cell>
          <cell r="B9" t="str">
            <v>1985-119</v>
          </cell>
          <cell r="C9" t="str">
            <v>Fuhrer</v>
          </cell>
          <cell r="D9" t="str">
            <v>Europe</v>
          </cell>
          <cell r="E9" t="str">
            <v>wheat</v>
          </cell>
          <cell r="F9" t="str">
            <v>Albis</v>
          </cell>
          <cell r="G9">
            <v>1988</v>
          </cell>
          <cell r="H9" t="str">
            <v>OTC</v>
          </cell>
          <cell r="I9" t="str">
            <v>field</v>
          </cell>
          <cell r="J9" t="str">
            <v>CF</v>
          </cell>
          <cell r="K9"/>
          <cell r="L9">
            <v>22</v>
          </cell>
          <cell r="M9">
            <v>8</v>
          </cell>
          <cell r="N9">
            <v>81</v>
          </cell>
          <cell r="O9">
            <v>4</v>
          </cell>
          <cell r="P9">
            <v>0.16916951417220799</v>
          </cell>
          <cell r="Q9" t="str">
            <v>Total grain no. ear-1</v>
          </cell>
          <cell r="R9">
            <v>34.799999999999997</v>
          </cell>
          <cell r="S9" t="str">
            <v>34.7378944991553</v>
          </cell>
          <cell r="T9" t="str">
            <v>1.0017893111334</v>
          </cell>
          <cell r="U9">
            <v>0.99885083390825802</v>
          </cell>
        </row>
        <row r="10">
          <cell r="A10" t="str">
            <v>1985-119Albis1988OTC</v>
          </cell>
          <cell r="B10" t="str">
            <v>1985-119</v>
          </cell>
          <cell r="C10" t="str">
            <v>Fuhrer</v>
          </cell>
          <cell r="D10" t="str">
            <v>Europe</v>
          </cell>
          <cell r="E10" t="str">
            <v>wheat</v>
          </cell>
          <cell r="F10" t="str">
            <v>Albis</v>
          </cell>
          <cell r="G10">
            <v>1988</v>
          </cell>
          <cell r="H10" t="str">
            <v>OTC</v>
          </cell>
          <cell r="I10" t="str">
            <v>field</v>
          </cell>
          <cell r="J10" t="str">
            <v>NF</v>
          </cell>
          <cell r="K10"/>
          <cell r="L10">
            <v>35</v>
          </cell>
          <cell r="M10">
            <v>8</v>
          </cell>
          <cell r="N10">
            <v>81</v>
          </cell>
          <cell r="O10">
            <v>4</v>
          </cell>
          <cell r="P10">
            <v>2.7820454495208602</v>
          </cell>
          <cell r="Q10" t="str">
            <v>Total grain no. ear-1</v>
          </cell>
          <cell r="R10">
            <v>36</v>
          </cell>
          <cell r="S10" t="str">
            <v>34.7378944991553</v>
          </cell>
          <cell r="T10" t="str">
            <v>1.036333770138</v>
          </cell>
          <cell r="U10">
            <v>0.98110160502717703</v>
          </cell>
        </row>
        <row r="11">
          <cell r="A11" t="str">
            <v>1985-119Albis1988OTC</v>
          </cell>
          <cell r="B11" t="str">
            <v>1985-119</v>
          </cell>
          <cell r="C11" t="str">
            <v>Fuhrer</v>
          </cell>
          <cell r="D11" t="str">
            <v>Europe</v>
          </cell>
          <cell r="E11" t="str">
            <v>wheat</v>
          </cell>
          <cell r="F11" t="str">
            <v>Albis</v>
          </cell>
          <cell r="G11">
            <v>1988</v>
          </cell>
          <cell r="H11" t="str">
            <v>OTC</v>
          </cell>
          <cell r="I11" t="str">
            <v>field</v>
          </cell>
          <cell r="J11" t="str">
            <v>EO3-1</v>
          </cell>
          <cell r="K11"/>
          <cell r="L11">
            <v>63</v>
          </cell>
          <cell r="M11">
            <v>8</v>
          </cell>
          <cell r="N11">
            <v>81</v>
          </cell>
          <cell r="O11">
            <v>4</v>
          </cell>
          <cell r="P11">
            <v>14.829808857695401</v>
          </cell>
          <cell r="Q11" t="str">
            <v>Total grain no. ear-1</v>
          </cell>
          <cell r="R11">
            <v>32.1</v>
          </cell>
          <cell r="S11" t="str">
            <v>34.7378944991553</v>
          </cell>
          <cell r="T11" t="str">
            <v>0.92406427837305</v>
          </cell>
          <cell r="U11">
            <v>0.89926132041546902</v>
          </cell>
        </row>
        <row r="12">
          <cell r="A12" t="str">
            <v>1985-119Albis1988OTC</v>
          </cell>
          <cell r="B12" t="str">
            <v>1985-119</v>
          </cell>
          <cell r="C12" t="str">
            <v>Fuhrer</v>
          </cell>
          <cell r="D12" t="str">
            <v>Europe</v>
          </cell>
          <cell r="E12" t="str">
            <v>wheat</v>
          </cell>
          <cell r="F12" t="str">
            <v>Albis</v>
          </cell>
          <cell r="G12">
            <v>1988</v>
          </cell>
          <cell r="H12" t="str">
            <v>OTC</v>
          </cell>
          <cell r="I12" t="str">
            <v>field</v>
          </cell>
          <cell r="J12" t="str">
            <v>EO3-2</v>
          </cell>
          <cell r="K12"/>
          <cell r="L12">
            <v>89</v>
          </cell>
          <cell r="M12">
            <v>8</v>
          </cell>
          <cell r="N12">
            <v>81</v>
          </cell>
          <cell r="O12">
            <v>4</v>
          </cell>
          <cell r="P12">
            <v>30.493562298089302</v>
          </cell>
          <cell r="Q12" t="str">
            <v>Total grain no. ear-1</v>
          </cell>
          <cell r="R12">
            <v>25.3</v>
          </cell>
          <cell r="S12" t="str">
            <v>34.7378944991553</v>
          </cell>
          <cell r="T12" t="str">
            <v>0.72831234401365</v>
          </cell>
          <cell r="U12">
            <v>0.79285766723542395</v>
          </cell>
        </row>
        <row r="13">
          <cell r="A13" t="str">
            <v>1991-89Drabant1987OTC</v>
          </cell>
          <cell r="B13" t="str">
            <v>1991-89</v>
          </cell>
          <cell r="C13" t="str">
            <v>Pleijel</v>
          </cell>
          <cell r="D13" t="str">
            <v>Europe</v>
          </cell>
          <cell r="E13" t="str">
            <v>wheat</v>
          </cell>
          <cell r="F13" t="str">
            <v>Drabant</v>
          </cell>
          <cell r="G13">
            <v>1987</v>
          </cell>
          <cell r="H13" t="str">
            <v>OTC</v>
          </cell>
          <cell r="I13" t="str">
            <v>field</v>
          </cell>
          <cell r="J13" t="str">
            <v>CF</v>
          </cell>
          <cell r="K13"/>
          <cell r="L13">
            <v>3</v>
          </cell>
          <cell r="M13">
            <v>7</v>
          </cell>
          <cell r="N13">
            <v>62</v>
          </cell>
          <cell r="O13">
            <v>7</v>
          </cell>
          <cell r="P13">
            <v>0</v>
          </cell>
          <cell r="Q13" t="str">
            <v>Total grain no. ear-1</v>
          </cell>
          <cell r="R13">
            <v>22.363203806502799</v>
          </cell>
          <cell r="S13" t="str">
            <v>22.4516563376712</v>
          </cell>
          <cell r="T13" t="str">
            <v>0.996061782757283</v>
          </cell>
          <cell r="U13">
            <v>1</v>
          </cell>
        </row>
        <row r="14">
          <cell r="A14" t="str">
            <v>1991-89Drabant1987OTC</v>
          </cell>
          <cell r="B14" t="str">
            <v>1991-89</v>
          </cell>
          <cell r="C14" t="str">
            <v>Pleijel</v>
          </cell>
          <cell r="D14" t="str">
            <v>Europe</v>
          </cell>
          <cell r="E14" t="str">
            <v>wheat</v>
          </cell>
          <cell r="F14" t="str">
            <v>Drabant</v>
          </cell>
          <cell r="G14">
            <v>1987</v>
          </cell>
          <cell r="H14" t="str">
            <v>OTC</v>
          </cell>
          <cell r="I14" t="str">
            <v>field</v>
          </cell>
          <cell r="J14" t="str">
            <v>NF</v>
          </cell>
          <cell r="K14"/>
          <cell r="L14">
            <v>15</v>
          </cell>
          <cell r="M14">
            <v>7</v>
          </cell>
          <cell r="N14">
            <v>62</v>
          </cell>
          <cell r="O14">
            <v>7</v>
          </cell>
          <cell r="P14">
            <v>0</v>
          </cell>
          <cell r="Q14" t="str">
            <v>Total grain no. ear-1</v>
          </cell>
          <cell r="R14">
            <v>22.559474979491402</v>
          </cell>
          <cell r="S14" t="str">
            <v>22.4516563376712</v>
          </cell>
          <cell r="T14" t="str">
            <v>1.0048037419221</v>
          </cell>
          <cell r="U14">
            <v>1</v>
          </cell>
        </row>
        <row r="15">
          <cell r="A15" t="str">
            <v>1991-89Drabant1987OTC</v>
          </cell>
          <cell r="B15" t="str">
            <v>1991-89</v>
          </cell>
          <cell r="C15" t="str">
            <v>Pleijel</v>
          </cell>
          <cell r="D15" t="str">
            <v>Europe</v>
          </cell>
          <cell r="E15" t="str">
            <v>wheat</v>
          </cell>
          <cell r="F15" t="str">
            <v>Drabant</v>
          </cell>
          <cell r="G15">
            <v>1987</v>
          </cell>
          <cell r="H15" t="str">
            <v>OTC</v>
          </cell>
          <cell r="I15" t="str">
            <v>field</v>
          </cell>
          <cell r="J15" t="str">
            <v>EO3</v>
          </cell>
          <cell r="K15"/>
          <cell r="L15">
            <v>42</v>
          </cell>
          <cell r="M15">
            <v>7</v>
          </cell>
          <cell r="N15">
            <v>62</v>
          </cell>
          <cell r="O15">
            <v>7</v>
          </cell>
          <cell r="P15">
            <v>0.52157833216543703</v>
          </cell>
          <cell r="Q15" t="str">
            <v>Total grain no. ear-1</v>
          </cell>
          <cell r="R15">
            <v>22.3531555609549</v>
          </cell>
          <cell r="S15" t="str">
            <v>22.4516563376712</v>
          </cell>
          <cell r="T15" t="str">
            <v>0.995614231795416</v>
          </cell>
          <cell r="U15">
            <v>0.99645692584481005</v>
          </cell>
        </row>
        <row r="16">
          <cell r="A16" t="str">
            <v>1991-89Drabant1988OTC</v>
          </cell>
          <cell r="B16" t="str">
            <v>1991-89</v>
          </cell>
          <cell r="C16" t="str">
            <v>Pleijel</v>
          </cell>
          <cell r="D16" t="str">
            <v>Europe</v>
          </cell>
          <cell r="E16" t="str">
            <v>wheat</v>
          </cell>
          <cell r="F16" t="str">
            <v>Drabant</v>
          </cell>
          <cell r="G16">
            <v>1988</v>
          </cell>
          <cell r="H16" t="str">
            <v>OTC</v>
          </cell>
          <cell r="I16" t="str">
            <v>field</v>
          </cell>
          <cell r="J16" t="str">
            <v>CF</v>
          </cell>
          <cell r="K16"/>
          <cell r="L16">
            <v>6</v>
          </cell>
          <cell r="M16">
            <v>7</v>
          </cell>
          <cell r="N16">
            <v>56</v>
          </cell>
          <cell r="O16">
            <v>5</v>
          </cell>
          <cell r="P16">
            <v>0</v>
          </cell>
          <cell r="Q16" t="str">
            <v>Total grain no. ear-1</v>
          </cell>
          <cell r="R16">
            <v>23.107096696624499</v>
          </cell>
          <cell r="S16" t="str">
            <v>21.9814236424949</v>
          </cell>
          <cell r="T16" t="str">
            <v>1.05121175053262</v>
          </cell>
          <cell r="U16">
            <v>1</v>
          </cell>
        </row>
        <row r="17">
          <cell r="A17" t="str">
            <v>1991-89Drabant1988OTC</v>
          </cell>
          <cell r="B17" t="str">
            <v>1991-89</v>
          </cell>
          <cell r="C17" t="str">
            <v>Pleijel</v>
          </cell>
          <cell r="D17" t="str">
            <v>Europe</v>
          </cell>
          <cell r="E17" t="str">
            <v>wheat</v>
          </cell>
          <cell r="F17" t="str">
            <v>Drabant</v>
          </cell>
          <cell r="G17">
            <v>1988</v>
          </cell>
          <cell r="H17" t="str">
            <v>OTC</v>
          </cell>
          <cell r="I17" t="str">
            <v>field</v>
          </cell>
          <cell r="J17" t="str">
            <v>NF</v>
          </cell>
          <cell r="K17"/>
          <cell r="L17">
            <v>22</v>
          </cell>
          <cell r="M17">
            <v>7</v>
          </cell>
          <cell r="N17">
            <v>56</v>
          </cell>
          <cell r="O17">
            <v>5</v>
          </cell>
          <cell r="P17">
            <v>2.6422220032823501E-2</v>
          </cell>
          <cell r="Q17" t="str">
            <v>Total grain no. ear-1</v>
          </cell>
          <cell r="R17">
            <v>22.313487091435</v>
          </cell>
          <cell r="S17" t="str">
            <v>21.9814236424949</v>
          </cell>
          <cell r="T17" t="str">
            <v>1.0151080481392</v>
          </cell>
          <cell r="U17">
            <v>0.99982051423698404</v>
          </cell>
        </row>
        <row r="18">
          <cell r="A18" t="str">
            <v>1991-89Drabant1988OTC</v>
          </cell>
          <cell r="B18" t="str">
            <v>1991-89</v>
          </cell>
          <cell r="C18" t="str">
            <v>Pleijel</v>
          </cell>
          <cell r="D18" t="str">
            <v>Europe</v>
          </cell>
          <cell r="E18" t="str">
            <v>wheat</v>
          </cell>
          <cell r="F18" t="str">
            <v>Drabant</v>
          </cell>
          <cell r="G18">
            <v>1988</v>
          </cell>
          <cell r="H18" t="str">
            <v>OTC</v>
          </cell>
          <cell r="I18" t="str">
            <v>field</v>
          </cell>
          <cell r="J18" t="str">
            <v>EO3-1</v>
          </cell>
          <cell r="K18"/>
          <cell r="L18">
            <v>44</v>
          </cell>
          <cell r="M18">
            <v>7</v>
          </cell>
          <cell r="N18">
            <v>56</v>
          </cell>
          <cell r="O18">
            <v>5</v>
          </cell>
          <cell r="P18">
            <v>1.28822803845163</v>
          </cell>
          <cell r="Q18" t="str">
            <v>Total grain no. ear-1</v>
          </cell>
          <cell r="R18">
            <v>20.578426885041601</v>
          </cell>
          <cell r="S18" t="str">
            <v>21.9814236424949</v>
          </cell>
          <cell r="T18" t="str">
            <v>0.936174909078564</v>
          </cell>
          <cell r="U18">
            <v>0.99124908534822898</v>
          </cell>
        </row>
        <row r="19">
          <cell r="A19" t="str">
            <v>1991-89Drabant1988OTC</v>
          </cell>
          <cell r="B19" t="str">
            <v>1991-89</v>
          </cell>
          <cell r="C19" t="str">
            <v>Pleijel</v>
          </cell>
          <cell r="D19" t="str">
            <v>Europe</v>
          </cell>
          <cell r="E19" t="str">
            <v>wheat</v>
          </cell>
          <cell r="F19" t="str">
            <v>Drabant</v>
          </cell>
          <cell r="G19">
            <v>1988</v>
          </cell>
          <cell r="H19" t="str">
            <v>OTC</v>
          </cell>
          <cell r="I19" t="str">
            <v>field</v>
          </cell>
          <cell r="J19" t="str">
            <v>EO3-2</v>
          </cell>
          <cell r="K19"/>
          <cell r="L19">
            <v>56</v>
          </cell>
          <cell r="M19">
            <v>7</v>
          </cell>
          <cell r="N19">
            <v>56</v>
          </cell>
          <cell r="O19">
            <v>5</v>
          </cell>
          <cell r="P19">
            <v>2.5792630900391802</v>
          </cell>
          <cell r="Q19" t="str">
            <v>Total grain no. ear-1</v>
          </cell>
          <cell r="R19">
            <v>21.425155428024901</v>
          </cell>
          <cell r="S19" t="str">
            <v>21.9814236424949</v>
          </cell>
          <cell r="T19" t="str">
            <v>0.974695152689498</v>
          </cell>
          <cell r="U19">
            <v>0.982479102696585</v>
          </cell>
        </row>
        <row r="20">
          <cell r="A20" t="str">
            <v>1992-37Albis1989OTC</v>
          </cell>
          <cell r="B20" t="str">
            <v>1992-37</v>
          </cell>
          <cell r="C20" t="str">
            <v>Fuhrer</v>
          </cell>
          <cell r="D20" t="str">
            <v>Europe</v>
          </cell>
          <cell r="E20" t="str">
            <v>wheat</v>
          </cell>
          <cell r="F20" t="str">
            <v>Albis</v>
          </cell>
          <cell r="G20">
            <v>1989</v>
          </cell>
          <cell r="H20" t="str">
            <v>OTC</v>
          </cell>
          <cell r="I20" t="str">
            <v>field</v>
          </cell>
          <cell r="J20" t="str">
            <v>CF</v>
          </cell>
          <cell r="K20"/>
          <cell r="L20">
            <v>20.000549761468498</v>
          </cell>
          <cell r="M20">
            <v>7</v>
          </cell>
          <cell r="N20">
            <v>91</v>
          </cell>
          <cell r="O20">
            <v>3</v>
          </cell>
          <cell r="P20">
            <v>0</v>
          </cell>
          <cell r="Q20" t="str">
            <v>Total grain no. ear-1</v>
          </cell>
          <cell r="R20">
            <v>38.4</v>
          </cell>
          <cell r="S20" t="str">
            <v>38.6169177694948</v>
          </cell>
          <cell r="T20" t="str">
            <v>0.994384299312566</v>
          </cell>
          <cell r="U20">
            <v>1</v>
          </cell>
        </row>
        <row r="21">
          <cell r="A21" t="str">
            <v>1992-37Albis1989OTC</v>
          </cell>
          <cell r="B21" t="str">
            <v>1992-37</v>
          </cell>
          <cell r="C21" t="str">
            <v>Fuhrer</v>
          </cell>
          <cell r="D21" t="str">
            <v>Europe</v>
          </cell>
          <cell r="E21" t="str">
            <v>wheat</v>
          </cell>
          <cell r="F21" t="str">
            <v>Albis</v>
          </cell>
          <cell r="G21">
            <v>1989</v>
          </cell>
          <cell r="H21" t="str">
            <v>OTC</v>
          </cell>
          <cell r="I21" t="str">
            <v>field</v>
          </cell>
          <cell r="J21" t="str">
            <v>NF</v>
          </cell>
          <cell r="K21"/>
          <cell r="L21">
            <v>38.889957869522</v>
          </cell>
          <cell r="M21">
            <v>7</v>
          </cell>
          <cell r="N21">
            <v>91</v>
          </cell>
          <cell r="O21">
            <v>3</v>
          </cell>
          <cell r="P21">
            <v>4.6083782087559699</v>
          </cell>
          <cell r="Q21" t="str">
            <v>Total grain no. ear-1</v>
          </cell>
          <cell r="R21">
            <v>36.200000000000003</v>
          </cell>
          <cell r="S21" t="str">
            <v>38.6169177694948</v>
          </cell>
          <cell r="T21" t="str">
            <v>0.937414365497784</v>
          </cell>
          <cell r="U21">
            <v>0.96869535269937601</v>
          </cell>
        </row>
        <row r="22">
          <cell r="A22" t="str">
            <v>1992-37Albis1989OTC</v>
          </cell>
          <cell r="B22" t="str">
            <v>1992-37</v>
          </cell>
          <cell r="C22" t="str">
            <v>Fuhrer</v>
          </cell>
          <cell r="D22" t="str">
            <v>Europe</v>
          </cell>
          <cell r="E22" t="str">
            <v>wheat</v>
          </cell>
          <cell r="F22" t="str">
            <v>Albis</v>
          </cell>
          <cell r="G22">
            <v>1989</v>
          </cell>
          <cell r="H22" t="str">
            <v>OTC</v>
          </cell>
          <cell r="I22" t="str">
            <v>field</v>
          </cell>
          <cell r="J22" t="str">
            <v>EO3-1</v>
          </cell>
          <cell r="K22"/>
          <cell r="L22">
            <v>53.890370190623301</v>
          </cell>
          <cell r="M22">
            <v>7</v>
          </cell>
          <cell r="N22">
            <v>91</v>
          </cell>
          <cell r="O22">
            <v>3</v>
          </cell>
          <cell r="P22">
            <v>11.012574761161099</v>
          </cell>
          <cell r="Q22" t="str">
            <v>Total grain no. ear-1</v>
          </cell>
          <cell r="R22">
            <v>36.1</v>
          </cell>
          <cell r="S22" t="str">
            <v>38.6169177694948</v>
          </cell>
          <cell r="T22" t="str">
            <v>0.934824823051657</v>
          </cell>
          <cell r="U22">
            <v>0.92519173706450797</v>
          </cell>
        </row>
        <row r="23">
          <cell r="A23" t="str">
            <v>1992-37Albis1989OTC</v>
          </cell>
          <cell r="B23" t="str">
            <v>1992-37</v>
          </cell>
          <cell r="C23" t="str">
            <v>Fuhrer</v>
          </cell>
          <cell r="D23" t="str">
            <v>Europe</v>
          </cell>
          <cell r="E23" t="str">
            <v>wheat</v>
          </cell>
          <cell r="F23" t="str">
            <v>Albis</v>
          </cell>
          <cell r="G23">
            <v>1989</v>
          </cell>
          <cell r="H23" t="str">
            <v>OTC</v>
          </cell>
          <cell r="I23" t="str">
            <v>field</v>
          </cell>
          <cell r="J23" t="str">
            <v>EO3-2</v>
          </cell>
          <cell r="K23"/>
          <cell r="L23">
            <v>67.779640858309804</v>
          </cell>
          <cell r="M23">
            <v>7</v>
          </cell>
          <cell r="N23">
            <v>91</v>
          </cell>
          <cell r="O23">
            <v>3</v>
          </cell>
          <cell r="P23">
            <v>18.596503033997301</v>
          </cell>
          <cell r="Q23" t="str">
            <v>Total grain no. ear-1</v>
          </cell>
          <cell r="R23">
            <v>34.700000000000003</v>
          </cell>
          <cell r="S23" t="str">
            <v>38.6169177694948</v>
          </cell>
          <cell r="T23" t="str">
            <v>0.898571228805887</v>
          </cell>
          <cell r="U23">
            <v>0.87367422072410805</v>
          </cell>
        </row>
        <row r="24">
          <cell r="A24" t="str">
            <v>1992-37Albis1990OTC</v>
          </cell>
          <cell r="B24" t="str">
            <v>1992-37</v>
          </cell>
          <cell r="C24" t="str">
            <v>Fuhrer</v>
          </cell>
          <cell r="D24" t="str">
            <v>Europe</v>
          </cell>
          <cell r="E24" t="str">
            <v>wheat</v>
          </cell>
          <cell r="F24" t="str">
            <v>Albis</v>
          </cell>
          <cell r="G24">
            <v>1990</v>
          </cell>
          <cell r="H24" t="str">
            <v>OTC</v>
          </cell>
          <cell r="I24" t="str">
            <v>field</v>
          </cell>
          <cell r="J24" t="str">
            <v>CF</v>
          </cell>
          <cell r="K24"/>
          <cell r="L24">
            <v>18.818200606618099</v>
          </cell>
          <cell r="M24">
            <v>7</v>
          </cell>
          <cell r="N24">
            <v>88</v>
          </cell>
          <cell r="O24">
            <v>3</v>
          </cell>
          <cell r="P24">
            <v>0</v>
          </cell>
          <cell r="Q24" t="str">
            <v>Total grain no. ear-1</v>
          </cell>
          <cell r="R24">
            <v>37.200000000000003</v>
          </cell>
          <cell r="S24" t="str">
            <v>38.6835456234759</v>
          </cell>
          <cell r="T24" t="str">
            <v>0.961650602234925</v>
          </cell>
          <cell r="U24">
            <v>1</v>
          </cell>
        </row>
        <row r="25">
          <cell r="A25" t="str">
            <v>1992-37Albis1990OTC</v>
          </cell>
          <cell r="B25" t="str">
            <v>1992-37</v>
          </cell>
          <cell r="C25" t="str">
            <v>Fuhrer</v>
          </cell>
          <cell r="D25" t="str">
            <v>Europe</v>
          </cell>
          <cell r="E25" t="str">
            <v>wheat</v>
          </cell>
          <cell r="F25" t="str">
            <v>Albis</v>
          </cell>
          <cell r="G25">
            <v>1990</v>
          </cell>
          <cell r="H25" t="str">
            <v>OTC</v>
          </cell>
          <cell r="I25" t="str">
            <v>field</v>
          </cell>
          <cell r="J25" t="str">
            <v>NF</v>
          </cell>
          <cell r="K25"/>
          <cell r="L25">
            <v>42.064213120675802</v>
          </cell>
          <cell r="M25">
            <v>7</v>
          </cell>
          <cell r="N25">
            <v>88</v>
          </cell>
          <cell r="O25">
            <v>3</v>
          </cell>
          <cell r="P25">
            <v>6.5846869894592803</v>
          </cell>
          <cell r="Q25" t="str">
            <v>Total grain no. ear-1</v>
          </cell>
          <cell r="R25">
            <v>35.200000000000003</v>
          </cell>
          <cell r="S25" t="str">
            <v>38.6835456234759</v>
          </cell>
          <cell r="T25" t="str">
            <v>0.909948956953477</v>
          </cell>
          <cell r="U25">
            <v>0.95527031540203899</v>
          </cell>
        </row>
        <row r="26">
          <cell r="A26" t="str">
            <v>1992-37Albis1990OTC</v>
          </cell>
          <cell r="B26" t="str">
            <v>1992-37</v>
          </cell>
          <cell r="C26" t="str">
            <v>Fuhrer</v>
          </cell>
          <cell r="D26" t="str">
            <v>Europe</v>
          </cell>
          <cell r="E26" t="str">
            <v>wheat</v>
          </cell>
          <cell r="F26" t="str">
            <v>Albis</v>
          </cell>
          <cell r="G26">
            <v>1990</v>
          </cell>
          <cell r="H26" t="str">
            <v>OTC</v>
          </cell>
          <cell r="I26" t="str">
            <v>field</v>
          </cell>
          <cell r="J26" t="str">
            <v>EO3-1</v>
          </cell>
          <cell r="K26"/>
          <cell r="L26">
            <v>60.328937238863901</v>
          </cell>
          <cell r="M26">
            <v>7</v>
          </cell>
          <cell r="N26">
            <v>88</v>
          </cell>
          <cell r="O26">
            <v>3</v>
          </cell>
          <cell r="P26">
            <v>15.4082260212028</v>
          </cell>
          <cell r="Q26" t="str">
            <v>Total grain no. ear-1</v>
          </cell>
          <cell r="R26">
            <v>36.1</v>
          </cell>
          <cell r="S26" t="str">
            <v>38.6835456234759</v>
          </cell>
          <cell r="T26" t="str">
            <v>0.933214697330129</v>
          </cell>
          <cell r="U26">
            <v>0.89533214089262203</v>
          </cell>
        </row>
        <row r="27">
          <cell r="A27" t="str">
            <v>1992-37Albis1990OTC</v>
          </cell>
          <cell r="B27" t="str">
            <v>1992-37</v>
          </cell>
          <cell r="C27" t="str">
            <v>Fuhrer</v>
          </cell>
          <cell r="D27" t="str">
            <v>Europe</v>
          </cell>
          <cell r="E27" t="str">
            <v>wheat</v>
          </cell>
          <cell r="F27" t="str">
            <v>Albis</v>
          </cell>
          <cell r="G27">
            <v>1990</v>
          </cell>
          <cell r="H27" t="str">
            <v>OTC</v>
          </cell>
          <cell r="I27" t="str">
            <v>field</v>
          </cell>
          <cell r="J27" t="str">
            <v>EO3-2</v>
          </cell>
          <cell r="K27"/>
          <cell r="L27">
            <v>77.486708380192198</v>
          </cell>
          <cell r="M27">
            <v>7</v>
          </cell>
          <cell r="N27">
            <v>88</v>
          </cell>
          <cell r="O27">
            <v>3</v>
          </cell>
          <cell r="P27">
            <v>25.126809126261598</v>
          </cell>
          <cell r="Q27" t="str">
            <v>Total grain no. ear-1</v>
          </cell>
          <cell r="R27">
            <v>33.6</v>
          </cell>
          <cell r="S27" t="str">
            <v>38.6835456234759</v>
          </cell>
          <cell r="T27" t="str">
            <v>0.868587640728319</v>
          </cell>
          <cell r="U27">
            <v>0.82931394480068199</v>
          </cell>
        </row>
        <row r="28">
          <cell r="A28" t="str">
            <v>1996-30Promessa1991OTC</v>
          </cell>
          <cell r="B28" t="str">
            <v>1996-30</v>
          </cell>
          <cell r="C28" t="str">
            <v>Finnan</v>
          </cell>
          <cell r="D28" t="str">
            <v>Europe</v>
          </cell>
          <cell r="E28" t="str">
            <v>wheat</v>
          </cell>
          <cell r="F28" t="str">
            <v>Promessa</v>
          </cell>
          <cell r="G28">
            <v>1991</v>
          </cell>
          <cell r="H28" t="str">
            <v>OTC</v>
          </cell>
          <cell r="I28" t="str">
            <v>field</v>
          </cell>
          <cell r="J28" t="str">
            <v>CF</v>
          </cell>
          <cell r="K28"/>
          <cell r="L28">
            <v>5.6</v>
          </cell>
          <cell r="M28">
            <v>12</v>
          </cell>
          <cell r="N28">
            <v>102</v>
          </cell>
          <cell r="O28">
            <v>3</v>
          </cell>
          <cell r="P28">
            <v>0</v>
          </cell>
          <cell r="Q28" t="str">
            <v>Total grain no. ear-1</v>
          </cell>
          <cell r="R28">
            <v>38.33</v>
          </cell>
          <cell r="S28" t="str">
            <v>36.090347064674</v>
          </cell>
          <cell r="T28" t="str">
            <v>1.06205840984989</v>
          </cell>
          <cell r="U28">
            <v>1</v>
          </cell>
        </row>
        <row r="29">
          <cell r="A29" t="str">
            <v>1996-30Promessa1991OTC</v>
          </cell>
          <cell r="B29" t="str">
            <v>1996-30</v>
          </cell>
          <cell r="C29" t="str">
            <v>Finnan</v>
          </cell>
          <cell r="D29" t="str">
            <v>Europe</v>
          </cell>
          <cell r="E29" t="str">
            <v>wheat</v>
          </cell>
          <cell r="F29" t="str">
            <v>Promessa</v>
          </cell>
          <cell r="G29">
            <v>1991</v>
          </cell>
          <cell r="H29" t="str">
            <v>OTC</v>
          </cell>
          <cell r="I29" t="str">
            <v>field</v>
          </cell>
          <cell r="J29" t="str">
            <v>NF</v>
          </cell>
          <cell r="K29"/>
          <cell r="L29">
            <v>24.9099</v>
          </cell>
          <cell r="M29">
            <v>12</v>
          </cell>
          <cell r="N29">
            <v>102</v>
          </cell>
          <cell r="O29">
            <v>3</v>
          </cell>
          <cell r="P29">
            <v>0.37197880276734202</v>
          </cell>
          <cell r="Q29" t="str">
            <v>Total grain no. ear-1</v>
          </cell>
          <cell r="R29">
            <v>39.979999999999997</v>
          </cell>
          <cell r="S29" t="str">
            <v>36.090347064674</v>
          </cell>
          <cell r="T29" t="str">
            <v>1.107777073462</v>
          </cell>
          <cell r="U29">
            <v>0.99747315330969799</v>
          </cell>
        </row>
        <row r="30">
          <cell r="A30" t="str">
            <v>1996-30Promessa1991OTC</v>
          </cell>
          <cell r="B30" t="str">
            <v>1996-30</v>
          </cell>
          <cell r="C30" t="str">
            <v>Finnan</v>
          </cell>
          <cell r="D30" t="str">
            <v>Europe</v>
          </cell>
          <cell r="E30" t="str">
            <v>wheat</v>
          </cell>
          <cell r="F30" t="str">
            <v>Promessa</v>
          </cell>
          <cell r="G30">
            <v>1991</v>
          </cell>
          <cell r="H30" t="str">
            <v>OTC</v>
          </cell>
          <cell r="I30" t="str">
            <v>field</v>
          </cell>
          <cell r="J30" t="str">
            <v>EO3-1</v>
          </cell>
          <cell r="K30"/>
          <cell r="L30">
            <v>32.614100000000001</v>
          </cell>
          <cell r="M30">
            <v>12</v>
          </cell>
          <cell r="N30">
            <v>102</v>
          </cell>
          <cell r="O30">
            <v>3</v>
          </cell>
          <cell r="P30">
            <v>1.9622365305235701</v>
          </cell>
          <cell r="Q30" t="str">
            <v>Total grain no. ear-1</v>
          </cell>
          <cell r="R30">
            <v>30.19</v>
          </cell>
          <cell r="S30" t="str">
            <v>36.090347064674</v>
          </cell>
          <cell r="T30" t="str">
            <v>0.836513002696792</v>
          </cell>
          <cell r="U30">
            <v>0.98667055529569403</v>
          </cell>
        </row>
        <row r="31">
          <cell r="A31" t="str">
            <v>1996-30Promessa1992OTC</v>
          </cell>
          <cell r="B31" t="str">
            <v>1996-30</v>
          </cell>
          <cell r="C31" t="str">
            <v>Finnan</v>
          </cell>
          <cell r="D31" t="str">
            <v>Europe</v>
          </cell>
          <cell r="E31" t="str">
            <v>wheat</v>
          </cell>
          <cell r="F31" t="str">
            <v>Promessa</v>
          </cell>
          <cell r="G31">
            <v>1992</v>
          </cell>
          <cell r="H31" t="str">
            <v>OTC</v>
          </cell>
          <cell r="I31" t="str">
            <v>field</v>
          </cell>
          <cell r="J31" t="str">
            <v>CF</v>
          </cell>
          <cell r="K31"/>
          <cell r="L31">
            <v>6.2309000000000001</v>
          </cell>
          <cell r="M31">
            <v>12</v>
          </cell>
          <cell r="N31">
            <v>102</v>
          </cell>
          <cell r="O31">
            <v>3</v>
          </cell>
          <cell r="P31">
            <v>0</v>
          </cell>
          <cell r="Q31" t="str">
            <v>Total grain no. ear-1</v>
          </cell>
          <cell r="R31">
            <v>38.33</v>
          </cell>
          <cell r="S31" t="str">
            <v>39.1074423751491</v>
          </cell>
          <cell r="T31" t="str">
            <v>0.98012179489383</v>
          </cell>
          <cell r="U31">
            <v>1</v>
          </cell>
        </row>
        <row r="32">
          <cell r="A32" t="str">
            <v>1996-30Promessa1992OTC</v>
          </cell>
          <cell r="B32" t="str">
            <v>1996-30</v>
          </cell>
          <cell r="C32" t="str">
            <v>Finnan</v>
          </cell>
          <cell r="D32" t="str">
            <v>Europe</v>
          </cell>
          <cell r="E32" t="str">
            <v>wheat</v>
          </cell>
          <cell r="F32" t="str">
            <v>Promessa</v>
          </cell>
          <cell r="G32">
            <v>1992</v>
          </cell>
          <cell r="H32" t="str">
            <v>OTC</v>
          </cell>
          <cell r="I32" t="str">
            <v>field</v>
          </cell>
          <cell r="J32" t="str">
            <v>NF</v>
          </cell>
          <cell r="K32"/>
          <cell r="L32">
            <v>25.098700000000001</v>
          </cell>
          <cell r="M32">
            <v>12</v>
          </cell>
          <cell r="N32">
            <v>102</v>
          </cell>
          <cell r="O32">
            <v>3</v>
          </cell>
          <cell r="P32">
            <v>0.39783406177585601</v>
          </cell>
          <cell r="Q32" t="str">
            <v>Total grain no. ear-1</v>
          </cell>
          <cell r="R32">
            <v>40.229999999999997</v>
          </cell>
          <cell r="S32" t="str">
            <v>39.1074423751491</v>
          </cell>
          <cell r="T32" t="str">
            <v>1.02870596943853</v>
          </cell>
          <cell r="U32">
            <v>0.99729751890481699</v>
          </cell>
        </row>
        <row r="33">
          <cell r="A33" t="str">
            <v>1996-30Promessa1992OTC</v>
          </cell>
          <cell r="B33" t="str">
            <v>1996-30</v>
          </cell>
          <cell r="C33" t="str">
            <v>Finnan</v>
          </cell>
          <cell r="D33" t="str">
            <v>Europe</v>
          </cell>
          <cell r="E33" t="str">
            <v>wheat</v>
          </cell>
          <cell r="F33" t="str">
            <v>Promessa</v>
          </cell>
          <cell r="G33">
            <v>1992</v>
          </cell>
          <cell r="H33" t="str">
            <v>OTC</v>
          </cell>
          <cell r="I33" t="str">
            <v>field</v>
          </cell>
          <cell r="J33" t="str">
            <v>EO3-2</v>
          </cell>
          <cell r="K33"/>
          <cell r="L33">
            <v>33.418599999999998</v>
          </cell>
          <cell r="M33">
            <v>12</v>
          </cell>
          <cell r="N33">
            <v>102</v>
          </cell>
          <cell r="O33">
            <v>3</v>
          </cell>
          <cell r="P33">
            <v>2.2160216957603098</v>
          </cell>
          <cell r="Q33" t="str">
            <v>Total grain no. ear-1</v>
          </cell>
          <cell r="R33">
            <v>38.1</v>
          </cell>
          <cell r="S33" t="str">
            <v>39.1074423751491</v>
          </cell>
          <cell r="T33" t="str">
            <v>0.974240552712104</v>
          </cell>
          <cell r="U33">
            <v>0.98494659629579895</v>
          </cell>
        </row>
        <row r="34">
          <cell r="A34" t="str">
            <v>1996-30Promessa1993OTC</v>
          </cell>
          <cell r="B34" t="str">
            <v>1996-30</v>
          </cell>
          <cell r="C34" t="str">
            <v>Finnan</v>
          </cell>
          <cell r="D34" t="str">
            <v>Europe</v>
          </cell>
          <cell r="E34" t="str">
            <v>wheat</v>
          </cell>
          <cell r="F34" t="str">
            <v>Promessa</v>
          </cell>
          <cell r="G34">
            <v>1993</v>
          </cell>
          <cell r="H34" t="str">
            <v>OTC</v>
          </cell>
          <cell r="I34" t="str">
            <v>field</v>
          </cell>
          <cell r="J34" t="str">
            <v>CF</v>
          </cell>
          <cell r="K34"/>
          <cell r="L34">
            <v>6.7001999999999997</v>
          </cell>
          <cell r="M34">
            <v>12</v>
          </cell>
          <cell r="N34">
            <v>102</v>
          </cell>
          <cell r="O34">
            <v>3</v>
          </cell>
          <cell r="P34">
            <v>0</v>
          </cell>
          <cell r="Q34" t="str">
            <v>Total grain no. ear-1</v>
          </cell>
          <cell r="R34">
            <v>36.82</v>
          </cell>
          <cell r="S34" t="str">
            <v>37.2502285364923</v>
          </cell>
          <cell r="T34" t="str">
            <v>0.988451771458443</v>
          </cell>
          <cell r="U34">
            <v>1</v>
          </cell>
        </row>
        <row r="35">
          <cell r="A35" t="str">
            <v>1996-30Promessa1993OTC</v>
          </cell>
          <cell r="B35" t="str">
            <v>1996-30</v>
          </cell>
          <cell r="C35" t="str">
            <v>Finnan</v>
          </cell>
          <cell r="D35" t="str">
            <v>Europe</v>
          </cell>
          <cell r="E35" t="str">
            <v>wheat</v>
          </cell>
          <cell r="F35" t="str">
            <v>Promessa</v>
          </cell>
          <cell r="G35">
            <v>1993</v>
          </cell>
          <cell r="H35" t="str">
            <v>OTC</v>
          </cell>
          <cell r="I35" t="str">
            <v>field</v>
          </cell>
          <cell r="J35" t="str">
            <v>EO3-2</v>
          </cell>
          <cell r="K35"/>
          <cell r="L35">
            <v>33.987499999999997</v>
          </cell>
          <cell r="M35">
            <v>12</v>
          </cell>
          <cell r="N35">
            <v>102</v>
          </cell>
          <cell r="O35">
            <v>3</v>
          </cell>
          <cell r="P35">
            <v>2.4089980077313702</v>
          </cell>
          <cell r="Q35" t="str">
            <v>Total grain no. ear-1</v>
          </cell>
          <cell r="R35">
            <v>35.76</v>
          </cell>
          <cell r="S35" t="str">
            <v>37.2502285364923</v>
          </cell>
          <cell r="T35" t="str">
            <v>0.959995528173653</v>
          </cell>
          <cell r="U35">
            <v>0.98363571096695401</v>
          </cell>
        </row>
        <row r="36">
          <cell r="A36" t="str">
            <v>1996-30Promessa1993OTC</v>
          </cell>
          <cell r="B36" t="str">
            <v>1996-30</v>
          </cell>
          <cell r="C36" t="str">
            <v>Finnan</v>
          </cell>
          <cell r="D36" t="str">
            <v>Europe</v>
          </cell>
          <cell r="E36" t="str">
            <v>wheat</v>
          </cell>
          <cell r="F36" t="str">
            <v>Promessa</v>
          </cell>
          <cell r="G36">
            <v>1993</v>
          </cell>
          <cell r="H36" t="str">
            <v>OTC</v>
          </cell>
          <cell r="I36" t="str">
            <v>field</v>
          </cell>
          <cell r="J36" t="str">
            <v>EO3-1</v>
          </cell>
          <cell r="K36"/>
          <cell r="L36">
            <v>34.003999999999998</v>
          </cell>
          <cell r="M36">
            <v>12</v>
          </cell>
          <cell r="N36">
            <v>102</v>
          </cell>
          <cell r="O36">
            <v>3</v>
          </cell>
          <cell r="P36">
            <v>2.4147688436996</v>
          </cell>
          <cell r="Q36" t="str">
            <v>Total grain no. ear-1</v>
          </cell>
          <cell r="R36">
            <v>37.979999999999997</v>
          </cell>
          <cell r="S36" t="str">
            <v>37.2502285364923</v>
          </cell>
          <cell r="T36" t="str">
            <v>1.01959256599651</v>
          </cell>
          <cell r="U36">
            <v>0.983596509760709</v>
          </cell>
        </row>
        <row r="37">
          <cell r="A37" t="str">
            <v>1997-75Minaret1995OTC</v>
          </cell>
          <cell r="B37" t="str">
            <v>1997-75</v>
          </cell>
          <cell r="C37" t="str">
            <v>Mulholland</v>
          </cell>
          <cell r="D37" t="str">
            <v>Europe</v>
          </cell>
          <cell r="E37" t="str">
            <v>wheat</v>
          </cell>
          <cell r="F37" t="str">
            <v>Minaret</v>
          </cell>
          <cell r="G37">
            <v>1995</v>
          </cell>
          <cell r="H37" t="str">
            <v>OTC</v>
          </cell>
          <cell r="I37" t="str">
            <v>field</v>
          </cell>
          <cell r="J37" t="str">
            <v>AA</v>
          </cell>
          <cell r="K37">
            <v>1.357</v>
          </cell>
          <cell r="L37">
            <v>26</v>
          </cell>
          <cell r="M37">
            <v>7</v>
          </cell>
          <cell r="N37">
            <v>104</v>
          </cell>
          <cell r="O37">
            <v>3</v>
          </cell>
          <cell r="P37">
            <v>1.17432692307692</v>
          </cell>
          <cell r="Q37" t="str">
            <v>Total grain no. ear-1</v>
          </cell>
          <cell r="R37">
            <v>35.299999999999997</v>
          </cell>
          <cell r="S37" t="str">
            <v>39.8353304747825</v>
          </cell>
          <cell r="T37" t="str">
            <v>0.88614934828753</v>
          </cell>
          <cell r="U37">
            <v>0.99202281399690195</v>
          </cell>
        </row>
        <row r="38">
          <cell r="A38" t="str">
            <v>1997-75Minaret1995OTC</v>
          </cell>
          <cell r="B38" t="str">
            <v>1997-75</v>
          </cell>
          <cell r="C38" t="str">
            <v>Mulholland</v>
          </cell>
          <cell r="D38" t="str">
            <v>Europe</v>
          </cell>
          <cell r="E38" t="str">
            <v>wheat</v>
          </cell>
          <cell r="F38" t="str">
            <v>Minaret</v>
          </cell>
          <cell r="G38">
            <v>1995</v>
          </cell>
          <cell r="H38" t="str">
            <v>OTC</v>
          </cell>
          <cell r="I38" t="str">
            <v>field</v>
          </cell>
          <cell r="J38" t="str">
            <v>EO3</v>
          </cell>
          <cell r="K38">
            <v>18.670999999999999</v>
          </cell>
          <cell r="L38">
            <v>60</v>
          </cell>
          <cell r="M38">
            <v>7</v>
          </cell>
          <cell r="N38">
            <v>104</v>
          </cell>
          <cell r="O38">
            <v>3</v>
          </cell>
          <cell r="P38">
            <v>16.1575961538462</v>
          </cell>
          <cell r="Q38" t="str">
            <v>Total grain no. ear-1</v>
          </cell>
          <cell r="R38">
            <v>39.700000000000003</v>
          </cell>
          <cell r="S38" t="str">
            <v>39.8353304747825</v>
          </cell>
          <cell r="T38" t="str">
            <v>0.99660422456133</v>
          </cell>
          <cell r="U38">
            <v>0.89024168029439299</v>
          </cell>
        </row>
        <row r="39">
          <cell r="A39" t="str">
            <v>1998-73Minaret1996OTC</v>
          </cell>
          <cell r="B39" t="str">
            <v>1998-73</v>
          </cell>
          <cell r="C39" t="str">
            <v>Mulholland</v>
          </cell>
          <cell r="D39" t="str">
            <v>Europe</v>
          </cell>
          <cell r="E39" t="str">
            <v>wheat</v>
          </cell>
          <cell r="F39" t="str">
            <v>Minaret</v>
          </cell>
          <cell r="G39">
            <v>1996</v>
          </cell>
          <cell r="H39" t="str">
            <v>OTC</v>
          </cell>
          <cell r="I39" t="str">
            <v>field</v>
          </cell>
          <cell r="J39" t="str">
            <v>AA</v>
          </cell>
          <cell r="K39">
            <v>1.887</v>
          </cell>
          <cell r="L39">
            <v>26</v>
          </cell>
          <cell r="M39">
            <v>7</v>
          </cell>
          <cell r="N39">
            <v>115</v>
          </cell>
          <cell r="O39">
            <v>3</v>
          </cell>
          <cell r="P39">
            <v>1.4767826086956499</v>
          </cell>
          <cell r="Q39" t="str">
            <v>Total grain no. ear-1</v>
          </cell>
          <cell r="R39">
            <v>46</v>
          </cell>
          <cell r="S39" t="str">
            <v>49.7421294675448</v>
          </cell>
          <cell r="T39" t="str">
            <v>0.924770781541379</v>
          </cell>
          <cell r="U39">
            <v>0.98996823684770696</v>
          </cell>
        </row>
        <row r="40">
          <cell r="A40" t="str">
            <v>1998-73Minaret1996OTC</v>
          </cell>
          <cell r="B40" t="str">
            <v>1998-73</v>
          </cell>
          <cell r="C40" t="str">
            <v>Mulholland</v>
          </cell>
          <cell r="D40" t="str">
            <v>Europe</v>
          </cell>
          <cell r="E40" t="str">
            <v>wheat</v>
          </cell>
          <cell r="F40" t="str">
            <v>Minaret</v>
          </cell>
          <cell r="G40">
            <v>1996</v>
          </cell>
          <cell r="H40" t="str">
            <v>OTC</v>
          </cell>
          <cell r="I40" t="str">
            <v>field</v>
          </cell>
          <cell r="J40" t="str">
            <v>EO3</v>
          </cell>
          <cell r="K40">
            <v>35.497999999999998</v>
          </cell>
          <cell r="L40">
            <v>84</v>
          </cell>
          <cell r="M40">
            <v>7</v>
          </cell>
          <cell r="N40">
            <v>115</v>
          </cell>
          <cell r="O40">
            <v>3</v>
          </cell>
          <cell r="P40">
            <v>27.781043478260901</v>
          </cell>
          <cell r="Q40" t="str">
            <v>Total grain no. ear-1</v>
          </cell>
          <cell r="R40">
            <v>43.2</v>
          </cell>
          <cell r="S40" t="str">
            <v>49.7421294675448</v>
          </cell>
          <cell r="T40" t="str">
            <v>0.868480386143208</v>
          </cell>
          <cell r="U40">
            <v>0.81128376879586594</v>
          </cell>
        </row>
        <row r="41">
          <cell r="A41" t="str">
            <v>1998-84Dragon1995OTC</v>
          </cell>
          <cell r="B41" t="str">
            <v>1998-84</v>
          </cell>
          <cell r="C41" t="str">
            <v>Pleijel</v>
          </cell>
          <cell r="D41" t="str">
            <v>Europe</v>
          </cell>
          <cell r="E41" t="str">
            <v>wheat</v>
          </cell>
          <cell r="F41" t="str">
            <v>Dragon</v>
          </cell>
          <cell r="G41">
            <v>1995</v>
          </cell>
          <cell r="H41" t="str">
            <v>OTC</v>
          </cell>
          <cell r="I41" t="str">
            <v>field</v>
          </cell>
          <cell r="J41" t="str">
            <v>NF</v>
          </cell>
          <cell r="K41">
            <v>1.3093749999999999E-2</v>
          </cell>
          <cell r="L41">
            <v>21.436869047619101</v>
          </cell>
          <cell r="M41">
            <v>12</v>
          </cell>
          <cell r="N41">
            <v>98</v>
          </cell>
          <cell r="O41">
            <v>5</v>
          </cell>
          <cell r="P41">
            <v>1.2024872448979601E-2</v>
          </cell>
          <cell r="Q41" t="str">
            <v>Total grain no. ear-1</v>
          </cell>
          <cell r="R41">
            <v>23.043454487224601</v>
          </cell>
          <cell r="S41" t="str">
            <v>24.1651870420887</v>
          </cell>
          <cell r="T41" t="str">
            <v>0.953582046887942</v>
          </cell>
          <cell r="U41">
            <v>0.99991831521333197</v>
          </cell>
        </row>
        <row r="42">
          <cell r="A42" t="str">
            <v>1998-84Dragon1995OTC</v>
          </cell>
          <cell r="B42" t="str">
            <v>1998-84</v>
          </cell>
          <cell r="C42" t="str">
            <v>Pleijel</v>
          </cell>
          <cell r="D42" t="str">
            <v>Europe</v>
          </cell>
          <cell r="E42" t="str">
            <v>wheat</v>
          </cell>
          <cell r="F42" t="str">
            <v>Dragon</v>
          </cell>
          <cell r="G42">
            <v>1995</v>
          </cell>
          <cell r="H42" t="str">
            <v>OTC</v>
          </cell>
          <cell r="I42" t="str">
            <v>field</v>
          </cell>
          <cell r="J42" t="str">
            <v>EO3-1</v>
          </cell>
          <cell r="K42">
            <v>0.89017187499999995</v>
          </cell>
          <cell r="L42">
            <v>29.599224206349199</v>
          </cell>
          <cell r="M42">
            <v>12</v>
          </cell>
          <cell r="N42">
            <v>98</v>
          </cell>
          <cell r="O42">
            <v>5</v>
          </cell>
          <cell r="P42">
            <v>0.81750478316326503</v>
          </cell>
          <cell r="Q42" t="str">
            <v>Total grain no. ear-1</v>
          </cell>
          <cell r="R42">
            <v>23.938376456646299</v>
          </cell>
          <cell r="S42" t="str">
            <v>24.1651870420887</v>
          </cell>
          <cell r="T42" t="str">
            <v>0.990615622903173</v>
          </cell>
          <cell r="U42">
            <v>0.99444670169303995</v>
          </cell>
        </row>
        <row r="43">
          <cell r="A43" t="str">
            <v>1998-84Dragon1995OTC</v>
          </cell>
          <cell r="B43" t="str">
            <v>1998-84</v>
          </cell>
          <cell r="C43" t="str">
            <v>Pleijel</v>
          </cell>
          <cell r="D43" t="str">
            <v>Europe</v>
          </cell>
          <cell r="E43" t="str">
            <v>wheat</v>
          </cell>
          <cell r="F43" t="str">
            <v>Dragon</v>
          </cell>
          <cell r="G43">
            <v>1995</v>
          </cell>
          <cell r="H43" t="str">
            <v>OTC</v>
          </cell>
          <cell r="I43" t="str">
            <v>field</v>
          </cell>
          <cell r="J43" t="str">
            <v>EO3-2</v>
          </cell>
          <cell r="K43">
            <v>2.3906512499999999</v>
          </cell>
          <cell r="L43">
            <v>35.929928571428597</v>
          </cell>
          <cell r="M43">
            <v>12</v>
          </cell>
          <cell r="N43">
            <v>98</v>
          </cell>
          <cell r="O43">
            <v>5</v>
          </cell>
          <cell r="P43">
            <v>2.1954960459183699</v>
          </cell>
          <cell r="Q43" t="str">
            <v>Total grain no. ear-1</v>
          </cell>
          <cell r="R43">
            <v>25.0580090532162</v>
          </cell>
          <cell r="S43" t="str">
            <v>24.1651870420887</v>
          </cell>
          <cell r="T43" t="str">
            <v>1.0369481527672</v>
          </cell>
          <cell r="U43">
            <v>0.98508602674178503</v>
          </cell>
        </row>
        <row r="44">
          <cell r="A44" t="str">
            <v>2000-X96Dragon1994OTC</v>
          </cell>
          <cell r="B44" t="str">
            <v>2000-X96</v>
          </cell>
          <cell r="C44" t="str">
            <v>Pleijel</v>
          </cell>
          <cell r="D44" t="str">
            <v>Europe</v>
          </cell>
          <cell r="E44" t="str">
            <v>wheat</v>
          </cell>
          <cell r="F44" t="str">
            <v>Dragon</v>
          </cell>
          <cell r="G44">
            <v>1994</v>
          </cell>
          <cell r="H44" t="str">
            <v>OTC</v>
          </cell>
          <cell r="I44" t="str">
            <v>field</v>
          </cell>
          <cell r="J44" t="str">
            <v>NF</v>
          </cell>
          <cell r="K44">
            <v>2.2709999999999999</v>
          </cell>
          <cell r="L44">
            <v>33</v>
          </cell>
          <cell r="M44">
            <v>12</v>
          </cell>
          <cell r="N44">
            <v>71</v>
          </cell>
          <cell r="O44">
            <v>3</v>
          </cell>
          <cell r="P44">
            <v>2.2709999999999999</v>
          </cell>
          <cell r="Q44" t="str">
            <v>Total grain no. ear-1</v>
          </cell>
          <cell r="R44">
            <v>35.214813556589398</v>
          </cell>
          <cell r="S44" t="str">
            <v>35.7322057513269</v>
          </cell>
          <cell r="T44" t="str">
            <v>0.985521739544608</v>
          </cell>
          <cell r="U44">
            <v>0.98457312946094999</v>
          </cell>
        </row>
        <row r="45">
          <cell r="A45" t="str">
            <v>2000-X96Dragon1994OTC</v>
          </cell>
          <cell r="B45" t="str">
            <v>2000-X96</v>
          </cell>
          <cell r="C45" t="str">
            <v>Pleijel</v>
          </cell>
          <cell r="D45" t="str">
            <v>Europe</v>
          </cell>
          <cell r="E45" t="str">
            <v>wheat</v>
          </cell>
          <cell r="F45" t="str">
            <v>Dragon</v>
          </cell>
          <cell r="G45">
            <v>1994</v>
          </cell>
          <cell r="H45" t="str">
            <v>OTC</v>
          </cell>
          <cell r="I45" t="str">
            <v>field</v>
          </cell>
          <cell r="J45" t="str">
            <v>EO3-1</v>
          </cell>
          <cell r="K45">
            <v>7.1619999999999999</v>
          </cell>
          <cell r="L45">
            <v>39</v>
          </cell>
          <cell r="M45">
            <v>12</v>
          </cell>
          <cell r="N45">
            <v>71</v>
          </cell>
          <cell r="O45">
            <v>3</v>
          </cell>
          <cell r="P45">
            <v>7.1619999999999999</v>
          </cell>
          <cell r="Q45" t="str">
            <v>Total grain no. ear-1</v>
          </cell>
          <cell r="R45">
            <v>33.833975987317501</v>
          </cell>
          <cell r="S45" t="str">
            <v>35.7322057513269</v>
          </cell>
          <cell r="T45" t="str">
            <v>0.946877620611235</v>
          </cell>
          <cell r="U45">
            <v>0.95134863637383504</v>
          </cell>
        </row>
        <row r="46">
          <cell r="A46" t="str">
            <v>2000-X96Dragon1994OTC</v>
          </cell>
          <cell r="B46" t="str">
            <v>2000-X96</v>
          </cell>
          <cell r="C46" t="str">
            <v>Pleijel</v>
          </cell>
          <cell r="D46" t="str">
            <v>Europe</v>
          </cell>
          <cell r="E46" t="str">
            <v>wheat</v>
          </cell>
          <cell r="F46" t="str">
            <v>Dragon</v>
          </cell>
          <cell r="G46">
            <v>1994</v>
          </cell>
          <cell r="H46" t="str">
            <v>OTC</v>
          </cell>
          <cell r="I46" t="str">
            <v>field</v>
          </cell>
          <cell r="J46" t="str">
            <v>EO3-2</v>
          </cell>
          <cell r="K46">
            <v>12.052</v>
          </cell>
          <cell r="L46">
            <v>46</v>
          </cell>
          <cell r="M46">
            <v>12</v>
          </cell>
          <cell r="N46">
            <v>71</v>
          </cell>
          <cell r="O46">
            <v>3</v>
          </cell>
          <cell r="P46">
            <v>12.052</v>
          </cell>
          <cell r="Q46" t="str">
            <v>Total grain no. ear-1</v>
          </cell>
          <cell r="R46">
            <v>32.929983737436501</v>
          </cell>
          <cell r="S46" t="str">
            <v>35.7322057513269</v>
          </cell>
          <cell r="T46" t="str">
            <v>0.92157849434422</v>
          </cell>
          <cell r="U46">
            <v>0.91813093627582298</v>
          </cell>
        </row>
      </sheetData>
      <sheetData sheetId="2"/>
      <sheetData sheetId="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row>
        <row r="2">
          <cell r="A2" t="str">
            <v>1985-119Albis1986OTC</v>
          </cell>
          <cell r="B2" t="str">
            <v>1985-119</v>
          </cell>
          <cell r="C2" t="str">
            <v>Fuhrer</v>
          </cell>
          <cell r="D2" t="str">
            <v>Europe</v>
          </cell>
          <cell r="E2" t="str">
            <v>wheat</v>
          </cell>
          <cell r="F2" t="str">
            <v>Albis</v>
          </cell>
          <cell r="G2">
            <v>1986</v>
          </cell>
          <cell r="H2" t="str">
            <v>OTC</v>
          </cell>
          <cell r="I2" t="str">
            <v>field</v>
          </cell>
          <cell r="J2" t="str">
            <v>CF</v>
          </cell>
          <cell r="K2"/>
          <cell r="L2">
            <v>20</v>
          </cell>
          <cell r="M2">
            <v>8</v>
          </cell>
          <cell r="N2">
            <v>72</v>
          </cell>
          <cell r="O2">
            <v>4</v>
          </cell>
          <cell r="P2">
            <v>0.13472763978990401</v>
          </cell>
          <cell r="Q2" t="str">
            <v>ears no. plant-1</v>
          </cell>
          <cell r="R2">
            <v>501.3</v>
          </cell>
          <cell r="S2" t="str">
            <v>514.398932005653</v>
          </cell>
          <cell r="T2" t="str">
            <v>0.974535460338963</v>
          </cell>
          <cell r="U2">
            <v>0.99979961007570695</v>
          </cell>
        </row>
        <row r="3">
          <cell r="A3" t="str">
            <v>1985-119Albis1986OTC</v>
          </cell>
          <cell r="B3" t="str">
            <v>1985-119</v>
          </cell>
          <cell r="C3" t="str">
            <v>Fuhrer</v>
          </cell>
          <cell r="D3" t="str">
            <v>Europe</v>
          </cell>
          <cell r="E3" t="str">
            <v>wheat</v>
          </cell>
          <cell r="F3" t="str">
            <v>Albis</v>
          </cell>
          <cell r="G3">
            <v>1986</v>
          </cell>
          <cell r="H3" t="str">
            <v>OTC</v>
          </cell>
          <cell r="I3" t="str">
            <v>field</v>
          </cell>
          <cell r="J3" t="str">
            <v>NF</v>
          </cell>
          <cell r="K3"/>
          <cell r="L3">
            <v>35</v>
          </cell>
          <cell r="M3">
            <v>8</v>
          </cell>
          <cell r="N3">
            <v>72</v>
          </cell>
          <cell r="O3">
            <v>4</v>
          </cell>
          <cell r="P3">
            <v>2.7820454495208602</v>
          </cell>
          <cell r="Q3" t="str">
            <v>ears no. plant-1</v>
          </cell>
          <cell r="R3">
            <v>522</v>
          </cell>
          <cell r="S3" t="str">
            <v>514.398932005653</v>
          </cell>
          <cell r="T3" t="str">
            <v>1.01477660143016</v>
          </cell>
          <cell r="U3">
            <v>0.99586206751727102</v>
          </cell>
        </row>
        <row r="4">
          <cell r="A4" t="str">
            <v>1985-119Albis1986OTC</v>
          </cell>
          <cell r="B4" t="str">
            <v>1985-119</v>
          </cell>
          <cell r="C4" t="str">
            <v>Fuhrer</v>
          </cell>
          <cell r="D4" t="str">
            <v>Europe</v>
          </cell>
          <cell r="E4" t="str">
            <v>wheat</v>
          </cell>
          <cell r="F4" t="str">
            <v>Albis</v>
          </cell>
          <cell r="G4">
            <v>1986</v>
          </cell>
          <cell r="H4" t="str">
            <v>OTC</v>
          </cell>
          <cell r="I4" t="str">
            <v>field</v>
          </cell>
          <cell r="J4" t="str">
            <v>EO3-2</v>
          </cell>
          <cell r="K4"/>
          <cell r="L4">
            <v>103</v>
          </cell>
          <cell r="M4">
            <v>8</v>
          </cell>
          <cell r="N4">
            <v>72</v>
          </cell>
          <cell r="O4">
            <v>4</v>
          </cell>
          <cell r="P4">
            <v>34.528958228277801</v>
          </cell>
          <cell r="Q4" t="str">
            <v>ears no. plant-1</v>
          </cell>
          <cell r="R4">
            <v>491.3</v>
          </cell>
          <cell r="S4" t="str">
            <v>514.398932005653</v>
          </cell>
          <cell r="T4" t="str">
            <v>0.955095295560607</v>
          </cell>
          <cell r="U4">
            <v>0.94864264425579503</v>
          </cell>
        </row>
        <row r="5">
          <cell r="A5" t="str">
            <v>1985-119Albis1987OTC</v>
          </cell>
          <cell r="B5" t="str">
            <v>1985-119</v>
          </cell>
          <cell r="C5" t="str">
            <v>Fuhrer</v>
          </cell>
          <cell r="D5" t="str">
            <v>Europe</v>
          </cell>
          <cell r="E5" t="str">
            <v>wheat</v>
          </cell>
          <cell r="F5" t="str">
            <v>Albis</v>
          </cell>
          <cell r="G5">
            <v>1987</v>
          </cell>
          <cell r="H5" t="str">
            <v>OTC</v>
          </cell>
          <cell r="I5" t="str">
            <v>field</v>
          </cell>
          <cell r="J5" t="str">
            <v>CF</v>
          </cell>
          <cell r="K5"/>
          <cell r="L5">
            <v>16</v>
          </cell>
          <cell r="M5">
            <v>8</v>
          </cell>
          <cell r="N5">
            <v>90</v>
          </cell>
          <cell r="O5">
            <v>4</v>
          </cell>
          <cell r="P5">
            <v>0</v>
          </cell>
          <cell r="Q5" t="str">
            <v>ears no. plant-1</v>
          </cell>
          <cell r="R5">
            <v>530</v>
          </cell>
          <cell r="S5" t="str">
            <v>530.086642677889</v>
          </cell>
          <cell r="T5" t="str">
            <v>0.999836549969546</v>
          </cell>
          <cell r="U5">
            <v>1</v>
          </cell>
        </row>
        <row r="6">
          <cell r="A6" t="str">
            <v>1985-119Albis1987OTC</v>
          </cell>
          <cell r="B6" t="str">
            <v>1985-119</v>
          </cell>
          <cell r="C6" t="str">
            <v>Fuhrer</v>
          </cell>
          <cell r="D6" t="str">
            <v>Europe</v>
          </cell>
          <cell r="E6" t="str">
            <v>wheat</v>
          </cell>
          <cell r="F6" t="str">
            <v>Albis</v>
          </cell>
          <cell r="G6">
            <v>1987</v>
          </cell>
          <cell r="H6" t="str">
            <v>OTC</v>
          </cell>
          <cell r="I6" t="str">
            <v>field</v>
          </cell>
          <cell r="J6" t="str">
            <v>NF</v>
          </cell>
          <cell r="K6"/>
          <cell r="L6">
            <v>33</v>
          </cell>
          <cell r="M6">
            <v>8</v>
          </cell>
          <cell r="N6">
            <v>90</v>
          </cell>
          <cell r="O6">
            <v>4</v>
          </cell>
          <cell r="P6">
            <v>2.0812598193567</v>
          </cell>
          <cell r="Q6" t="str">
            <v>ears no. plant-1</v>
          </cell>
          <cell r="R6">
            <v>512.5</v>
          </cell>
          <cell r="S6" t="str">
            <v>530.086642677889</v>
          </cell>
          <cell r="T6" t="str">
            <v>0.966823078979986</v>
          </cell>
          <cell r="U6">
            <v>0.99690439542855103</v>
          </cell>
        </row>
        <row r="7">
          <cell r="A7" t="str">
            <v>1985-119Albis1987OTC</v>
          </cell>
          <cell r="B7" t="str">
            <v>1985-119</v>
          </cell>
          <cell r="C7" t="str">
            <v>Fuhrer</v>
          </cell>
          <cell r="D7" t="str">
            <v>Europe</v>
          </cell>
          <cell r="E7" t="str">
            <v>wheat</v>
          </cell>
          <cell r="F7" t="str">
            <v>Albis</v>
          </cell>
          <cell r="G7">
            <v>1987</v>
          </cell>
          <cell r="H7" t="str">
            <v>OTC</v>
          </cell>
          <cell r="I7" t="str">
            <v>field</v>
          </cell>
          <cell r="J7" t="str">
            <v>EO3-1</v>
          </cell>
          <cell r="K7"/>
          <cell r="L7">
            <v>65</v>
          </cell>
          <cell r="M7">
            <v>8</v>
          </cell>
          <cell r="N7">
            <v>90</v>
          </cell>
          <cell r="O7">
            <v>4</v>
          </cell>
          <cell r="P7">
            <v>17.275867995722599</v>
          </cell>
          <cell r="Q7" t="str">
            <v>ears no. plant-1</v>
          </cell>
          <cell r="R7">
            <v>522.5</v>
          </cell>
          <cell r="S7" t="str">
            <v>530.086642677889</v>
          </cell>
          <cell r="T7" t="str">
            <v>0.985687919545449</v>
          </cell>
          <cell r="U7">
            <v>0.97430438264078201</v>
          </cell>
        </row>
        <row r="8">
          <cell r="A8" t="str">
            <v>1985-119Albis1987OTC</v>
          </cell>
          <cell r="B8" t="str">
            <v>1985-119</v>
          </cell>
          <cell r="C8" t="str">
            <v>Fuhrer</v>
          </cell>
          <cell r="D8" t="str">
            <v>Europe</v>
          </cell>
          <cell r="E8" t="str">
            <v>wheat</v>
          </cell>
          <cell r="F8" t="str">
            <v>Albis</v>
          </cell>
          <cell r="G8">
            <v>1987</v>
          </cell>
          <cell r="H8" t="str">
            <v>OTC</v>
          </cell>
          <cell r="I8" t="str">
            <v>field</v>
          </cell>
          <cell r="J8" t="str">
            <v>EO3-2</v>
          </cell>
          <cell r="K8"/>
          <cell r="L8">
            <v>95</v>
          </cell>
          <cell r="M8">
            <v>8</v>
          </cell>
          <cell r="N8">
            <v>90</v>
          </cell>
          <cell r="O8">
            <v>4</v>
          </cell>
          <cell r="P8">
            <v>37.769273886058301</v>
          </cell>
          <cell r="Q8" t="str">
            <v>ears no. plant-1</v>
          </cell>
          <cell r="R8">
            <v>510</v>
          </cell>
          <cell r="S8" t="str">
            <v>530.086642677889</v>
          </cell>
          <cell r="T8" t="str">
            <v>0.96210686883862</v>
          </cell>
          <cell r="U8">
            <v>0.94382309415932297</v>
          </cell>
        </row>
        <row r="9">
          <cell r="A9" t="str">
            <v>1985-119Albis1988OTC</v>
          </cell>
          <cell r="B9" t="str">
            <v>1985-119</v>
          </cell>
          <cell r="C9" t="str">
            <v>Fuhrer</v>
          </cell>
          <cell r="D9" t="str">
            <v>Europe</v>
          </cell>
          <cell r="E9" t="str">
            <v>wheat</v>
          </cell>
          <cell r="F9" t="str">
            <v>Albis</v>
          </cell>
          <cell r="G9">
            <v>1988</v>
          </cell>
          <cell r="H9" t="str">
            <v>OTC</v>
          </cell>
          <cell r="I9" t="str">
            <v>field</v>
          </cell>
          <cell r="J9" t="str">
            <v>CF</v>
          </cell>
          <cell r="K9"/>
          <cell r="L9">
            <v>22</v>
          </cell>
          <cell r="M9">
            <v>8</v>
          </cell>
          <cell r="N9">
            <v>81</v>
          </cell>
          <cell r="O9">
            <v>4</v>
          </cell>
          <cell r="P9">
            <v>0.16916951417220799</v>
          </cell>
          <cell r="Q9" t="str">
            <v>ears no. plant-1</v>
          </cell>
          <cell r="R9">
            <v>528</v>
          </cell>
          <cell r="S9" t="str">
            <v>493.382351248518</v>
          </cell>
          <cell r="T9" t="str">
            <v>1.07016393809767</v>
          </cell>
          <cell r="U9">
            <v>0.999748382245911</v>
          </cell>
        </row>
        <row r="10">
          <cell r="A10" t="str">
            <v>1985-119Albis1988OTC</v>
          </cell>
          <cell r="B10" t="str">
            <v>1985-119</v>
          </cell>
          <cell r="C10" t="str">
            <v>Fuhrer</v>
          </cell>
          <cell r="D10" t="str">
            <v>Europe</v>
          </cell>
          <cell r="E10" t="str">
            <v>wheat</v>
          </cell>
          <cell r="F10" t="str">
            <v>Albis</v>
          </cell>
          <cell r="G10">
            <v>1988</v>
          </cell>
          <cell r="H10" t="str">
            <v>OTC</v>
          </cell>
          <cell r="I10" t="str">
            <v>field</v>
          </cell>
          <cell r="J10" t="str">
            <v>NF</v>
          </cell>
          <cell r="K10"/>
          <cell r="L10">
            <v>35</v>
          </cell>
          <cell r="M10">
            <v>8</v>
          </cell>
          <cell r="N10">
            <v>81</v>
          </cell>
          <cell r="O10">
            <v>4</v>
          </cell>
          <cell r="P10">
            <v>2.7820454495208602</v>
          </cell>
          <cell r="Q10" t="str">
            <v>ears no. plant-1</v>
          </cell>
          <cell r="R10">
            <v>475.5</v>
          </cell>
          <cell r="S10" t="str">
            <v>493.382351248518</v>
          </cell>
          <cell r="T10" t="str">
            <v>0.96375559198</v>
          </cell>
          <cell r="U10">
            <v>0.99586206751727102</v>
          </cell>
        </row>
        <row r="11">
          <cell r="A11" t="str">
            <v>1985-119Albis1988OTC</v>
          </cell>
          <cell r="B11" t="str">
            <v>1985-119</v>
          </cell>
          <cell r="C11" t="str">
            <v>Fuhrer</v>
          </cell>
          <cell r="D11" t="str">
            <v>Europe</v>
          </cell>
          <cell r="E11" t="str">
            <v>wheat</v>
          </cell>
          <cell r="F11" t="str">
            <v>Albis</v>
          </cell>
          <cell r="G11">
            <v>1988</v>
          </cell>
          <cell r="H11" t="str">
            <v>OTC</v>
          </cell>
          <cell r="I11" t="str">
            <v>field</v>
          </cell>
          <cell r="J11" t="str">
            <v>EO3-1</v>
          </cell>
          <cell r="K11"/>
          <cell r="L11">
            <v>63</v>
          </cell>
          <cell r="M11">
            <v>8</v>
          </cell>
          <cell r="N11">
            <v>81</v>
          </cell>
          <cell r="O11">
            <v>4</v>
          </cell>
          <cell r="P11">
            <v>14.829808857695401</v>
          </cell>
          <cell r="Q11" t="str">
            <v>ears no. plant-1</v>
          </cell>
          <cell r="R11">
            <v>509</v>
          </cell>
          <cell r="S11" t="str">
            <v>493.382351248518</v>
          </cell>
          <cell r="T11" t="str">
            <v>1.03165425093127</v>
          </cell>
          <cell r="U11">
            <v>0.97794257897710102</v>
          </cell>
        </row>
        <row r="12">
          <cell r="A12" t="str">
            <v>1985-119Albis1988OTC</v>
          </cell>
          <cell r="B12" t="str">
            <v>1985-119</v>
          </cell>
          <cell r="C12" t="str">
            <v>Fuhrer</v>
          </cell>
          <cell r="D12" t="str">
            <v>Europe</v>
          </cell>
          <cell r="E12" t="str">
            <v>wheat</v>
          </cell>
          <cell r="F12" t="str">
            <v>Albis</v>
          </cell>
          <cell r="G12">
            <v>1988</v>
          </cell>
          <cell r="H12" t="str">
            <v>OTC</v>
          </cell>
          <cell r="I12" t="str">
            <v>field</v>
          </cell>
          <cell r="J12" t="str">
            <v>EO3-2</v>
          </cell>
          <cell r="K12"/>
          <cell r="L12">
            <v>89</v>
          </cell>
          <cell r="M12">
            <v>8</v>
          </cell>
          <cell r="N12">
            <v>81</v>
          </cell>
          <cell r="O12">
            <v>4</v>
          </cell>
          <cell r="P12">
            <v>30.493562298089302</v>
          </cell>
          <cell r="Q12" t="str">
            <v>ears no. plant-1</v>
          </cell>
          <cell r="R12">
            <v>431</v>
          </cell>
          <cell r="S12" t="str">
            <v>493.382351248518</v>
          </cell>
          <cell r="T12" t="str">
            <v>0.873561850985026</v>
          </cell>
          <cell r="U12">
            <v>0.95464477333786102</v>
          </cell>
        </row>
        <row r="13">
          <cell r="A13" t="str">
            <v>1991-89Drabant1987OTC</v>
          </cell>
          <cell r="B13" t="str">
            <v>1991-89</v>
          </cell>
          <cell r="C13" t="str">
            <v>Pleijel</v>
          </cell>
          <cell r="D13" t="str">
            <v>Europe</v>
          </cell>
          <cell r="E13" t="str">
            <v>wheat</v>
          </cell>
          <cell r="F13" t="str">
            <v>Drabant</v>
          </cell>
          <cell r="G13">
            <v>1987</v>
          </cell>
          <cell r="H13" t="str">
            <v>OTC</v>
          </cell>
          <cell r="I13" t="str">
            <v>field</v>
          </cell>
          <cell r="J13" t="str">
            <v>CF</v>
          </cell>
          <cell r="K13"/>
          <cell r="L13">
            <v>3</v>
          </cell>
          <cell r="M13">
            <v>7</v>
          </cell>
          <cell r="N13">
            <v>62</v>
          </cell>
          <cell r="O13">
            <v>7</v>
          </cell>
          <cell r="P13">
            <v>0</v>
          </cell>
          <cell r="Q13" t="str">
            <v>ears no. plant-1</v>
          </cell>
          <cell r="R13">
            <v>485</v>
          </cell>
          <cell r="S13" t="str">
            <v>488.985725323439</v>
          </cell>
          <cell r="T13" t="str">
            <v>0.991848994526778</v>
          </cell>
          <cell r="U13">
            <v>1</v>
          </cell>
        </row>
        <row r="14">
          <cell r="A14" t="str">
            <v>1991-89Drabant1987OTC</v>
          </cell>
          <cell r="B14" t="str">
            <v>1991-89</v>
          </cell>
          <cell r="C14" t="str">
            <v>Pleijel</v>
          </cell>
          <cell r="D14" t="str">
            <v>Europe</v>
          </cell>
          <cell r="E14" t="str">
            <v>wheat</v>
          </cell>
          <cell r="F14" t="str">
            <v>Drabant</v>
          </cell>
          <cell r="G14">
            <v>1987</v>
          </cell>
          <cell r="H14" t="str">
            <v>OTC</v>
          </cell>
          <cell r="I14" t="str">
            <v>field</v>
          </cell>
          <cell r="J14" t="str">
            <v>NF</v>
          </cell>
          <cell r="K14"/>
          <cell r="L14">
            <v>15</v>
          </cell>
          <cell r="M14">
            <v>7</v>
          </cell>
          <cell r="N14">
            <v>62</v>
          </cell>
          <cell r="O14">
            <v>7</v>
          </cell>
          <cell r="P14">
            <v>0</v>
          </cell>
          <cell r="Q14" t="str">
            <v>ears no. plant-1</v>
          </cell>
          <cell r="R14">
            <v>477</v>
          </cell>
          <cell r="S14" t="str">
            <v>488.985725323439</v>
          </cell>
          <cell r="T14" t="str">
            <v>0.97548859874077</v>
          </cell>
          <cell r="U14">
            <v>1</v>
          </cell>
        </row>
        <row r="15">
          <cell r="A15" t="str">
            <v>1991-89Drabant1987OTC</v>
          </cell>
          <cell r="B15" t="str">
            <v>1991-89</v>
          </cell>
          <cell r="C15" t="str">
            <v>Pleijel</v>
          </cell>
          <cell r="D15" t="str">
            <v>Europe</v>
          </cell>
          <cell r="E15" t="str">
            <v>wheat</v>
          </cell>
          <cell r="F15" t="str">
            <v>Drabant</v>
          </cell>
          <cell r="G15">
            <v>1987</v>
          </cell>
          <cell r="H15" t="str">
            <v>OTC</v>
          </cell>
          <cell r="I15" t="str">
            <v>field</v>
          </cell>
          <cell r="J15" t="str">
            <v>EO3</v>
          </cell>
          <cell r="K15"/>
          <cell r="L15">
            <v>42</v>
          </cell>
          <cell r="M15">
            <v>7</v>
          </cell>
          <cell r="N15">
            <v>62</v>
          </cell>
          <cell r="O15">
            <v>7</v>
          </cell>
          <cell r="P15">
            <v>0.52157833216543703</v>
          </cell>
          <cell r="Q15" t="str">
            <v>ears no. plant-1</v>
          </cell>
          <cell r="R15">
            <v>505</v>
          </cell>
          <cell r="S15" t="str">
            <v>488.985725323439</v>
          </cell>
          <cell r="T15" t="str">
            <v>1.0327499839918</v>
          </cell>
          <cell r="U15">
            <v>0.99922421974690401</v>
          </cell>
        </row>
        <row r="16">
          <cell r="A16" t="str">
            <v>1991-89Drabant1988OTC</v>
          </cell>
          <cell r="B16" t="str">
            <v>1991-89</v>
          </cell>
          <cell r="C16" t="str">
            <v>Pleijel</v>
          </cell>
          <cell r="D16" t="str">
            <v>Europe</v>
          </cell>
          <cell r="E16" t="str">
            <v>wheat</v>
          </cell>
          <cell r="F16" t="str">
            <v>Drabant</v>
          </cell>
          <cell r="G16">
            <v>1988</v>
          </cell>
          <cell r="H16" t="str">
            <v>OTC</v>
          </cell>
          <cell r="I16" t="str">
            <v>field</v>
          </cell>
          <cell r="J16" t="str">
            <v>CF</v>
          </cell>
          <cell r="K16"/>
          <cell r="L16">
            <v>6</v>
          </cell>
          <cell r="M16">
            <v>7</v>
          </cell>
          <cell r="N16">
            <v>56</v>
          </cell>
          <cell r="O16">
            <v>5</v>
          </cell>
          <cell r="P16">
            <v>0</v>
          </cell>
          <cell r="Q16" t="str">
            <v>ears no. plant-1</v>
          </cell>
          <cell r="R16">
            <v>646</v>
          </cell>
          <cell r="S16" t="str">
            <v>673.802533338902</v>
          </cell>
          <cell r="T16" t="str">
            <v>0.958737861668267</v>
          </cell>
          <cell r="U16">
            <v>1</v>
          </cell>
        </row>
        <row r="17">
          <cell r="A17" t="str">
            <v>1991-89Drabant1988OTC</v>
          </cell>
          <cell r="B17" t="str">
            <v>1991-89</v>
          </cell>
          <cell r="C17" t="str">
            <v>Pleijel</v>
          </cell>
          <cell r="D17" t="str">
            <v>Europe</v>
          </cell>
          <cell r="E17" t="str">
            <v>wheat</v>
          </cell>
          <cell r="F17" t="str">
            <v>Drabant</v>
          </cell>
          <cell r="G17">
            <v>1988</v>
          </cell>
          <cell r="H17" t="str">
            <v>OTC</v>
          </cell>
          <cell r="I17" t="str">
            <v>field</v>
          </cell>
          <cell r="J17" t="str">
            <v>NF</v>
          </cell>
          <cell r="K17"/>
          <cell r="L17">
            <v>22</v>
          </cell>
          <cell r="M17">
            <v>7</v>
          </cell>
          <cell r="N17">
            <v>56</v>
          </cell>
          <cell r="O17">
            <v>5</v>
          </cell>
          <cell r="P17">
            <v>2.6422220032823501E-2</v>
          </cell>
          <cell r="Q17" t="str">
            <v>ears no. plant-1</v>
          </cell>
          <cell r="R17">
            <v>653</v>
          </cell>
          <cell r="S17" t="str">
            <v>673.802533338902</v>
          </cell>
          <cell r="T17" t="str">
            <v>0.969126662026901</v>
          </cell>
          <cell r="U17">
            <v>0.99996070036794005</v>
          </cell>
        </row>
        <row r="18">
          <cell r="A18" t="str">
            <v>1991-89Drabant1988OTC</v>
          </cell>
          <cell r="B18" t="str">
            <v>1991-89</v>
          </cell>
          <cell r="C18" t="str">
            <v>Pleijel</v>
          </cell>
          <cell r="D18" t="str">
            <v>Europe</v>
          </cell>
          <cell r="E18" t="str">
            <v>wheat</v>
          </cell>
          <cell r="F18" t="str">
            <v>Drabant</v>
          </cell>
          <cell r="G18">
            <v>1988</v>
          </cell>
          <cell r="H18" t="str">
            <v>OTC</v>
          </cell>
          <cell r="I18" t="str">
            <v>field</v>
          </cell>
          <cell r="J18" t="str">
            <v>EO3-1</v>
          </cell>
          <cell r="K18"/>
          <cell r="L18">
            <v>44</v>
          </cell>
          <cell r="M18">
            <v>7</v>
          </cell>
          <cell r="N18">
            <v>56</v>
          </cell>
          <cell r="O18">
            <v>5</v>
          </cell>
          <cell r="P18">
            <v>1.28822803845163</v>
          </cell>
          <cell r="Q18" t="str">
            <v>ears no. plant-1</v>
          </cell>
          <cell r="R18">
            <v>697</v>
          </cell>
          <cell r="S18" t="str">
            <v>673.802533338902</v>
          </cell>
          <cell r="T18" t="str">
            <v>1.0344276928526</v>
          </cell>
          <cell r="U18">
            <v>0.99808392754820396</v>
          </cell>
        </row>
        <row r="19">
          <cell r="A19" t="str">
            <v>1991-89Drabant1988OTC</v>
          </cell>
          <cell r="B19" t="str">
            <v>1991-89</v>
          </cell>
          <cell r="C19" t="str">
            <v>Pleijel</v>
          </cell>
          <cell r="D19" t="str">
            <v>Europe</v>
          </cell>
          <cell r="E19" t="str">
            <v>wheat</v>
          </cell>
          <cell r="F19" t="str">
            <v>Drabant</v>
          </cell>
          <cell r="G19">
            <v>1988</v>
          </cell>
          <cell r="H19" t="str">
            <v>OTC</v>
          </cell>
          <cell r="I19" t="str">
            <v>field</v>
          </cell>
          <cell r="J19" t="str">
            <v>EO3-2</v>
          </cell>
          <cell r="K19"/>
          <cell r="L19">
            <v>56</v>
          </cell>
          <cell r="M19">
            <v>7</v>
          </cell>
          <cell r="N19">
            <v>56</v>
          </cell>
          <cell r="O19">
            <v>5</v>
          </cell>
          <cell r="P19">
            <v>2.5792630900391802</v>
          </cell>
          <cell r="Q19" t="str">
            <v>ears no. plant-1</v>
          </cell>
          <cell r="R19">
            <v>697</v>
          </cell>
          <cell r="S19" t="str">
            <v>673.802533338902</v>
          </cell>
          <cell r="T19" t="str">
            <v>1.0344276928526</v>
          </cell>
          <cell r="U19">
            <v>0.99616368002772404</v>
          </cell>
        </row>
        <row r="20">
          <cell r="A20" t="str">
            <v>1992-37Albis1989OTC</v>
          </cell>
          <cell r="B20" t="str">
            <v>1992-37</v>
          </cell>
          <cell r="C20" t="str">
            <v>Fuhrer</v>
          </cell>
          <cell r="D20" t="str">
            <v>Europe</v>
          </cell>
          <cell r="E20" t="str">
            <v>wheat</v>
          </cell>
          <cell r="F20" t="str">
            <v>Albis</v>
          </cell>
          <cell r="G20">
            <v>1989</v>
          </cell>
          <cell r="H20" t="str">
            <v>OTC</v>
          </cell>
          <cell r="I20" t="str">
            <v>field</v>
          </cell>
          <cell r="J20" t="str">
            <v>CF</v>
          </cell>
          <cell r="K20"/>
          <cell r="L20">
            <v>20.000549761468498</v>
          </cell>
          <cell r="M20">
            <v>7</v>
          </cell>
          <cell r="N20">
            <v>91</v>
          </cell>
          <cell r="O20">
            <v>3</v>
          </cell>
          <cell r="P20">
            <v>0</v>
          </cell>
          <cell r="Q20" t="str">
            <v>ears no. plant-1</v>
          </cell>
          <cell r="R20">
            <v>456</v>
          </cell>
          <cell r="S20" t="str">
            <v>457.509083429729</v>
          </cell>
          <cell r="T20" t="str">
            <v>0.996701522473792</v>
          </cell>
          <cell r="U20">
            <v>1</v>
          </cell>
        </row>
        <row r="21">
          <cell r="A21" t="str">
            <v>1992-37Albis1989OTC</v>
          </cell>
          <cell r="B21" t="str">
            <v>1992-37</v>
          </cell>
          <cell r="C21" t="str">
            <v>Fuhrer</v>
          </cell>
          <cell r="D21" t="str">
            <v>Europe</v>
          </cell>
          <cell r="E21" t="str">
            <v>wheat</v>
          </cell>
          <cell r="F21" t="str">
            <v>Albis</v>
          </cell>
          <cell r="G21">
            <v>1989</v>
          </cell>
          <cell r="H21" t="str">
            <v>OTC</v>
          </cell>
          <cell r="I21" t="str">
            <v>field</v>
          </cell>
          <cell r="J21" t="str">
            <v>NF</v>
          </cell>
          <cell r="K21"/>
          <cell r="L21">
            <v>38.889957869522</v>
          </cell>
          <cell r="M21">
            <v>7</v>
          </cell>
          <cell r="N21">
            <v>91</v>
          </cell>
          <cell r="O21">
            <v>3</v>
          </cell>
          <cell r="P21">
            <v>4.6083782087559699</v>
          </cell>
          <cell r="Q21" t="str">
            <v>ears no. plant-1</v>
          </cell>
          <cell r="R21">
            <v>462</v>
          </cell>
          <cell r="S21" t="str">
            <v>457.509083429729</v>
          </cell>
          <cell r="T21" t="str">
            <v>1.00981601619055</v>
          </cell>
          <cell r="U21">
            <v>0.99314563394857702</v>
          </cell>
        </row>
        <row r="22">
          <cell r="A22" t="str">
            <v>1992-37Albis1989OTC</v>
          </cell>
          <cell r="B22" t="str">
            <v>1992-37</v>
          </cell>
          <cell r="C22" t="str">
            <v>Fuhrer</v>
          </cell>
          <cell r="D22" t="str">
            <v>Europe</v>
          </cell>
          <cell r="E22" t="str">
            <v>wheat</v>
          </cell>
          <cell r="F22" t="str">
            <v>Albis</v>
          </cell>
          <cell r="G22">
            <v>1989</v>
          </cell>
          <cell r="H22" t="str">
            <v>OTC</v>
          </cell>
          <cell r="I22" t="str">
            <v>field</v>
          </cell>
          <cell r="J22" t="str">
            <v>EO3-1</v>
          </cell>
          <cell r="K22"/>
          <cell r="L22">
            <v>53.890370190623301</v>
          </cell>
          <cell r="M22">
            <v>7</v>
          </cell>
          <cell r="N22">
            <v>91</v>
          </cell>
          <cell r="O22">
            <v>3</v>
          </cell>
          <cell r="P22">
            <v>11.012574761161099</v>
          </cell>
          <cell r="Q22" t="str">
            <v>ears no. plant-1</v>
          </cell>
          <cell r="R22">
            <v>451</v>
          </cell>
          <cell r="S22" t="str">
            <v>457.509083429729</v>
          </cell>
          <cell r="T22" t="str">
            <v>0.985772777709825</v>
          </cell>
          <cell r="U22">
            <v>0.98362022057168796</v>
          </cell>
        </row>
        <row r="23">
          <cell r="A23" t="str">
            <v>1992-37Albis1989OTC</v>
          </cell>
          <cell r="B23" t="str">
            <v>1992-37</v>
          </cell>
          <cell r="C23" t="str">
            <v>Fuhrer</v>
          </cell>
          <cell r="D23" t="str">
            <v>Europe</v>
          </cell>
          <cell r="E23" t="str">
            <v>wheat</v>
          </cell>
          <cell r="F23" t="str">
            <v>Albis</v>
          </cell>
          <cell r="G23">
            <v>1989</v>
          </cell>
          <cell r="H23" t="str">
            <v>OTC</v>
          </cell>
          <cell r="I23" t="str">
            <v>field</v>
          </cell>
          <cell r="J23" t="str">
            <v>EO3-2</v>
          </cell>
          <cell r="K23"/>
          <cell r="L23">
            <v>67.779640858309804</v>
          </cell>
          <cell r="M23">
            <v>7</v>
          </cell>
          <cell r="N23">
            <v>91</v>
          </cell>
          <cell r="O23">
            <v>3</v>
          </cell>
          <cell r="P23">
            <v>18.596503033997301</v>
          </cell>
          <cell r="Q23" t="str">
            <v>ears no. plant-1</v>
          </cell>
          <cell r="R23">
            <v>438</v>
          </cell>
          <cell r="S23" t="str">
            <v>457.509083429729</v>
          </cell>
          <cell r="T23" t="str">
            <v>0.957358041323511</v>
          </cell>
          <cell r="U23">
            <v>0.97234010897169099</v>
          </cell>
        </row>
        <row r="24">
          <cell r="A24" t="str">
            <v>1992-37Albis1990OTC</v>
          </cell>
          <cell r="B24" t="str">
            <v>1992-37</v>
          </cell>
          <cell r="C24" t="str">
            <v>Fuhrer</v>
          </cell>
          <cell r="D24" t="str">
            <v>Europe</v>
          </cell>
          <cell r="E24" t="str">
            <v>wheat</v>
          </cell>
          <cell r="F24" t="str">
            <v>Albis</v>
          </cell>
          <cell r="G24">
            <v>1990</v>
          </cell>
          <cell r="H24" t="str">
            <v>OTC</v>
          </cell>
          <cell r="I24" t="str">
            <v>field</v>
          </cell>
          <cell r="J24" t="str">
            <v>CF</v>
          </cell>
          <cell r="K24"/>
          <cell r="L24">
            <v>18.818200606618099</v>
          </cell>
          <cell r="M24">
            <v>7</v>
          </cell>
          <cell r="N24">
            <v>88</v>
          </cell>
          <cell r="O24">
            <v>3</v>
          </cell>
          <cell r="P24">
            <v>0</v>
          </cell>
          <cell r="Q24" t="str">
            <v>ears no. plant-1</v>
          </cell>
          <cell r="R24">
            <v>515</v>
          </cell>
          <cell r="S24" t="str">
            <v>505.953647124438</v>
          </cell>
          <cell r="T24" t="str">
            <v>1.01787980564421</v>
          </cell>
          <cell r="U24">
            <v>1</v>
          </cell>
        </row>
        <row r="25">
          <cell r="A25" t="str">
            <v>1992-37Albis1990OTC</v>
          </cell>
          <cell r="B25" t="str">
            <v>1992-37</v>
          </cell>
          <cell r="C25" t="str">
            <v>Fuhrer</v>
          </cell>
          <cell r="D25" t="str">
            <v>Europe</v>
          </cell>
          <cell r="E25" t="str">
            <v>wheat</v>
          </cell>
          <cell r="F25" t="str">
            <v>Albis</v>
          </cell>
          <cell r="G25">
            <v>1990</v>
          </cell>
          <cell r="H25" t="str">
            <v>OTC</v>
          </cell>
          <cell r="I25" t="str">
            <v>field</v>
          </cell>
          <cell r="J25" t="str">
            <v>NF</v>
          </cell>
          <cell r="K25"/>
          <cell r="L25">
            <v>42.064213120675802</v>
          </cell>
          <cell r="M25">
            <v>7</v>
          </cell>
          <cell r="N25">
            <v>88</v>
          </cell>
          <cell r="O25">
            <v>3</v>
          </cell>
          <cell r="P25">
            <v>6.5846869894592803</v>
          </cell>
          <cell r="Q25" t="str">
            <v>ears no. plant-1</v>
          </cell>
          <cell r="R25">
            <v>508</v>
          </cell>
          <cell r="S25" t="str">
            <v>505.953647124438</v>
          </cell>
          <cell r="T25" t="str">
            <v>1.00404454615001</v>
          </cell>
          <cell r="U25">
            <v>0.99020613046167905</v>
          </cell>
        </row>
        <row r="26">
          <cell r="A26" t="str">
            <v>1992-37Albis1990OTC</v>
          </cell>
          <cell r="B26" t="str">
            <v>1992-37</v>
          </cell>
          <cell r="C26" t="str">
            <v>Fuhrer</v>
          </cell>
          <cell r="D26" t="str">
            <v>Europe</v>
          </cell>
          <cell r="E26" t="str">
            <v>wheat</v>
          </cell>
          <cell r="F26" t="str">
            <v>Albis</v>
          </cell>
          <cell r="G26">
            <v>1990</v>
          </cell>
          <cell r="H26" t="str">
            <v>OTC</v>
          </cell>
          <cell r="I26" t="str">
            <v>field</v>
          </cell>
          <cell r="J26" t="str">
            <v>EO3-1</v>
          </cell>
          <cell r="K26"/>
          <cell r="L26">
            <v>60.328937238863901</v>
          </cell>
          <cell r="M26">
            <v>7</v>
          </cell>
          <cell r="N26">
            <v>88</v>
          </cell>
          <cell r="O26">
            <v>3</v>
          </cell>
          <cell r="P26">
            <v>15.4082260212028</v>
          </cell>
          <cell r="Q26" t="str">
            <v>ears no. plant-1</v>
          </cell>
          <cell r="R26">
            <v>481</v>
          </cell>
          <cell r="S26" t="str">
            <v>505.953647124438</v>
          </cell>
          <cell r="T26" t="str">
            <v>0.950679973815269</v>
          </cell>
          <cell r="U26">
            <v>0.97708225831991702</v>
          </cell>
        </row>
        <row r="27">
          <cell r="A27" t="str">
            <v>1992-37Albis1990OTC</v>
          </cell>
          <cell r="B27" t="str">
            <v>1992-37</v>
          </cell>
          <cell r="C27" t="str">
            <v>Fuhrer</v>
          </cell>
          <cell r="D27" t="str">
            <v>Europe</v>
          </cell>
          <cell r="E27" t="str">
            <v>wheat</v>
          </cell>
          <cell r="F27" t="str">
            <v>Albis</v>
          </cell>
          <cell r="G27">
            <v>1990</v>
          </cell>
          <cell r="H27" t="str">
            <v>OTC</v>
          </cell>
          <cell r="I27" t="str">
            <v>field</v>
          </cell>
          <cell r="J27" t="str">
            <v>EO3-2</v>
          </cell>
          <cell r="K27"/>
          <cell r="L27">
            <v>77.486708380192198</v>
          </cell>
          <cell r="M27">
            <v>7</v>
          </cell>
          <cell r="N27">
            <v>88</v>
          </cell>
          <cell r="O27">
            <v>3</v>
          </cell>
          <cell r="P27">
            <v>25.126809126261598</v>
          </cell>
          <cell r="Q27" t="str">
            <v>ears no. plant-1</v>
          </cell>
          <cell r="R27">
            <v>485</v>
          </cell>
          <cell r="S27" t="str">
            <v>505.953647124438</v>
          </cell>
          <cell r="T27" t="str">
            <v>0.958585836383379</v>
          </cell>
          <cell r="U27">
            <v>0.96262712397858197</v>
          </cell>
        </row>
        <row r="28">
          <cell r="A28" t="str">
            <v>1996-30Promessa1991OTC</v>
          </cell>
          <cell r="B28" t="str">
            <v>1996-30</v>
          </cell>
          <cell r="C28" t="str">
            <v>Finnan</v>
          </cell>
          <cell r="D28" t="str">
            <v>Europe</v>
          </cell>
          <cell r="E28" t="str">
            <v>wheat</v>
          </cell>
          <cell r="F28" t="str">
            <v>Promessa</v>
          </cell>
          <cell r="G28">
            <v>1991</v>
          </cell>
          <cell r="H28" t="str">
            <v>OTC</v>
          </cell>
          <cell r="I28" t="str">
            <v>field</v>
          </cell>
          <cell r="J28" t="str">
            <v>CF</v>
          </cell>
          <cell r="K28"/>
          <cell r="L28">
            <v>5.6</v>
          </cell>
          <cell r="M28">
            <v>12</v>
          </cell>
          <cell r="N28">
            <v>102</v>
          </cell>
          <cell r="O28">
            <v>3</v>
          </cell>
          <cell r="P28">
            <v>0</v>
          </cell>
          <cell r="Q28" t="str">
            <v>ears no. plant-1</v>
          </cell>
          <cell r="R28">
            <v>2.39</v>
          </cell>
          <cell r="S28" t="str">
            <v>2.3234221919148</v>
          </cell>
          <cell r="T28" t="str">
            <v>1.02865506248364</v>
          </cell>
          <cell r="U28">
            <v>1</v>
          </cell>
        </row>
        <row r="29">
          <cell r="A29" t="str">
            <v>1996-30Promessa1991OTC</v>
          </cell>
          <cell r="B29" t="str">
            <v>1996-30</v>
          </cell>
          <cell r="C29" t="str">
            <v>Finnan</v>
          </cell>
          <cell r="D29" t="str">
            <v>Europe</v>
          </cell>
          <cell r="E29" t="str">
            <v>wheat</v>
          </cell>
          <cell r="F29" t="str">
            <v>Promessa</v>
          </cell>
          <cell r="G29">
            <v>1991</v>
          </cell>
          <cell r="H29" t="str">
            <v>OTC</v>
          </cell>
          <cell r="I29" t="str">
            <v>field</v>
          </cell>
          <cell r="J29" t="str">
            <v>NF</v>
          </cell>
          <cell r="K29"/>
          <cell r="L29">
            <v>24.9099</v>
          </cell>
          <cell r="M29">
            <v>12</v>
          </cell>
          <cell r="N29">
            <v>102</v>
          </cell>
          <cell r="O29">
            <v>3</v>
          </cell>
          <cell r="P29">
            <v>0.37197880276734202</v>
          </cell>
          <cell r="Q29" t="str">
            <v>ears no. plant-1</v>
          </cell>
          <cell r="R29">
            <v>2.41</v>
          </cell>
          <cell r="S29" t="str">
            <v>2.3234221919148</v>
          </cell>
          <cell r="T29" t="str">
            <v>1.03726305463832</v>
          </cell>
          <cell r="U29">
            <v>0.99944672968188797</v>
          </cell>
        </row>
        <row r="30">
          <cell r="A30" t="str">
            <v>1996-30Promessa1991OTC</v>
          </cell>
          <cell r="B30" t="str">
            <v>1996-30</v>
          </cell>
          <cell r="C30" t="str">
            <v>Finnan</v>
          </cell>
          <cell r="D30" t="str">
            <v>Europe</v>
          </cell>
          <cell r="E30" t="str">
            <v>wheat</v>
          </cell>
          <cell r="F30" t="str">
            <v>Promessa</v>
          </cell>
          <cell r="G30">
            <v>1991</v>
          </cell>
          <cell r="H30" t="str">
            <v>OTC</v>
          </cell>
          <cell r="I30" t="str">
            <v>field</v>
          </cell>
          <cell r="J30" t="str">
            <v>EO3-1</v>
          </cell>
          <cell r="K30"/>
          <cell r="L30">
            <v>32.614100000000001</v>
          </cell>
          <cell r="M30">
            <v>12</v>
          </cell>
          <cell r="N30">
            <v>102</v>
          </cell>
          <cell r="O30">
            <v>3</v>
          </cell>
          <cell r="P30">
            <v>1.9622365305235701</v>
          </cell>
          <cell r="Q30" t="str">
            <v>ears no. plant-1</v>
          </cell>
          <cell r="R30">
            <v>2.17</v>
          </cell>
          <cell r="S30" t="str">
            <v>2.3234221919148</v>
          </cell>
          <cell r="T30" t="str">
            <v>0.933967148782219</v>
          </cell>
          <cell r="U30">
            <v>0.997081427163654</v>
          </cell>
        </row>
        <row r="31">
          <cell r="A31" t="str">
            <v>1996-30Promessa1992OTC</v>
          </cell>
          <cell r="B31" t="str">
            <v>1996-30</v>
          </cell>
          <cell r="C31" t="str">
            <v>Finnan</v>
          </cell>
          <cell r="D31" t="str">
            <v>Europe</v>
          </cell>
          <cell r="E31" t="str">
            <v>wheat</v>
          </cell>
          <cell r="F31" t="str">
            <v>Promessa</v>
          </cell>
          <cell r="G31">
            <v>1992</v>
          </cell>
          <cell r="H31" t="str">
            <v>OTC</v>
          </cell>
          <cell r="I31" t="str">
            <v>field</v>
          </cell>
          <cell r="J31" t="str">
            <v>CF</v>
          </cell>
          <cell r="K31"/>
          <cell r="L31">
            <v>6.2309000000000001</v>
          </cell>
          <cell r="M31">
            <v>12</v>
          </cell>
          <cell r="N31">
            <v>102</v>
          </cell>
          <cell r="O31">
            <v>3</v>
          </cell>
          <cell r="P31">
            <v>0</v>
          </cell>
          <cell r="Q31" t="str">
            <v>ears no. plant-1</v>
          </cell>
          <cell r="R31">
            <v>2.1</v>
          </cell>
          <cell r="S31" t="str">
            <v>2.17995958286621</v>
          </cell>
          <cell r="T31" t="str">
            <v>0.963320612228471</v>
          </cell>
          <cell r="U31">
            <v>1</v>
          </cell>
        </row>
        <row r="32">
          <cell r="A32" t="str">
            <v>1996-30Promessa1992OTC</v>
          </cell>
          <cell r="B32" t="str">
            <v>1996-30</v>
          </cell>
          <cell r="C32" t="str">
            <v>Finnan</v>
          </cell>
          <cell r="D32" t="str">
            <v>Europe</v>
          </cell>
          <cell r="E32" t="str">
            <v>wheat</v>
          </cell>
          <cell r="F32" t="str">
            <v>Promessa</v>
          </cell>
          <cell r="G32">
            <v>1992</v>
          </cell>
          <cell r="H32" t="str">
            <v>OTC</v>
          </cell>
          <cell r="I32" t="str">
            <v>field</v>
          </cell>
          <cell r="J32" t="str">
            <v>NF</v>
          </cell>
          <cell r="K32"/>
          <cell r="L32">
            <v>25.098700000000001</v>
          </cell>
          <cell r="M32">
            <v>12</v>
          </cell>
          <cell r="N32">
            <v>102</v>
          </cell>
          <cell r="O32">
            <v>3</v>
          </cell>
          <cell r="P32">
            <v>0.39783406177585601</v>
          </cell>
          <cell r="Q32" t="str">
            <v>ears no. plant-1</v>
          </cell>
          <cell r="R32">
            <v>2.1</v>
          </cell>
          <cell r="S32" t="str">
            <v>2.17995958286621</v>
          </cell>
          <cell r="T32" t="str">
            <v>0.963320612228471</v>
          </cell>
          <cell r="U32">
            <v>0.99940827333096205</v>
          </cell>
        </row>
        <row r="33">
          <cell r="A33" t="str">
            <v>1996-30Promessa1992OTC</v>
          </cell>
          <cell r="B33" t="str">
            <v>1996-30</v>
          </cell>
          <cell r="C33" t="str">
            <v>Finnan</v>
          </cell>
          <cell r="D33" t="str">
            <v>Europe</v>
          </cell>
          <cell r="E33" t="str">
            <v>wheat</v>
          </cell>
          <cell r="F33" t="str">
            <v>Promessa</v>
          </cell>
          <cell r="G33">
            <v>1992</v>
          </cell>
          <cell r="H33" t="str">
            <v>OTC</v>
          </cell>
          <cell r="I33" t="str">
            <v>field</v>
          </cell>
          <cell r="J33" t="str">
            <v>EO3-2</v>
          </cell>
          <cell r="K33"/>
          <cell r="L33">
            <v>33.418599999999998</v>
          </cell>
          <cell r="M33">
            <v>12</v>
          </cell>
          <cell r="N33">
            <v>102</v>
          </cell>
          <cell r="O33">
            <v>3</v>
          </cell>
          <cell r="P33">
            <v>2.2160216957603098</v>
          </cell>
          <cell r="Q33" t="str">
            <v>ears no. plant-1</v>
          </cell>
          <cell r="R33">
            <v>2.34</v>
          </cell>
          <cell r="S33" t="str">
            <v>2.17995958286621</v>
          </cell>
          <cell r="T33" t="str">
            <v>1.07341439648315</v>
          </cell>
          <cell r="U33">
            <v>0.996703954581727</v>
          </cell>
        </row>
        <row r="34">
          <cell r="A34" t="str">
            <v>1996-30Promessa1993OTC</v>
          </cell>
          <cell r="B34" t="str">
            <v>1996-30</v>
          </cell>
          <cell r="C34" t="str">
            <v>Finnan</v>
          </cell>
          <cell r="D34" t="str">
            <v>Europe</v>
          </cell>
          <cell r="E34" t="str">
            <v>wheat</v>
          </cell>
          <cell r="F34" t="str">
            <v>Promessa</v>
          </cell>
          <cell r="G34">
            <v>1993</v>
          </cell>
          <cell r="H34" t="str">
            <v>OTC</v>
          </cell>
          <cell r="I34" t="str">
            <v>field</v>
          </cell>
          <cell r="J34" t="str">
            <v>CF</v>
          </cell>
          <cell r="K34"/>
          <cell r="L34">
            <v>6.7001999999999997</v>
          </cell>
          <cell r="M34">
            <v>12</v>
          </cell>
          <cell r="N34">
            <v>102</v>
          </cell>
          <cell r="O34">
            <v>3</v>
          </cell>
          <cell r="P34">
            <v>0</v>
          </cell>
          <cell r="Q34" t="str">
            <v>ears no. plant-1</v>
          </cell>
          <cell r="R34">
            <v>2.38</v>
          </cell>
          <cell r="S34" t="str">
            <v>2.36320313061034</v>
          </cell>
          <cell r="T34" t="str">
            <v>1.00710767059001</v>
          </cell>
          <cell r="U34">
            <v>1</v>
          </cell>
        </row>
        <row r="35">
          <cell r="A35" t="str">
            <v>1996-30Promessa1993OTC</v>
          </cell>
          <cell r="B35" t="str">
            <v>1996-30</v>
          </cell>
          <cell r="C35" t="str">
            <v>Finnan</v>
          </cell>
          <cell r="D35" t="str">
            <v>Europe</v>
          </cell>
          <cell r="E35" t="str">
            <v>wheat</v>
          </cell>
          <cell r="F35" t="str">
            <v>Promessa</v>
          </cell>
          <cell r="G35">
            <v>1993</v>
          </cell>
          <cell r="H35" t="str">
            <v>OTC</v>
          </cell>
          <cell r="I35" t="str">
            <v>field</v>
          </cell>
          <cell r="J35" t="str">
            <v>EO3-2</v>
          </cell>
          <cell r="K35"/>
          <cell r="L35">
            <v>33.987499999999997</v>
          </cell>
          <cell r="M35">
            <v>12</v>
          </cell>
          <cell r="N35">
            <v>102</v>
          </cell>
          <cell r="O35">
            <v>3</v>
          </cell>
          <cell r="P35">
            <v>2.4089980077313702</v>
          </cell>
          <cell r="Q35" t="str">
            <v>ears no. plant-1</v>
          </cell>
          <cell r="R35">
            <v>2.48</v>
          </cell>
          <cell r="S35" t="str">
            <v>2.36320313061034</v>
          </cell>
          <cell r="T35" t="str">
            <v>1.04942311893413</v>
          </cell>
          <cell r="U35">
            <v>0.99641692729759701</v>
          </cell>
        </row>
        <row r="36">
          <cell r="A36" t="str">
            <v>1996-30Promessa1993OTC</v>
          </cell>
          <cell r="B36" t="str">
            <v>1996-30</v>
          </cell>
          <cell r="C36" t="str">
            <v>Finnan</v>
          </cell>
          <cell r="D36" t="str">
            <v>Europe</v>
          </cell>
          <cell r="E36" t="str">
            <v>wheat</v>
          </cell>
          <cell r="F36" t="str">
            <v>Promessa</v>
          </cell>
          <cell r="G36">
            <v>1993</v>
          </cell>
          <cell r="H36" t="str">
            <v>OTC</v>
          </cell>
          <cell r="I36" t="str">
            <v>field</v>
          </cell>
          <cell r="J36" t="str">
            <v>EO3-1</v>
          </cell>
          <cell r="K36"/>
          <cell r="L36">
            <v>34.003999999999998</v>
          </cell>
          <cell r="M36">
            <v>12</v>
          </cell>
          <cell r="N36">
            <v>102</v>
          </cell>
          <cell r="O36">
            <v>3</v>
          </cell>
          <cell r="P36">
            <v>2.4147688436996</v>
          </cell>
          <cell r="Q36" t="str">
            <v>ears no. plant-1</v>
          </cell>
          <cell r="R36">
            <v>2.2200000000000002</v>
          </cell>
          <cell r="S36" t="str">
            <v>2.36320313061034</v>
          </cell>
          <cell r="T36" t="str">
            <v>0.939402953239422</v>
          </cell>
          <cell r="U36">
            <v>0.996408343926104</v>
          </cell>
        </row>
        <row r="37">
          <cell r="A37" t="str">
            <v>1997-75Minaret1995OTC</v>
          </cell>
          <cell r="B37" t="str">
            <v>1997-75</v>
          </cell>
          <cell r="C37" t="str">
            <v>Mulholland</v>
          </cell>
          <cell r="D37" t="str">
            <v>Europe</v>
          </cell>
          <cell r="E37" t="str">
            <v>wheat</v>
          </cell>
          <cell r="F37" t="str">
            <v>Minaret</v>
          </cell>
          <cell r="G37">
            <v>1995</v>
          </cell>
          <cell r="H37" t="str">
            <v>OTC</v>
          </cell>
          <cell r="I37" t="str">
            <v>field</v>
          </cell>
          <cell r="J37" t="str">
            <v>AA</v>
          </cell>
          <cell r="K37">
            <v>1.357</v>
          </cell>
          <cell r="L37">
            <v>26</v>
          </cell>
          <cell r="M37">
            <v>7</v>
          </cell>
          <cell r="N37">
            <v>104</v>
          </cell>
          <cell r="O37">
            <v>3</v>
          </cell>
          <cell r="P37">
            <v>1.17432692307692</v>
          </cell>
          <cell r="Q37" t="str">
            <v>ears no. plant-1</v>
          </cell>
          <cell r="R37">
            <v>466</v>
          </cell>
          <cell r="S37" t="str">
            <v>511.03562735485</v>
          </cell>
          <cell r="T37" t="str">
            <v>0.911873801073406</v>
          </cell>
          <cell r="U37">
            <v>0.99825334071333005</v>
          </cell>
        </row>
        <row r="38">
          <cell r="A38" t="str">
            <v>1997-75Minaret1995OTC</v>
          </cell>
          <cell r="B38" t="str">
            <v>1997-75</v>
          </cell>
          <cell r="C38" t="str">
            <v>Mulholland</v>
          </cell>
          <cell r="D38" t="str">
            <v>Europe</v>
          </cell>
          <cell r="E38" t="str">
            <v>wheat</v>
          </cell>
          <cell r="F38" t="str">
            <v>Minaret</v>
          </cell>
          <cell r="G38">
            <v>1995</v>
          </cell>
          <cell r="H38" t="str">
            <v>OTC</v>
          </cell>
          <cell r="I38" t="str">
            <v>field</v>
          </cell>
          <cell r="J38" t="str">
            <v>EO3</v>
          </cell>
          <cell r="K38">
            <v>18.670999999999999</v>
          </cell>
          <cell r="L38">
            <v>60</v>
          </cell>
          <cell r="M38">
            <v>7</v>
          </cell>
          <cell r="N38">
            <v>104</v>
          </cell>
          <cell r="O38">
            <v>3</v>
          </cell>
          <cell r="P38">
            <v>16.1575961538462</v>
          </cell>
          <cell r="Q38" t="str">
            <v>ears no. plant-1</v>
          </cell>
          <cell r="R38">
            <v>546</v>
          </cell>
          <cell r="S38" t="str">
            <v>511.03562735485</v>
          </cell>
          <cell r="T38" t="str">
            <v>1.06841865962678</v>
          </cell>
          <cell r="U38">
            <v>0.97596766725024697</v>
          </cell>
        </row>
        <row r="39">
          <cell r="A39" t="str">
            <v>1998-73Minaret1996OTC</v>
          </cell>
          <cell r="B39" t="str">
            <v>1998-73</v>
          </cell>
          <cell r="C39" t="str">
            <v>Mulholland</v>
          </cell>
          <cell r="D39" t="str">
            <v>Europe</v>
          </cell>
          <cell r="E39" t="str">
            <v>wheat</v>
          </cell>
          <cell r="F39" t="str">
            <v>Minaret</v>
          </cell>
          <cell r="G39">
            <v>1996</v>
          </cell>
          <cell r="H39" t="str">
            <v>OTC</v>
          </cell>
          <cell r="I39" t="str">
            <v>field</v>
          </cell>
          <cell r="J39" t="str">
            <v>AA</v>
          </cell>
          <cell r="K39">
            <v>1.887</v>
          </cell>
          <cell r="L39">
            <v>26</v>
          </cell>
          <cell r="M39">
            <v>7</v>
          </cell>
          <cell r="N39">
            <v>115</v>
          </cell>
          <cell r="O39">
            <v>3</v>
          </cell>
          <cell r="P39">
            <v>1.4767826086956499</v>
          </cell>
          <cell r="Q39" t="str">
            <v>ears no. plant-1</v>
          </cell>
          <cell r="R39">
            <v>635</v>
          </cell>
          <cell r="S39" t="str">
            <v>621.568754344029</v>
          </cell>
          <cell r="T39" t="str">
            <v>1.02160862424648</v>
          </cell>
          <cell r="U39">
            <v>0.99780347703251804</v>
          </cell>
        </row>
        <row r="40">
          <cell r="A40" t="str">
            <v>1998-73Minaret1996OTC</v>
          </cell>
          <cell r="B40" t="str">
            <v>1998-73</v>
          </cell>
          <cell r="C40" t="str">
            <v>Mulholland</v>
          </cell>
          <cell r="D40" t="str">
            <v>Europe</v>
          </cell>
          <cell r="E40" t="str">
            <v>wheat</v>
          </cell>
          <cell r="F40" t="str">
            <v>Minaret</v>
          </cell>
          <cell r="G40">
            <v>1996</v>
          </cell>
          <cell r="H40" t="str">
            <v>OTC</v>
          </cell>
          <cell r="I40" t="str">
            <v>field</v>
          </cell>
          <cell r="J40" t="str">
            <v>EO3</v>
          </cell>
          <cell r="K40">
            <v>35.497999999999998</v>
          </cell>
          <cell r="L40">
            <v>84</v>
          </cell>
          <cell r="M40">
            <v>7</v>
          </cell>
          <cell r="N40">
            <v>115</v>
          </cell>
          <cell r="O40">
            <v>3</v>
          </cell>
          <cell r="P40">
            <v>27.781043478260901</v>
          </cell>
          <cell r="Q40" t="str">
            <v>ears no. plant-1</v>
          </cell>
          <cell r="R40">
            <v>582</v>
          </cell>
          <cell r="S40" t="str">
            <v>621.568754344029</v>
          </cell>
          <cell r="T40" t="str">
            <v>0.936340502852676</v>
          </cell>
          <cell r="U40">
            <v>0.958679293958837</v>
          </cell>
        </row>
        <row r="41">
          <cell r="A41" t="str">
            <v>1998-84Dragon1995OTC</v>
          </cell>
          <cell r="B41" t="str">
            <v>1998-84</v>
          </cell>
          <cell r="C41" t="str">
            <v>Pleijel</v>
          </cell>
          <cell r="D41" t="str">
            <v>Europe</v>
          </cell>
          <cell r="E41" t="str">
            <v>wheat</v>
          </cell>
          <cell r="F41" t="str">
            <v>Dragon</v>
          </cell>
          <cell r="G41">
            <v>1995</v>
          </cell>
          <cell r="H41" t="str">
            <v>OTC</v>
          </cell>
          <cell r="I41" t="str">
            <v>field</v>
          </cell>
          <cell r="J41" t="str">
            <v>NF</v>
          </cell>
          <cell r="K41">
            <v>1.3093749999999999E-2</v>
          </cell>
          <cell r="L41">
            <v>21.436869047619101</v>
          </cell>
          <cell r="M41">
            <v>12</v>
          </cell>
          <cell r="N41">
            <v>98</v>
          </cell>
          <cell r="O41">
            <v>5</v>
          </cell>
          <cell r="P41">
            <v>1.2024872448979601E-2</v>
          </cell>
          <cell r="Q41" t="str">
            <v>ears no. plant-1</v>
          </cell>
          <cell r="R41">
            <v>614</v>
          </cell>
          <cell r="S41" t="str">
            <v>592.194887791299</v>
          </cell>
          <cell r="T41" t="str">
            <v>1.03682083830549</v>
          </cell>
          <cell r="U41">
            <v>0.99998211455879804</v>
          </cell>
        </row>
        <row r="42">
          <cell r="A42" t="str">
            <v>1998-84Dragon1995OTC</v>
          </cell>
          <cell r="B42" t="str">
            <v>1998-84</v>
          </cell>
          <cell r="C42" t="str">
            <v>Pleijel</v>
          </cell>
          <cell r="D42" t="str">
            <v>Europe</v>
          </cell>
          <cell r="E42" t="str">
            <v>wheat</v>
          </cell>
          <cell r="F42" t="str">
            <v>Dragon</v>
          </cell>
          <cell r="G42">
            <v>1995</v>
          </cell>
          <cell r="H42" t="str">
            <v>OTC</v>
          </cell>
          <cell r="I42" t="str">
            <v>field</v>
          </cell>
          <cell r="J42" t="str">
            <v>EO3-1</v>
          </cell>
          <cell r="K42">
            <v>0.89017187499999995</v>
          </cell>
          <cell r="L42">
            <v>29.599224206349199</v>
          </cell>
          <cell r="M42">
            <v>12</v>
          </cell>
          <cell r="N42">
            <v>98</v>
          </cell>
          <cell r="O42">
            <v>5</v>
          </cell>
          <cell r="P42">
            <v>0.81750478316326503</v>
          </cell>
          <cell r="Q42" t="str">
            <v>ears no. plant-1</v>
          </cell>
          <cell r="R42">
            <v>610</v>
          </cell>
          <cell r="S42" t="str">
            <v>592.194887791299</v>
          </cell>
          <cell r="T42" t="str">
            <v>1.03006630515692</v>
          </cell>
          <cell r="U42">
            <v>0.99878406745741</v>
          </cell>
        </row>
        <row r="43">
          <cell r="A43" t="str">
            <v>1998-84Dragon1995OTC</v>
          </cell>
          <cell r="B43" t="str">
            <v>1998-84</v>
          </cell>
          <cell r="C43" t="str">
            <v>Pleijel</v>
          </cell>
          <cell r="D43" t="str">
            <v>Europe</v>
          </cell>
          <cell r="E43" t="str">
            <v>wheat</v>
          </cell>
          <cell r="F43" t="str">
            <v>Dragon</v>
          </cell>
          <cell r="G43">
            <v>1995</v>
          </cell>
          <cell r="H43" t="str">
            <v>OTC</v>
          </cell>
          <cell r="I43" t="str">
            <v>field</v>
          </cell>
          <cell r="J43" t="str">
            <v>EO3-2</v>
          </cell>
          <cell r="K43">
            <v>2.3906512499999999</v>
          </cell>
          <cell r="L43">
            <v>35.929928571428597</v>
          </cell>
          <cell r="M43">
            <v>12</v>
          </cell>
          <cell r="N43">
            <v>98</v>
          </cell>
          <cell r="O43">
            <v>5</v>
          </cell>
          <cell r="P43">
            <v>2.1954960459183699</v>
          </cell>
          <cell r="Q43" t="str">
            <v>ears no. plant-1</v>
          </cell>
          <cell r="R43">
            <v>552</v>
          </cell>
          <cell r="S43" t="str">
            <v>592.194887791299</v>
          </cell>
          <cell r="T43" t="str">
            <v>0.932125574502655</v>
          </cell>
          <cell r="U43">
            <v>0.99673448382891305</v>
          </cell>
        </row>
        <row r="44">
          <cell r="A44" t="str">
            <v>2000-X96Dragon1994OTC</v>
          </cell>
          <cell r="B44" t="str">
            <v>2000-X96</v>
          </cell>
          <cell r="C44" t="str">
            <v>Pleijel</v>
          </cell>
          <cell r="D44" t="str">
            <v>Europe</v>
          </cell>
          <cell r="E44" t="str">
            <v>wheat</v>
          </cell>
          <cell r="F44" t="str">
            <v>Dragon</v>
          </cell>
          <cell r="G44">
            <v>1994</v>
          </cell>
          <cell r="H44" t="str">
            <v>OTC</v>
          </cell>
          <cell r="I44" t="str">
            <v>field</v>
          </cell>
          <cell r="J44" t="str">
            <v>NF</v>
          </cell>
          <cell r="K44">
            <v>2.2709999999999999</v>
          </cell>
          <cell r="L44">
            <v>33</v>
          </cell>
          <cell r="M44">
            <v>12</v>
          </cell>
          <cell r="N44">
            <v>71</v>
          </cell>
          <cell r="O44">
            <v>3</v>
          </cell>
          <cell r="P44">
            <v>2.2709999999999999</v>
          </cell>
          <cell r="Q44" t="str">
            <v>ears no. plant-1</v>
          </cell>
          <cell r="R44">
            <v>451.285189718482</v>
          </cell>
          <cell r="S44" t="str">
            <v>490.32432965444</v>
          </cell>
          <cell r="T44" t="str">
            <v>0.920380985452077</v>
          </cell>
          <cell r="U44">
            <v>0.99662218147086801</v>
          </cell>
        </row>
        <row r="45">
          <cell r="A45" t="str">
            <v>2000-X96Dragon1994OTC</v>
          </cell>
          <cell r="B45" t="str">
            <v>2000-X96</v>
          </cell>
          <cell r="C45" t="str">
            <v>Pleijel</v>
          </cell>
          <cell r="D45" t="str">
            <v>Europe</v>
          </cell>
          <cell r="E45" t="str">
            <v>wheat</v>
          </cell>
          <cell r="F45" t="str">
            <v>Dragon</v>
          </cell>
          <cell r="G45">
            <v>1994</v>
          </cell>
          <cell r="H45" t="str">
            <v>OTC</v>
          </cell>
          <cell r="I45" t="str">
            <v>field</v>
          </cell>
          <cell r="J45" t="str">
            <v>EO3-1</v>
          </cell>
          <cell r="K45">
            <v>7.1619999999999999</v>
          </cell>
          <cell r="L45">
            <v>39</v>
          </cell>
          <cell r="M45">
            <v>12</v>
          </cell>
          <cell r="N45">
            <v>71</v>
          </cell>
          <cell r="O45">
            <v>3</v>
          </cell>
          <cell r="P45">
            <v>7.1619999999999999</v>
          </cell>
          <cell r="Q45" t="str">
            <v>ears no. plant-1</v>
          </cell>
          <cell r="R45">
            <v>490.07847937216502</v>
          </cell>
          <cell r="S45" t="str">
            <v>490.32432965444</v>
          </cell>
          <cell r="T45" t="str">
            <v>0.99949859660758</v>
          </cell>
          <cell r="U45">
            <v>0.98934745208910602</v>
          </cell>
        </row>
        <row r="46">
          <cell r="A46" t="str">
            <v>2000-X96Dragon1994OTC</v>
          </cell>
          <cell r="B46" t="str">
            <v>2000-X96</v>
          </cell>
          <cell r="C46" t="str">
            <v>Pleijel</v>
          </cell>
          <cell r="D46" t="str">
            <v>Europe</v>
          </cell>
          <cell r="E46" t="str">
            <v>wheat</v>
          </cell>
          <cell r="F46" t="str">
            <v>Dragon</v>
          </cell>
          <cell r="G46">
            <v>1994</v>
          </cell>
          <cell r="H46" t="str">
            <v>OTC</v>
          </cell>
          <cell r="I46" t="str">
            <v>field</v>
          </cell>
          <cell r="J46" t="str">
            <v>EO3-2</v>
          </cell>
          <cell r="K46">
            <v>12.052</v>
          </cell>
          <cell r="L46">
            <v>46</v>
          </cell>
          <cell r="M46">
            <v>12</v>
          </cell>
          <cell r="N46">
            <v>71</v>
          </cell>
          <cell r="O46">
            <v>3</v>
          </cell>
          <cell r="P46">
            <v>12.052</v>
          </cell>
          <cell r="Q46" t="str">
            <v>ears no. plant-1</v>
          </cell>
          <cell r="R46">
            <v>516.12787097703199</v>
          </cell>
          <cell r="S46" t="str">
            <v>490.32432965444</v>
          </cell>
          <cell r="T46" t="str">
            <v>1.05262545576879</v>
          </cell>
          <cell r="U46">
            <v>0.98207421007789797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row>
        <row r="2">
          <cell r="B2" t="str">
            <v>2012-118yangmai1852004OTC</v>
          </cell>
          <cell r="C2" t="str">
            <v>2012-118</v>
          </cell>
          <cell r="D2" t="str">
            <v>Wang</v>
          </cell>
          <cell r="E2" t="str">
            <v>China</v>
          </cell>
          <cell r="F2" t="str">
            <v>wheat</v>
          </cell>
          <cell r="G2" t="str">
            <v>yangmai185</v>
          </cell>
          <cell r="H2">
            <v>2004</v>
          </cell>
          <cell r="I2" t="str">
            <v>OTC</v>
          </cell>
          <cell r="J2" t="str">
            <v>field</v>
          </cell>
          <cell r="K2" t="str">
            <v>CF</v>
          </cell>
          <cell r="L2">
            <v>0</v>
          </cell>
          <cell r="M2"/>
          <cell r="N2">
            <v>8</v>
          </cell>
          <cell r="O2">
            <v>65</v>
          </cell>
          <cell r="P2">
            <v>3</v>
          </cell>
          <cell r="Q2">
            <v>0</v>
          </cell>
          <cell r="R2" t="str">
            <v>1000 grain weight</v>
          </cell>
          <cell r="S2">
            <v>45.75</v>
          </cell>
          <cell r="T2" t="str">
            <v>53.7646311119885</v>
          </cell>
          <cell r="U2" t="str">
            <v>0.952816816440966</v>
          </cell>
        </row>
        <row r="3">
          <cell r="B3" t="str">
            <v>2012-118yangmai1852004OTC</v>
          </cell>
          <cell r="C3" t="str">
            <v>2012-118</v>
          </cell>
          <cell r="D3" t="str">
            <v>Wang</v>
          </cell>
          <cell r="E3" t="str">
            <v>China</v>
          </cell>
          <cell r="F3" t="str">
            <v>wheat</v>
          </cell>
          <cell r="G3" t="str">
            <v>yangmai185</v>
          </cell>
          <cell r="H3">
            <v>2004</v>
          </cell>
          <cell r="I3" t="str">
            <v>OTC</v>
          </cell>
          <cell r="J3" t="str">
            <v>field</v>
          </cell>
          <cell r="K3" t="str">
            <v>NF</v>
          </cell>
          <cell r="L3">
            <v>3.82</v>
          </cell>
          <cell r="M3"/>
          <cell r="N3">
            <v>8</v>
          </cell>
          <cell r="O3">
            <v>65</v>
          </cell>
          <cell r="P3">
            <v>3</v>
          </cell>
          <cell r="Q3">
            <v>3.82</v>
          </cell>
          <cell r="R3" t="str">
            <v>1000 grain weight</v>
          </cell>
          <cell r="S3">
            <v>46.5</v>
          </cell>
          <cell r="T3" t="str">
            <v>53.7646311119885</v>
          </cell>
          <cell r="U3" t="str">
            <v>0.968436764251474</v>
          </cell>
        </row>
        <row r="4">
          <cell r="B4" t="str">
            <v>2012-118yangmai1852004OTC</v>
          </cell>
          <cell r="C4" t="str">
            <v>2012-118</v>
          </cell>
          <cell r="D4" t="str">
            <v>Wang</v>
          </cell>
          <cell r="E4" t="str">
            <v>China</v>
          </cell>
          <cell r="F4" t="str">
            <v>wheat</v>
          </cell>
          <cell r="G4" t="str">
            <v>yangmai185</v>
          </cell>
          <cell r="H4">
            <v>2004</v>
          </cell>
          <cell r="I4" t="str">
            <v>OTC</v>
          </cell>
          <cell r="J4" t="str">
            <v>field</v>
          </cell>
          <cell r="K4" t="str">
            <v>EO3-1</v>
          </cell>
          <cell r="L4">
            <v>22.61</v>
          </cell>
          <cell r="M4"/>
          <cell r="N4">
            <v>8</v>
          </cell>
          <cell r="O4">
            <v>65</v>
          </cell>
          <cell r="P4">
            <v>3</v>
          </cell>
          <cell r="Q4">
            <v>22.61</v>
          </cell>
          <cell r="R4" t="str">
            <v>1000 grain weight</v>
          </cell>
          <cell r="S4">
            <v>27.18</v>
          </cell>
          <cell r="T4" t="str">
            <v>53.7646311119885</v>
          </cell>
          <cell r="U4" t="str">
            <v>0.566066908652797</v>
          </cell>
        </row>
        <row r="5">
          <cell r="B5" t="str">
            <v>2012-118jia0022006OTC</v>
          </cell>
          <cell r="C5" t="str">
            <v>2012-118</v>
          </cell>
          <cell r="D5" t="str">
            <v>Wang</v>
          </cell>
          <cell r="E5" t="str">
            <v>China</v>
          </cell>
          <cell r="F5" t="str">
            <v>wheat</v>
          </cell>
          <cell r="G5" t="str">
            <v>jia002</v>
          </cell>
          <cell r="H5">
            <v>2006</v>
          </cell>
          <cell r="I5" t="str">
            <v>OTC</v>
          </cell>
          <cell r="J5" t="str">
            <v>field</v>
          </cell>
          <cell r="K5" t="str">
            <v>CF</v>
          </cell>
          <cell r="L5">
            <v>0</v>
          </cell>
          <cell r="M5"/>
          <cell r="N5">
            <v>8</v>
          </cell>
          <cell r="O5">
            <v>47</v>
          </cell>
          <cell r="P5">
            <v>3</v>
          </cell>
          <cell r="Q5">
            <v>0</v>
          </cell>
          <cell r="R5" t="str">
            <v>1000 grain weight</v>
          </cell>
          <cell r="S5">
            <v>37.43</v>
          </cell>
          <cell r="T5" t="str">
            <v>43.7198796520186</v>
          </cell>
          <cell r="U5" t="str">
            <v>0.958640680920366</v>
          </cell>
        </row>
        <row r="6">
          <cell r="B6" t="str">
            <v>2012-118jia0022006OTC</v>
          </cell>
          <cell r="C6" t="str">
            <v>2012-118</v>
          </cell>
          <cell r="D6" t="str">
            <v>Wang</v>
          </cell>
          <cell r="E6" t="str">
            <v>China</v>
          </cell>
          <cell r="F6" t="str">
            <v>wheat</v>
          </cell>
          <cell r="G6" t="str">
            <v>jia002</v>
          </cell>
          <cell r="H6">
            <v>2006</v>
          </cell>
          <cell r="I6" t="str">
            <v>OTC</v>
          </cell>
          <cell r="J6" t="str">
            <v>field</v>
          </cell>
          <cell r="K6" t="str">
            <v>NF</v>
          </cell>
          <cell r="L6">
            <v>2.5</v>
          </cell>
          <cell r="M6"/>
          <cell r="N6">
            <v>8</v>
          </cell>
          <cell r="O6">
            <v>47</v>
          </cell>
          <cell r="P6">
            <v>3</v>
          </cell>
          <cell r="Q6">
            <v>2.5</v>
          </cell>
          <cell r="R6" t="str">
            <v>1000 grain weight</v>
          </cell>
          <cell r="S6">
            <v>32.01</v>
          </cell>
          <cell r="T6" t="str">
            <v>43.7198796520186</v>
          </cell>
          <cell r="U6" t="str">
            <v>0.819826027150973</v>
          </cell>
        </row>
        <row r="7">
          <cell r="B7" t="str">
            <v>2012-118jia0022006OTC</v>
          </cell>
          <cell r="C7" t="str">
            <v>2012-118</v>
          </cell>
          <cell r="D7" t="str">
            <v>Wang</v>
          </cell>
          <cell r="E7" t="str">
            <v>China</v>
          </cell>
          <cell r="F7" t="str">
            <v>wheat</v>
          </cell>
          <cell r="G7" t="str">
            <v>jia002</v>
          </cell>
          <cell r="H7">
            <v>2006</v>
          </cell>
          <cell r="I7" t="str">
            <v>OTC</v>
          </cell>
          <cell r="J7" t="str">
            <v>field</v>
          </cell>
          <cell r="K7" t="str">
            <v>EO3-1</v>
          </cell>
          <cell r="L7">
            <v>14.27</v>
          </cell>
          <cell r="M7"/>
          <cell r="N7">
            <v>8</v>
          </cell>
          <cell r="O7">
            <v>47</v>
          </cell>
          <cell r="P7">
            <v>3</v>
          </cell>
          <cell r="Q7">
            <v>14.27</v>
          </cell>
          <cell r="R7" t="str">
            <v>1000 grain weight</v>
          </cell>
          <cell r="S7">
            <v>29.71</v>
          </cell>
          <cell r="T7" t="str">
            <v>43.7198796520186</v>
          </cell>
          <cell r="U7" t="str">
            <v>0.760919439758057</v>
          </cell>
        </row>
        <row r="8">
          <cell r="B8" t="str">
            <v>2012-118jia0022006OTC</v>
          </cell>
          <cell r="C8" t="str">
            <v>2012-118</v>
          </cell>
          <cell r="D8" t="str">
            <v>Wang</v>
          </cell>
          <cell r="E8" t="str">
            <v>China</v>
          </cell>
          <cell r="F8" t="str">
            <v>wheat</v>
          </cell>
          <cell r="G8" t="str">
            <v>jia002</v>
          </cell>
          <cell r="H8">
            <v>2006</v>
          </cell>
          <cell r="I8" t="str">
            <v>OTC</v>
          </cell>
          <cell r="J8" t="str">
            <v>field</v>
          </cell>
          <cell r="K8" t="str">
            <v>EO3-2</v>
          </cell>
          <cell r="L8">
            <v>24.22</v>
          </cell>
          <cell r="M8"/>
          <cell r="N8">
            <v>8</v>
          </cell>
          <cell r="O8">
            <v>47</v>
          </cell>
          <cell r="P8">
            <v>3</v>
          </cell>
          <cell r="Q8">
            <v>24.22</v>
          </cell>
          <cell r="R8" t="str">
            <v>1000 grain weight</v>
          </cell>
          <cell r="S8">
            <v>24.05</v>
          </cell>
          <cell r="T8" t="str">
            <v>43.7198796520186</v>
          </cell>
          <cell r="U8" t="str">
            <v>0.615958011652012</v>
          </cell>
        </row>
        <row r="9">
          <cell r="B9" t="str">
            <v>2012-118jia0022007OTC</v>
          </cell>
          <cell r="C9" t="str">
            <v>2012-118</v>
          </cell>
          <cell r="D9" t="str">
            <v>Wang</v>
          </cell>
          <cell r="E9" t="str">
            <v>China</v>
          </cell>
          <cell r="F9" t="str">
            <v>wheat</v>
          </cell>
          <cell r="G9" t="str">
            <v>jia002</v>
          </cell>
          <cell r="H9">
            <v>2007</v>
          </cell>
          <cell r="I9" t="str">
            <v>OTC</v>
          </cell>
          <cell r="J9" t="str">
            <v>field</v>
          </cell>
          <cell r="K9" t="str">
            <v>CF</v>
          </cell>
          <cell r="L9">
            <v>0</v>
          </cell>
          <cell r="M9"/>
          <cell r="N9">
            <v>8</v>
          </cell>
          <cell r="O9">
            <v>55</v>
          </cell>
          <cell r="P9">
            <v>3</v>
          </cell>
          <cell r="Q9">
            <v>0</v>
          </cell>
          <cell r="R9" t="str">
            <v>1000 grain weight</v>
          </cell>
          <cell r="S9">
            <v>43.62</v>
          </cell>
          <cell r="T9" t="str">
            <v>45.4955644261542</v>
          </cell>
          <cell r="U9" t="str">
            <v>1.07357302168629</v>
          </cell>
        </row>
        <row r="10">
          <cell r="B10" t="str">
            <v>2012-118jia0022007OTC</v>
          </cell>
          <cell r="C10" t="str">
            <v>2012-118</v>
          </cell>
          <cell r="D10" t="str">
            <v>Wang</v>
          </cell>
          <cell r="E10" t="str">
            <v>China</v>
          </cell>
          <cell r="F10" t="str">
            <v>wheat</v>
          </cell>
          <cell r="G10" t="str">
            <v>jia002</v>
          </cell>
          <cell r="H10">
            <v>2007</v>
          </cell>
          <cell r="I10" t="str">
            <v>OTC</v>
          </cell>
          <cell r="J10" t="str">
            <v>field</v>
          </cell>
          <cell r="K10" t="str">
            <v>NF</v>
          </cell>
          <cell r="L10">
            <v>0.21</v>
          </cell>
          <cell r="M10"/>
          <cell r="N10">
            <v>8</v>
          </cell>
          <cell r="O10">
            <v>55</v>
          </cell>
          <cell r="P10">
            <v>3</v>
          </cell>
          <cell r="Q10">
            <v>0.21</v>
          </cell>
          <cell r="R10" t="str">
            <v>1000 grain weight</v>
          </cell>
          <cell r="S10">
            <v>42.16</v>
          </cell>
          <cell r="T10" t="str">
            <v>45.4955644261542</v>
          </cell>
          <cell r="U10" t="str">
            <v>1.03763958262939</v>
          </cell>
        </row>
        <row r="11">
          <cell r="B11" t="str">
            <v>2012-118jia0022007OTC</v>
          </cell>
          <cell r="C11" t="str">
            <v>2012-118</v>
          </cell>
          <cell r="D11" t="str">
            <v>Wang</v>
          </cell>
          <cell r="E11" t="str">
            <v>China</v>
          </cell>
          <cell r="F11" t="str">
            <v>wheat</v>
          </cell>
          <cell r="G11" t="str">
            <v>jia002</v>
          </cell>
          <cell r="H11">
            <v>2007</v>
          </cell>
          <cell r="I11" t="str">
            <v>OTC</v>
          </cell>
          <cell r="J11" t="str">
            <v>field</v>
          </cell>
          <cell r="K11" t="str">
            <v>EO3-1</v>
          </cell>
          <cell r="L11">
            <v>1.58</v>
          </cell>
          <cell r="M11"/>
          <cell r="N11">
            <v>8</v>
          </cell>
          <cell r="O11">
            <v>55</v>
          </cell>
          <cell r="P11">
            <v>3</v>
          </cell>
          <cell r="Q11">
            <v>1.58</v>
          </cell>
          <cell r="R11" t="str">
            <v>1000 grain weight</v>
          </cell>
          <cell r="S11">
            <v>41.74</v>
          </cell>
          <cell r="T11" t="str">
            <v>45.4955644261542</v>
          </cell>
          <cell r="U11" t="str">
            <v>1.02730256591439</v>
          </cell>
        </row>
        <row r="12">
          <cell r="B12" t="str">
            <v>2012-118jia0022007OTC</v>
          </cell>
          <cell r="C12" t="str">
            <v>2012-118</v>
          </cell>
          <cell r="D12" t="str">
            <v>Wang</v>
          </cell>
          <cell r="E12" t="str">
            <v>China</v>
          </cell>
          <cell r="F12" t="str">
            <v>wheat</v>
          </cell>
          <cell r="G12" t="str">
            <v>jia002</v>
          </cell>
          <cell r="H12">
            <v>2007</v>
          </cell>
          <cell r="I12" t="str">
            <v>OTC</v>
          </cell>
          <cell r="J12" t="str">
            <v>field</v>
          </cell>
          <cell r="K12" t="str">
            <v>EO3-2</v>
          </cell>
          <cell r="L12">
            <v>9.17</v>
          </cell>
          <cell r="M12"/>
          <cell r="N12">
            <v>8</v>
          </cell>
          <cell r="O12">
            <v>55</v>
          </cell>
          <cell r="P12">
            <v>3</v>
          </cell>
          <cell r="Q12">
            <v>9.17</v>
          </cell>
          <cell r="R12" t="str">
            <v>1000 grain weight</v>
          </cell>
          <cell r="S12">
            <v>25.63</v>
          </cell>
          <cell r="T12" t="str">
            <v>45.4955644261542</v>
          </cell>
          <cell r="U12" t="str">
            <v>0.630804139060515</v>
          </cell>
        </row>
        <row r="13">
          <cell r="B13" t="str">
            <v>2012-118jia0022008OTC</v>
          </cell>
          <cell r="C13" t="str">
            <v>2012-118</v>
          </cell>
          <cell r="D13" t="str">
            <v>Wang</v>
          </cell>
          <cell r="E13" t="str">
            <v>China</v>
          </cell>
          <cell r="F13" t="str">
            <v>wheat</v>
          </cell>
          <cell r="G13" t="str">
            <v>jia002</v>
          </cell>
          <cell r="H13">
            <v>2008</v>
          </cell>
          <cell r="I13" t="str">
            <v>OTC</v>
          </cell>
          <cell r="J13" t="str">
            <v>field</v>
          </cell>
          <cell r="K13" t="str">
            <v>CF</v>
          </cell>
          <cell r="L13">
            <v>0.1</v>
          </cell>
          <cell r="M13"/>
          <cell r="N13">
            <v>8</v>
          </cell>
          <cell r="O13">
            <v>55</v>
          </cell>
          <cell r="P13">
            <v>3</v>
          </cell>
          <cell r="Q13">
            <v>0.1</v>
          </cell>
          <cell r="R13" t="str">
            <v>1000 grain weight</v>
          </cell>
          <cell r="S13">
            <v>43.05</v>
          </cell>
          <cell r="T13" t="str">
            <v>51.5880583248522</v>
          </cell>
          <cell r="U13" t="str">
            <v>0.934413187533208</v>
          </cell>
        </row>
        <row r="14">
          <cell r="B14" t="str">
            <v>2012-118jia0022008OTC</v>
          </cell>
          <cell r="C14" t="str">
            <v>2012-118</v>
          </cell>
          <cell r="D14" t="str">
            <v>Wang</v>
          </cell>
          <cell r="E14" t="str">
            <v>China</v>
          </cell>
          <cell r="F14" t="str">
            <v>wheat</v>
          </cell>
          <cell r="G14" t="str">
            <v>jia002</v>
          </cell>
          <cell r="H14">
            <v>2008</v>
          </cell>
          <cell r="I14" t="str">
            <v>OTC</v>
          </cell>
          <cell r="J14" t="str">
            <v>field</v>
          </cell>
          <cell r="K14" t="str">
            <v>NF</v>
          </cell>
          <cell r="L14">
            <v>0.15</v>
          </cell>
          <cell r="M14"/>
          <cell r="N14">
            <v>8</v>
          </cell>
          <cell r="O14">
            <v>55</v>
          </cell>
          <cell r="P14">
            <v>3</v>
          </cell>
          <cell r="Q14">
            <v>0.15</v>
          </cell>
          <cell r="R14" t="str">
            <v>1000 grain weight</v>
          </cell>
          <cell r="S14">
            <v>44.69</v>
          </cell>
          <cell r="T14" t="str">
            <v>51.5880583248522</v>
          </cell>
          <cell r="U14" t="str">
            <v>0.970009880391616</v>
          </cell>
        </row>
        <row r="15">
          <cell r="B15" t="str">
            <v>2012-118jia0022008OTC</v>
          </cell>
          <cell r="C15" t="str">
            <v>2012-118</v>
          </cell>
          <cell r="D15" t="str">
            <v>Wang</v>
          </cell>
          <cell r="E15" t="str">
            <v>China</v>
          </cell>
          <cell r="F15" t="str">
            <v>wheat</v>
          </cell>
          <cell r="G15" t="str">
            <v>jia002</v>
          </cell>
          <cell r="H15">
            <v>2008</v>
          </cell>
          <cell r="I15" t="str">
            <v>OTC</v>
          </cell>
          <cell r="J15" t="str">
            <v>field</v>
          </cell>
          <cell r="K15" t="str">
            <v>EO3-1</v>
          </cell>
          <cell r="L15">
            <v>15.32</v>
          </cell>
          <cell r="M15"/>
          <cell r="N15">
            <v>8</v>
          </cell>
          <cell r="O15">
            <v>55</v>
          </cell>
          <cell r="P15">
            <v>3</v>
          </cell>
          <cell r="Q15">
            <v>15.32</v>
          </cell>
          <cell r="R15" t="str">
            <v>1000 grain weight</v>
          </cell>
          <cell r="S15">
            <v>31.25</v>
          </cell>
          <cell r="T15" t="str">
            <v>51.5880583248522</v>
          </cell>
          <cell r="U15" t="str">
            <v>0.678290641356858</v>
          </cell>
        </row>
        <row r="16">
          <cell r="B16" t="str">
            <v>2012-118jia0022008OTC</v>
          </cell>
          <cell r="C16" t="str">
            <v>2012-118</v>
          </cell>
          <cell r="D16" t="str">
            <v>Wang</v>
          </cell>
          <cell r="E16" t="str">
            <v>China</v>
          </cell>
          <cell r="F16" t="str">
            <v>wheat</v>
          </cell>
          <cell r="G16" t="str">
            <v>jia002</v>
          </cell>
          <cell r="H16">
            <v>2008</v>
          </cell>
          <cell r="I16" t="str">
            <v>OTC</v>
          </cell>
          <cell r="J16" t="str">
            <v>field</v>
          </cell>
          <cell r="K16" t="str">
            <v>EO3-2</v>
          </cell>
          <cell r="L16">
            <v>27.67</v>
          </cell>
          <cell r="M16"/>
          <cell r="N16">
            <v>8</v>
          </cell>
          <cell r="O16">
            <v>55</v>
          </cell>
          <cell r="P16">
            <v>3</v>
          </cell>
          <cell r="Q16">
            <v>27.67</v>
          </cell>
          <cell r="R16" t="str">
            <v>1000 grain weight</v>
          </cell>
          <cell r="S16">
            <v>27.25</v>
          </cell>
          <cell r="T16" t="str">
            <v>51.5880583248522</v>
          </cell>
          <cell r="U16" t="str">
            <v>0.59146943926318</v>
          </cell>
        </row>
        <row r="17">
          <cell r="B17" t="str">
            <v>2011-133Y152007FACE</v>
          </cell>
          <cell r="C17" t="str">
            <v>2011-133</v>
          </cell>
          <cell r="D17" t="str">
            <v>Zhu</v>
          </cell>
          <cell r="E17" t="str">
            <v>China</v>
          </cell>
          <cell r="F17" t="str">
            <v>wheat</v>
          </cell>
          <cell r="G17" t="str">
            <v>Y15</v>
          </cell>
          <cell r="H17">
            <v>2007</v>
          </cell>
          <cell r="I17" t="str">
            <v>FACE</v>
          </cell>
          <cell r="J17" t="str">
            <v>field</v>
          </cell>
          <cell r="K17" t="str">
            <v>NF</v>
          </cell>
          <cell r="L17">
            <v>7.27</v>
          </cell>
          <cell r="M17">
            <v>46.4</v>
          </cell>
          <cell r="N17">
            <v>7</v>
          </cell>
          <cell r="O17">
            <v>75</v>
          </cell>
          <cell r="P17">
            <v>3</v>
          </cell>
          <cell r="Q17">
            <v>7.27</v>
          </cell>
          <cell r="R17" t="str">
            <v>1000 grain weight</v>
          </cell>
          <cell r="S17">
            <v>47.772511848341203</v>
          </cell>
          <cell r="T17" t="str">
            <v>64.8384851891512</v>
          </cell>
          <cell r="U17" t="str">
            <v>0.825011879979488</v>
          </cell>
        </row>
        <row r="18">
          <cell r="B18" t="str">
            <v>2011-133Y152007FACE</v>
          </cell>
          <cell r="C18" t="str">
            <v>2011-133</v>
          </cell>
          <cell r="D18" t="str">
            <v>Zhu</v>
          </cell>
          <cell r="E18" t="str">
            <v>China</v>
          </cell>
          <cell r="F18" t="str">
            <v>wheat</v>
          </cell>
          <cell r="G18" t="str">
            <v>Y15</v>
          </cell>
          <cell r="H18">
            <v>2007</v>
          </cell>
          <cell r="I18" t="str">
            <v>FACE</v>
          </cell>
          <cell r="J18" t="str">
            <v>field</v>
          </cell>
          <cell r="K18" t="str">
            <v>EO3</v>
          </cell>
          <cell r="L18">
            <v>13.8865</v>
          </cell>
          <cell r="M18">
            <v>56.9</v>
          </cell>
          <cell r="N18">
            <v>7</v>
          </cell>
          <cell r="O18">
            <v>75</v>
          </cell>
          <cell r="P18">
            <v>3</v>
          </cell>
          <cell r="Q18">
            <v>13.8865</v>
          </cell>
          <cell r="R18" t="str">
            <v>1000 grain weight</v>
          </cell>
          <cell r="S18">
            <v>40.142180094786703</v>
          </cell>
          <cell r="T18" t="str">
            <v>64.8384851891512</v>
          </cell>
          <cell r="U18" t="str">
            <v>0.693239149149431</v>
          </cell>
        </row>
        <row r="19">
          <cell r="B19" t="str">
            <v>2011-133Y162007FACE</v>
          </cell>
          <cell r="C19" t="str">
            <v>2011-133</v>
          </cell>
          <cell r="D19" t="str">
            <v>Zhu</v>
          </cell>
          <cell r="E19" t="str">
            <v>China</v>
          </cell>
          <cell r="F19" t="str">
            <v>wheat</v>
          </cell>
          <cell r="G19" t="str">
            <v>Y16</v>
          </cell>
          <cell r="H19">
            <v>2007</v>
          </cell>
          <cell r="I19" t="str">
            <v>FACE</v>
          </cell>
          <cell r="J19" t="str">
            <v>field</v>
          </cell>
          <cell r="K19" t="str">
            <v>NF</v>
          </cell>
          <cell r="L19">
            <v>7.75</v>
          </cell>
          <cell r="M19">
            <v>46.4</v>
          </cell>
          <cell r="N19">
            <v>7</v>
          </cell>
          <cell r="O19">
            <v>75</v>
          </cell>
          <cell r="P19">
            <v>3</v>
          </cell>
          <cell r="Q19">
            <v>7.75</v>
          </cell>
          <cell r="R19" t="str">
            <v>1000 grain weight</v>
          </cell>
          <cell r="S19">
            <v>43.791469194312803</v>
          </cell>
          <cell r="T19" t="str">
            <v>61.292319573324</v>
          </cell>
          <cell r="U19" t="str">
            <v>0.800015578714066</v>
          </cell>
        </row>
        <row r="20">
          <cell r="B20" t="str">
            <v>2011-133Y162007FACE</v>
          </cell>
          <cell r="C20" t="str">
            <v>2011-133</v>
          </cell>
          <cell r="D20" t="str">
            <v>Zhu</v>
          </cell>
          <cell r="E20" t="str">
            <v>China</v>
          </cell>
          <cell r="F20" t="str">
            <v>wheat</v>
          </cell>
          <cell r="G20" t="str">
            <v>Y16</v>
          </cell>
          <cell r="H20">
            <v>2007</v>
          </cell>
          <cell r="I20" t="str">
            <v>FACE</v>
          </cell>
          <cell r="J20" t="str">
            <v>field</v>
          </cell>
          <cell r="K20" t="str">
            <v>EO3</v>
          </cell>
          <cell r="L20">
            <v>14.6637</v>
          </cell>
          <cell r="M20">
            <v>56.9</v>
          </cell>
          <cell r="N20">
            <v>7</v>
          </cell>
          <cell r="O20">
            <v>75</v>
          </cell>
          <cell r="P20">
            <v>3</v>
          </cell>
          <cell r="Q20">
            <v>14.6637</v>
          </cell>
          <cell r="R20" t="str">
            <v>1000 grain weight</v>
          </cell>
          <cell r="S20">
            <v>38.151658767772503</v>
          </cell>
          <cell r="T20" t="str">
            <v>61.292319573324</v>
          </cell>
          <cell r="U20" t="str">
            <v>0.696983269334224</v>
          </cell>
        </row>
        <row r="21">
          <cell r="B21" t="str">
            <v>2011-133Y192007FACE</v>
          </cell>
          <cell r="C21" t="str">
            <v>2011-133</v>
          </cell>
          <cell r="D21" t="str">
            <v>Zhu</v>
          </cell>
          <cell r="E21" t="str">
            <v>China</v>
          </cell>
          <cell r="F21" t="str">
            <v>wheat</v>
          </cell>
          <cell r="G21" t="str">
            <v>Y19</v>
          </cell>
          <cell r="H21">
            <v>2007</v>
          </cell>
          <cell r="I21" t="str">
            <v>FACE</v>
          </cell>
          <cell r="J21" t="str">
            <v>field</v>
          </cell>
          <cell r="K21" t="str">
            <v>NF</v>
          </cell>
          <cell r="L21">
            <v>8.4130000000000003</v>
          </cell>
          <cell r="M21">
            <v>46.4</v>
          </cell>
          <cell r="N21">
            <v>7</v>
          </cell>
          <cell r="O21">
            <v>75</v>
          </cell>
          <cell r="P21">
            <v>3</v>
          </cell>
          <cell r="Q21">
            <v>8.4130000000000003</v>
          </cell>
          <cell r="R21" t="str">
            <v>1000 grain weight</v>
          </cell>
          <cell r="S21">
            <v>38.8151658767773</v>
          </cell>
          <cell r="T21" t="str">
            <v>51.1533105700959</v>
          </cell>
          <cell r="U21" t="str">
            <v>0.849655134171489</v>
          </cell>
        </row>
        <row r="22">
          <cell r="B22" t="str">
            <v>2011-133Y192007FACE</v>
          </cell>
          <cell r="C22" t="str">
            <v>2011-133</v>
          </cell>
          <cell r="D22" t="str">
            <v>Zhu</v>
          </cell>
          <cell r="E22" t="str">
            <v>China</v>
          </cell>
          <cell r="F22" t="str">
            <v>wheat</v>
          </cell>
          <cell r="G22" t="str">
            <v>Y19</v>
          </cell>
          <cell r="H22">
            <v>2007</v>
          </cell>
          <cell r="I22" t="str">
            <v>FACE</v>
          </cell>
          <cell r="J22" t="str">
            <v>field</v>
          </cell>
          <cell r="K22" t="str">
            <v>EO3</v>
          </cell>
          <cell r="L22">
            <v>15.313599999999999</v>
          </cell>
          <cell r="M22">
            <v>56.9</v>
          </cell>
          <cell r="N22">
            <v>7</v>
          </cell>
          <cell r="O22">
            <v>75</v>
          </cell>
          <cell r="P22">
            <v>3</v>
          </cell>
          <cell r="Q22">
            <v>15.313599999999999</v>
          </cell>
          <cell r="R22" t="str">
            <v>1000 grain weight</v>
          </cell>
          <cell r="S22">
            <v>29.1943127962085</v>
          </cell>
          <cell r="T22" t="str">
            <v>51.1533105700959</v>
          </cell>
          <cell r="U22" t="str">
            <v>0.639056853052058</v>
          </cell>
        </row>
        <row r="23">
          <cell r="B23" t="str">
            <v>2011-133Y22007FACE</v>
          </cell>
          <cell r="C23" t="str">
            <v>2011-133</v>
          </cell>
          <cell r="D23" t="str">
            <v>Zhu</v>
          </cell>
          <cell r="E23" t="str">
            <v>China</v>
          </cell>
          <cell r="F23" t="str">
            <v>wheat</v>
          </cell>
          <cell r="G23" t="str">
            <v>Y2</v>
          </cell>
          <cell r="H23">
            <v>2007</v>
          </cell>
          <cell r="I23" t="str">
            <v>FACE</v>
          </cell>
          <cell r="J23" t="str">
            <v>field</v>
          </cell>
          <cell r="K23" t="str">
            <v>NF</v>
          </cell>
          <cell r="L23">
            <v>7.7503000000000002</v>
          </cell>
          <cell r="M23">
            <v>46.4</v>
          </cell>
          <cell r="N23">
            <v>7</v>
          </cell>
          <cell r="O23">
            <v>75</v>
          </cell>
          <cell r="P23">
            <v>3</v>
          </cell>
          <cell r="Q23">
            <v>7.7503000000000002</v>
          </cell>
          <cell r="R23" t="str">
            <v>1000 grain weight</v>
          </cell>
          <cell r="S23">
            <v>43.459715639810398</v>
          </cell>
          <cell r="T23" t="str">
            <v>57.505222891574</v>
          </cell>
          <cell r="U23" t="str">
            <v>0.846241997334854</v>
          </cell>
        </row>
        <row r="24">
          <cell r="B24" t="str">
            <v>2011-133Y22007FACE</v>
          </cell>
          <cell r="C24" t="str">
            <v>2011-133</v>
          </cell>
          <cell r="D24" t="str">
            <v>Zhu</v>
          </cell>
          <cell r="E24" t="str">
            <v>China</v>
          </cell>
          <cell r="F24" t="str">
            <v>wheat</v>
          </cell>
          <cell r="G24" t="str">
            <v>Y2</v>
          </cell>
          <cell r="H24">
            <v>2007</v>
          </cell>
          <cell r="I24" t="str">
            <v>FACE</v>
          </cell>
          <cell r="J24" t="str">
            <v>field</v>
          </cell>
          <cell r="K24" t="str">
            <v>EO3</v>
          </cell>
          <cell r="L24">
            <v>14.6637</v>
          </cell>
          <cell r="M24">
            <v>56.9</v>
          </cell>
          <cell r="N24">
            <v>7</v>
          </cell>
          <cell r="O24">
            <v>75</v>
          </cell>
          <cell r="P24">
            <v>3</v>
          </cell>
          <cell r="Q24">
            <v>14.6637</v>
          </cell>
          <cell r="R24" t="str">
            <v>1000 grain weight</v>
          </cell>
          <cell r="S24">
            <v>33.838862559241697</v>
          </cell>
          <cell r="T24" t="str">
            <v>57.505222891574</v>
          </cell>
          <cell r="U24" t="str">
            <v>0.658905982657673</v>
          </cell>
        </row>
        <row r="25">
          <cell r="B25" t="str">
            <v>2011-133Y152008FACE</v>
          </cell>
          <cell r="C25" t="str">
            <v>2011-133</v>
          </cell>
          <cell r="D25" t="str">
            <v>Zhu</v>
          </cell>
          <cell r="E25" t="str">
            <v>China</v>
          </cell>
          <cell r="F25" t="str">
            <v>wheat</v>
          </cell>
          <cell r="G25" t="str">
            <v>Y15</v>
          </cell>
          <cell r="H25">
            <v>2008</v>
          </cell>
          <cell r="I25" t="str">
            <v>FACE</v>
          </cell>
          <cell r="J25" t="str">
            <v>field</v>
          </cell>
          <cell r="K25" t="str">
            <v>NF</v>
          </cell>
          <cell r="L25">
            <v>8.2789999999999999</v>
          </cell>
          <cell r="M25">
            <v>46</v>
          </cell>
          <cell r="N25">
            <v>7</v>
          </cell>
          <cell r="O25">
            <v>75</v>
          </cell>
          <cell r="P25">
            <v>3</v>
          </cell>
          <cell r="Q25">
            <v>8.2789999999999999</v>
          </cell>
          <cell r="R25" t="str">
            <v>1000 grain weight</v>
          </cell>
          <cell r="S25">
            <v>44</v>
          </cell>
          <cell r="T25" t="str">
            <v>61.262560623216</v>
          </cell>
          <cell r="U25" t="str">
            <v>0.804215643464242</v>
          </cell>
        </row>
        <row r="26">
          <cell r="B26" t="str">
            <v>2011-133Y152008FACE</v>
          </cell>
          <cell r="C26" t="str">
            <v>2011-133</v>
          </cell>
          <cell r="D26" t="str">
            <v>Zhu</v>
          </cell>
          <cell r="E26" t="str">
            <v>China</v>
          </cell>
          <cell r="F26" t="str">
            <v>wheat</v>
          </cell>
          <cell r="G26" t="str">
            <v>Y15</v>
          </cell>
          <cell r="H26">
            <v>2008</v>
          </cell>
          <cell r="I26" t="str">
            <v>FACE</v>
          </cell>
          <cell r="J26" t="str">
            <v>field</v>
          </cell>
          <cell r="K26" t="str">
            <v>EO3</v>
          </cell>
          <cell r="L26">
            <v>16.7821</v>
          </cell>
          <cell r="M26">
            <v>57.6</v>
          </cell>
          <cell r="N26">
            <v>7</v>
          </cell>
          <cell r="O26">
            <v>75</v>
          </cell>
          <cell r="P26">
            <v>3</v>
          </cell>
          <cell r="Q26">
            <v>16.7821</v>
          </cell>
          <cell r="R26" t="str">
            <v>1000 grain weight</v>
          </cell>
          <cell r="S26">
            <v>36</v>
          </cell>
          <cell r="T26" t="str">
            <v>61.262560623216</v>
          </cell>
          <cell r="U26" t="str">
            <v>0.657994617379835</v>
          </cell>
        </row>
        <row r="27">
          <cell r="B27" t="str">
            <v>2011-133Y162008FACE</v>
          </cell>
          <cell r="C27" t="str">
            <v>2011-133</v>
          </cell>
          <cell r="D27" t="str">
            <v>Zhu</v>
          </cell>
          <cell r="E27" t="str">
            <v>China</v>
          </cell>
          <cell r="F27" t="str">
            <v>wheat</v>
          </cell>
          <cell r="G27" t="str">
            <v>Y16</v>
          </cell>
          <cell r="H27">
            <v>2008</v>
          </cell>
          <cell r="I27" t="str">
            <v>FACE</v>
          </cell>
          <cell r="J27" t="str">
            <v>field</v>
          </cell>
          <cell r="K27" t="str">
            <v>NF</v>
          </cell>
          <cell r="L27">
            <v>8.4710000000000001</v>
          </cell>
          <cell r="M27">
            <v>46</v>
          </cell>
          <cell r="N27">
            <v>7</v>
          </cell>
          <cell r="O27">
            <v>75</v>
          </cell>
          <cell r="P27">
            <v>3</v>
          </cell>
          <cell r="Q27">
            <v>8.4710000000000001</v>
          </cell>
          <cell r="R27" t="str">
            <v>1000 grain weight</v>
          </cell>
          <cell r="S27">
            <v>44</v>
          </cell>
          <cell r="T27" t="str">
            <v>63.0434822150877</v>
          </cell>
          <cell r="U27" t="str">
            <v>0.781497275860752</v>
          </cell>
        </row>
        <row r="28">
          <cell r="B28" t="str">
            <v>2011-133Y162008FACE</v>
          </cell>
          <cell r="C28" t="str">
            <v>2011-133</v>
          </cell>
          <cell r="D28" t="str">
            <v>Zhu</v>
          </cell>
          <cell r="E28" t="str">
            <v>China</v>
          </cell>
          <cell r="F28" t="str">
            <v>wheat</v>
          </cell>
          <cell r="G28" t="str">
            <v>Y16</v>
          </cell>
          <cell r="H28">
            <v>2008</v>
          </cell>
          <cell r="I28" t="str">
            <v>FACE</v>
          </cell>
          <cell r="J28" t="str">
            <v>field</v>
          </cell>
          <cell r="K28" t="str">
            <v>EO3</v>
          </cell>
          <cell r="L28">
            <v>16.742999999999999</v>
          </cell>
          <cell r="M28">
            <v>57.6</v>
          </cell>
          <cell r="N28">
            <v>7</v>
          </cell>
          <cell r="O28">
            <v>75</v>
          </cell>
          <cell r="P28">
            <v>3</v>
          </cell>
          <cell r="Q28">
            <v>16.742999999999999</v>
          </cell>
          <cell r="R28" t="str">
            <v>1000 grain weight</v>
          </cell>
          <cell r="S28">
            <v>38</v>
          </cell>
          <cell r="T28" t="str">
            <v>63.0434822150877</v>
          </cell>
          <cell r="U28" t="str">
            <v>0.674929465516104</v>
          </cell>
        </row>
        <row r="29">
          <cell r="B29" t="str">
            <v>2011-133Y192008FACE</v>
          </cell>
          <cell r="C29" t="str">
            <v>2011-133</v>
          </cell>
          <cell r="D29" t="str">
            <v>Zhu</v>
          </cell>
          <cell r="E29" t="str">
            <v>China</v>
          </cell>
          <cell r="F29" t="str">
            <v>wheat</v>
          </cell>
          <cell r="G29" t="str">
            <v>Y19</v>
          </cell>
          <cell r="H29">
            <v>2008</v>
          </cell>
          <cell r="I29" t="str">
            <v>FACE</v>
          </cell>
          <cell r="J29" t="str">
            <v>field</v>
          </cell>
          <cell r="K29" t="str">
            <v>NF</v>
          </cell>
          <cell r="L29">
            <v>9.1110000000000007</v>
          </cell>
          <cell r="M29">
            <v>46</v>
          </cell>
          <cell r="N29">
            <v>7</v>
          </cell>
          <cell r="O29">
            <v>75</v>
          </cell>
          <cell r="P29">
            <v>3</v>
          </cell>
          <cell r="Q29">
            <v>9.1110000000000007</v>
          </cell>
          <cell r="R29" t="str">
            <v>1000 grain weight</v>
          </cell>
          <cell r="S29">
            <v>41.3333333333333</v>
          </cell>
          <cell r="T29" t="str">
            <v>54.3205904853137</v>
          </cell>
          <cell r="U29" t="str">
            <v>0.852022244973291</v>
          </cell>
        </row>
        <row r="30">
          <cell r="B30" t="str">
            <v>2011-133Y192008FACE</v>
          </cell>
          <cell r="C30" t="str">
            <v>2011-133</v>
          </cell>
          <cell r="D30" t="str">
            <v>Zhu</v>
          </cell>
          <cell r="E30" t="str">
            <v>China</v>
          </cell>
          <cell r="F30" t="str">
            <v>wheat</v>
          </cell>
          <cell r="G30" t="str">
            <v>Y19</v>
          </cell>
          <cell r="H30">
            <v>2008</v>
          </cell>
          <cell r="I30" t="str">
            <v>FACE</v>
          </cell>
          <cell r="J30" t="str">
            <v>field</v>
          </cell>
          <cell r="K30" t="str">
            <v>EO3</v>
          </cell>
          <cell r="L30">
            <v>17.272200000000002</v>
          </cell>
          <cell r="M30">
            <v>57.6</v>
          </cell>
          <cell r="N30">
            <v>7</v>
          </cell>
          <cell r="O30">
            <v>75</v>
          </cell>
          <cell r="P30">
            <v>3</v>
          </cell>
          <cell r="Q30">
            <v>17.272200000000002</v>
          </cell>
          <cell r="R30" t="str">
            <v>1000 grain weight</v>
          </cell>
          <cell r="S30">
            <v>29.3333333333333</v>
          </cell>
          <cell r="T30" t="str">
            <v>54.3205904853137</v>
          </cell>
          <cell r="U30" t="str">
            <v>0.604660948045561</v>
          </cell>
        </row>
        <row r="31">
          <cell r="B31" t="str">
            <v>2011-133Y22008FACE</v>
          </cell>
          <cell r="C31" t="str">
            <v>2011-133</v>
          </cell>
          <cell r="D31" t="str">
            <v>Zhu</v>
          </cell>
          <cell r="E31" t="str">
            <v>China</v>
          </cell>
          <cell r="F31" t="str">
            <v>wheat</v>
          </cell>
          <cell r="G31" t="str">
            <v>Y2</v>
          </cell>
          <cell r="H31">
            <v>2008</v>
          </cell>
          <cell r="I31" t="str">
            <v>FACE</v>
          </cell>
          <cell r="J31" t="str">
            <v>field</v>
          </cell>
          <cell r="K31" t="str">
            <v>NF</v>
          </cell>
          <cell r="L31">
            <v>8.4710000000000001</v>
          </cell>
          <cell r="M31">
            <v>46</v>
          </cell>
          <cell r="N31">
            <v>7</v>
          </cell>
          <cell r="O31">
            <v>75</v>
          </cell>
          <cell r="P31">
            <v>3</v>
          </cell>
          <cell r="Q31">
            <v>8.4710000000000001</v>
          </cell>
          <cell r="R31" t="str">
            <v>1000 grain weight</v>
          </cell>
          <cell r="S31">
            <v>43.6666666666667</v>
          </cell>
          <cell r="T31" t="str">
            <v>59.1149241805007</v>
          </cell>
          <cell r="U31" t="str">
            <v>0.827118794786651</v>
          </cell>
        </row>
        <row r="32">
          <cell r="B32" t="str">
            <v>2011-133Y22008FACE</v>
          </cell>
          <cell r="C32" t="str">
            <v>2011-133</v>
          </cell>
          <cell r="D32" t="str">
            <v>Zhu</v>
          </cell>
          <cell r="E32" t="str">
            <v>China</v>
          </cell>
          <cell r="F32" t="str">
            <v>wheat</v>
          </cell>
          <cell r="G32" t="str">
            <v>Y2</v>
          </cell>
          <cell r="H32">
            <v>2008</v>
          </cell>
          <cell r="I32" t="str">
            <v>FACE</v>
          </cell>
          <cell r="J32" t="str">
            <v>field</v>
          </cell>
          <cell r="K32" t="str">
            <v>EO3</v>
          </cell>
          <cell r="L32">
            <v>16.742999999999999</v>
          </cell>
          <cell r="M32">
            <v>57.6</v>
          </cell>
          <cell r="N32">
            <v>7</v>
          </cell>
          <cell r="O32">
            <v>75</v>
          </cell>
          <cell r="P32">
            <v>3</v>
          </cell>
          <cell r="Q32">
            <v>16.742999999999999</v>
          </cell>
          <cell r="R32" t="str">
            <v>1000 grain weight</v>
          </cell>
          <cell r="S32">
            <v>33.6666666666667</v>
          </cell>
          <cell r="T32" t="str">
            <v>59.1149241805007</v>
          </cell>
          <cell r="U32" t="str">
            <v>0.637702276896578</v>
          </cell>
        </row>
        <row r="33">
          <cell r="B33" t="str">
            <v>2011-133Y152009FACE</v>
          </cell>
          <cell r="C33" t="str">
            <v>2011-133</v>
          </cell>
          <cell r="D33" t="str">
            <v>Zhu</v>
          </cell>
          <cell r="E33" t="str">
            <v>China</v>
          </cell>
          <cell r="F33" t="str">
            <v>wheat</v>
          </cell>
          <cell r="G33" t="str">
            <v>Y15</v>
          </cell>
          <cell r="H33">
            <v>2009</v>
          </cell>
          <cell r="I33" t="str">
            <v>FACE</v>
          </cell>
          <cell r="J33" t="str">
            <v>field</v>
          </cell>
          <cell r="K33" t="str">
            <v>NF</v>
          </cell>
          <cell r="L33">
            <v>6.6849999999999996</v>
          </cell>
          <cell r="M33">
            <v>44.6</v>
          </cell>
          <cell r="N33">
            <v>7</v>
          </cell>
          <cell r="O33">
            <v>75</v>
          </cell>
          <cell r="P33">
            <v>3</v>
          </cell>
          <cell r="Q33">
            <v>6.6849999999999996</v>
          </cell>
          <cell r="R33" t="str">
            <v>1000 grain weight</v>
          </cell>
          <cell r="S33">
            <v>43.6666666666667</v>
          </cell>
          <cell r="T33" t="str">
            <v>59.9317910611025</v>
          </cell>
          <cell r="U33" t="str">
            <v>0.815845212972691</v>
          </cell>
        </row>
        <row r="34">
          <cell r="B34" t="str">
            <v>2011-133Y152009FACE</v>
          </cell>
          <cell r="C34" t="str">
            <v>2011-133</v>
          </cell>
          <cell r="D34" t="str">
            <v>Zhu</v>
          </cell>
          <cell r="E34" t="str">
            <v>China</v>
          </cell>
          <cell r="F34" t="str">
            <v>wheat</v>
          </cell>
          <cell r="G34" t="str">
            <v>Y15</v>
          </cell>
          <cell r="H34">
            <v>2009</v>
          </cell>
          <cell r="I34" t="str">
            <v>FACE</v>
          </cell>
          <cell r="J34" t="str">
            <v>field</v>
          </cell>
          <cell r="K34" t="str">
            <v>EO3</v>
          </cell>
          <cell r="L34">
            <v>14.805400000000001</v>
          </cell>
          <cell r="M34">
            <v>57.3</v>
          </cell>
          <cell r="N34">
            <v>7</v>
          </cell>
          <cell r="O34">
            <v>75</v>
          </cell>
          <cell r="P34">
            <v>3</v>
          </cell>
          <cell r="Q34">
            <v>14.805400000000001</v>
          </cell>
          <cell r="R34" t="str">
            <v>1000 grain weight</v>
          </cell>
          <cell r="S34">
            <v>37.3333333333333</v>
          </cell>
          <cell r="T34" t="str">
            <v>59.9317910611025</v>
          </cell>
          <cell r="U34" t="str">
            <v>0.697516517961383</v>
          </cell>
        </row>
        <row r="35">
          <cell r="B35" t="str">
            <v>2011-133Y162009FACE</v>
          </cell>
          <cell r="C35" t="str">
            <v>2011-133</v>
          </cell>
          <cell r="D35" t="str">
            <v>Zhu</v>
          </cell>
          <cell r="E35" t="str">
            <v>China</v>
          </cell>
          <cell r="F35" t="str">
            <v>wheat</v>
          </cell>
          <cell r="G35" t="str">
            <v>Y16</v>
          </cell>
          <cell r="H35">
            <v>2009</v>
          </cell>
          <cell r="I35" t="str">
            <v>FACE</v>
          </cell>
          <cell r="J35" t="str">
            <v>field</v>
          </cell>
          <cell r="K35" t="str">
            <v>NF</v>
          </cell>
          <cell r="L35">
            <v>6.9059999999999997</v>
          </cell>
          <cell r="M35">
            <v>44.6</v>
          </cell>
          <cell r="N35">
            <v>7</v>
          </cell>
          <cell r="O35">
            <v>75</v>
          </cell>
          <cell r="P35">
            <v>3</v>
          </cell>
          <cell r="Q35">
            <v>6.9059999999999997</v>
          </cell>
          <cell r="R35" t="str">
            <v>1000 grain weight</v>
          </cell>
          <cell r="S35">
            <v>42.6666666666667</v>
          </cell>
          <cell r="T35" t="str">
            <v>58.4998163987921</v>
          </cell>
          <cell r="U35" t="str">
            <v>0.816674879918184</v>
          </cell>
        </row>
        <row r="36">
          <cell r="B36" t="str">
            <v>2011-133Y162009FACE</v>
          </cell>
          <cell r="C36" t="str">
            <v>2011-133</v>
          </cell>
          <cell r="D36" t="str">
            <v>Zhu</v>
          </cell>
          <cell r="E36" t="str">
            <v>China</v>
          </cell>
          <cell r="F36" t="str">
            <v>wheat</v>
          </cell>
          <cell r="G36" t="str">
            <v>Y16</v>
          </cell>
          <cell r="H36">
            <v>2009</v>
          </cell>
          <cell r="I36" t="str">
            <v>FACE</v>
          </cell>
          <cell r="J36" t="str">
            <v>field</v>
          </cell>
          <cell r="K36" t="str">
            <v>EO3</v>
          </cell>
          <cell r="L36">
            <v>15.1297</v>
          </cell>
          <cell r="M36">
            <v>57.3</v>
          </cell>
          <cell r="N36">
            <v>7</v>
          </cell>
          <cell r="O36">
            <v>75</v>
          </cell>
          <cell r="P36">
            <v>3</v>
          </cell>
          <cell r="Q36">
            <v>15.1297</v>
          </cell>
          <cell r="R36" t="str">
            <v>1000 grain weight</v>
          </cell>
          <cell r="S36">
            <v>36</v>
          </cell>
          <cell r="T36" t="str">
            <v>58.4998163987921</v>
          </cell>
          <cell r="U36" t="str">
            <v>0.689069429930968</v>
          </cell>
        </row>
        <row r="37">
          <cell r="B37" t="str">
            <v>2011-133Y192009FACE</v>
          </cell>
          <cell r="C37" t="str">
            <v>2011-133</v>
          </cell>
          <cell r="D37" t="str">
            <v>Zhu</v>
          </cell>
          <cell r="E37" t="str">
            <v>China</v>
          </cell>
          <cell r="F37" t="str">
            <v>wheat</v>
          </cell>
          <cell r="G37" t="str">
            <v>Y19</v>
          </cell>
          <cell r="H37">
            <v>2009</v>
          </cell>
          <cell r="I37" t="str">
            <v>FACE</v>
          </cell>
          <cell r="J37" t="str">
            <v>field</v>
          </cell>
          <cell r="K37" t="str">
            <v>NF</v>
          </cell>
          <cell r="L37">
            <v>7.8869999999999996</v>
          </cell>
          <cell r="M37">
            <v>44.6</v>
          </cell>
          <cell r="N37">
            <v>7</v>
          </cell>
          <cell r="O37">
            <v>75</v>
          </cell>
          <cell r="P37">
            <v>3</v>
          </cell>
          <cell r="Q37">
            <v>7.8869999999999996</v>
          </cell>
          <cell r="R37" t="str">
            <v>1000 grain weight</v>
          </cell>
          <cell r="S37">
            <v>44.6666666666667</v>
          </cell>
          <cell r="T37" t="str">
            <v>59.864952655804</v>
          </cell>
          <cell r="U37" t="str">
            <v>0.835460431063944</v>
          </cell>
        </row>
        <row r="38">
          <cell r="B38" t="str">
            <v>2011-133Y192009FACE</v>
          </cell>
          <cell r="C38" t="str">
            <v>2011-133</v>
          </cell>
          <cell r="D38" t="str">
            <v>Zhu</v>
          </cell>
          <cell r="E38" t="str">
            <v>China</v>
          </cell>
          <cell r="F38" t="str">
            <v>wheat</v>
          </cell>
          <cell r="G38" t="str">
            <v>Y19</v>
          </cell>
          <cell r="H38">
            <v>2009</v>
          </cell>
          <cell r="I38" t="str">
            <v>FACE</v>
          </cell>
          <cell r="J38" t="str">
            <v>field</v>
          </cell>
          <cell r="K38" t="str">
            <v>EO3</v>
          </cell>
          <cell r="L38">
            <v>15.508699999999999</v>
          </cell>
          <cell r="M38">
            <v>57.3</v>
          </cell>
          <cell r="N38">
            <v>7</v>
          </cell>
          <cell r="O38">
            <v>75</v>
          </cell>
          <cell r="P38">
            <v>3</v>
          </cell>
          <cell r="Q38">
            <v>15.508699999999999</v>
          </cell>
          <cell r="R38" t="str">
            <v>1000 grain weight</v>
          </cell>
          <cell r="S38">
            <v>35</v>
          </cell>
          <cell r="T38" t="str">
            <v>59.864952655804</v>
          </cell>
          <cell r="U38" t="str">
            <v>0.654651830311299</v>
          </cell>
        </row>
        <row r="39">
          <cell r="B39" t="str">
            <v>2011-133Y22009FACE</v>
          </cell>
          <cell r="C39" t="str">
            <v>2011-133</v>
          </cell>
          <cell r="D39" t="str">
            <v>Zhu</v>
          </cell>
          <cell r="E39" t="str">
            <v>China</v>
          </cell>
          <cell r="F39" t="str">
            <v>wheat</v>
          </cell>
          <cell r="G39" t="str">
            <v>Y2</v>
          </cell>
          <cell r="H39">
            <v>2009</v>
          </cell>
          <cell r="I39" t="str">
            <v>FACE</v>
          </cell>
          <cell r="J39" t="str">
            <v>field</v>
          </cell>
          <cell r="K39" t="str">
            <v>NF</v>
          </cell>
          <cell r="L39">
            <v>6.9059999999999997</v>
          </cell>
          <cell r="M39">
            <v>44.6</v>
          </cell>
          <cell r="N39">
            <v>7</v>
          </cell>
          <cell r="O39">
            <v>75</v>
          </cell>
          <cell r="P39">
            <v>3</v>
          </cell>
          <cell r="Q39">
            <v>6.9059999999999997</v>
          </cell>
          <cell r="R39" t="str">
            <v>1000 grain weight</v>
          </cell>
          <cell r="S39">
            <v>45.6666666666667</v>
          </cell>
          <cell r="T39" t="str">
            <v>59.9585134280563</v>
          </cell>
          <cell r="U39" t="str">
            <v>0.852831908885751</v>
          </cell>
        </row>
        <row r="40">
          <cell r="B40" t="str">
            <v>2011-133Y22009FACE</v>
          </cell>
          <cell r="C40" t="str">
            <v>2011-133</v>
          </cell>
          <cell r="D40" t="str">
            <v>Zhu</v>
          </cell>
          <cell r="E40" t="str">
            <v>China</v>
          </cell>
          <cell r="F40" t="str">
            <v>wheat</v>
          </cell>
          <cell r="G40" t="str">
            <v>Y2</v>
          </cell>
          <cell r="H40">
            <v>2009</v>
          </cell>
          <cell r="I40" t="str">
            <v>FACE</v>
          </cell>
          <cell r="J40" t="str">
            <v>field</v>
          </cell>
          <cell r="K40" t="str">
            <v>EO3</v>
          </cell>
          <cell r="L40">
            <v>15.1297</v>
          </cell>
          <cell r="M40">
            <v>57.3</v>
          </cell>
          <cell r="N40">
            <v>7</v>
          </cell>
          <cell r="O40">
            <v>75</v>
          </cell>
          <cell r="P40">
            <v>3</v>
          </cell>
          <cell r="Q40">
            <v>15.1297</v>
          </cell>
          <cell r="R40" t="str">
            <v>1000 grain weight</v>
          </cell>
          <cell r="S40">
            <v>35.3333333333333</v>
          </cell>
          <cell r="T40" t="str">
            <v>59.9585134280563</v>
          </cell>
          <cell r="U40" t="str">
            <v>0.659855345561237</v>
          </cell>
        </row>
      </sheetData>
      <sheetData sheetId="2"/>
      <sheetData sheetId="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A1" t="str">
            <v>EXP_ID</v>
          </cell>
          <cell r="B1" t="str">
            <v>PDFnumber</v>
          </cell>
          <cell r="C1" t="str">
            <v>Author</v>
          </cell>
          <cell r="D1" t="str">
            <v>Area</v>
          </cell>
          <cell r="E1" t="str">
            <v>species</v>
          </cell>
          <cell r="F1" t="str">
            <v>cultivar/genotype</v>
          </cell>
          <cell r="G1" t="str">
            <v>exp.Year</v>
          </cell>
          <cell r="H1" t="str">
            <v>experimental facility</v>
          </cell>
          <cell r="I1" t="str">
            <v>rooting</v>
          </cell>
          <cell r="J1" t="str">
            <v>O3Trt</v>
          </cell>
          <cell r="K1" t="str">
            <v>AOT40</v>
          </cell>
          <cell r="L1" t="str">
            <v>O3 con</v>
          </cell>
          <cell r="M1" t="str">
            <v>O3 moniter hour</v>
          </cell>
          <cell r="N1" t="str">
            <v>AOT40 Days</v>
          </cell>
          <cell r="O1" t="str">
            <v>N</v>
          </cell>
          <cell r="P1" t="str">
            <v>AOT40_Adjusted</v>
          </cell>
          <cell r="Q1" t="str">
            <v>name</v>
          </cell>
          <cell r="R1" t="str">
            <v>value</v>
          </cell>
          <cell r="S1" t="str">
            <v>Y0</v>
          </cell>
          <cell r="T1" t="str">
            <v>RY</v>
          </cell>
          <cell r="U1" t="str">
            <v>RY.model</v>
          </cell>
        </row>
        <row r="2">
          <cell r="A2" t="str">
            <v>1985-119Albis1986OTC</v>
          </cell>
          <cell r="B2" t="str">
            <v>1985-119</v>
          </cell>
          <cell r="C2" t="str">
            <v>Fuhrer</v>
          </cell>
          <cell r="D2" t="str">
            <v>Europe</v>
          </cell>
          <cell r="E2" t="str">
            <v>wheat</v>
          </cell>
          <cell r="F2" t="str">
            <v>Albis</v>
          </cell>
          <cell r="G2">
            <v>1986</v>
          </cell>
          <cell r="H2" t="str">
            <v>OTC</v>
          </cell>
          <cell r="I2" t="str">
            <v>field</v>
          </cell>
          <cell r="J2" t="str">
            <v>CF</v>
          </cell>
          <cell r="K2"/>
          <cell r="L2">
            <v>20</v>
          </cell>
          <cell r="M2">
            <v>8</v>
          </cell>
          <cell r="N2">
            <v>72</v>
          </cell>
          <cell r="O2">
            <v>4</v>
          </cell>
          <cell r="P2">
            <v>0.13472763978990401</v>
          </cell>
          <cell r="Q2" t="str">
            <v>Total grain no.</v>
          </cell>
          <cell r="R2">
            <v>19820.895522388098</v>
          </cell>
          <cell r="S2" t="str">
            <v>19493.4561148079</v>
          </cell>
          <cell r="T2" t="str">
            <v>1.0167990064864</v>
          </cell>
          <cell r="U2">
            <v>0.99878905130576801</v>
          </cell>
        </row>
        <row r="3">
          <cell r="A3" t="str">
            <v>1985-119Albis1986OTC</v>
          </cell>
          <cell r="B3" t="str">
            <v>1985-119</v>
          </cell>
          <cell r="C3" t="str">
            <v>Fuhrer</v>
          </cell>
          <cell r="D3" t="str">
            <v>Europe</v>
          </cell>
          <cell r="E3" t="str">
            <v>wheat</v>
          </cell>
          <cell r="F3" t="str">
            <v>Albis</v>
          </cell>
          <cell r="G3">
            <v>1986</v>
          </cell>
          <cell r="H3" t="str">
            <v>OTC</v>
          </cell>
          <cell r="I3" t="str">
            <v>field</v>
          </cell>
          <cell r="J3" t="str">
            <v>NF</v>
          </cell>
          <cell r="K3"/>
          <cell r="L3">
            <v>35</v>
          </cell>
          <cell r="M3">
            <v>8</v>
          </cell>
          <cell r="N3">
            <v>72</v>
          </cell>
          <cell r="O3">
            <v>4</v>
          </cell>
          <cell r="P3">
            <v>2.7820454495208602</v>
          </cell>
          <cell r="Q3" t="str">
            <v>Total grain no.</v>
          </cell>
          <cell r="R3">
            <v>19902.280130293198</v>
          </cell>
          <cell r="S3" t="str">
            <v>19493.4561148079</v>
          </cell>
          <cell r="T3" t="str">
            <v>1.02097398376569</v>
          </cell>
          <cell r="U3">
            <v>0.97499463131992603</v>
          </cell>
        </row>
        <row r="4">
          <cell r="A4" t="str">
            <v>1985-119Albis1986OTC</v>
          </cell>
          <cell r="B4" t="str">
            <v>1985-119</v>
          </cell>
          <cell r="C4" t="str">
            <v>Fuhrer</v>
          </cell>
          <cell r="D4" t="str">
            <v>Europe</v>
          </cell>
          <cell r="E4" t="str">
            <v>wheat</v>
          </cell>
          <cell r="F4" t="str">
            <v>Albis</v>
          </cell>
          <cell r="G4">
            <v>1986</v>
          </cell>
          <cell r="H4" t="str">
            <v>OTC</v>
          </cell>
          <cell r="I4" t="str">
            <v>field</v>
          </cell>
          <cell r="J4" t="str">
            <v>EO3-2</v>
          </cell>
          <cell r="K4"/>
          <cell r="L4">
            <v>103</v>
          </cell>
          <cell r="M4">
            <v>8</v>
          </cell>
          <cell r="N4">
            <v>72</v>
          </cell>
          <cell r="O4">
            <v>4</v>
          </cell>
          <cell r="P4">
            <v>34.528958228277801</v>
          </cell>
          <cell r="Q4" t="str">
            <v>Total grain no.</v>
          </cell>
          <cell r="R4">
            <v>12610.837438423599</v>
          </cell>
          <cell r="S4" t="str">
            <v>19493.4561148079</v>
          </cell>
          <cell r="T4" t="str">
            <v>0.646927731588475</v>
          </cell>
          <cell r="U4">
            <v>0.68964945176051295</v>
          </cell>
        </row>
        <row r="5">
          <cell r="A5" t="str">
            <v>1985-119Albis1987OTC</v>
          </cell>
          <cell r="B5" t="str">
            <v>1985-119</v>
          </cell>
          <cell r="C5" t="str">
            <v>Fuhrer</v>
          </cell>
          <cell r="D5" t="str">
            <v>Europe</v>
          </cell>
          <cell r="E5" t="str">
            <v>wheat</v>
          </cell>
          <cell r="F5" t="str">
            <v>Albis</v>
          </cell>
          <cell r="G5">
            <v>1987</v>
          </cell>
          <cell r="H5" t="str">
            <v>OTC</v>
          </cell>
          <cell r="I5" t="str">
            <v>field</v>
          </cell>
          <cell r="J5" t="str">
            <v>CF</v>
          </cell>
          <cell r="K5"/>
          <cell r="L5">
            <v>16</v>
          </cell>
          <cell r="M5">
            <v>8</v>
          </cell>
          <cell r="N5">
            <v>90</v>
          </cell>
          <cell r="O5">
            <v>4</v>
          </cell>
          <cell r="P5">
            <v>0</v>
          </cell>
          <cell r="Q5" t="str">
            <v>Total grain no.</v>
          </cell>
          <cell r="R5">
            <v>18308.605341246301</v>
          </cell>
          <cell r="S5" t="str">
            <v>18382.5549745691</v>
          </cell>
          <cell r="T5" t="str">
            <v>0.995978756353232</v>
          </cell>
          <cell r="U5">
            <v>1</v>
          </cell>
        </row>
        <row r="6">
          <cell r="A6" t="str">
            <v>1985-119Albis1987OTC</v>
          </cell>
          <cell r="B6" t="str">
            <v>1985-119</v>
          </cell>
          <cell r="C6" t="str">
            <v>Fuhrer</v>
          </cell>
          <cell r="D6" t="str">
            <v>Europe</v>
          </cell>
          <cell r="E6" t="str">
            <v>wheat</v>
          </cell>
          <cell r="F6" t="str">
            <v>Albis</v>
          </cell>
          <cell r="G6">
            <v>1987</v>
          </cell>
          <cell r="H6" t="str">
            <v>OTC</v>
          </cell>
          <cell r="I6" t="str">
            <v>field</v>
          </cell>
          <cell r="J6" t="str">
            <v>NF</v>
          </cell>
          <cell r="K6"/>
          <cell r="L6">
            <v>33</v>
          </cell>
          <cell r="M6">
            <v>8</v>
          </cell>
          <cell r="N6">
            <v>90</v>
          </cell>
          <cell r="O6">
            <v>4</v>
          </cell>
          <cell r="P6">
            <v>2.0812598193567</v>
          </cell>
          <cell r="Q6" t="str">
            <v>Total grain no.</v>
          </cell>
          <cell r="R6">
            <v>17258.566978193099</v>
          </cell>
          <cell r="S6" t="str">
            <v>18382.5549745691</v>
          </cell>
          <cell r="T6" t="str">
            <v>0.938857207034519</v>
          </cell>
          <cell r="U6">
            <v>0.98129337926121896</v>
          </cell>
        </row>
        <row r="7">
          <cell r="A7" t="str">
            <v>1985-119Albis1987OTC</v>
          </cell>
          <cell r="B7" t="str">
            <v>1985-119</v>
          </cell>
          <cell r="C7" t="str">
            <v>Fuhrer</v>
          </cell>
          <cell r="D7" t="str">
            <v>Europe</v>
          </cell>
          <cell r="E7" t="str">
            <v>wheat</v>
          </cell>
          <cell r="F7" t="str">
            <v>Albis</v>
          </cell>
          <cell r="G7">
            <v>1987</v>
          </cell>
          <cell r="H7" t="str">
            <v>OTC</v>
          </cell>
          <cell r="I7" t="str">
            <v>field</v>
          </cell>
          <cell r="J7" t="str">
            <v>EO3-1</v>
          </cell>
          <cell r="K7"/>
          <cell r="L7">
            <v>65</v>
          </cell>
          <cell r="M7">
            <v>8</v>
          </cell>
          <cell r="N7">
            <v>90</v>
          </cell>
          <cell r="O7">
            <v>4</v>
          </cell>
          <cell r="P7">
            <v>17.275867995722599</v>
          </cell>
          <cell r="Q7" t="str">
            <v>Total grain no.</v>
          </cell>
          <cell r="R7">
            <v>15884.773662551401</v>
          </cell>
          <cell r="S7" t="str">
            <v>18382.5549745691</v>
          </cell>
          <cell r="T7" t="str">
            <v>0.864123554061142</v>
          </cell>
          <cell r="U7">
            <v>0.844722361188882</v>
          </cell>
        </row>
        <row r="8">
          <cell r="A8" t="str">
            <v>1985-119Albis1987OTC</v>
          </cell>
          <cell r="B8" t="str">
            <v>1985-119</v>
          </cell>
          <cell r="C8" t="str">
            <v>Fuhrer</v>
          </cell>
          <cell r="D8" t="str">
            <v>Europe</v>
          </cell>
          <cell r="E8" t="str">
            <v>wheat</v>
          </cell>
          <cell r="F8" t="str">
            <v>Albis</v>
          </cell>
          <cell r="G8">
            <v>1987</v>
          </cell>
          <cell r="H8" t="str">
            <v>OTC</v>
          </cell>
          <cell r="I8" t="str">
            <v>field</v>
          </cell>
          <cell r="J8" t="str">
            <v>EO3-2</v>
          </cell>
          <cell r="K8"/>
          <cell r="L8">
            <v>95</v>
          </cell>
          <cell r="M8">
            <v>8</v>
          </cell>
          <cell r="N8">
            <v>90</v>
          </cell>
          <cell r="O8">
            <v>4</v>
          </cell>
          <cell r="P8">
            <v>37.769273886058301</v>
          </cell>
          <cell r="Q8" t="str">
            <v>Total grain no.</v>
          </cell>
          <cell r="R8">
            <v>12456.1403508772</v>
          </cell>
          <cell r="S8" t="str">
            <v>18382.5549745691</v>
          </cell>
          <cell r="T8" t="str">
            <v>0.67760765740464</v>
          </cell>
          <cell r="U8">
            <v>0.66052509376500501</v>
          </cell>
        </row>
        <row r="9">
          <cell r="A9" t="str">
            <v>1985-119Albis1988OTC</v>
          </cell>
          <cell r="B9" t="str">
            <v>1985-119</v>
          </cell>
          <cell r="C9" t="str">
            <v>Fuhrer</v>
          </cell>
          <cell r="D9" t="str">
            <v>Europe</v>
          </cell>
          <cell r="E9" t="str">
            <v>wheat</v>
          </cell>
          <cell r="F9" t="str">
            <v>Albis</v>
          </cell>
          <cell r="G9">
            <v>1988</v>
          </cell>
          <cell r="H9" t="str">
            <v>OTC</v>
          </cell>
          <cell r="I9" t="str">
            <v>field</v>
          </cell>
          <cell r="J9" t="str">
            <v>CF</v>
          </cell>
          <cell r="K9"/>
          <cell r="L9">
            <v>22</v>
          </cell>
          <cell r="M9">
            <v>8</v>
          </cell>
          <cell r="N9">
            <v>81</v>
          </cell>
          <cell r="O9">
            <v>4</v>
          </cell>
          <cell r="P9">
            <v>0.16916951417220799</v>
          </cell>
          <cell r="Q9" t="str">
            <v>Total grain no.</v>
          </cell>
          <cell r="R9">
            <v>18504.155124653698</v>
          </cell>
          <cell r="S9" t="str">
            <v>17514.6769775371</v>
          </cell>
          <cell r="T9" t="str">
            <v>1.05649589529909</v>
          </cell>
          <cell r="U9">
            <v>0.99847948347785098</v>
          </cell>
        </row>
        <row r="10">
          <cell r="A10" t="str">
            <v>1985-119Albis1988OTC</v>
          </cell>
          <cell r="B10" t="str">
            <v>1985-119</v>
          </cell>
          <cell r="C10" t="str">
            <v>Fuhrer</v>
          </cell>
          <cell r="D10" t="str">
            <v>Europe</v>
          </cell>
          <cell r="E10" t="str">
            <v>wheat</v>
          </cell>
          <cell r="F10" t="str">
            <v>Albis</v>
          </cell>
          <cell r="G10">
            <v>1988</v>
          </cell>
          <cell r="H10" t="str">
            <v>OTC</v>
          </cell>
          <cell r="I10" t="str">
            <v>field</v>
          </cell>
          <cell r="J10" t="str">
            <v>NF</v>
          </cell>
          <cell r="K10"/>
          <cell r="L10">
            <v>35</v>
          </cell>
          <cell r="M10">
            <v>8</v>
          </cell>
          <cell r="N10">
            <v>81</v>
          </cell>
          <cell r="O10">
            <v>4</v>
          </cell>
          <cell r="P10">
            <v>2.7820454495208602</v>
          </cell>
          <cell r="Q10" t="str">
            <v>Total grain no.</v>
          </cell>
          <cell r="R10">
            <v>17114.845938375402</v>
          </cell>
          <cell r="S10" t="str">
            <v>17514.6769775371</v>
          </cell>
          <cell r="T10" t="str">
            <v>0.977173200330497</v>
          </cell>
          <cell r="U10">
            <v>0.97499463131992603</v>
          </cell>
        </row>
        <row r="11">
          <cell r="A11" t="str">
            <v>1985-119Albis1988OTC</v>
          </cell>
          <cell r="B11" t="str">
            <v>1985-119</v>
          </cell>
          <cell r="C11" t="str">
            <v>Fuhrer</v>
          </cell>
          <cell r="D11" t="str">
            <v>Europe</v>
          </cell>
          <cell r="E11" t="str">
            <v>wheat</v>
          </cell>
          <cell r="F11" t="str">
            <v>Albis</v>
          </cell>
          <cell r="G11">
            <v>1988</v>
          </cell>
          <cell r="H11" t="str">
            <v>OTC</v>
          </cell>
          <cell r="I11" t="str">
            <v>field</v>
          </cell>
          <cell r="J11" t="str">
            <v>EO3-1</v>
          </cell>
          <cell r="K11"/>
          <cell r="L11">
            <v>63</v>
          </cell>
          <cell r="M11">
            <v>8</v>
          </cell>
          <cell r="N11">
            <v>81</v>
          </cell>
          <cell r="O11">
            <v>4</v>
          </cell>
          <cell r="P11">
            <v>14.829808857695401</v>
          </cell>
          <cell r="Q11" t="str">
            <v>Total grain no.</v>
          </cell>
          <cell r="R11">
            <v>16702.8985507246</v>
          </cell>
          <cell r="S11" t="str">
            <v>17514.6769775371</v>
          </cell>
          <cell r="T11" t="str">
            <v>0.953653038442517</v>
          </cell>
          <cell r="U11">
            <v>0.86670784333126905</v>
          </cell>
        </row>
        <row r="12">
          <cell r="A12" t="str">
            <v>1985-119Albis1988OTC</v>
          </cell>
          <cell r="B12" t="str">
            <v>1985-119</v>
          </cell>
          <cell r="C12" t="str">
            <v>Fuhrer</v>
          </cell>
          <cell r="D12" t="str">
            <v>Europe</v>
          </cell>
          <cell r="E12" t="str">
            <v>wheat</v>
          </cell>
          <cell r="F12" t="str">
            <v>Albis</v>
          </cell>
          <cell r="G12">
            <v>1988</v>
          </cell>
          <cell r="H12" t="str">
            <v>OTC</v>
          </cell>
          <cell r="I12" t="str">
            <v>field</v>
          </cell>
          <cell r="J12" t="str">
            <v>EO3-2</v>
          </cell>
          <cell r="K12"/>
          <cell r="L12">
            <v>89</v>
          </cell>
          <cell r="M12">
            <v>8</v>
          </cell>
          <cell r="N12">
            <v>81</v>
          </cell>
          <cell r="O12">
            <v>4</v>
          </cell>
          <cell r="P12">
            <v>30.493562298089302</v>
          </cell>
          <cell r="Q12" t="str">
            <v>Total grain no.</v>
          </cell>
          <cell r="R12">
            <v>10896.226415094299</v>
          </cell>
          <cell r="S12" t="str">
            <v>17514.6769775371</v>
          </cell>
          <cell r="T12" t="str">
            <v>0.62212072933063</v>
          </cell>
          <cell r="U12">
            <v>0.72592008960621801</v>
          </cell>
        </row>
        <row r="13">
          <cell r="A13" t="str">
            <v>1991-89Drabant1987OTC</v>
          </cell>
          <cell r="B13" t="str">
            <v>1991-89</v>
          </cell>
          <cell r="C13" t="str">
            <v>Pleijel</v>
          </cell>
          <cell r="D13" t="str">
            <v>Europe</v>
          </cell>
          <cell r="E13" t="str">
            <v>wheat</v>
          </cell>
          <cell r="F13" t="str">
            <v>Drabant</v>
          </cell>
          <cell r="G13">
            <v>1987</v>
          </cell>
          <cell r="H13" t="str">
            <v>OTC</v>
          </cell>
          <cell r="I13" t="str">
            <v>field</v>
          </cell>
          <cell r="J13" t="str">
            <v>CF</v>
          </cell>
          <cell r="K13"/>
          <cell r="L13">
            <v>3</v>
          </cell>
          <cell r="M13">
            <v>7</v>
          </cell>
          <cell r="N13">
            <v>62</v>
          </cell>
          <cell r="O13">
            <v>7</v>
          </cell>
          <cell r="P13">
            <v>0</v>
          </cell>
          <cell r="Q13" t="str">
            <v>Total grain no.</v>
          </cell>
          <cell r="R13">
            <v>10846.1538461538</v>
          </cell>
          <cell r="S13" t="str">
            <v>10979.9004350633</v>
          </cell>
          <cell r="T13" t="str">
            <v>0.987820520907209</v>
          </cell>
          <cell r="U13">
            <v>1</v>
          </cell>
        </row>
        <row r="14">
          <cell r="A14" t="str">
            <v>1991-89Drabant1987OTC</v>
          </cell>
          <cell r="B14" t="str">
            <v>1991-89</v>
          </cell>
          <cell r="C14" t="str">
            <v>Pleijel</v>
          </cell>
          <cell r="D14" t="str">
            <v>Europe</v>
          </cell>
          <cell r="E14" t="str">
            <v>wheat</v>
          </cell>
          <cell r="F14" t="str">
            <v>Drabant</v>
          </cell>
          <cell r="G14">
            <v>1987</v>
          </cell>
          <cell r="H14" t="str">
            <v>OTC</v>
          </cell>
          <cell r="I14" t="str">
            <v>field</v>
          </cell>
          <cell r="J14" t="str">
            <v>NF</v>
          </cell>
          <cell r="K14"/>
          <cell r="L14">
            <v>15</v>
          </cell>
          <cell r="M14">
            <v>7</v>
          </cell>
          <cell r="N14">
            <v>62</v>
          </cell>
          <cell r="O14">
            <v>7</v>
          </cell>
          <cell r="P14">
            <v>0</v>
          </cell>
          <cell r="Q14" t="str">
            <v>Total grain no.</v>
          </cell>
          <cell r="R14">
            <v>10760.869565217399</v>
          </cell>
          <cell r="S14" t="str">
            <v>10979.9004350633</v>
          </cell>
          <cell r="T14" t="str">
            <v>0.980053199512472</v>
          </cell>
          <cell r="U14">
            <v>1</v>
          </cell>
        </row>
        <row r="15">
          <cell r="A15" t="str">
            <v>1991-89Drabant1987OTC</v>
          </cell>
          <cell r="B15" t="str">
            <v>1991-89</v>
          </cell>
          <cell r="C15" t="str">
            <v>Pleijel</v>
          </cell>
          <cell r="D15" t="str">
            <v>Europe</v>
          </cell>
          <cell r="E15" t="str">
            <v>wheat</v>
          </cell>
          <cell r="F15" t="str">
            <v>Drabant</v>
          </cell>
          <cell r="G15">
            <v>1987</v>
          </cell>
          <cell r="H15" t="str">
            <v>OTC</v>
          </cell>
          <cell r="I15" t="str">
            <v>field</v>
          </cell>
          <cell r="J15" t="str">
            <v>EO3</v>
          </cell>
          <cell r="K15"/>
          <cell r="L15">
            <v>42</v>
          </cell>
          <cell r="M15">
            <v>7</v>
          </cell>
          <cell r="N15">
            <v>62</v>
          </cell>
          <cell r="O15">
            <v>7</v>
          </cell>
          <cell r="P15">
            <v>0.52157833216543703</v>
          </cell>
          <cell r="Q15" t="str">
            <v>Total grain no.</v>
          </cell>
          <cell r="R15">
            <v>11288.3435582822</v>
          </cell>
          <cell r="S15" t="str">
            <v>10979.9004350633</v>
          </cell>
          <cell r="T15" t="str">
            <v>1.02809323674457</v>
          </cell>
          <cell r="U15">
            <v>0.99531198942355803</v>
          </cell>
        </row>
        <row r="16">
          <cell r="A16" t="str">
            <v>1991-89Drabant1988OTC</v>
          </cell>
          <cell r="B16" t="str">
            <v>1991-89</v>
          </cell>
          <cell r="C16" t="str">
            <v>Pleijel</v>
          </cell>
          <cell r="D16" t="str">
            <v>Europe</v>
          </cell>
          <cell r="E16" t="str">
            <v>wheat</v>
          </cell>
          <cell r="F16" t="str">
            <v>Drabant</v>
          </cell>
          <cell r="G16">
            <v>1988</v>
          </cell>
          <cell r="H16" t="str">
            <v>OTC</v>
          </cell>
          <cell r="I16" t="str">
            <v>field</v>
          </cell>
          <cell r="J16" t="str">
            <v>CF</v>
          </cell>
          <cell r="K16"/>
          <cell r="L16">
            <v>6</v>
          </cell>
          <cell r="M16">
            <v>7</v>
          </cell>
          <cell r="N16">
            <v>56</v>
          </cell>
          <cell r="O16">
            <v>5</v>
          </cell>
          <cell r="P16">
            <v>0</v>
          </cell>
          <cell r="Q16" t="str">
            <v>Total grain no.</v>
          </cell>
          <cell r="R16">
            <v>14927.1844660194</v>
          </cell>
          <cell r="S16" t="str">
            <v>14821.8481340982</v>
          </cell>
          <cell r="T16" t="str">
            <v>1.007108418206</v>
          </cell>
          <cell r="U16">
            <v>1</v>
          </cell>
        </row>
        <row r="17">
          <cell r="A17" t="str">
            <v>1991-89Drabant1988OTC</v>
          </cell>
          <cell r="B17" t="str">
            <v>1991-89</v>
          </cell>
          <cell r="C17" t="str">
            <v>Pleijel</v>
          </cell>
          <cell r="D17" t="str">
            <v>Europe</v>
          </cell>
          <cell r="E17" t="str">
            <v>wheat</v>
          </cell>
          <cell r="F17" t="str">
            <v>Drabant</v>
          </cell>
          <cell r="G17">
            <v>1988</v>
          </cell>
          <cell r="H17" t="str">
            <v>OTC</v>
          </cell>
          <cell r="I17" t="str">
            <v>field</v>
          </cell>
          <cell r="J17" t="str">
            <v>NF</v>
          </cell>
          <cell r="K17"/>
          <cell r="L17">
            <v>22</v>
          </cell>
          <cell r="M17">
            <v>7</v>
          </cell>
          <cell r="N17">
            <v>56</v>
          </cell>
          <cell r="O17">
            <v>5</v>
          </cell>
          <cell r="P17">
            <v>2.6422220032823501E-2</v>
          </cell>
          <cell r="Q17" t="str">
            <v>Total grain no.</v>
          </cell>
          <cell r="R17">
            <v>14570.7070707071</v>
          </cell>
          <cell r="S17" t="str">
            <v>14821.8481340982</v>
          </cell>
          <cell r="T17" t="str">
            <v>0.983057574154567</v>
          </cell>
          <cell r="U17">
            <v>0.99976251381752601</v>
          </cell>
        </row>
        <row r="18">
          <cell r="A18" t="str">
            <v>1991-89Drabant1988OTC</v>
          </cell>
          <cell r="B18" t="str">
            <v>1991-89</v>
          </cell>
          <cell r="C18" t="str">
            <v>Pleijel</v>
          </cell>
          <cell r="D18" t="str">
            <v>Europe</v>
          </cell>
          <cell r="E18" t="str">
            <v>wheat</v>
          </cell>
          <cell r="F18" t="str">
            <v>Drabant</v>
          </cell>
          <cell r="G18">
            <v>1988</v>
          </cell>
          <cell r="H18" t="str">
            <v>OTC</v>
          </cell>
          <cell r="I18" t="str">
            <v>field</v>
          </cell>
          <cell r="J18" t="str">
            <v>EO3-1</v>
          </cell>
          <cell r="K18"/>
          <cell r="L18">
            <v>44</v>
          </cell>
          <cell r="M18">
            <v>7</v>
          </cell>
          <cell r="N18">
            <v>56</v>
          </cell>
          <cell r="O18">
            <v>5</v>
          </cell>
          <cell r="P18">
            <v>1.28822803845163</v>
          </cell>
          <cell r="Q18" t="str">
            <v>Total grain no.</v>
          </cell>
          <cell r="R18">
            <v>14343.163538874</v>
          </cell>
          <cell r="S18" t="str">
            <v>14821.8481340982</v>
          </cell>
          <cell r="T18" t="str">
            <v>0.967705649822214</v>
          </cell>
          <cell r="U18">
            <v>0.98842124701762002</v>
          </cell>
        </row>
        <row r="19">
          <cell r="A19" t="str">
            <v>1991-89Drabant1988OTC</v>
          </cell>
          <cell r="B19" t="str">
            <v>1991-89</v>
          </cell>
          <cell r="C19" t="str">
            <v>Pleijel</v>
          </cell>
          <cell r="D19" t="str">
            <v>Europe</v>
          </cell>
          <cell r="E19" t="str">
            <v>wheat</v>
          </cell>
          <cell r="F19" t="str">
            <v>Drabant</v>
          </cell>
          <cell r="G19">
            <v>1988</v>
          </cell>
          <cell r="H19" t="str">
            <v>OTC</v>
          </cell>
          <cell r="I19" t="str">
            <v>field</v>
          </cell>
          <cell r="J19" t="str">
            <v>EO3-2</v>
          </cell>
          <cell r="K19"/>
          <cell r="L19">
            <v>56</v>
          </cell>
          <cell r="M19">
            <v>7</v>
          </cell>
          <cell r="N19">
            <v>56</v>
          </cell>
          <cell r="O19">
            <v>5</v>
          </cell>
          <cell r="P19">
            <v>2.5792630900391802</v>
          </cell>
          <cell r="Q19" t="str">
            <v>Total grain no.</v>
          </cell>
          <cell r="R19">
            <v>14933.333333333299</v>
          </cell>
          <cell r="S19" t="str">
            <v>14821.8481340982</v>
          </cell>
          <cell r="T19" t="str">
            <v>1.00752327045415</v>
          </cell>
          <cell r="U19">
            <v>0.97681726425407001</v>
          </cell>
        </row>
        <row r="20">
          <cell r="A20" t="str">
            <v>1992-37Albis1989OTC</v>
          </cell>
          <cell r="B20" t="str">
            <v>1992-37</v>
          </cell>
          <cell r="C20" t="str">
            <v>Fuhrer</v>
          </cell>
          <cell r="D20" t="str">
            <v>Europe</v>
          </cell>
          <cell r="E20" t="str">
            <v>wheat</v>
          </cell>
          <cell r="F20" t="str">
            <v>Albis</v>
          </cell>
          <cell r="G20">
            <v>1989</v>
          </cell>
          <cell r="H20" t="str">
            <v>OTC</v>
          </cell>
          <cell r="I20" t="str">
            <v>field</v>
          </cell>
          <cell r="J20" t="str">
            <v>CF</v>
          </cell>
          <cell r="K20"/>
          <cell r="L20">
            <v>20.000549761468498</v>
          </cell>
          <cell r="M20">
            <v>7</v>
          </cell>
          <cell r="N20">
            <v>91</v>
          </cell>
          <cell r="O20">
            <v>3</v>
          </cell>
          <cell r="P20">
            <v>0</v>
          </cell>
          <cell r="Q20" t="str">
            <v>Total grain no.</v>
          </cell>
          <cell r="R20">
            <v>17533.156498673699</v>
          </cell>
          <cell r="S20" t="str">
            <v>17758.779325614</v>
          </cell>
          <cell r="T20" t="str">
            <v>0.98729669725811</v>
          </cell>
          <cell r="U20">
            <v>1</v>
          </cell>
        </row>
        <row r="21">
          <cell r="A21" t="str">
            <v>1992-37Albis1989OTC</v>
          </cell>
          <cell r="B21" t="str">
            <v>1992-37</v>
          </cell>
          <cell r="C21" t="str">
            <v>Fuhrer</v>
          </cell>
          <cell r="D21" t="str">
            <v>Europe</v>
          </cell>
          <cell r="E21" t="str">
            <v>wheat</v>
          </cell>
          <cell r="F21" t="str">
            <v>Albis</v>
          </cell>
          <cell r="G21">
            <v>1989</v>
          </cell>
          <cell r="H21" t="str">
            <v>OTC</v>
          </cell>
          <cell r="I21" t="str">
            <v>field</v>
          </cell>
          <cell r="J21" t="str">
            <v>NF</v>
          </cell>
          <cell r="K21"/>
          <cell r="L21">
            <v>38.889957869522</v>
          </cell>
          <cell r="M21">
            <v>7</v>
          </cell>
          <cell r="N21">
            <v>91</v>
          </cell>
          <cell r="O21">
            <v>3</v>
          </cell>
          <cell r="P21">
            <v>4.6083782087559699</v>
          </cell>
          <cell r="Q21" t="str">
            <v>Total grain no.</v>
          </cell>
          <cell r="R21">
            <v>16406.25</v>
          </cell>
          <cell r="S21" t="str">
            <v>17758.779325614</v>
          </cell>
          <cell r="T21" t="str">
            <v>0.923840293139237</v>
          </cell>
          <cell r="U21">
            <v>0.95857932653621902</v>
          </cell>
        </row>
        <row r="22">
          <cell r="A22" t="str">
            <v>1992-37Albis1989OTC</v>
          </cell>
          <cell r="B22" t="str">
            <v>1992-37</v>
          </cell>
          <cell r="C22" t="str">
            <v>Fuhrer</v>
          </cell>
          <cell r="D22" t="str">
            <v>Europe</v>
          </cell>
          <cell r="E22" t="str">
            <v>wheat</v>
          </cell>
          <cell r="F22" t="str">
            <v>Albis</v>
          </cell>
          <cell r="G22">
            <v>1989</v>
          </cell>
          <cell r="H22" t="str">
            <v>OTC</v>
          </cell>
          <cell r="I22" t="str">
            <v>field</v>
          </cell>
          <cell r="J22" t="str">
            <v>EO3-1</v>
          </cell>
          <cell r="K22"/>
          <cell r="L22">
            <v>53.890370190623301</v>
          </cell>
          <cell r="M22">
            <v>7</v>
          </cell>
          <cell r="N22">
            <v>91</v>
          </cell>
          <cell r="O22">
            <v>3</v>
          </cell>
          <cell r="P22">
            <v>11.012574761161099</v>
          </cell>
          <cell r="Q22" t="str">
            <v>Total grain no.</v>
          </cell>
          <cell r="R22">
            <v>15764.705882352901</v>
          </cell>
          <cell r="S22" t="str">
            <v>17758.779325614</v>
          </cell>
          <cell r="T22" t="str">
            <v>0.887714773553176</v>
          </cell>
          <cell r="U22">
            <v>0.90101761563434002</v>
          </cell>
        </row>
        <row r="23">
          <cell r="A23" t="str">
            <v>1992-37Albis1989OTC</v>
          </cell>
          <cell r="B23" t="str">
            <v>1992-37</v>
          </cell>
          <cell r="C23" t="str">
            <v>Fuhrer</v>
          </cell>
          <cell r="D23" t="str">
            <v>Europe</v>
          </cell>
          <cell r="E23" t="str">
            <v>wheat</v>
          </cell>
          <cell r="F23" t="str">
            <v>Albis</v>
          </cell>
          <cell r="G23">
            <v>1989</v>
          </cell>
          <cell r="H23" t="str">
            <v>OTC</v>
          </cell>
          <cell r="I23" t="str">
            <v>field</v>
          </cell>
          <cell r="J23" t="str">
            <v>EO3-2</v>
          </cell>
          <cell r="K23"/>
          <cell r="L23">
            <v>67.779640858309804</v>
          </cell>
          <cell r="M23">
            <v>7</v>
          </cell>
          <cell r="N23">
            <v>91</v>
          </cell>
          <cell r="O23">
            <v>3</v>
          </cell>
          <cell r="P23">
            <v>18.596503033997301</v>
          </cell>
          <cell r="Q23" t="str">
            <v>Total grain no.</v>
          </cell>
          <cell r="R23">
            <v>15777.027027026999</v>
          </cell>
          <cell r="S23" t="str">
            <v>17758.779325614</v>
          </cell>
          <cell r="T23" t="str">
            <v>0.888408580480872</v>
          </cell>
          <cell r="U23">
            <v>0.83285233008513204</v>
          </cell>
        </row>
        <row r="24">
          <cell r="A24" t="str">
            <v>1992-37Albis1990OTC</v>
          </cell>
          <cell r="B24" t="str">
            <v>1992-37</v>
          </cell>
          <cell r="C24" t="str">
            <v>Fuhrer</v>
          </cell>
          <cell r="D24" t="str">
            <v>Europe</v>
          </cell>
          <cell r="E24" t="str">
            <v>wheat</v>
          </cell>
          <cell r="F24" t="str">
            <v>Albis</v>
          </cell>
          <cell r="G24">
            <v>1990</v>
          </cell>
          <cell r="H24" t="str">
            <v>OTC</v>
          </cell>
          <cell r="I24" t="str">
            <v>field</v>
          </cell>
          <cell r="J24" t="str">
            <v>CF</v>
          </cell>
          <cell r="K24"/>
          <cell r="L24">
            <v>18.818200606618099</v>
          </cell>
          <cell r="M24">
            <v>7</v>
          </cell>
          <cell r="N24">
            <v>88</v>
          </cell>
          <cell r="O24">
            <v>3</v>
          </cell>
          <cell r="P24">
            <v>0</v>
          </cell>
          <cell r="Q24" t="str">
            <v>Total grain no.</v>
          </cell>
          <cell r="R24">
            <v>18900.2557544757</v>
          </cell>
          <cell r="S24" t="str">
            <v>19695.3819114856</v>
          </cell>
          <cell r="T24" t="str">
            <v>0.959630317111003</v>
          </cell>
          <cell r="U24">
            <v>1</v>
          </cell>
        </row>
        <row r="25">
          <cell r="A25" t="str">
            <v>1992-37Albis1990OTC</v>
          </cell>
          <cell r="B25" t="str">
            <v>1992-37</v>
          </cell>
          <cell r="C25" t="str">
            <v>Fuhrer</v>
          </cell>
          <cell r="D25" t="str">
            <v>Europe</v>
          </cell>
          <cell r="E25" t="str">
            <v>wheat</v>
          </cell>
          <cell r="F25" t="str">
            <v>Albis</v>
          </cell>
          <cell r="G25">
            <v>1990</v>
          </cell>
          <cell r="H25" t="str">
            <v>OTC</v>
          </cell>
          <cell r="I25" t="str">
            <v>field</v>
          </cell>
          <cell r="J25" t="str">
            <v>NF</v>
          </cell>
          <cell r="K25"/>
          <cell r="L25">
            <v>42.064213120675802</v>
          </cell>
          <cell r="M25">
            <v>7</v>
          </cell>
          <cell r="N25">
            <v>88</v>
          </cell>
          <cell r="O25">
            <v>3</v>
          </cell>
          <cell r="P25">
            <v>6.5846869894592803</v>
          </cell>
          <cell r="Q25" t="str">
            <v>Total grain no.</v>
          </cell>
          <cell r="R25">
            <v>17823.834196891199</v>
          </cell>
          <cell r="S25" t="str">
            <v>19695.3819114856</v>
          </cell>
          <cell r="T25" t="str">
            <v>0.904976730722082</v>
          </cell>
          <cell r="U25">
            <v>0.94081601871773202</v>
          </cell>
        </row>
        <row r="26">
          <cell r="A26" t="str">
            <v>1992-37Albis1990OTC</v>
          </cell>
          <cell r="B26" t="str">
            <v>1992-37</v>
          </cell>
          <cell r="C26" t="str">
            <v>Fuhrer</v>
          </cell>
          <cell r="D26" t="str">
            <v>Europe</v>
          </cell>
          <cell r="E26" t="str">
            <v>wheat</v>
          </cell>
          <cell r="F26" t="str">
            <v>Albis</v>
          </cell>
          <cell r="G26">
            <v>1990</v>
          </cell>
          <cell r="H26" t="str">
            <v>OTC</v>
          </cell>
          <cell r="I26" t="str">
            <v>field</v>
          </cell>
          <cell r="J26" t="str">
            <v>EO3-1</v>
          </cell>
          <cell r="K26"/>
          <cell r="L26">
            <v>60.328937238863901</v>
          </cell>
          <cell r="M26">
            <v>7</v>
          </cell>
          <cell r="N26">
            <v>88</v>
          </cell>
          <cell r="O26">
            <v>3</v>
          </cell>
          <cell r="P26">
            <v>15.4082260212028</v>
          </cell>
          <cell r="Q26" t="str">
            <v>Total grain no.</v>
          </cell>
          <cell r="R26">
            <v>17307.692307692301</v>
          </cell>
          <cell r="S26" t="str">
            <v>19695.3819114856</v>
          </cell>
          <cell r="T26" t="str">
            <v>0.878770450170089</v>
          </cell>
          <cell r="U26">
            <v>0.86150895830777396</v>
          </cell>
        </row>
        <row r="27">
          <cell r="A27" t="str">
            <v>1992-37Albis1990OTC</v>
          </cell>
          <cell r="B27" t="str">
            <v>1992-37</v>
          </cell>
          <cell r="C27" t="str">
            <v>Fuhrer</v>
          </cell>
          <cell r="D27" t="str">
            <v>Europe</v>
          </cell>
          <cell r="E27" t="str">
            <v>wheat</v>
          </cell>
          <cell r="F27" t="str">
            <v>Albis</v>
          </cell>
          <cell r="G27">
            <v>1990</v>
          </cell>
          <cell r="H27" t="str">
            <v>OTC</v>
          </cell>
          <cell r="I27" t="str">
            <v>field</v>
          </cell>
          <cell r="J27" t="str">
            <v>EO3-2</v>
          </cell>
          <cell r="K27"/>
          <cell r="L27">
            <v>77.486708380192198</v>
          </cell>
          <cell r="M27">
            <v>7</v>
          </cell>
          <cell r="N27">
            <v>88</v>
          </cell>
          <cell r="O27">
            <v>3</v>
          </cell>
          <cell r="P27">
            <v>25.126809126261598</v>
          </cell>
          <cell r="Q27" t="str">
            <v>Total grain no.</v>
          </cell>
          <cell r="R27">
            <v>16193.5483870968</v>
          </cell>
          <cell r="S27" t="str">
            <v>19695.3819114856</v>
          </cell>
          <cell r="T27" t="str">
            <v>0.822201571012187</v>
          </cell>
          <cell r="U27">
            <v>0.77415713104656303</v>
          </cell>
        </row>
        <row r="28">
          <cell r="A28" t="str">
            <v>1996-30Promessa1991OTC</v>
          </cell>
          <cell r="B28" t="str">
            <v>1996-30</v>
          </cell>
          <cell r="C28" t="str">
            <v>Finnan</v>
          </cell>
          <cell r="D28" t="str">
            <v>Europe</v>
          </cell>
          <cell r="E28" t="str">
            <v>wheat</v>
          </cell>
          <cell r="F28" t="str">
            <v>Promessa</v>
          </cell>
          <cell r="G28">
            <v>1991</v>
          </cell>
          <cell r="H28" t="str">
            <v>OTC</v>
          </cell>
          <cell r="I28" t="str">
            <v>field</v>
          </cell>
          <cell r="J28" t="str">
            <v>CF</v>
          </cell>
          <cell r="K28"/>
          <cell r="L28">
            <v>5.6</v>
          </cell>
          <cell r="M28">
            <v>12</v>
          </cell>
          <cell r="N28">
            <v>102</v>
          </cell>
          <cell r="O28">
            <v>3</v>
          </cell>
          <cell r="P28">
            <v>0</v>
          </cell>
          <cell r="Q28" t="str">
            <v>Total grain no.</v>
          </cell>
          <cell r="R28">
            <v>31281.455671699601</v>
          </cell>
          <cell r="S28" t="str">
            <v>28784.1841497752</v>
          </cell>
          <cell r="T28" t="str">
            <v>1.08676017663211</v>
          </cell>
          <cell r="U28">
            <v>1</v>
          </cell>
        </row>
        <row r="29">
          <cell r="A29" t="str">
            <v>1996-30Promessa1991OTC</v>
          </cell>
          <cell r="B29" t="str">
            <v>1996-30</v>
          </cell>
          <cell r="C29" t="str">
            <v>Finnan</v>
          </cell>
          <cell r="D29" t="str">
            <v>Europe</v>
          </cell>
          <cell r="E29" t="str">
            <v>wheat</v>
          </cell>
          <cell r="F29" t="str">
            <v>Promessa</v>
          </cell>
          <cell r="G29">
            <v>1991</v>
          </cell>
          <cell r="H29" t="str">
            <v>OTC</v>
          </cell>
          <cell r="I29" t="str">
            <v>field</v>
          </cell>
          <cell r="J29" t="str">
            <v>NF</v>
          </cell>
          <cell r="K29"/>
          <cell r="L29">
            <v>24.9099</v>
          </cell>
          <cell r="M29">
            <v>12</v>
          </cell>
          <cell r="N29">
            <v>102</v>
          </cell>
          <cell r="O29">
            <v>3</v>
          </cell>
          <cell r="P29">
            <v>0.37197880276734202</v>
          </cell>
          <cell r="Q29" t="str">
            <v>Total grain no.</v>
          </cell>
          <cell r="R29">
            <v>33083.300434267701</v>
          </cell>
          <cell r="S29" t="str">
            <v>28784.1841497752</v>
          </cell>
          <cell r="T29" t="str">
            <v>1.14935870634835</v>
          </cell>
          <cell r="U29">
            <v>0.99665660850145499</v>
          </cell>
        </row>
        <row r="30">
          <cell r="A30" t="str">
            <v>1996-30Promessa1991OTC</v>
          </cell>
          <cell r="B30" t="str">
            <v>1996-30</v>
          </cell>
          <cell r="C30" t="str">
            <v>Finnan</v>
          </cell>
          <cell r="D30" t="str">
            <v>Europe</v>
          </cell>
          <cell r="E30" t="str">
            <v>wheat</v>
          </cell>
          <cell r="F30" t="str">
            <v>Promessa</v>
          </cell>
          <cell r="G30">
            <v>1991</v>
          </cell>
          <cell r="H30" t="str">
            <v>OTC</v>
          </cell>
          <cell r="I30" t="str">
            <v>field</v>
          </cell>
          <cell r="J30" t="str">
            <v>EO3-1</v>
          </cell>
          <cell r="K30"/>
          <cell r="L30">
            <v>32.614100000000001</v>
          </cell>
          <cell r="M30">
            <v>12</v>
          </cell>
          <cell r="N30">
            <v>102</v>
          </cell>
          <cell r="O30">
            <v>3</v>
          </cell>
          <cell r="P30">
            <v>1.9622365305235701</v>
          </cell>
          <cell r="Q30" t="str">
            <v>Total grain no.</v>
          </cell>
          <cell r="R30">
            <v>22562.256225622601</v>
          </cell>
          <cell r="S30" t="str">
            <v>28784.1841497752</v>
          </cell>
          <cell r="T30" t="str">
            <v>0.783843367722803</v>
          </cell>
          <cell r="U30">
            <v>0.98236317530616801</v>
          </cell>
        </row>
        <row r="31">
          <cell r="A31" t="str">
            <v>1996-30Promessa1992OTC</v>
          </cell>
          <cell r="B31" t="str">
            <v>1996-30</v>
          </cell>
          <cell r="C31" t="str">
            <v>Finnan</v>
          </cell>
          <cell r="D31" t="str">
            <v>Europe</v>
          </cell>
          <cell r="E31" t="str">
            <v>wheat</v>
          </cell>
          <cell r="F31" t="str">
            <v>Promessa</v>
          </cell>
          <cell r="G31">
            <v>1992</v>
          </cell>
          <cell r="H31" t="str">
            <v>OTC</v>
          </cell>
          <cell r="I31" t="str">
            <v>field</v>
          </cell>
          <cell r="J31" t="str">
            <v>CF</v>
          </cell>
          <cell r="K31"/>
          <cell r="L31">
            <v>6.2309000000000001</v>
          </cell>
          <cell r="M31">
            <v>12</v>
          </cell>
          <cell r="N31">
            <v>102</v>
          </cell>
          <cell r="O31">
            <v>3</v>
          </cell>
          <cell r="P31">
            <v>0</v>
          </cell>
          <cell r="Q31" t="str">
            <v>Total grain no.</v>
          </cell>
          <cell r="R31">
            <v>27213.184027044201</v>
          </cell>
          <cell r="S31" t="str">
            <v>28463.731269924</v>
          </cell>
          <cell r="T31" t="str">
            <v>0.956066747755545</v>
          </cell>
          <cell r="U31">
            <v>1</v>
          </cell>
        </row>
        <row r="32">
          <cell r="A32" t="str">
            <v>1996-30Promessa1992OTC</v>
          </cell>
          <cell r="B32" t="str">
            <v>1996-30</v>
          </cell>
          <cell r="C32" t="str">
            <v>Finnan</v>
          </cell>
          <cell r="D32" t="str">
            <v>Europe</v>
          </cell>
          <cell r="E32" t="str">
            <v>wheat</v>
          </cell>
          <cell r="F32" t="str">
            <v>Promessa</v>
          </cell>
          <cell r="G32">
            <v>1992</v>
          </cell>
          <cell r="H32" t="str">
            <v>OTC</v>
          </cell>
          <cell r="I32" t="str">
            <v>field</v>
          </cell>
          <cell r="J32" t="str">
            <v>NF</v>
          </cell>
          <cell r="K32"/>
          <cell r="L32">
            <v>25.098700000000001</v>
          </cell>
          <cell r="M32">
            <v>12</v>
          </cell>
          <cell r="N32">
            <v>102</v>
          </cell>
          <cell r="O32">
            <v>3</v>
          </cell>
          <cell r="P32">
            <v>0.39783406177585601</v>
          </cell>
          <cell r="Q32" t="str">
            <v>Total grain no.</v>
          </cell>
          <cell r="R32">
            <v>28461.208744106301</v>
          </cell>
          <cell r="S32" t="str">
            <v>28463.731269924</v>
          </cell>
          <cell r="T32" t="str">
            <v>0.999912955945456</v>
          </cell>
          <cell r="U32">
            <v>0.99642421823480998</v>
          </cell>
        </row>
        <row r="33">
          <cell r="A33" t="str">
            <v>1996-30Promessa1992OTC</v>
          </cell>
          <cell r="B33" t="str">
            <v>1996-30</v>
          </cell>
          <cell r="C33" t="str">
            <v>Finnan</v>
          </cell>
          <cell r="D33" t="str">
            <v>Europe</v>
          </cell>
          <cell r="E33" t="str">
            <v>wheat</v>
          </cell>
          <cell r="F33" t="str">
            <v>Promessa</v>
          </cell>
          <cell r="G33">
            <v>1992</v>
          </cell>
          <cell r="H33" t="str">
            <v>OTC</v>
          </cell>
          <cell r="I33" t="str">
            <v>field</v>
          </cell>
          <cell r="J33" t="str">
            <v>EO3-2</v>
          </cell>
          <cell r="K33"/>
          <cell r="L33">
            <v>33.418599999999998</v>
          </cell>
          <cell r="M33">
            <v>12</v>
          </cell>
          <cell r="N33">
            <v>102</v>
          </cell>
          <cell r="O33">
            <v>3</v>
          </cell>
          <cell r="P33">
            <v>2.2160216957603098</v>
          </cell>
          <cell r="Q33" t="str">
            <v>Total grain no.</v>
          </cell>
          <cell r="R33">
            <v>29076.9230769231</v>
          </cell>
          <cell r="S33" t="str">
            <v>28463.731269924</v>
          </cell>
          <cell r="T33" t="str">
            <v>1.02154452978619</v>
          </cell>
          <cell r="U33">
            <v>0.98008212284409502</v>
          </cell>
        </row>
        <row r="34">
          <cell r="A34" t="str">
            <v>1996-30Promessa1993OTC</v>
          </cell>
          <cell r="B34" t="str">
            <v>1996-30</v>
          </cell>
          <cell r="C34" t="str">
            <v>Finnan</v>
          </cell>
          <cell r="D34" t="str">
            <v>Europe</v>
          </cell>
          <cell r="E34" t="str">
            <v>wheat</v>
          </cell>
          <cell r="F34" t="str">
            <v>Promessa</v>
          </cell>
          <cell r="G34">
            <v>1993</v>
          </cell>
          <cell r="H34" t="str">
            <v>OTC</v>
          </cell>
          <cell r="I34" t="str">
            <v>field</v>
          </cell>
          <cell r="J34" t="str">
            <v>CF</v>
          </cell>
          <cell r="K34"/>
          <cell r="L34">
            <v>6.7001999999999997</v>
          </cell>
          <cell r="M34">
            <v>12</v>
          </cell>
          <cell r="N34">
            <v>102</v>
          </cell>
          <cell r="O34">
            <v>3</v>
          </cell>
          <cell r="P34">
            <v>0</v>
          </cell>
          <cell r="Q34" t="str">
            <v>Total grain no.</v>
          </cell>
          <cell r="R34">
            <v>29637.760702524702</v>
          </cell>
          <cell r="S34" t="str">
            <v>30109.6554980756</v>
          </cell>
          <cell r="T34" t="str">
            <v>0.984329013292669</v>
          </cell>
          <cell r="U34">
            <v>1</v>
          </cell>
        </row>
        <row r="35">
          <cell r="A35" t="str">
            <v>1996-30Promessa1993OTC</v>
          </cell>
          <cell r="B35" t="str">
            <v>1996-30</v>
          </cell>
          <cell r="C35" t="str">
            <v>Finnan</v>
          </cell>
          <cell r="D35" t="str">
            <v>Europe</v>
          </cell>
          <cell r="E35" t="str">
            <v>wheat</v>
          </cell>
          <cell r="F35" t="str">
            <v>Promessa</v>
          </cell>
          <cell r="G35">
            <v>1993</v>
          </cell>
          <cell r="H35" t="str">
            <v>OTC</v>
          </cell>
          <cell r="I35" t="str">
            <v>field</v>
          </cell>
          <cell r="J35" t="str">
            <v>EO3-2</v>
          </cell>
          <cell r="K35"/>
          <cell r="L35">
            <v>33.987499999999997</v>
          </cell>
          <cell r="M35">
            <v>12</v>
          </cell>
          <cell r="N35">
            <v>102</v>
          </cell>
          <cell r="O35">
            <v>3</v>
          </cell>
          <cell r="P35">
            <v>2.4089980077313702</v>
          </cell>
          <cell r="Q35" t="str">
            <v>Total grain no.</v>
          </cell>
          <cell r="R35">
            <v>30951.4409790762</v>
          </cell>
          <cell r="S35" t="str">
            <v>30109.6554980756</v>
          </cell>
          <cell r="T35" t="str">
            <v>1.02795894955468</v>
          </cell>
          <cell r="U35">
            <v>0.97834762787811902</v>
          </cell>
        </row>
        <row r="36">
          <cell r="A36" t="str">
            <v>1996-30Promessa1993OTC</v>
          </cell>
          <cell r="B36" t="str">
            <v>1996-30</v>
          </cell>
          <cell r="C36" t="str">
            <v>Finnan</v>
          </cell>
          <cell r="D36" t="str">
            <v>Europe</v>
          </cell>
          <cell r="E36" t="str">
            <v>wheat</v>
          </cell>
          <cell r="F36" t="str">
            <v>Promessa</v>
          </cell>
          <cell r="G36">
            <v>1993</v>
          </cell>
          <cell r="H36" t="str">
            <v>OTC</v>
          </cell>
          <cell r="I36" t="str">
            <v>field</v>
          </cell>
          <cell r="J36" t="str">
            <v>EO3-1</v>
          </cell>
          <cell r="K36"/>
          <cell r="L36">
            <v>34.003999999999998</v>
          </cell>
          <cell r="M36">
            <v>12</v>
          </cell>
          <cell r="N36">
            <v>102</v>
          </cell>
          <cell r="O36">
            <v>3</v>
          </cell>
          <cell r="P36">
            <v>2.4147688436996</v>
          </cell>
          <cell r="Q36" t="str">
            <v>Total grain no.</v>
          </cell>
          <cell r="R36">
            <v>28480.878935136301</v>
          </cell>
          <cell r="S36" t="str">
            <v>30109.6554980756</v>
          </cell>
          <cell r="T36" t="str">
            <v>0.945906667555438</v>
          </cell>
          <cell r="U36">
            <v>0.97829575889050002</v>
          </cell>
        </row>
        <row r="37">
          <cell r="A37" t="str">
            <v>1997-75Minaret1995OTC</v>
          </cell>
          <cell r="B37" t="str">
            <v>1997-75</v>
          </cell>
          <cell r="C37" t="str">
            <v>Mulholland</v>
          </cell>
          <cell r="D37" t="str">
            <v>Europe</v>
          </cell>
          <cell r="E37" t="str">
            <v>wheat</v>
          </cell>
          <cell r="F37" t="str">
            <v>Minaret</v>
          </cell>
          <cell r="G37">
            <v>1995</v>
          </cell>
          <cell r="H37" t="str">
            <v>OTC</v>
          </cell>
          <cell r="I37" t="str">
            <v>field</v>
          </cell>
          <cell r="J37" t="str">
            <v>AA</v>
          </cell>
          <cell r="K37">
            <v>1.357</v>
          </cell>
          <cell r="L37">
            <v>26</v>
          </cell>
          <cell r="M37">
            <v>7</v>
          </cell>
          <cell r="N37">
            <v>104</v>
          </cell>
          <cell r="O37">
            <v>3</v>
          </cell>
          <cell r="P37">
            <v>1.17432692307692</v>
          </cell>
          <cell r="Q37" t="str">
            <v>Total grain no.</v>
          </cell>
          <cell r="R37">
            <v>16005.1020408163</v>
          </cell>
          <cell r="S37" t="str">
            <v>16967.635426004</v>
          </cell>
          <cell r="T37" t="str">
            <v>0.943273880167677</v>
          </cell>
          <cell r="U37">
            <v>0.98944500433384597</v>
          </cell>
        </row>
        <row r="38">
          <cell r="A38" t="str">
            <v>1997-75Minaret1995OTC</v>
          </cell>
          <cell r="B38" t="str">
            <v>1997-75</v>
          </cell>
          <cell r="C38" t="str">
            <v>Mulholland</v>
          </cell>
          <cell r="D38" t="str">
            <v>Europe</v>
          </cell>
          <cell r="E38" t="str">
            <v>wheat</v>
          </cell>
          <cell r="F38" t="str">
            <v>Minaret</v>
          </cell>
          <cell r="G38">
            <v>1995</v>
          </cell>
          <cell r="H38" t="str">
            <v>OTC</v>
          </cell>
          <cell r="I38" t="str">
            <v>field</v>
          </cell>
          <cell r="J38" t="str">
            <v>EO3</v>
          </cell>
          <cell r="K38">
            <v>18.670999999999999</v>
          </cell>
          <cell r="L38">
            <v>60</v>
          </cell>
          <cell r="M38">
            <v>7</v>
          </cell>
          <cell r="N38">
            <v>104</v>
          </cell>
          <cell r="O38">
            <v>3</v>
          </cell>
          <cell r="P38">
            <v>16.1575961538462</v>
          </cell>
          <cell r="Q38" t="str">
            <v>Total grain no.</v>
          </cell>
          <cell r="R38">
            <v>15213.399503722099</v>
          </cell>
          <cell r="S38" t="str">
            <v>16967.635426004</v>
          </cell>
          <cell r="T38" t="str">
            <v>0.896614238623437</v>
          </cell>
          <cell r="U38">
            <v>0.85477352684857999</v>
          </cell>
        </row>
        <row r="39">
          <cell r="A39" t="str">
            <v>1998-73Minaret1996OTC</v>
          </cell>
          <cell r="B39" t="str">
            <v>1998-73</v>
          </cell>
          <cell r="C39" t="str">
            <v>Mulholland</v>
          </cell>
          <cell r="D39" t="str">
            <v>Europe</v>
          </cell>
          <cell r="E39" t="str">
            <v>wheat</v>
          </cell>
          <cell r="F39" t="str">
            <v>Minaret</v>
          </cell>
          <cell r="G39">
            <v>1996</v>
          </cell>
          <cell r="H39" t="str">
            <v>OTC</v>
          </cell>
          <cell r="I39" t="str">
            <v>field</v>
          </cell>
          <cell r="J39" t="str">
            <v>AA</v>
          </cell>
          <cell r="K39">
            <v>1.887</v>
          </cell>
          <cell r="L39">
            <v>26</v>
          </cell>
          <cell r="M39">
            <v>7</v>
          </cell>
          <cell r="N39">
            <v>115</v>
          </cell>
          <cell r="O39">
            <v>3</v>
          </cell>
          <cell r="P39">
            <v>1.4767826086956499</v>
          </cell>
          <cell r="Q39" t="str">
            <v>Total grain no.</v>
          </cell>
          <cell r="R39">
            <v>24031.4136125654</v>
          </cell>
          <cell r="S39" t="str">
            <v>24869.0106542435</v>
          </cell>
          <cell r="T39" t="str">
            <v>0.966321173017129</v>
          </cell>
          <cell r="U39">
            <v>0.98672649521330402</v>
          </cell>
        </row>
        <row r="40">
          <cell r="A40" t="str">
            <v>1998-73Minaret1996OTC</v>
          </cell>
          <cell r="B40" t="str">
            <v>1998-73</v>
          </cell>
          <cell r="C40" t="str">
            <v>Mulholland</v>
          </cell>
          <cell r="D40" t="str">
            <v>Europe</v>
          </cell>
          <cell r="E40" t="str">
            <v>wheat</v>
          </cell>
          <cell r="F40" t="str">
            <v>Minaret</v>
          </cell>
          <cell r="G40">
            <v>1996</v>
          </cell>
          <cell r="H40" t="str">
            <v>OTC</v>
          </cell>
          <cell r="I40" t="str">
            <v>field</v>
          </cell>
          <cell r="J40" t="str">
            <v>EO3</v>
          </cell>
          <cell r="K40">
            <v>35.497999999999998</v>
          </cell>
          <cell r="L40">
            <v>84</v>
          </cell>
          <cell r="M40">
            <v>7</v>
          </cell>
          <cell r="N40">
            <v>115</v>
          </cell>
          <cell r="O40">
            <v>3</v>
          </cell>
          <cell r="P40">
            <v>27.781043478260901</v>
          </cell>
          <cell r="Q40" t="str">
            <v>Total grain no.</v>
          </cell>
          <cell r="R40">
            <v>19053.2544378698</v>
          </cell>
          <cell r="S40" t="str">
            <v>24869.0106542435</v>
          </cell>
          <cell r="T40" t="str">
            <v>0.766145657306203</v>
          </cell>
          <cell r="U40">
            <v>0.75030054432970394</v>
          </cell>
        </row>
        <row r="41">
          <cell r="A41" t="str">
            <v>1995-120Ralle1991OTC</v>
          </cell>
          <cell r="B41" t="str">
            <v>1995-120</v>
          </cell>
          <cell r="C41" t="str">
            <v>Mortensen</v>
          </cell>
          <cell r="D41" t="str">
            <v>Europe</v>
          </cell>
          <cell r="E41" t="str">
            <v>wheat</v>
          </cell>
          <cell r="F41" t="str">
            <v>Ralle</v>
          </cell>
          <cell r="G41">
            <v>1991</v>
          </cell>
          <cell r="H41" t="str">
            <v>OTC</v>
          </cell>
          <cell r="I41" t="str">
            <v>field</v>
          </cell>
          <cell r="J41" t="str">
            <v>CF</v>
          </cell>
          <cell r="K41"/>
          <cell r="L41">
            <v>17</v>
          </cell>
          <cell r="M41">
            <v>8</v>
          </cell>
          <cell r="N41">
            <v>67</v>
          </cell>
          <cell r="O41">
            <v>5</v>
          </cell>
          <cell r="P41">
            <v>0</v>
          </cell>
          <cell r="Q41" t="str">
            <v>Total grain no.</v>
          </cell>
          <cell r="R41">
            <v>30897.703549060501</v>
          </cell>
          <cell r="S41" t="str">
            <v>29907.5877029929</v>
          </cell>
          <cell r="T41" t="str">
            <v>1.0331074718982</v>
          </cell>
          <cell r="U41">
            <v>1</v>
          </cell>
        </row>
        <row r="42">
          <cell r="A42" t="str">
            <v>1995-120Ralle1991OTC</v>
          </cell>
          <cell r="B42" t="str">
            <v>1995-120</v>
          </cell>
          <cell r="C42" t="str">
            <v>Mortensen</v>
          </cell>
          <cell r="D42" t="str">
            <v>Europe</v>
          </cell>
          <cell r="E42" t="str">
            <v>wheat</v>
          </cell>
          <cell r="F42" t="str">
            <v>Ralle</v>
          </cell>
          <cell r="G42">
            <v>1991</v>
          </cell>
          <cell r="H42" t="str">
            <v>OTC</v>
          </cell>
          <cell r="I42" t="str">
            <v>field</v>
          </cell>
          <cell r="J42" t="str">
            <v>NF</v>
          </cell>
          <cell r="K42"/>
          <cell r="L42">
            <v>29</v>
          </cell>
          <cell r="M42">
            <v>8</v>
          </cell>
          <cell r="N42">
            <v>67</v>
          </cell>
          <cell r="O42">
            <v>5</v>
          </cell>
          <cell r="P42">
            <v>1.0571921133271101</v>
          </cell>
          <cell r="Q42" t="str">
            <v>Total grain no.</v>
          </cell>
          <cell r="R42">
            <v>29398.663697104701</v>
          </cell>
          <cell r="S42" t="str">
            <v>29907.5877029929</v>
          </cell>
          <cell r="T42" t="str">
            <v>0.982985000198329</v>
          </cell>
          <cell r="U42">
            <v>0.99049782649517304</v>
          </cell>
        </row>
        <row r="43">
          <cell r="A43" t="str">
            <v>1995-120Ralle1991OTC</v>
          </cell>
          <cell r="B43" t="str">
            <v>1995-120</v>
          </cell>
          <cell r="C43" t="str">
            <v>Mortensen</v>
          </cell>
          <cell r="D43" t="str">
            <v>Europe</v>
          </cell>
          <cell r="E43" t="str">
            <v>wheat</v>
          </cell>
          <cell r="F43" t="str">
            <v>Ralle</v>
          </cell>
          <cell r="G43">
            <v>1991</v>
          </cell>
          <cell r="H43" t="str">
            <v>OTC</v>
          </cell>
          <cell r="I43" t="str">
            <v>field</v>
          </cell>
          <cell r="J43" t="str">
            <v>EO3</v>
          </cell>
          <cell r="K43"/>
          <cell r="L43">
            <v>61</v>
          </cell>
          <cell r="M43">
            <v>8</v>
          </cell>
          <cell r="N43">
            <v>67</v>
          </cell>
          <cell r="O43">
            <v>5</v>
          </cell>
          <cell r="P43">
            <v>8.7904993566869791</v>
          </cell>
          <cell r="Q43" t="str">
            <v>Total grain no.</v>
          </cell>
          <cell r="R43">
            <v>26865.671641790999</v>
          </cell>
          <cell r="S43" t="str">
            <v>29907.5877029929</v>
          </cell>
          <cell r="T43" t="str">
            <v>0.89829090588002</v>
          </cell>
          <cell r="U43">
            <v>0.92098990427116001</v>
          </cell>
        </row>
        <row r="44">
          <cell r="A44" t="str">
            <v>1998-75Satu1992OTC</v>
          </cell>
          <cell r="B44" t="str">
            <v>1998-75</v>
          </cell>
          <cell r="C44" t="str">
            <v>Ojanperä</v>
          </cell>
          <cell r="D44" t="str">
            <v>Europe</v>
          </cell>
          <cell r="E44" t="str">
            <v>wheat</v>
          </cell>
          <cell r="F44" t="str">
            <v>Satu</v>
          </cell>
          <cell r="G44">
            <v>1992</v>
          </cell>
          <cell r="H44" t="str">
            <v>OTC</v>
          </cell>
          <cell r="I44" t="str">
            <v>field</v>
          </cell>
          <cell r="J44" t="str">
            <v>CF</v>
          </cell>
          <cell r="K44">
            <v>0</v>
          </cell>
          <cell r="L44">
            <v>14</v>
          </cell>
          <cell r="M44">
            <v>8</v>
          </cell>
          <cell r="N44">
            <v>78</v>
          </cell>
          <cell r="O44">
            <v>5</v>
          </cell>
          <cell r="P44">
            <v>0</v>
          </cell>
          <cell r="Q44" t="str">
            <v>Total grain no.</v>
          </cell>
          <cell r="R44">
            <v>10355.0295857988</v>
          </cell>
          <cell r="S44" t="str">
            <v>10817.9613346314</v>
          </cell>
          <cell r="T44" t="str">
            <v>0.957208628441689</v>
          </cell>
          <cell r="U44">
            <v>1</v>
          </cell>
        </row>
        <row r="45">
          <cell r="A45" t="str">
            <v>1998-75Satu1992OTC</v>
          </cell>
          <cell r="B45" t="str">
            <v>1998-75</v>
          </cell>
          <cell r="C45" t="str">
            <v>Ojanperä</v>
          </cell>
          <cell r="D45" t="str">
            <v>Europe</v>
          </cell>
          <cell r="E45" t="str">
            <v>wheat</v>
          </cell>
          <cell r="F45" t="str">
            <v>Satu</v>
          </cell>
          <cell r="G45">
            <v>1992</v>
          </cell>
          <cell r="H45" t="str">
            <v>OTC</v>
          </cell>
          <cell r="I45" t="str">
            <v>field</v>
          </cell>
          <cell r="J45" t="str">
            <v>NF</v>
          </cell>
          <cell r="K45">
            <v>0.67100000000000004</v>
          </cell>
          <cell r="L45">
            <v>30</v>
          </cell>
          <cell r="M45">
            <v>8</v>
          </cell>
          <cell r="N45">
            <v>78</v>
          </cell>
          <cell r="O45">
            <v>5</v>
          </cell>
          <cell r="P45">
            <v>0.67100000000000004</v>
          </cell>
          <cell r="Q45" t="str">
            <v>Total grain no.</v>
          </cell>
          <cell r="R45">
            <v>10755.813953488399</v>
          </cell>
          <cell r="S45" t="str">
            <v>10817.9613346314</v>
          </cell>
          <cell r="T45" t="str">
            <v>0.994256736486027</v>
          </cell>
          <cell r="U45">
            <v>0.99396896898739895</v>
          </cell>
        </row>
        <row r="46">
          <cell r="A46" t="str">
            <v>1998-75Satu1992OTC</v>
          </cell>
          <cell r="B46" t="str">
            <v>1998-75</v>
          </cell>
          <cell r="C46" t="str">
            <v>Ojanperä</v>
          </cell>
          <cell r="D46" t="str">
            <v>Europe</v>
          </cell>
          <cell r="E46" t="str">
            <v>wheat</v>
          </cell>
          <cell r="F46" t="str">
            <v>Satu</v>
          </cell>
          <cell r="G46">
            <v>1992</v>
          </cell>
          <cell r="H46" t="str">
            <v>OTC</v>
          </cell>
          <cell r="I46" t="str">
            <v>field</v>
          </cell>
          <cell r="J46" t="str">
            <v>EO3</v>
          </cell>
          <cell r="K46">
            <v>13.744</v>
          </cell>
          <cell r="L46">
            <v>61</v>
          </cell>
          <cell r="M46">
            <v>8</v>
          </cell>
          <cell r="N46">
            <v>78</v>
          </cell>
          <cell r="O46">
            <v>5</v>
          </cell>
          <cell r="P46">
            <v>13.744</v>
          </cell>
          <cell r="Q46" t="str">
            <v>Total grain no.</v>
          </cell>
          <cell r="R46">
            <v>9902.5974025973992</v>
          </cell>
          <cell r="S46" t="str">
            <v>10817.9613346314</v>
          </cell>
          <cell r="T46" t="str">
            <v>0.915386247737047</v>
          </cell>
          <cell r="U46">
            <v>0.87646722767331098</v>
          </cell>
        </row>
        <row r="47">
          <cell r="A47" t="str">
            <v>1998-75Satu1993OTC</v>
          </cell>
          <cell r="B47" t="str">
            <v>1998-75</v>
          </cell>
          <cell r="C47" t="str">
            <v>Ojanperä</v>
          </cell>
          <cell r="D47" t="str">
            <v>Europe</v>
          </cell>
          <cell r="E47" t="str">
            <v>wheat</v>
          </cell>
          <cell r="F47" t="str">
            <v>Satu</v>
          </cell>
          <cell r="G47">
            <v>1993</v>
          </cell>
          <cell r="H47" t="str">
            <v>OTC</v>
          </cell>
          <cell r="I47" t="str">
            <v>field</v>
          </cell>
          <cell r="J47" t="str">
            <v>CF</v>
          </cell>
          <cell r="K47">
            <v>0</v>
          </cell>
          <cell r="L47">
            <v>9</v>
          </cell>
          <cell r="M47">
            <v>8</v>
          </cell>
          <cell r="N47">
            <v>82</v>
          </cell>
          <cell r="O47">
            <v>5</v>
          </cell>
          <cell r="P47">
            <v>0</v>
          </cell>
          <cell r="Q47" t="str">
            <v>Total grain no.</v>
          </cell>
          <cell r="R47">
            <v>13186.8131868132</v>
          </cell>
          <cell r="S47" t="str">
            <v>13019.7317948005</v>
          </cell>
          <cell r="T47" t="str">
            <v>1.01283453534968</v>
          </cell>
          <cell r="U47">
            <v>1</v>
          </cell>
        </row>
        <row r="48">
          <cell r="A48" t="str">
            <v>1998-75Satu1993OTC</v>
          </cell>
          <cell r="B48" t="str">
            <v>1998-75</v>
          </cell>
          <cell r="C48" t="str">
            <v>Ojanperä</v>
          </cell>
          <cell r="D48" t="str">
            <v>Europe</v>
          </cell>
          <cell r="E48" t="str">
            <v>wheat</v>
          </cell>
          <cell r="F48" t="str">
            <v>Satu</v>
          </cell>
          <cell r="G48">
            <v>1993</v>
          </cell>
          <cell r="H48" t="str">
            <v>OTC</v>
          </cell>
          <cell r="I48" t="str">
            <v>field</v>
          </cell>
          <cell r="J48" t="str">
            <v>NF</v>
          </cell>
          <cell r="K48">
            <v>0</v>
          </cell>
          <cell r="L48">
            <v>21</v>
          </cell>
          <cell r="M48">
            <v>8</v>
          </cell>
          <cell r="N48">
            <v>82</v>
          </cell>
          <cell r="O48">
            <v>5</v>
          </cell>
          <cell r="P48">
            <v>0</v>
          </cell>
          <cell r="Q48" t="str">
            <v>Total grain no.</v>
          </cell>
          <cell r="R48">
            <v>12261.5803814714</v>
          </cell>
          <cell r="S48" t="str">
            <v>13019.7317948005</v>
          </cell>
          <cell r="T48" t="str">
            <v>0.941770531847621</v>
          </cell>
          <cell r="U48">
            <v>1</v>
          </cell>
        </row>
        <row r="49">
          <cell r="A49" t="str">
            <v>1998-75Satu1993OTC</v>
          </cell>
          <cell r="B49" t="str">
            <v>1998-75</v>
          </cell>
          <cell r="C49" t="str">
            <v>Ojanperä</v>
          </cell>
          <cell r="D49" t="str">
            <v>Europe</v>
          </cell>
          <cell r="E49" t="str">
            <v>wheat</v>
          </cell>
          <cell r="F49" t="str">
            <v>Satu</v>
          </cell>
          <cell r="G49">
            <v>1993</v>
          </cell>
          <cell r="H49" t="str">
            <v>OTC</v>
          </cell>
          <cell r="I49" t="str">
            <v>field</v>
          </cell>
          <cell r="J49" t="str">
            <v>EO3</v>
          </cell>
          <cell r="K49">
            <v>4.609</v>
          </cell>
          <cell r="L49">
            <v>45</v>
          </cell>
          <cell r="M49">
            <v>8</v>
          </cell>
          <cell r="N49">
            <v>82</v>
          </cell>
          <cell r="O49">
            <v>5</v>
          </cell>
          <cell r="P49">
            <v>4.609</v>
          </cell>
          <cell r="Q49" t="str">
            <v>Total grain no.</v>
          </cell>
          <cell r="R49">
            <v>13084.112149532701</v>
          </cell>
          <cell r="S49" t="str">
            <v>13019.7317948005</v>
          </cell>
          <cell r="T49" t="str">
            <v>1.00494641591549</v>
          </cell>
          <cell r="U49">
            <v>0.95857373779959398</v>
          </cell>
        </row>
        <row r="50">
          <cell r="A50" t="str">
            <v>1998-84Dragon1995OTC</v>
          </cell>
          <cell r="B50" t="str">
            <v>1998-84</v>
          </cell>
          <cell r="C50" t="str">
            <v>Pleijel</v>
          </cell>
          <cell r="D50" t="str">
            <v>Europe</v>
          </cell>
          <cell r="E50" t="str">
            <v>wheat</v>
          </cell>
          <cell r="F50" t="str">
            <v>Dragon</v>
          </cell>
          <cell r="G50">
            <v>1995</v>
          </cell>
          <cell r="H50" t="str">
            <v>OTC</v>
          </cell>
          <cell r="I50" t="str">
            <v>field</v>
          </cell>
          <cell r="J50" t="str">
            <v>NF</v>
          </cell>
          <cell r="K50">
            <v>1.3093749999999999E-2</v>
          </cell>
          <cell r="L50">
            <v>21.436869047619101</v>
          </cell>
          <cell r="M50">
            <v>12</v>
          </cell>
          <cell r="N50">
            <v>98</v>
          </cell>
          <cell r="O50">
            <v>5</v>
          </cell>
          <cell r="P50">
            <v>1.2024872448979601E-2</v>
          </cell>
          <cell r="Q50" t="str">
            <v>Total grain no.</v>
          </cell>
          <cell r="R50">
            <v>14148.681055155899</v>
          </cell>
          <cell r="S50" t="str">
            <v>14321.140832204</v>
          </cell>
          <cell r="T50" t="str">
            <v>0.987959238389752</v>
          </cell>
          <cell r="U50">
            <v>0.99989191895877405</v>
          </cell>
        </row>
        <row r="51">
          <cell r="A51" t="str">
            <v>1998-84Dragon1995OTC</v>
          </cell>
          <cell r="B51" t="str">
            <v>1998-84</v>
          </cell>
          <cell r="C51" t="str">
            <v>Pleijel</v>
          </cell>
          <cell r="D51" t="str">
            <v>Europe</v>
          </cell>
          <cell r="E51" t="str">
            <v>wheat</v>
          </cell>
          <cell r="F51" t="str">
            <v>Dragon</v>
          </cell>
          <cell r="G51">
            <v>1995</v>
          </cell>
          <cell r="H51" t="str">
            <v>OTC</v>
          </cell>
          <cell r="I51" t="str">
            <v>field</v>
          </cell>
          <cell r="J51" t="str">
            <v>EO3-1</v>
          </cell>
          <cell r="K51">
            <v>0.89017187499999995</v>
          </cell>
          <cell r="L51">
            <v>29.599224206349199</v>
          </cell>
          <cell r="M51">
            <v>12</v>
          </cell>
          <cell r="N51">
            <v>98</v>
          </cell>
          <cell r="O51">
            <v>5</v>
          </cell>
          <cell r="P51">
            <v>0.81750478316326503</v>
          </cell>
          <cell r="Q51" t="str">
            <v>Total grain no.</v>
          </cell>
          <cell r="R51">
            <v>14602.4096385542</v>
          </cell>
          <cell r="S51" t="str">
            <v>14321.140832204</v>
          </cell>
          <cell r="T51" t="str">
            <v>1.01964172129699</v>
          </cell>
          <cell r="U51">
            <v>0.99265216587153005</v>
          </cell>
        </row>
        <row r="52">
          <cell r="A52" t="str">
            <v>1998-84Dragon1995OTC</v>
          </cell>
          <cell r="B52" t="str">
            <v>1998-84</v>
          </cell>
          <cell r="C52" t="str">
            <v>Pleijel</v>
          </cell>
          <cell r="D52" t="str">
            <v>Europe</v>
          </cell>
          <cell r="E52" t="str">
            <v>wheat</v>
          </cell>
          <cell r="F52" t="str">
            <v>Dragon</v>
          </cell>
          <cell r="G52">
            <v>1995</v>
          </cell>
          <cell r="H52" t="str">
            <v>OTC</v>
          </cell>
          <cell r="I52" t="str">
            <v>field</v>
          </cell>
          <cell r="J52" t="str">
            <v>EO3-2</v>
          </cell>
          <cell r="K52">
            <v>2.3906512499999999</v>
          </cell>
          <cell r="L52">
            <v>35.929928571428597</v>
          </cell>
          <cell r="M52">
            <v>12</v>
          </cell>
          <cell r="N52">
            <v>98</v>
          </cell>
          <cell r="O52">
            <v>5</v>
          </cell>
          <cell r="P52">
            <v>2.1954960459183699</v>
          </cell>
          <cell r="Q52" t="str">
            <v>Total grain no.</v>
          </cell>
          <cell r="R52">
            <v>13832.020997375301</v>
          </cell>
          <cell r="S52" t="str">
            <v>14321.140832204</v>
          </cell>
          <cell r="T52" t="str">
            <v>0.9658478325072</v>
          </cell>
          <cell r="U52">
            <v>0.98026660992419601</v>
          </cell>
        </row>
        <row r="53">
          <cell r="A53" t="str">
            <v>2000-X96Dragon1994OTC</v>
          </cell>
          <cell r="B53" t="str">
            <v>2000-X96</v>
          </cell>
          <cell r="C53" t="str">
            <v>Pleijel</v>
          </cell>
          <cell r="D53" t="str">
            <v>Europe</v>
          </cell>
          <cell r="E53" t="str">
            <v>wheat</v>
          </cell>
          <cell r="F53" t="str">
            <v>Dragon</v>
          </cell>
          <cell r="G53">
            <v>1994</v>
          </cell>
          <cell r="H53" t="str">
            <v>OTC</v>
          </cell>
          <cell r="I53" t="str">
            <v>field</v>
          </cell>
          <cell r="J53" t="str">
            <v>NF</v>
          </cell>
          <cell r="K53">
            <v>2.2709999999999999</v>
          </cell>
          <cell r="L53">
            <v>33</v>
          </cell>
          <cell r="M53">
            <v>12</v>
          </cell>
          <cell r="N53">
            <v>71</v>
          </cell>
          <cell r="O53">
            <v>3</v>
          </cell>
          <cell r="P53">
            <v>2.2709999999999999</v>
          </cell>
          <cell r="Q53" t="str">
            <v>Total grain no.</v>
          </cell>
          <cell r="R53">
            <v>15891.9238167864</v>
          </cell>
          <cell r="S53" t="str">
            <v>17630.4759043488</v>
          </cell>
          <cell r="T53" t="str">
            <v>0.901390806980472</v>
          </cell>
          <cell r="U53">
            <v>0.979587971043971</v>
          </cell>
        </row>
        <row r="54">
          <cell r="A54" t="str">
            <v>2000-X96Dragon1994OTC</v>
          </cell>
          <cell r="B54" t="str">
            <v>2000-X96</v>
          </cell>
          <cell r="C54" t="str">
            <v>Pleijel</v>
          </cell>
          <cell r="D54" t="str">
            <v>Europe</v>
          </cell>
          <cell r="E54" t="str">
            <v>wheat</v>
          </cell>
          <cell r="F54" t="str">
            <v>Dragon</v>
          </cell>
          <cell r="G54">
            <v>1994</v>
          </cell>
          <cell r="H54" t="str">
            <v>OTC</v>
          </cell>
          <cell r="I54" t="str">
            <v>field</v>
          </cell>
          <cell r="J54" t="str">
            <v>EO3-1</v>
          </cell>
          <cell r="K54">
            <v>7.1619999999999999</v>
          </cell>
          <cell r="L54">
            <v>39</v>
          </cell>
          <cell r="M54">
            <v>12</v>
          </cell>
          <cell r="N54">
            <v>71</v>
          </cell>
          <cell r="O54">
            <v>3</v>
          </cell>
          <cell r="P54">
            <v>7.1619999999999999</v>
          </cell>
          <cell r="Q54" t="str">
            <v>Total grain no.</v>
          </cell>
          <cell r="R54">
            <v>16581.303502978899</v>
          </cell>
          <cell r="S54" t="str">
            <v>17630.4759043488</v>
          </cell>
          <cell r="T54" t="str">
            <v>0.940492461306087</v>
          </cell>
          <cell r="U54">
            <v>0.935627057957229</v>
          </cell>
        </row>
        <row r="55">
          <cell r="A55" t="str">
            <v>2000-X96Dragon1994OTC</v>
          </cell>
          <cell r="B55" t="str">
            <v>2000-X96</v>
          </cell>
          <cell r="C55" t="str">
            <v>Pleijel</v>
          </cell>
          <cell r="D55" t="str">
            <v>Europe</v>
          </cell>
          <cell r="E55" t="str">
            <v>wheat</v>
          </cell>
          <cell r="F55" t="str">
            <v>Dragon</v>
          </cell>
          <cell r="G55">
            <v>1994</v>
          </cell>
          <cell r="H55" t="str">
            <v>OTC</v>
          </cell>
          <cell r="I55" t="str">
            <v>field</v>
          </cell>
          <cell r="J55" t="str">
            <v>EO3-2</v>
          </cell>
          <cell r="K55">
            <v>12.052</v>
          </cell>
          <cell r="L55">
            <v>46</v>
          </cell>
          <cell r="M55">
            <v>12</v>
          </cell>
          <cell r="N55">
            <v>71</v>
          </cell>
          <cell r="O55">
            <v>3</v>
          </cell>
          <cell r="P55">
            <v>12.052</v>
          </cell>
          <cell r="Q55" t="str">
            <v>Total grain no.</v>
          </cell>
          <cell r="R55">
            <v>16996.082397711401</v>
          </cell>
          <cell r="S55" t="str">
            <v>17630.4759043488</v>
          </cell>
          <cell r="T55" t="str">
            <v>0.964018743394506</v>
          </cell>
          <cell r="U55">
            <v>0.89167513299656997</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row>
        <row r="2">
          <cell r="B2" t="str">
            <v>2012-118yangmai1852004OTC</v>
          </cell>
          <cell r="C2" t="str">
            <v>2012-118</v>
          </cell>
          <cell r="D2" t="str">
            <v>Wang</v>
          </cell>
          <cell r="E2" t="str">
            <v>China</v>
          </cell>
          <cell r="F2" t="str">
            <v>wheat</v>
          </cell>
          <cell r="G2" t="str">
            <v>yangmai185</v>
          </cell>
          <cell r="H2">
            <v>2004</v>
          </cell>
          <cell r="I2" t="str">
            <v>OTC</v>
          </cell>
          <cell r="J2" t="str">
            <v>field</v>
          </cell>
          <cell r="K2" t="str">
            <v>CF</v>
          </cell>
          <cell r="L2">
            <v>0</v>
          </cell>
          <cell r="M2"/>
          <cell r="N2">
            <v>8</v>
          </cell>
          <cell r="O2">
            <v>65</v>
          </cell>
          <cell r="P2">
            <v>3</v>
          </cell>
          <cell r="Q2">
            <v>0</v>
          </cell>
          <cell r="R2" t="str">
            <v>Total grain no. ear-1</v>
          </cell>
          <cell r="S2">
            <v>25.81</v>
          </cell>
          <cell r="T2" t="str">
            <v>32.8113430512219</v>
          </cell>
          <cell r="U2" t="str">
            <v>0.861825109219095</v>
          </cell>
        </row>
        <row r="3">
          <cell r="B3" t="str">
            <v>2012-118yangmai1852004OTC</v>
          </cell>
          <cell r="C3" t="str">
            <v>2012-118</v>
          </cell>
          <cell r="D3" t="str">
            <v>Wang</v>
          </cell>
          <cell r="E3" t="str">
            <v>China</v>
          </cell>
          <cell r="F3" t="str">
            <v>wheat</v>
          </cell>
          <cell r="G3" t="str">
            <v>yangmai185</v>
          </cell>
          <cell r="H3">
            <v>2004</v>
          </cell>
          <cell r="I3" t="str">
            <v>OTC</v>
          </cell>
          <cell r="J3" t="str">
            <v>field</v>
          </cell>
          <cell r="K3" t="str">
            <v>NF</v>
          </cell>
          <cell r="L3">
            <v>3.82</v>
          </cell>
          <cell r="M3"/>
          <cell r="N3">
            <v>8</v>
          </cell>
          <cell r="O3">
            <v>65</v>
          </cell>
          <cell r="P3">
            <v>3</v>
          </cell>
          <cell r="Q3">
            <v>3.82</v>
          </cell>
          <cell r="R3" t="str">
            <v>Total grain no. ear-1</v>
          </cell>
          <cell r="S3">
            <v>27.82</v>
          </cell>
          <cell r="T3" t="str">
            <v>32.8113430512219</v>
          </cell>
          <cell r="U3" t="str">
            <v>0.928941283939374</v>
          </cell>
        </row>
        <row r="4">
          <cell r="B4" t="str">
            <v>2012-118yangmai1852004OTC</v>
          </cell>
          <cell r="C4" t="str">
            <v>2012-118</v>
          </cell>
          <cell r="D4" t="str">
            <v>Wang</v>
          </cell>
          <cell r="E4" t="str">
            <v>China</v>
          </cell>
          <cell r="F4" t="str">
            <v>wheat</v>
          </cell>
          <cell r="G4" t="str">
            <v>yangmai185</v>
          </cell>
          <cell r="H4">
            <v>2004</v>
          </cell>
          <cell r="I4" t="str">
            <v>OTC</v>
          </cell>
          <cell r="J4" t="str">
            <v>field</v>
          </cell>
          <cell r="K4" t="str">
            <v>EO3-1</v>
          </cell>
          <cell r="L4">
            <v>22.61</v>
          </cell>
          <cell r="M4"/>
          <cell r="N4">
            <v>8</v>
          </cell>
          <cell r="O4">
            <v>65</v>
          </cell>
          <cell r="P4">
            <v>3</v>
          </cell>
          <cell r="Q4">
            <v>22.61</v>
          </cell>
          <cell r="R4" t="str">
            <v>Total grain no. ear-1</v>
          </cell>
          <cell r="S4">
            <v>23.37</v>
          </cell>
          <cell r="T4" t="str">
            <v>32.8113430512219</v>
          </cell>
          <cell r="U4" t="str">
            <v>0.780350747867116</v>
          </cell>
        </row>
        <row r="5">
          <cell r="B5" t="str">
            <v>2012-118jia0022006OTC</v>
          </cell>
          <cell r="C5" t="str">
            <v>2012-118</v>
          </cell>
          <cell r="D5" t="str">
            <v>Wang</v>
          </cell>
          <cell r="E5" t="str">
            <v>China</v>
          </cell>
          <cell r="F5" t="str">
            <v>wheat</v>
          </cell>
          <cell r="G5" t="str">
            <v>jia002</v>
          </cell>
          <cell r="H5">
            <v>2006</v>
          </cell>
          <cell r="I5" t="str">
            <v>OTC</v>
          </cell>
          <cell r="J5" t="str">
            <v>field</v>
          </cell>
          <cell r="K5" t="str">
            <v>CF</v>
          </cell>
          <cell r="L5">
            <v>0</v>
          </cell>
          <cell r="M5"/>
          <cell r="N5">
            <v>8</v>
          </cell>
          <cell r="O5">
            <v>47</v>
          </cell>
          <cell r="P5">
            <v>3</v>
          </cell>
          <cell r="Q5">
            <v>0</v>
          </cell>
          <cell r="R5" t="str">
            <v>Total grain no. ear-1</v>
          </cell>
          <cell r="S5">
            <v>46.9</v>
          </cell>
          <cell r="T5" t="str">
            <v>47.7702044835892</v>
          </cell>
          <cell r="U5" t="str">
            <v>1.0756497694098</v>
          </cell>
        </row>
        <row r="6">
          <cell r="B6" t="str">
            <v>2012-118jia0022006OTC</v>
          </cell>
          <cell r="C6" t="str">
            <v>2012-118</v>
          </cell>
          <cell r="D6" t="str">
            <v>Wang</v>
          </cell>
          <cell r="E6" t="str">
            <v>China</v>
          </cell>
          <cell r="F6" t="str">
            <v>wheat</v>
          </cell>
          <cell r="G6" t="str">
            <v>jia002</v>
          </cell>
          <cell r="H6">
            <v>2006</v>
          </cell>
          <cell r="I6" t="str">
            <v>OTC</v>
          </cell>
          <cell r="J6" t="str">
            <v>field</v>
          </cell>
          <cell r="K6" t="str">
            <v>NF</v>
          </cell>
          <cell r="L6">
            <v>2.5</v>
          </cell>
          <cell r="M6"/>
          <cell r="N6">
            <v>8</v>
          </cell>
          <cell r="O6">
            <v>47</v>
          </cell>
          <cell r="P6">
            <v>3</v>
          </cell>
          <cell r="Q6">
            <v>2.5</v>
          </cell>
          <cell r="R6" t="str">
            <v>Total grain no. ear-1</v>
          </cell>
          <cell r="S6">
            <v>46.24</v>
          </cell>
          <cell r="T6" t="str">
            <v>47.7702044835892</v>
          </cell>
          <cell r="U6" t="str">
            <v>1.06051269376353</v>
          </cell>
        </row>
        <row r="7">
          <cell r="B7" t="str">
            <v>2012-118jia0022006OTC</v>
          </cell>
          <cell r="C7" t="str">
            <v>2012-118</v>
          </cell>
          <cell r="D7" t="str">
            <v>Wang</v>
          </cell>
          <cell r="E7" t="str">
            <v>China</v>
          </cell>
          <cell r="F7" t="str">
            <v>wheat</v>
          </cell>
          <cell r="G7" t="str">
            <v>jia002</v>
          </cell>
          <cell r="H7">
            <v>2006</v>
          </cell>
          <cell r="I7" t="str">
            <v>OTC</v>
          </cell>
          <cell r="J7" t="str">
            <v>field</v>
          </cell>
          <cell r="K7" t="str">
            <v>EO3-1</v>
          </cell>
          <cell r="L7">
            <v>14.27</v>
          </cell>
          <cell r="M7"/>
          <cell r="N7">
            <v>8</v>
          </cell>
          <cell r="O7">
            <v>47</v>
          </cell>
          <cell r="P7">
            <v>3</v>
          </cell>
          <cell r="Q7">
            <v>14.27</v>
          </cell>
          <cell r="R7" t="str">
            <v>Total grain no. ear-1</v>
          </cell>
          <cell r="S7">
            <v>33.5</v>
          </cell>
          <cell r="T7" t="str">
            <v>47.7702044835892</v>
          </cell>
          <cell r="U7" t="str">
            <v>0.768321263864146</v>
          </cell>
        </row>
        <row r="8">
          <cell r="B8" t="str">
            <v>2012-118jia0022006OTC</v>
          </cell>
          <cell r="C8" t="str">
            <v>2012-118</v>
          </cell>
          <cell r="D8" t="str">
            <v>Wang</v>
          </cell>
          <cell r="E8" t="str">
            <v>China</v>
          </cell>
          <cell r="F8" t="str">
            <v>wheat</v>
          </cell>
          <cell r="G8" t="str">
            <v>jia002</v>
          </cell>
          <cell r="H8">
            <v>2006</v>
          </cell>
          <cell r="I8" t="str">
            <v>OTC</v>
          </cell>
          <cell r="J8" t="str">
            <v>field</v>
          </cell>
          <cell r="K8" t="str">
            <v>EO3-2</v>
          </cell>
          <cell r="L8">
            <v>24.22</v>
          </cell>
          <cell r="M8"/>
          <cell r="N8">
            <v>8</v>
          </cell>
          <cell r="O8">
            <v>47</v>
          </cell>
          <cell r="P8">
            <v>3</v>
          </cell>
          <cell r="Q8">
            <v>24.22</v>
          </cell>
          <cell r="R8" t="str">
            <v>Total grain no. ear-1</v>
          </cell>
          <cell r="S8">
            <v>24.13</v>
          </cell>
          <cell r="T8" t="str">
            <v>47.7702044835892</v>
          </cell>
          <cell r="U8" t="str">
            <v>0.553420659613189</v>
          </cell>
        </row>
        <row r="9">
          <cell r="B9" t="str">
            <v>2012-118jia0022007OTC</v>
          </cell>
          <cell r="C9" t="str">
            <v>2012-118</v>
          </cell>
          <cell r="D9" t="str">
            <v>Wang</v>
          </cell>
          <cell r="E9" t="str">
            <v>China</v>
          </cell>
          <cell r="F9" t="str">
            <v>wheat</v>
          </cell>
          <cell r="G9" t="str">
            <v>jia002</v>
          </cell>
          <cell r="H9">
            <v>2007</v>
          </cell>
          <cell r="I9" t="str">
            <v>OTC</v>
          </cell>
          <cell r="J9" t="str">
            <v>field</v>
          </cell>
          <cell r="K9" t="str">
            <v>CF</v>
          </cell>
          <cell r="L9">
            <v>0</v>
          </cell>
          <cell r="M9"/>
          <cell r="N9">
            <v>8</v>
          </cell>
          <cell r="O9">
            <v>55</v>
          </cell>
          <cell r="P9">
            <v>3</v>
          </cell>
          <cell r="Q9">
            <v>0</v>
          </cell>
          <cell r="R9" t="str">
            <v>Total grain no. ear-1</v>
          </cell>
          <cell r="S9">
            <v>39.409999999999997</v>
          </cell>
          <cell r="T9" t="str">
            <v>43.2153414436767</v>
          </cell>
          <cell r="U9" t="str">
            <v>0.999133756561824</v>
          </cell>
        </row>
        <row r="10">
          <cell r="B10" t="str">
            <v>2012-118jia0022007OTC</v>
          </cell>
          <cell r="C10" t="str">
            <v>2012-118</v>
          </cell>
          <cell r="D10" t="str">
            <v>Wang</v>
          </cell>
          <cell r="E10" t="str">
            <v>China</v>
          </cell>
          <cell r="F10" t="str">
            <v>wheat</v>
          </cell>
          <cell r="G10" t="str">
            <v>jia002</v>
          </cell>
          <cell r="H10">
            <v>2007</v>
          </cell>
          <cell r="I10" t="str">
            <v>OTC</v>
          </cell>
          <cell r="J10" t="str">
            <v>field</v>
          </cell>
          <cell r="K10" t="str">
            <v>NF</v>
          </cell>
          <cell r="L10">
            <v>0.21</v>
          </cell>
          <cell r="M10"/>
          <cell r="N10">
            <v>8</v>
          </cell>
          <cell r="O10">
            <v>55</v>
          </cell>
          <cell r="P10">
            <v>3</v>
          </cell>
          <cell r="Q10">
            <v>0.21</v>
          </cell>
          <cell r="R10" t="str">
            <v>Total grain no. ear-1</v>
          </cell>
          <cell r="S10">
            <v>40.58</v>
          </cell>
          <cell r="T10" t="str">
            <v>43.2153414436767</v>
          </cell>
          <cell r="U10" t="str">
            <v>1.02879593608929</v>
          </cell>
        </row>
        <row r="11">
          <cell r="B11" t="str">
            <v>2012-118jia0022007OTC</v>
          </cell>
          <cell r="C11" t="str">
            <v>2012-118</v>
          </cell>
          <cell r="D11" t="str">
            <v>Wang</v>
          </cell>
          <cell r="E11" t="str">
            <v>China</v>
          </cell>
          <cell r="F11" t="str">
            <v>wheat</v>
          </cell>
          <cell r="G11" t="str">
            <v>jia002</v>
          </cell>
          <cell r="H11">
            <v>2007</v>
          </cell>
          <cell r="I11" t="str">
            <v>OTC</v>
          </cell>
          <cell r="J11" t="str">
            <v>field</v>
          </cell>
          <cell r="K11" t="str">
            <v>EO3-1</v>
          </cell>
          <cell r="L11">
            <v>1.58</v>
          </cell>
          <cell r="M11"/>
          <cell r="N11">
            <v>8</v>
          </cell>
          <cell r="O11">
            <v>55</v>
          </cell>
          <cell r="P11">
            <v>3</v>
          </cell>
          <cell r="Q11">
            <v>1.58</v>
          </cell>
          <cell r="R11" t="str">
            <v>Total grain no. ear-1</v>
          </cell>
          <cell r="S11">
            <v>36.590000000000003</v>
          </cell>
          <cell r="T11" t="str">
            <v>43.2153414436767</v>
          </cell>
          <cell r="U11" t="str">
            <v>0.927640298213579</v>
          </cell>
        </row>
        <row r="12">
          <cell r="B12" t="str">
            <v>2012-118jia0022007OTC</v>
          </cell>
          <cell r="C12" t="str">
            <v>2012-118</v>
          </cell>
          <cell r="D12" t="str">
            <v>Wang</v>
          </cell>
          <cell r="E12" t="str">
            <v>China</v>
          </cell>
          <cell r="F12" t="str">
            <v>wheat</v>
          </cell>
          <cell r="G12" t="str">
            <v>jia002</v>
          </cell>
          <cell r="H12">
            <v>2007</v>
          </cell>
          <cell r="I12" t="str">
            <v>OTC</v>
          </cell>
          <cell r="J12" t="str">
            <v>field</v>
          </cell>
          <cell r="K12" t="str">
            <v>EO3-2</v>
          </cell>
          <cell r="L12">
            <v>9.17</v>
          </cell>
          <cell r="M12"/>
          <cell r="N12">
            <v>8</v>
          </cell>
          <cell r="O12">
            <v>55</v>
          </cell>
          <cell r="P12">
            <v>3</v>
          </cell>
          <cell r="Q12">
            <v>9.17</v>
          </cell>
          <cell r="R12" t="str">
            <v>Total grain no. ear-1</v>
          </cell>
          <cell r="S12">
            <v>32.39</v>
          </cell>
          <cell r="T12" t="str">
            <v>43.2153414436767</v>
          </cell>
          <cell r="U12" t="str">
            <v>0.821160679397044</v>
          </cell>
        </row>
        <row r="13">
          <cell r="B13" t="str">
            <v>2012-118jia0022008OTC</v>
          </cell>
          <cell r="C13" t="str">
            <v>2012-118</v>
          </cell>
          <cell r="D13" t="str">
            <v>Wang</v>
          </cell>
          <cell r="E13" t="str">
            <v>China</v>
          </cell>
          <cell r="F13" t="str">
            <v>wheat</v>
          </cell>
          <cell r="G13" t="str">
            <v>jia002</v>
          </cell>
          <cell r="H13">
            <v>2008</v>
          </cell>
          <cell r="I13" t="str">
            <v>OTC</v>
          </cell>
          <cell r="J13" t="str">
            <v>field</v>
          </cell>
          <cell r="K13" t="str">
            <v>CF</v>
          </cell>
          <cell r="L13">
            <v>0.1</v>
          </cell>
          <cell r="M13"/>
          <cell r="N13">
            <v>8</v>
          </cell>
          <cell r="O13">
            <v>55</v>
          </cell>
          <cell r="P13">
            <v>3</v>
          </cell>
          <cell r="Q13">
            <v>0.1</v>
          </cell>
          <cell r="R13" t="str">
            <v>Total grain no. ear-1</v>
          </cell>
          <cell r="S13">
            <v>36.549999999999997</v>
          </cell>
          <cell r="T13" t="str">
            <v>38.8165498939404</v>
          </cell>
          <cell r="U13" t="str">
            <v>1.0316338782953</v>
          </cell>
        </row>
        <row r="14">
          <cell r="B14" t="str">
            <v>2012-118jia0022008OTC</v>
          </cell>
          <cell r="C14" t="str">
            <v>2012-118</v>
          </cell>
          <cell r="D14" t="str">
            <v>Wang</v>
          </cell>
          <cell r="E14" t="str">
            <v>China</v>
          </cell>
          <cell r="F14" t="str">
            <v>wheat</v>
          </cell>
          <cell r="G14" t="str">
            <v>jia002</v>
          </cell>
          <cell r="H14">
            <v>2008</v>
          </cell>
          <cell r="I14" t="str">
            <v>OTC</v>
          </cell>
          <cell r="J14" t="str">
            <v>field</v>
          </cell>
          <cell r="K14" t="str">
            <v>NF</v>
          </cell>
          <cell r="L14">
            <v>0.15</v>
          </cell>
          <cell r="M14"/>
          <cell r="N14">
            <v>8</v>
          </cell>
          <cell r="O14">
            <v>55</v>
          </cell>
          <cell r="P14">
            <v>3</v>
          </cell>
          <cell r="Q14">
            <v>0.15</v>
          </cell>
          <cell r="R14" t="str">
            <v>Total grain no. ear-1</v>
          </cell>
          <cell r="S14">
            <v>35.5</v>
          </cell>
          <cell r="T14" t="str">
            <v>38.8165498939404</v>
          </cell>
          <cell r="U14" t="str">
            <v>1.00199733733196</v>
          </cell>
        </row>
        <row r="15">
          <cell r="B15" t="str">
            <v>2012-118jia0022008OTC</v>
          </cell>
          <cell r="C15" t="str">
            <v>2012-118</v>
          </cell>
          <cell r="D15" t="str">
            <v>Wang</v>
          </cell>
          <cell r="E15" t="str">
            <v>China</v>
          </cell>
          <cell r="F15" t="str">
            <v>wheat</v>
          </cell>
          <cell r="G15" t="str">
            <v>jia002</v>
          </cell>
          <cell r="H15">
            <v>2008</v>
          </cell>
          <cell r="I15" t="str">
            <v>OTC</v>
          </cell>
          <cell r="J15" t="str">
            <v>field</v>
          </cell>
          <cell r="K15" t="str">
            <v>EO3-1</v>
          </cell>
          <cell r="L15">
            <v>15.32</v>
          </cell>
          <cell r="M15"/>
          <cell r="N15">
            <v>8</v>
          </cell>
          <cell r="O15">
            <v>55</v>
          </cell>
          <cell r="P15">
            <v>3</v>
          </cell>
          <cell r="Q15">
            <v>15.32</v>
          </cell>
          <cell r="R15" t="str">
            <v>Total grain no. ear-1</v>
          </cell>
          <cell r="S15">
            <v>27.49</v>
          </cell>
          <cell r="T15" t="str">
            <v>38.8165498939404</v>
          </cell>
          <cell r="U15" t="str">
            <v>0.775912867697339</v>
          </cell>
        </row>
        <row r="16">
          <cell r="B16" t="str">
            <v>2012-118jia0022008OTC</v>
          </cell>
          <cell r="C16" t="str">
            <v>2012-118</v>
          </cell>
          <cell r="D16" t="str">
            <v>Wang</v>
          </cell>
          <cell r="E16" t="str">
            <v>China</v>
          </cell>
          <cell r="F16" t="str">
            <v>wheat</v>
          </cell>
          <cell r="G16" t="str">
            <v>jia002</v>
          </cell>
          <cell r="H16">
            <v>2008</v>
          </cell>
          <cell r="I16" t="str">
            <v>OTC</v>
          </cell>
          <cell r="J16" t="str">
            <v>field</v>
          </cell>
          <cell r="K16" t="str">
            <v>EO3-2</v>
          </cell>
          <cell r="L16">
            <v>27.67</v>
          </cell>
          <cell r="M16"/>
          <cell r="N16">
            <v>8</v>
          </cell>
          <cell r="O16">
            <v>55</v>
          </cell>
          <cell r="P16">
            <v>3</v>
          </cell>
          <cell r="Q16">
            <v>27.67</v>
          </cell>
          <cell r="R16" t="str">
            <v>Total grain no. ear-1</v>
          </cell>
          <cell r="S16">
            <v>21.44</v>
          </cell>
          <cell r="T16" t="str">
            <v>38.8165498939404</v>
          </cell>
          <cell r="U16" t="str">
            <v>0.605149941194287</v>
          </cell>
        </row>
        <row r="17">
          <cell r="B17" t="str">
            <v>2011-133Y152007FACE</v>
          </cell>
          <cell r="C17" t="str">
            <v>2011-133</v>
          </cell>
          <cell r="D17" t="str">
            <v>Zhu</v>
          </cell>
          <cell r="E17" t="str">
            <v>China</v>
          </cell>
          <cell r="F17" t="str">
            <v>wheat</v>
          </cell>
          <cell r="G17" t="str">
            <v>Y15</v>
          </cell>
          <cell r="H17">
            <v>2007</v>
          </cell>
          <cell r="I17" t="str">
            <v>FACE</v>
          </cell>
          <cell r="J17" t="str">
            <v>field</v>
          </cell>
          <cell r="K17" t="str">
            <v>NF</v>
          </cell>
          <cell r="L17">
            <v>7.27</v>
          </cell>
          <cell r="M17">
            <v>46.4</v>
          </cell>
          <cell r="N17">
            <v>7</v>
          </cell>
          <cell r="O17">
            <v>75</v>
          </cell>
          <cell r="P17">
            <v>3</v>
          </cell>
          <cell r="Q17">
            <v>7.27</v>
          </cell>
          <cell r="R17" t="str">
            <v>Total grain no. ear-1</v>
          </cell>
          <cell r="S17">
            <v>32.535211267605597</v>
          </cell>
          <cell r="T17" t="str">
            <v>43.3931904525268</v>
          </cell>
          <cell r="U17" t="str">
            <v>0.821461463818822</v>
          </cell>
        </row>
        <row r="18">
          <cell r="B18" t="str">
            <v>2011-133Y152007FACE</v>
          </cell>
          <cell r="C18" t="str">
            <v>2011-133</v>
          </cell>
          <cell r="D18" t="str">
            <v>Zhu</v>
          </cell>
          <cell r="E18" t="str">
            <v>China</v>
          </cell>
          <cell r="F18" t="str">
            <v>wheat</v>
          </cell>
          <cell r="G18" t="str">
            <v>Y15</v>
          </cell>
          <cell r="H18">
            <v>2007</v>
          </cell>
          <cell r="I18" t="str">
            <v>FACE</v>
          </cell>
          <cell r="J18" t="str">
            <v>field</v>
          </cell>
          <cell r="K18" t="str">
            <v>EO3</v>
          </cell>
          <cell r="L18">
            <v>13.8865</v>
          </cell>
          <cell r="M18">
            <v>56.9</v>
          </cell>
          <cell r="N18">
            <v>7</v>
          </cell>
          <cell r="O18">
            <v>75</v>
          </cell>
          <cell r="P18">
            <v>3</v>
          </cell>
          <cell r="Q18">
            <v>13.8865</v>
          </cell>
          <cell r="R18" t="str">
            <v>Total grain no. ear-1</v>
          </cell>
          <cell r="S18">
            <v>31.8779342723005</v>
          </cell>
          <cell r="T18" t="str">
            <v>43.3931904525268</v>
          </cell>
          <cell r="U18" t="str">
            <v>0.804866282731575</v>
          </cell>
        </row>
        <row r="19">
          <cell r="B19" t="str">
            <v>2011-133Y162007FACE</v>
          </cell>
          <cell r="C19" t="str">
            <v>2011-133</v>
          </cell>
          <cell r="D19" t="str">
            <v>Zhu</v>
          </cell>
          <cell r="E19" t="str">
            <v>China</v>
          </cell>
          <cell r="F19" t="str">
            <v>wheat</v>
          </cell>
          <cell r="G19" t="str">
            <v>Y16</v>
          </cell>
          <cell r="H19">
            <v>2007</v>
          </cell>
          <cell r="I19" t="str">
            <v>FACE</v>
          </cell>
          <cell r="J19" t="str">
            <v>field</v>
          </cell>
          <cell r="K19" t="str">
            <v>NF</v>
          </cell>
          <cell r="L19">
            <v>7.75</v>
          </cell>
          <cell r="M19">
            <v>46.4</v>
          </cell>
          <cell r="N19">
            <v>7</v>
          </cell>
          <cell r="O19">
            <v>75</v>
          </cell>
          <cell r="P19">
            <v>3</v>
          </cell>
          <cell r="Q19">
            <v>7.75</v>
          </cell>
          <cell r="R19" t="str">
            <v>Total grain no. ear-1</v>
          </cell>
          <cell r="S19">
            <v>44.037558685446001</v>
          </cell>
          <cell r="T19" t="str">
            <v>59.8707409466797</v>
          </cell>
          <cell r="U19" t="str">
            <v>0.805867698018823</v>
          </cell>
        </row>
        <row r="20">
          <cell r="B20" t="str">
            <v>2011-133Y162007FACE</v>
          </cell>
          <cell r="C20" t="str">
            <v>2011-133</v>
          </cell>
          <cell r="D20" t="str">
            <v>Zhu</v>
          </cell>
          <cell r="E20" t="str">
            <v>China</v>
          </cell>
          <cell r="F20" t="str">
            <v>wheat</v>
          </cell>
          <cell r="G20" t="str">
            <v>Y16</v>
          </cell>
          <cell r="H20">
            <v>2007</v>
          </cell>
          <cell r="I20" t="str">
            <v>FACE</v>
          </cell>
          <cell r="J20" t="str">
            <v>field</v>
          </cell>
          <cell r="K20" t="str">
            <v>EO3</v>
          </cell>
          <cell r="L20">
            <v>14.6637</v>
          </cell>
          <cell r="M20">
            <v>56.9</v>
          </cell>
          <cell r="N20">
            <v>7</v>
          </cell>
          <cell r="O20">
            <v>75</v>
          </cell>
          <cell r="P20">
            <v>3</v>
          </cell>
          <cell r="Q20">
            <v>14.6637</v>
          </cell>
          <cell r="R20" t="str">
            <v>Total grain no. ear-1</v>
          </cell>
          <cell r="S20">
            <v>44.037558685446001</v>
          </cell>
          <cell r="T20" t="str">
            <v>59.8707409466797</v>
          </cell>
          <cell r="U20" t="str">
            <v>0.805867698018823</v>
          </cell>
        </row>
        <row r="21">
          <cell r="B21" t="str">
            <v>2011-133Y192007FACE</v>
          </cell>
          <cell r="C21" t="str">
            <v>2011-133</v>
          </cell>
          <cell r="D21" t="str">
            <v>Zhu</v>
          </cell>
          <cell r="E21" t="str">
            <v>China</v>
          </cell>
          <cell r="F21" t="str">
            <v>wheat</v>
          </cell>
          <cell r="G21" t="str">
            <v>Y19</v>
          </cell>
          <cell r="H21">
            <v>2007</v>
          </cell>
          <cell r="I21" t="str">
            <v>FACE</v>
          </cell>
          <cell r="J21" t="str">
            <v>field</v>
          </cell>
          <cell r="K21" t="str">
            <v>NF</v>
          </cell>
          <cell r="L21">
            <v>8.4130000000000003</v>
          </cell>
          <cell r="M21">
            <v>46.4</v>
          </cell>
          <cell r="N21">
            <v>7</v>
          </cell>
          <cell r="O21">
            <v>75</v>
          </cell>
          <cell r="P21">
            <v>3</v>
          </cell>
          <cell r="Q21">
            <v>8.4130000000000003</v>
          </cell>
          <cell r="R21" t="str">
            <v>Total grain no. ear-1</v>
          </cell>
          <cell r="S21">
            <v>36.478873239436602</v>
          </cell>
          <cell r="T21" t="str">
            <v>50.7343075991647</v>
          </cell>
          <cell r="U21" t="str">
            <v>0.7877616303694</v>
          </cell>
        </row>
        <row r="22">
          <cell r="B22" t="str">
            <v>2011-133Y192007FACE</v>
          </cell>
          <cell r="C22" t="str">
            <v>2011-133</v>
          </cell>
          <cell r="D22" t="str">
            <v>Zhu</v>
          </cell>
          <cell r="E22" t="str">
            <v>China</v>
          </cell>
          <cell r="F22" t="str">
            <v>wheat</v>
          </cell>
          <cell r="G22" t="str">
            <v>Y19</v>
          </cell>
          <cell r="H22">
            <v>2007</v>
          </cell>
          <cell r="I22" t="str">
            <v>FACE</v>
          </cell>
          <cell r="J22" t="str">
            <v>field</v>
          </cell>
          <cell r="K22" t="str">
            <v>EO3</v>
          </cell>
          <cell r="L22">
            <v>15.313599999999999</v>
          </cell>
          <cell r="M22">
            <v>56.9</v>
          </cell>
          <cell r="N22">
            <v>7</v>
          </cell>
          <cell r="O22">
            <v>75</v>
          </cell>
          <cell r="P22">
            <v>3</v>
          </cell>
          <cell r="Q22">
            <v>15.313599999999999</v>
          </cell>
          <cell r="R22" t="str">
            <v>Total grain no. ear-1</v>
          </cell>
          <cell r="S22">
            <v>37.464788732394403</v>
          </cell>
          <cell r="T22" t="str">
            <v>50.7343075991647</v>
          </cell>
          <cell r="U22" t="str">
            <v>0.80905248524425</v>
          </cell>
        </row>
        <row r="23">
          <cell r="B23" t="str">
            <v>2011-133Y22007FACE</v>
          </cell>
          <cell r="C23" t="str">
            <v>2011-133</v>
          </cell>
          <cell r="D23" t="str">
            <v>Zhu</v>
          </cell>
          <cell r="E23" t="str">
            <v>China</v>
          </cell>
          <cell r="F23" t="str">
            <v>wheat</v>
          </cell>
          <cell r="G23" t="str">
            <v>Y2</v>
          </cell>
          <cell r="H23">
            <v>2007</v>
          </cell>
          <cell r="I23" t="str">
            <v>FACE</v>
          </cell>
          <cell r="J23" t="str">
            <v>field</v>
          </cell>
          <cell r="K23" t="str">
            <v>NF</v>
          </cell>
          <cell r="L23">
            <v>7.7503000000000002</v>
          </cell>
          <cell r="M23">
            <v>46.4</v>
          </cell>
          <cell r="N23">
            <v>7</v>
          </cell>
          <cell r="O23">
            <v>75</v>
          </cell>
          <cell r="P23">
            <v>3</v>
          </cell>
          <cell r="Q23">
            <v>7.7503000000000002</v>
          </cell>
          <cell r="R23" t="str">
            <v>Total grain no. ear-1</v>
          </cell>
          <cell r="S23">
            <v>40.751173708920199</v>
          </cell>
          <cell r="T23" t="str">
            <v>51.46518846582</v>
          </cell>
          <cell r="U23" t="str">
            <v>0.867524403363804</v>
          </cell>
        </row>
        <row r="24">
          <cell r="B24" t="str">
            <v>2011-133Y22007FACE</v>
          </cell>
          <cell r="C24" t="str">
            <v>2011-133</v>
          </cell>
          <cell r="D24" t="str">
            <v>Zhu</v>
          </cell>
          <cell r="E24" t="str">
            <v>China</v>
          </cell>
          <cell r="F24" t="str">
            <v>wheat</v>
          </cell>
          <cell r="G24" t="str">
            <v>Y2</v>
          </cell>
          <cell r="H24">
            <v>2007</v>
          </cell>
          <cell r="I24" t="str">
            <v>FACE</v>
          </cell>
          <cell r="J24" t="str">
            <v>field</v>
          </cell>
          <cell r="K24" t="str">
            <v>EO3</v>
          </cell>
          <cell r="L24">
            <v>14.6637</v>
          </cell>
          <cell r="M24">
            <v>56.9</v>
          </cell>
          <cell r="N24">
            <v>7</v>
          </cell>
          <cell r="O24">
            <v>75</v>
          </cell>
          <cell r="P24">
            <v>3</v>
          </cell>
          <cell r="Q24">
            <v>14.6637</v>
          </cell>
          <cell r="R24" t="str">
            <v>Total grain no. ear-1</v>
          </cell>
          <cell r="S24">
            <v>35.164319248826303</v>
          </cell>
          <cell r="T24" t="str">
            <v>51.46518846582</v>
          </cell>
          <cell r="U24" t="str">
            <v>0.748589606128444</v>
          </cell>
        </row>
        <row r="25">
          <cell r="B25" t="str">
            <v>2011-133Y152008FACE</v>
          </cell>
          <cell r="C25" t="str">
            <v>2011-133</v>
          </cell>
          <cell r="D25" t="str">
            <v>Zhu</v>
          </cell>
          <cell r="E25" t="str">
            <v>China</v>
          </cell>
          <cell r="F25" t="str">
            <v>wheat</v>
          </cell>
          <cell r="G25" t="str">
            <v>Y15</v>
          </cell>
          <cell r="H25">
            <v>2008</v>
          </cell>
          <cell r="I25" t="str">
            <v>FACE</v>
          </cell>
          <cell r="J25" t="str">
            <v>field</v>
          </cell>
          <cell r="K25" t="str">
            <v>NF</v>
          </cell>
          <cell r="L25">
            <v>8.2789999999999999</v>
          </cell>
          <cell r="M25">
            <v>46</v>
          </cell>
          <cell r="N25">
            <v>7</v>
          </cell>
          <cell r="O25">
            <v>75</v>
          </cell>
          <cell r="P25">
            <v>3</v>
          </cell>
          <cell r="Q25">
            <v>8.2789999999999999</v>
          </cell>
          <cell r="R25" t="str">
            <v>Total grain no. ear-1</v>
          </cell>
          <cell r="S25">
            <v>40.751173708920199</v>
          </cell>
          <cell r="T25" t="str">
            <v>55.0376125541717</v>
          </cell>
          <cell r="U25" t="str">
            <v>0.811214455820942</v>
          </cell>
        </row>
        <row r="26">
          <cell r="B26" t="str">
            <v>2011-133Y152008FACE</v>
          </cell>
          <cell r="C26" t="str">
            <v>2011-133</v>
          </cell>
          <cell r="D26" t="str">
            <v>Zhu</v>
          </cell>
          <cell r="E26" t="str">
            <v>China</v>
          </cell>
          <cell r="F26" t="str">
            <v>wheat</v>
          </cell>
          <cell r="G26" t="str">
            <v>Y15</v>
          </cell>
          <cell r="H26">
            <v>2008</v>
          </cell>
          <cell r="I26" t="str">
            <v>FACE</v>
          </cell>
          <cell r="J26" t="str">
            <v>field</v>
          </cell>
          <cell r="K26" t="str">
            <v>EO3</v>
          </cell>
          <cell r="L26">
            <v>16.7821</v>
          </cell>
          <cell r="M26">
            <v>57.6</v>
          </cell>
          <cell r="N26">
            <v>7</v>
          </cell>
          <cell r="O26">
            <v>75</v>
          </cell>
          <cell r="P26">
            <v>3</v>
          </cell>
          <cell r="Q26">
            <v>16.7821</v>
          </cell>
          <cell r="R26" t="str">
            <v>Total grain no. ear-1</v>
          </cell>
          <cell r="S26">
            <v>38.779342723004703</v>
          </cell>
          <cell r="T26" t="str">
            <v>55.0376125541717</v>
          </cell>
          <cell r="U26" t="str">
            <v>0.771962143442509</v>
          </cell>
        </row>
        <row r="27">
          <cell r="B27" t="str">
            <v>2011-133Y162008FACE</v>
          </cell>
          <cell r="C27" t="str">
            <v>2011-133</v>
          </cell>
          <cell r="D27" t="str">
            <v>Zhu</v>
          </cell>
          <cell r="E27" t="str">
            <v>China</v>
          </cell>
          <cell r="F27" t="str">
            <v>wheat</v>
          </cell>
          <cell r="G27" t="str">
            <v>Y16</v>
          </cell>
          <cell r="H27">
            <v>2008</v>
          </cell>
          <cell r="I27" t="str">
            <v>FACE</v>
          </cell>
          <cell r="J27" t="str">
            <v>field</v>
          </cell>
          <cell r="K27" t="str">
            <v>NF</v>
          </cell>
          <cell r="L27">
            <v>8.4710000000000001</v>
          </cell>
          <cell r="M27">
            <v>46</v>
          </cell>
          <cell r="N27">
            <v>7</v>
          </cell>
          <cell r="O27">
            <v>75</v>
          </cell>
          <cell r="P27">
            <v>3</v>
          </cell>
          <cell r="Q27">
            <v>8.4710000000000001</v>
          </cell>
          <cell r="R27" t="str">
            <v>Total grain no. ear-1</v>
          </cell>
          <cell r="S27">
            <v>45.680751173708899</v>
          </cell>
          <cell r="T27" t="str">
            <v>62.4015086044846</v>
          </cell>
          <cell r="U27" t="str">
            <v>0.802034949769918</v>
          </cell>
        </row>
        <row r="28">
          <cell r="B28" t="str">
            <v>2011-133Y162008FACE</v>
          </cell>
          <cell r="C28" t="str">
            <v>2011-133</v>
          </cell>
          <cell r="D28" t="str">
            <v>Zhu</v>
          </cell>
          <cell r="E28" t="str">
            <v>China</v>
          </cell>
          <cell r="F28" t="str">
            <v>wheat</v>
          </cell>
          <cell r="G28" t="str">
            <v>Y16</v>
          </cell>
          <cell r="H28">
            <v>2008</v>
          </cell>
          <cell r="I28" t="str">
            <v>FACE</v>
          </cell>
          <cell r="J28" t="str">
            <v>field</v>
          </cell>
          <cell r="K28" t="str">
            <v>EO3</v>
          </cell>
          <cell r="L28">
            <v>16.742999999999999</v>
          </cell>
          <cell r="M28">
            <v>57.6</v>
          </cell>
          <cell r="N28">
            <v>7</v>
          </cell>
          <cell r="O28">
            <v>75</v>
          </cell>
          <cell r="P28">
            <v>3</v>
          </cell>
          <cell r="Q28">
            <v>16.742999999999999</v>
          </cell>
          <cell r="R28" t="str">
            <v>Total grain no. ear-1</v>
          </cell>
          <cell r="S28">
            <v>44.366197183098599</v>
          </cell>
          <cell r="T28" t="str">
            <v>62.4015086044846</v>
          </cell>
          <cell r="U28" t="str">
            <v>0.778954807330496</v>
          </cell>
        </row>
        <row r="29">
          <cell r="B29" t="str">
            <v>2011-133Y192008FACE</v>
          </cell>
          <cell r="C29" t="str">
            <v>2011-133</v>
          </cell>
          <cell r="D29" t="str">
            <v>Zhu</v>
          </cell>
          <cell r="E29" t="str">
            <v>China</v>
          </cell>
          <cell r="F29" t="str">
            <v>wheat</v>
          </cell>
          <cell r="G29" t="str">
            <v>Y19</v>
          </cell>
          <cell r="H29">
            <v>2008</v>
          </cell>
          <cell r="I29" t="str">
            <v>FACE</v>
          </cell>
          <cell r="J29" t="str">
            <v>field</v>
          </cell>
          <cell r="K29" t="str">
            <v>NF</v>
          </cell>
          <cell r="L29">
            <v>9.1110000000000007</v>
          </cell>
          <cell r="M29">
            <v>46</v>
          </cell>
          <cell r="N29">
            <v>7</v>
          </cell>
          <cell r="O29">
            <v>75</v>
          </cell>
          <cell r="P29">
            <v>3</v>
          </cell>
          <cell r="Q29">
            <v>9.1110000000000007</v>
          </cell>
          <cell r="R29" t="str">
            <v>Total grain no. ear-1</v>
          </cell>
          <cell r="S29">
            <v>41.7370892018779</v>
          </cell>
          <cell r="T29" t="str">
            <v>55.0239360491946</v>
          </cell>
          <cell r="U29" t="str">
            <v>0.831047122059806</v>
          </cell>
        </row>
        <row r="30">
          <cell r="B30" t="str">
            <v>2011-133Y192008FACE</v>
          </cell>
          <cell r="C30" t="str">
            <v>2011-133</v>
          </cell>
          <cell r="D30" t="str">
            <v>Zhu</v>
          </cell>
          <cell r="E30" t="str">
            <v>China</v>
          </cell>
          <cell r="F30" t="str">
            <v>wheat</v>
          </cell>
          <cell r="G30" t="str">
            <v>Y19</v>
          </cell>
          <cell r="H30">
            <v>2008</v>
          </cell>
          <cell r="I30" t="str">
            <v>FACE</v>
          </cell>
          <cell r="J30" t="str">
            <v>field</v>
          </cell>
          <cell r="K30" t="str">
            <v>EO3</v>
          </cell>
          <cell r="L30">
            <v>17.272200000000002</v>
          </cell>
          <cell r="M30">
            <v>57.6</v>
          </cell>
          <cell r="N30">
            <v>7</v>
          </cell>
          <cell r="O30">
            <v>75</v>
          </cell>
          <cell r="P30">
            <v>3</v>
          </cell>
          <cell r="Q30">
            <v>17.272200000000002</v>
          </cell>
          <cell r="R30" t="str">
            <v>Total grain no. ear-1</v>
          </cell>
          <cell r="S30">
            <v>37.136150234741798</v>
          </cell>
          <cell r="T30" t="str">
            <v>55.0239360491946</v>
          </cell>
          <cell r="U30" t="str">
            <v>0.739435628289434</v>
          </cell>
        </row>
        <row r="31">
          <cell r="B31" t="str">
            <v>2011-133Y22008FACE</v>
          </cell>
          <cell r="C31" t="str">
            <v>2011-133</v>
          </cell>
          <cell r="D31" t="str">
            <v>Zhu</v>
          </cell>
          <cell r="E31" t="str">
            <v>China</v>
          </cell>
          <cell r="F31" t="str">
            <v>wheat</v>
          </cell>
          <cell r="G31" t="str">
            <v>Y2</v>
          </cell>
          <cell r="H31">
            <v>2008</v>
          </cell>
          <cell r="I31" t="str">
            <v>FACE</v>
          </cell>
          <cell r="J31" t="str">
            <v>field</v>
          </cell>
          <cell r="K31" t="str">
            <v>NF</v>
          </cell>
          <cell r="L31">
            <v>8.4710000000000001</v>
          </cell>
          <cell r="M31">
            <v>46</v>
          </cell>
          <cell r="N31">
            <v>7</v>
          </cell>
          <cell r="O31">
            <v>75</v>
          </cell>
          <cell r="P31">
            <v>3</v>
          </cell>
          <cell r="Q31">
            <v>8.4710000000000001</v>
          </cell>
          <cell r="R31" t="str">
            <v>Total grain no. ear-1</v>
          </cell>
          <cell r="S31">
            <v>41.408450704225402</v>
          </cell>
          <cell r="T31" t="str">
            <v>56.9399288296456</v>
          </cell>
          <cell r="U31" t="str">
            <v>0.796759421794518</v>
          </cell>
        </row>
        <row r="32">
          <cell r="B32" t="str">
            <v>2011-133Y22008FACE</v>
          </cell>
          <cell r="C32" t="str">
            <v>2011-133</v>
          </cell>
          <cell r="D32" t="str">
            <v>Zhu</v>
          </cell>
          <cell r="E32" t="str">
            <v>China</v>
          </cell>
          <cell r="F32" t="str">
            <v>wheat</v>
          </cell>
          <cell r="G32" t="str">
            <v>Y2</v>
          </cell>
          <cell r="H32">
            <v>2008</v>
          </cell>
          <cell r="I32" t="str">
            <v>FACE</v>
          </cell>
          <cell r="J32" t="str">
            <v>field</v>
          </cell>
          <cell r="K32" t="str">
            <v>EO3</v>
          </cell>
          <cell r="L32">
            <v>16.742999999999999</v>
          </cell>
          <cell r="M32">
            <v>57.6</v>
          </cell>
          <cell r="N32">
            <v>7</v>
          </cell>
          <cell r="O32">
            <v>75</v>
          </cell>
          <cell r="P32">
            <v>3</v>
          </cell>
          <cell r="Q32">
            <v>16.742999999999999</v>
          </cell>
          <cell r="R32" t="str">
            <v>Total grain no. ear-1</v>
          </cell>
          <cell r="S32">
            <v>40.751173708920199</v>
          </cell>
          <cell r="T32" t="str">
            <v>56.9399288296456</v>
          </cell>
          <cell r="U32" t="str">
            <v>0.784112446845398</v>
          </cell>
        </row>
        <row r="33">
          <cell r="B33" t="str">
            <v>2011-133Y152009FACE</v>
          </cell>
          <cell r="C33" t="str">
            <v>2011-133</v>
          </cell>
          <cell r="D33" t="str">
            <v>Zhu</v>
          </cell>
          <cell r="E33" t="str">
            <v>China</v>
          </cell>
          <cell r="F33" t="str">
            <v>wheat</v>
          </cell>
          <cell r="G33" t="str">
            <v>Y15</v>
          </cell>
          <cell r="H33">
            <v>2009</v>
          </cell>
          <cell r="I33" t="str">
            <v>FACE</v>
          </cell>
          <cell r="J33" t="str">
            <v>field</v>
          </cell>
          <cell r="K33" t="str">
            <v>NF</v>
          </cell>
          <cell r="L33">
            <v>6.6849999999999996</v>
          </cell>
          <cell r="M33">
            <v>44.6</v>
          </cell>
          <cell r="N33">
            <v>7</v>
          </cell>
          <cell r="O33">
            <v>75</v>
          </cell>
          <cell r="P33">
            <v>3</v>
          </cell>
          <cell r="Q33">
            <v>6.6849999999999996</v>
          </cell>
          <cell r="R33" t="str">
            <v>Total grain no. ear-1</v>
          </cell>
          <cell r="S33">
            <v>37.641509433962298</v>
          </cell>
          <cell r="T33" t="str">
            <v>50.7963584394246</v>
          </cell>
          <cell r="U33" t="str">
            <v>0.811875801926235</v>
          </cell>
        </row>
        <row r="34">
          <cell r="B34" t="str">
            <v>2011-133Y152009FACE</v>
          </cell>
          <cell r="C34" t="str">
            <v>2011-133</v>
          </cell>
          <cell r="D34" t="str">
            <v>Zhu</v>
          </cell>
          <cell r="E34" t="str">
            <v>China</v>
          </cell>
          <cell r="F34" t="str">
            <v>wheat</v>
          </cell>
          <cell r="G34" t="str">
            <v>Y15</v>
          </cell>
          <cell r="H34">
            <v>2009</v>
          </cell>
          <cell r="I34" t="str">
            <v>FACE</v>
          </cell>
          <cell r="J34" t="str">
            <v>field</v>
          </cell>
          <cell r="K34" t="str">
            <v>EO3</v>
          </cell>
          <cell r="L34">
            <v>14.805400000000001</v>
          </cell>
          <cell r="M34">
            <v>57.3</v>
          </cell>
          <cell r="N34">
            <v>7</v>
          </cell>
          <cell r="O34">
            <v>75</v>
          </cell>
          <cell r="P34">
            <v>3</v>
          </cell>
          <cell r="Q34">
            <v>14.805400000000001</v>
          </cell>
          <cell r="R34" t="str">
            <v>Total grain no. ear-1</v>
          </cell>
          <cell r="S34">
            <v>37.641509433962298</v>
          </cell>
          <cell r="T34" t="str">
            <v>50.7963584394246</v>
          </cell>
          <cell r="U34" t="str">
            <v>0.811875801926235</v>
          </cell>
        </row>
        <row r="35">
          <cell r="B35" t="str">
            <v>2011-133Y162009FACE</v>
          </cell>
          <cell r="C35" t="str">
            <v>2011-133</v>
          </cell>
          <cell r="D35" t="str">
            <v>Zhu</v>
          </cell>
          <cell r="E35" t="str">
            <v>China</v>
          </cell>
          <cell r="F35" t="str">
            <v>wheat</v>
          </cell>
          <cell r="G35" t="str">
            <v>Y16</v>
          </cell>
          <cell r="H35">
            <v>2009</v>
          </cell>
          <cell r="I35" t="str">
            <v>FACE</v>
          </cell>
          <cell r="J35" t="str">
            <v>field</v>
          </cell>
          <cell r="K35" t="str">
            <v>NF</v>
          </cell>
          <cell r="L35">
            <v>6.9059999999999997</v>
          </cell>
          <cell r="M35">
            <v>44.6</v>
          </cell>
          <cell r="N35">
            <v>7</v>
          </cell>
          <cell r="O35">
            <v>75</v>
          </cell>
          <cell r="P35">
            <v>3</v>
          </cell>
          <cell r="Q35">
            <v>6.9059999999999997</v>
          </cell>
          <cell r="R35" t="str">
            <v>Total grain no. ear-1</v>
          </cell>
          <cell r="S35">
            <v>39.292452830188701</v>
          </cell>
          <cell r="T35" t="str">
            <v>53.6794665566324</v>
          </cell>
          <cell r="U35" t="str">
            <v>0.801966256261613</v>
          </cell>
        </row>
        <row r="36">
          <cell r="B36" t="str">
            <v>2011-133Y162009FACE</v>
          </cell>
          <cell r="C36" t="str">
            <v>2011-133</v>
          </cell>
          <cell r="D36" t="str">
            <v>Zhu</v>
          </cell>
          <cell r="E36" t="str">
            <v>China</v>
          </cell>
          <cell r="F36" t="str">
            <v>wheat</v>
          </cell>
          <cell r="G36" t="str">
            <v>Y16</v>
          </cell>
          <cell r="H36">
            <v>2009</v>
          </cell>
          <cell r="I36" t="str">
            <v>FACE</v>
          </cell>
          <cell r="J36" t="str">
            <v>field</v>
          </cell>
          <cell r="K36" t="str">
            <v>EO3</v>
          </cell>
          <cell r="L36">
            <v>15.1297</v>
          </cell>
          <cell r="M36">
            <v>57.3</v>
          </cell>
          <cell r="N36">
            <v>7</v>
          </cell>
          <cell r="O36">
            <v>75</v>
          </cell>
          <cell r="P36">
            <v>3</v>
          </cell>
          <cell r="Q36">
            <v>15.1297</v>
          </cell>
          <cell r="R36" t="str">
            <v>Total grain no. ear-1</v>
          </cell>
          <cell r="S36">
            <v>39.9528301886793</v>
          </cell>
          <cell r="T36" t="str">
            <v>53.6794665566324</v>
          </cell>
          <cell r="U36" t="str">
            <v>0.815444680736598</v>
          </cell>
        </row>
        <row r="37">
          <cell r="B37" t="str">
            <v>2011-133Y192009FACE</v>
          </cell>
          <cell r="C37" t="str">
            <v>2011-133</v>
          </cell>
          <cell r="D37" t="str">
            <v>Zhu</v>
          </cell>
          <cell r="E37" t="str">
            <v>China</v>
          </cell>
          <cell r="F37" t="str">
            <v>wheat</v>
          </cell>
          <cell r="G37" t="str">
            <v>Y19</v>
          </cell>
          <cell r="H37">
            <v>2009</v>
          </cell>
          <cell r="I37" t="str">
            <v>FACE</v>
          </cell>
          <cell r="J37" t="str">
            <v>field</v>
          </cell>
          <cell r="K37" t="str">
            <v>NF</v>
          </cell>
          <cell r="L37">
            <v>7.8869999999999996</v>
          </cell>
          <cell r="M37">
            <v>44.6</v>
          </cell>
          <cell r="N37">
            <v>7</v>
          </cell>
          <cell r="O37">
            <v>75</v>
          </cell>
          <cell r="P37">
            <v>3</v>
          </cell>
          <cell r="Q37">
            <v>7.8869999999999996</v>
          </cell>
          <cell r="R37" t="str">
            <v>Total grain no. ear-1</v>
          </cell>
          <cell r="S37">
            <v>38.632075471698101</v>
          </cell>
          <cell r="T37" t="str">
            <v>51.7333792790652</v>
          </cell>
          <cell r="U37" t="str">
            <v>0.818148877698187</v>
          </cell>
        </row>
        <row r="38">
          <cell r="B38" t="str">
            <v>2011-133Y192009FACE</v>
          </cell>
          <cell r="C38" t="str">
            <v>2011-133</v>
          </cell>
          <cell r="D38" t="str">
            <v>Zhu</v>
          </cell>
          <cell r="E38" t="str">
            <v>China</v>
          </cell>
          <cell r="F38" t="str">
            <v>wheat</v>
          </cell>
          <cell r="G38" t="str">
            <v>Y19</v>
          </cell>
          <cell r="H38">
            <v>2009</v>
          </cell>
          <cell r="I38" t="str">
            <v>FACE</v>
          </cell>
          <cell r="J38" t="str">
            <v>field</v>
          </cell>
          <cell r="K38" t="str">
            <v>EO3</v>
          </cell>
          <cell r="L38">
            <v>15.508699999999999</v>
          </cell>
          <cell r="M38">
            <v>57.3</v>
          </cell>
          <cell r="N38">
            <v>7</v>
          </cell>
          <cell r="O38">
            <v>75</v>
          </cell>
          <cell r="P38">
            <v>3</v>
          </cell>
          <cell r="Q38">
            <v>15.508699999999999</v>
          </cell>
          <cell r="R38" t="str">
            <v>Total grain no. ear-1</v>
          </cell>
          <cell r="S38">
            <v>36.981132075471699</v>
          </cell>
          <cell r="T38" t="str">
            <v>51.7333792790652</v>
          </cell>
          <cell r="U38" t="str">
            <v>0.783185250446128</v>
          </cell>
        </row>
        <row r="39">
          <cell r="B39" t="str">
            <v>2011-133Y22009FACE</v>
          </cell>
          <cell r="C39" t="str">
            <v>2011-133</v>
          </cell>
          <cell r="D39" t="str">
            <v>Zhu</v>
          </cell>
          <cell r="E39" t="str">
            <v>China</v>
          </cell>
          <cell r="F39" t="str">
            <v>wheat</v>
          </cell>
          <cell r="G39" t="str">
            <v>Y2</v>
          </cell>
          <cell r="H39">
            <v>2009</v>
          </cell>
          <cell r="I39" t="str">
            <v>FACE</v>
          </cell>
          <cell r="J39" t="str">
            <v>field</v>
          </cell>
          <cell r="K39" t="str">
            <v>NF</v>
          </cell>
          <cell r="L39">
            <v>6.9059999999999997</v>
          </cell>
          <cell r="M39">
            <v>44.6</v>
          </cell>
          <cell r="N39">
            <v>7</v>
          </cell>
          <cell r="O39">
            <v>75</v>
          </cell>
          <cell r="P39">
            <v>3</v>
          </cell>
          <cell r="Q39">
            <v>6.9059999999999997</v>
          </cell>
          <cell r="R39" t="str">
            <v>Total grain no. ear-1</v>
          </cell>
          <cell r="S39">
            <v>37.971698113207601</v>
          </cell>
          <cell r="T39" t="str">
            <v>50.3138196048628</v>
          </cell>
          <cell r="U39" t="str">
            <v>0.826852182712045</v>
          </cell>
        </row>
        <row r="40">
          <cell r="B40" t="str">
            <v>2011-133Y22009FACE</v>
          </cell>
          <cell r="C40" t="str">
            <v>2011-133</v>
          </cell>
          <cell r="D40" t="str">
            <v>Zhu</v>
          </cell>
          <cell r="E40" t="str">
            <v>China</v>
          </cell>
          <cell r="F40" t="str">
            <v>wheat</v>
          </cell>
          <cell r="G40" t="str">
            <v>Y2</v>
          </cell>
          <cell r="H40">
            <v>2009</v>
          </cell>
          <cell r="I40" t="str">
            <v>FACE</v>
          </cell>
          <cell r="J40" t="str">
            <v>field</v>
          </cell>
          <cell r="K40" t="str">
            <v>EO3</v>
          </cell>
          <cell r="L40">
            <v>15.1297</v>
          </cell>
          <cell r="M40">
            <v>57.3</v>
          </cell>
          <cell r="N40">
            <v>7</v>
          </cell>
          <cell r="O40">
            <v>75</v>
          </cell>
          <cell r="P40">
            <v>3</v>
          </cell>
          <cell r="Q40">
            <v>15.1297</v>
          </cell>
          <cell r="R40" t="str">
            <v>Total grain no. ear-1</v>
          </cell>
          <cell r="S40">
            <v>36.320754716981099</v>
          </cell>
          <cell r="T40" t="str">
            <v>50.3138196048628</v>
          </cell>
          <cell r="U40" t="str">
            <v>0.790902087811519</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row>
        <row r="2">
          <cell r="B2" t="str">
            <v>2012-118yangmai1852004OTC</v>
          </cell>
          <cell r="C2" t="str">
            <v>2012-118</v>
          </cell>
          <cell r="D2" t="str">
            <v>Wang</v>
          </cell>
          <cell r="E2" t="str">
            <v>China</v>
          </cell>
          <cell r="F2" t="str">
            <v>wheat</v>
          </cell>
          <cell r="G2" t="str">
            <v>yangmai185</v>
          </cell>
          <cell r="H2">
            <v>2004</v>
          </cell>
          <cell r="I2" t="str">
            <v>OTC</v>
          </cell>
          <cell r="J2" t="str">
            <v>field</v>
          </cell>
          <cell r="K2" t="str">
            <v>CF</v>
          </cell>
          <cell r="L2">
            <v>0</v>
          </cell>
          <cell r="M2"/>
          <cell r="N2">
            <v>8</v>
          </cell>
          <cell r="O2">
            <v>65</v>
          </cell>
          <cell r="P2">
            <v>3</v>
          </cell>
          <cell r="Q2">
            <v>0</v>
          </cell>
          <cell r="R2" t="str">
            <v>ears no. plant-1</v>
          </cell>
          <cell r="S2">
            <v>436.98909432739902</v>
          </cell>
          <cell r="T2" t="str">
            <v>382.433692573767</v>
          </cell>
          <cell r="U2" t="str">
            <v>1.14265323064627</v>
          </cell>
        </row>
        <row r="3">
          <cell r="B3" t="str">
            <v>2012-118yangmai1852004OTC</v>
          </cell>
          <cell r="C3" t="str">
            <v>2012-118</v>
          </cell>
          <cell r="D3" t="str">
            <v>Wang</v>
          </cell>
          <cell r="E3" t="str">
            <v>China</v>
          </cell>
          <cell r="F3" t="str">
            <v>wheat</v>
          </cell>
          <cell r="G3" t="str">
            <v>yangmai185</v>
          </cell>
          <cell r="H3">
            <v>2004</v>
          </cell>
          <cell r="I3" t="str">
            <v>OTC</v>
          </cell>
          <cell r="J3" t="str">
            <v>field</v>
          </cell>
          <cell r="K3" t="str">
            <v>NF</v>
          </cell>
          <cell r="L3">
            <v>3.82</v>
          </cell>
          <cell r="M3"/>
          <cell r="N3">
            <v>8</v>
          </cell>
          <cell r="O3">
            <v>65</v>
          </cell>
          <cell r="P3">
            <v>3</v>
          </cell>
          <cell r="Q3">
            <v>3.82</v>
          </cell>
          <cell r="R3" t="str">
            <v>ears no. plant-1</v>
          </cell>
          <cell r="S3">
            <v>435.98246793905503</v>
          </cell>
          <cell r="T3" t="str">
            <v>382.433692573767</v>
          </cell>
          <cell r="U3" t="str">
            <v>1.14002107137817</v>
          </cell>
        </row>
        <row r="4">
          <cell r="B4" t="str">
            <v>2012-118yangmai1852004OTC</v>
          </cell>
          <cell r="C4" t="str">
            <v>2012-118</v>
          </cell>
          <cell r="D4" t="str">
            <v>Wang</v>
          </cell>
          <cell r="E4" t="str">
            <v>China</v>
          </cell>
          <cell r="F4" t="str">
            <v>wheat</v>
          </cell>
          <cell r="G4" t="str">
            <v>yangmai185</v>
          </cell>
          <cell r="H4">
            <v>2004</v>
          </cell>
          <cell r="I4" t="str">
            <v>OTC</v>
          </cell>
          <cell r="J4" t="str">
            <v>field</v>
          </cell>
          <cell r="K4" t="str">
            <v>EO3-1</v>
          </cell>
          <cell r="L4">
            <v>22.61</v>
          </cell>
          <cell r="M4"/>
          <cell r="N4">
            <v>8</v>
          </cell>
          <cell r="O4">
            <v>65</v>
          </cell>
          <cell r="P4">
            <v>3</v>
          </cell>
          <cell r="Q4">
            <v>22.61</v>
          </cell>
          <cell r="R4" t="str">
            <v>ears no. plant-1</v>
          </cell>
          <cell r="S4">
            <v>340.05219801239502</v>
          </cell>
          <cell r="T4" t="str">
            <v>382.433692573767</v>
          </cell>
          <cell r="U4" t="str">
            <v>0.889179495990151</v>
          </cell>
        </row>
        <row r="5">
          <cell r="B5" t="str">
            <v>2012-118jia0022006OTC</v>
          </cell>
          <cell r="C5" t="str">
            <v>2012-118</v>
          </cell>
          <cell r="D5" t="str">
            <v>Wang</v>
          </cell>
          <cell r="E5" t="str">
            <v>China</v>
          </cell>
          <cell r="F5" t="str">
            <v>wheat</v>
          </cell>
          <cell r="G5" t="str">
            <v>jia002</v>
          </cell>
          <cell r="H5">
            <v>2006</v>
          </cell>
          <cell r="I5" t="str">
            <v>OTC</v>
          </cell>
          <cell r="J5" t="str">
            <v>field</v>
          </cell>
          <cell r="K5" t="str">
            <v>CF</v>
          </cell>
          <cell r="L5">
            <v>0</v>
          </cell>
          <cell r="M5"/>
          <cell r="N5">
            <v>8</v>
          </cell>
          <cell r="O5">
            <v>47</v>
          </cell>
          <cell r="P5">
            <v>3</v>
          </cell>
          <cell r="Q5">
            <v>0</v>
          </cell>
          <cell r="R5" t="str">
            <v>ears no. plant-1</v>
          </cell>
          <cell r="S5">
            <v>346.346584697975</v>
          </cell>
          <cell r="T5" t="str">
            <v>408.658907266364</v>
          </cell>
          <cell r="U5" t="str">
            <v>0.847519969685197</v>
          </cell>
        </row>
        <row r="6">
          <cell r="B6" t="str">
            <v>2012-118jia0022006OTC</v>
          </cell>
          <cell r="C6" t="str">
            <v>2012-118</v>
          </cell>
          <cell r="D6" t="str">
            <v>Wang</v>
          </cell>
          <cell r="E6" t="str">
            <v>China</v>
          </cell>
          <cell r="F6" t="str">
            <v>wheat</v>
          </cell>
          <cell r="G6" t="str">
            <v>jia002</v>
          </cell>
          <cell r="H6">
            <v>2006</v>
          </cell>
          <cell r="I6" t="str">
            <v>OTC</v>
          </cell>
          <cell r="J6" t="str">
            <v>field</v>
          </cell>
          <cell r="K6" t="str">
            <v>NF</v>
          </cell>
          <cell r="L6">
            <v>2.5</v>
          </cell>
          <cell r="M6"/>
          <cell r="N6">
            <v>8</v>
          </cell>
          <cell r="O6">
            <v>47</v>
          </cell>
          <cell r="P6">
            <v>3</v>
          </cell>
          <cell r="Q6">
            <v>2.5</v>
          </cell>
          <cell r="R6" t="str">
            <v>ears no. plant-1</v>
          </cell>
          <cell r="S6">
            <v>364.82976232557098</v>
          </cell>
          <cell r="T6" t="str">
            <v>408.658907266364</v>
          </cell>
          <cell r="U6" t="str">
            <v>0.892748832433437</v>
          </cell>
        </row>
        <row r="7">
          <cell r="B7" t="str">
            <v>2012-118jia0022006OTC</v>
          </cell>
          <cell r="C7" t="str">
            <v>2012-118</v>
          </cell>
          <cell r="D7" t="str">
            <v>Wang</v>
          </cell>
          <cell r="E7" t="str">
            <v>China</v>
          </cell>
          <cell r="F7" t="str">
            <v>wheat</v>
          </cell>
          <cell r="G7" t="str">
            <v>jia002</v>
          </cell>
          <cell r="H7">
            <v>2006</v>
          </cell>
          <cell r="I7" t="str">
            <v>OTC</v>
          </cell>
          <cell r="J7" t="str">
            <v>field</v>
          </cell>
          <cell r="K7" t="str">
            <v>EO3-1</v>
          </cell>
          <cell r="L7">
            <v>14.27</v>
          </cell>
          <cell r="M7"/>
          <cell r="N7">
            <v>8</v>
          </cell>
          <cell r="O7">
            <v>47</v>
          </cell>
          <cell r="P7">
            <v>3</v>
          </cell>
          <cell r="Q7">
            <v>14.27</v>
          </cell>
          <cell r="R7" t="str">
            <v>ears no. plant-1</v>
          </cell>
          <cell r="S7">
            <v>442.08442807838998</v>
          </cell>
          <cell r="T7" t="str">
            <v>408.658907266364</v>
          </cell>
          <cell r="U7" t="str">
            <v>1.0817932026384</v>
          </cell>
        </row>
        <row r="8">
          <cell r="B8" t="str">
            <v>2012-118jia0022006OTC</v>
          </cell>
          <cell r="C8" t="str">
            <v>2012-118</v>
          </cell>
          <cell r="D8" t="str">
            <v>Wang</v>
          </cell>
          <cell r="E8" t="str">
            <v>China</v>
          </cell>
          <cell r="F8" t="str">
            <v>wheat</v>
          </cell>
          <cell r="G8" t="str">
            <v>jia002</v>
          </cell>
          <cell r="H8">
            <v>2006</v>
          </cell>
          <cell r="I8" t="str">
            <v>OTC</v>
          </cell>
          <cell r="J8" t="str">
            <v>field</v>
          </cell>
          <cell r="K8" t="str">
            <v>EO3-2</v>
          </cell>
          <cell r="L8">
            <v>24.22</v>
          </cell>
          <cell r="M8"/>
          <cell r="N8">
            <v>8</v>
          </cell>
          <cell r="O8">
            <v>47</v>
          </cell>
          <cell r="P8">
            <v>3</v>
          </cell>
          <cell r="Q8">
            <v>24.22</v>
          </cell>
          <cell r="R8" t="str">
            <v>ears no. plant-1</v>
          </cell>
          <cell r="S8">
            <v>627.23311790862601</v>
          </cell>
          <cell r="T8" t="str">
            <v>408.658907266364</v>
          </cell>
          <cell r="U8" t="str">
            <v>1.53485732662569</v>
          </cell>
        </row>
        <row r="9">
          <cell r="B9" t="str">
            <v>2012-118jia0022007OTC</v>
          </cell>
          <cell r="C9" t="str">
            <v>2012-118</v>
          </cell>
          <cell r="D9" t="str">
            <v>Wang</v>
          </cell>
          <cell r="E9" t="str">
            <v>China</v>
          </cell>
          <cell r="F9" t="str">
            <v>wheat</v>
          </cell>
          <cell r="G9" t="str">
            <v>jia002</v>
          </cell>
          <cell r="H9">
            <v>2007</v>
          </cell>
          <cell r="I9" t="str">
            <v>OTC</v>
          </cell>
          <cell r="J9" t="str">
            <v>field</v>
          </cell>
          <cell r="K9" t="str">
            <v>CF</v>
          </cell>
          <cell r="L9">
            <v>0</v>
          </cell>
          <cell r="M9"/>
          <cell r="N9">
            <v>8</v>
          </cell>
          <cell r="O9">
            <v>55</v>
          </cell>
          <cell r="P9">
            <v>3</v>
          </cell>
          <cell r="Q9">
            <v>0</v>
          </cell>
          <cell r="R9" t="str">
            <v>ears no. plant-1</v>
          </cell>
          <cell r="S9">
            <v>383.929814837631</v>
          </cell>
          <cell r="T9" t="str">
            <v>400.000191137762</v>
          </cell>
          <cell r="U9" t="str">
            <v>0.959824078447511</v>
          </cell>
        </row>
        <row r="10">
          <cell r="B10" t="str">
            <v>2012-118jia0022007OTC</v>
          </cell>
          <cell r="C10" t="str">
            <v>2012-118</v>
          </cell>
          <cell r="D10" t="str">
            <v>Wang</v>
          </cell>
          <cell r="E10" t="str">
            <v>China</v>
          </cell>
          <cell r="F10" t="str">
            <v>wheat</v>
          </cell>
          <cell r="G10" t="str">
            <v>jia002</v>
          </cell>
          <cell r="H10">
            <v>2007</v>
          </cell>
          <cell r="I10" t="str">
            <v>OTC</v>
          </cell>
          <cell r="J10" t="str">
            <v>field</v>
          </cell>
          <cell r="K10" t="str">
            <v>NF</v>
          </cell>
          <cell r="L10">
            <v>0.21</v>
          </cell>
          <cell r="M10"/>
          <cell r="N10">
            <v>8</v>
          </cell>
          <cell r="O10">
            <v>55</v>
          </cell>
          <cell r="P10">
            <v>3</v>
          </cell>
          <cell r="Q10">
            <v>0.21</v>
          </cell>
          <cell r="R10" t="str">
            <v>ears no. plant-1</v>
          </cell>
          <cell r="S10">
            <v>376.42046118754303</v>
          </cell>
          <cell r="T10" t="str">
            <v>400.000191137762</v>
          </cell>
          <cell r="U10" t="str">
            <v>0.941050703293045</v>
          </cell>
        </row>
        <row r="11">
          <cell r="B11" t="str">
            <v>2012-118jia0022007OTC</v>
          </cell>
          <cell r="C11" t="str">
            <v>2012-118</v>
          </cell>
          <cell r="D11" t="str">
            <v>Wang</v>
          </cell>
          <cell r="E11" t="str">
            <v>China</v>
          </cell>
          <cell r="F11" t="str">
            <v>wheat</v>
          </cell>
          <cell r="G11" t="str">
            <v>jia002</v>
          </cell>
          <cell r="H11">
            <v>2007</v>
          </cell>
          <cell r="I11" t="str">
            <v>OTC</v>
          </cell>
          <cell r="J11" t="str">
            <v>field</v>
          </cell>
          <cell r="K11" t="str">
            <v>EO3-1</v>
          </cell>
          <cell r="L11">
            <v>1.58</v>
          </cell>
          <cell r="M11"/>
          <cell r="N11">
            <v>8</v>
          </cell>
          <cell r="O11">
            <v>55</v>
          </cell>
          <cell r="P11">
            <v>3</v>
          </cell>
          <cell r="Q11">
            <v>1.58</v>
          </cell>
          <cell r="R11" t="str">
            <v>ears no. plant-1</v>
          </cell>
          <cell r="S11">
            <v>395.47777709536803</v>
          </cell>
          <cell r="T11" t="str">
            <v>400.000191137762</v>
          </cell>
          <cell r="U11" t="str">
            <v>0.988693970296537</v>
          </cell>
        </row>
        <row r="12">
          <cell r="B12" t="str">
            <v>2012-118jia0022007OTC</v>
          </cell>
          <cell r="C12" t="str">
            <v>2012-118</v>
          </cell>
          <cell r="D12" t="str">
            <v>Wang</v>
          </cell>
          <cell r="E12" t="str">
            <v>China</v>
          </cell>
          <cell r="F12" t="str">
            <v>wheat</v>
          </cell>
          <cell r="G12" t="str">
            <v>jia002</v>
          </cell>
          <cell r="H12">
            <v>2007</v>
          </cell>
          <cell r="I12" t="str">
            <v>OTC</v>
          </cell>
          <cell r="J12" t="str">
            <v>field</v>
          </cell>
          <cell r="K12" t="str">
            <v>EO3-2</v>
          </cell>
          <cell r="L12">
            <v>9.17</v>
          </cell>
          <cell r="M12"/>
          <cell r="N12">
            <v>8</v>
          </cell>
          <cell r="O12">
            <v>55</v>
          </cell>
          <cell r="P12">
            <v>3</v>
          </cell>
          <cell r="Q12">
            <v>9.17</v>
          </cell>
          <cell r="R12" t="str">
            <v>ears no. plant-1</v>
          </cell>
          <cell r="S12">
            <v>477.01894957777199</v>
          </cell>
          <cell r="T12" t="str">
            <v>400.000191137762</v>
          </cell>
          <cell r="U12" t="str">
            <v>1.19254680409261</v>
          </cell>
        </row>
        <row r="13">
          <cell r="B13" t="str">
            <v>2012-118jia0022008OTC</v>
          </cell>
          <cell r="C13" t="str">
            <v>2012-118</v>
          </cell>
          <cell r="D13" t="str">
            <v>Wang</v>
          </cell>
          <cell r="E13" t="str">
            <v>China</v>
          </cell>
          <cell r="F13" t="str">
            <v>wheat</v>
          </cell>
          <cell r="G13" t="str">
            <v>jia002</v>
          </cell>
          <cell r="H13">
            <v>2008</v>
          </cell>
          <cell r="I13" t="str">
            <v>OTC</v>
          </cell>
          <cell r="J13" t="str">
            <v>field</v>
          </cell>
          <cell r="K13" t="str">
            <v>CF</v>
          </cell>
          <cell r="L13">
            <v>0.1</v>
          </cell>
          <cell r="M13"/>
          <cell r="N13">
            <v>8</v>
          </cell>
          <cell r="O13">
            <v>55</v>
          </cell>
          <cell r="P13">
            <v>3</v>
          </cell>
          <cell r="Q13">
            <v>0.1</v>
          </cell>
          <cell r="R13" t="str">
            <v>ears no. plant-1</v>
          </cell>
          <cell r="S13">
            <v>399.1159708353</v>
          </cell>
          <cell r="T13" t="str">
            <v>373.89135526391</v>
          </cell>
          <cell r="U13" t="str">
            <v>1.06746509438172</v>
          </cell>
        </row>
        <row r="14">
          <cell r="B14" t="str">
            <v>2012-118jia0022008OTC</v>
          </cell>
          <cell r="C14" t="str">
            <v>2012-118</v>
          </cell>
          <cell r="D14" t="str">
            <v>Wang</v>
          </cell>
          <cell r="E14" t="str">
            <v>China</v>
          </cell>
          <cell r="F14" t="str">
            <v>wheat</v>
          </cell>
          <cell r="G14" t="str">
            <v>jia002</v>
          </cell>
          <cell r="H14">
            <v>2008</v>
          </cell>
          <cell r="I14" t="str">
            <v>OTC</v>
          </cell>
          <cell r="J14" t="str">
            <v>field</v>
          </cell>
          <cell r="K14" t="str">
            <v>NF</v>
          </cell>
          <cell r="L14">
            <v>0.15</v>
          </cell>
          <cell r="M14"/>
          <cell r="N14">
            <v>8</v>
          </cell>
          <cell r="O14">
            <v>55</v>
          </cell>
          <cell r="P14">
            <v>3</v>
          </cell>
          <cell r="Q14">
            <v>0.15</v>
          </cell>
          <cell r="R14" t="str">
            <v>ears no. plant-1</v>
          </cell>
          <cell r="S14">
            <v>390.79858430061199</v>
          </cell>
          <cell r="T14" t="str">
            <v>373.89135526391</v>
          </cell>
          <cell r="U14" t="str">
            <v>1.04521963077956</v>
          </cell>
        </row>
        <row r="15">
          <cell r="B15" t="str">
            <v>2012-118jia0022008OTC</v>
          </cell>
          <cell r="C15" t="str">
            <v>2012-118</v>
          </cell>
          <cell r="D15" t="str">
            <v>Wang</v>
          </cell>
          <cell r="E15" t="str">
            <v>China</v>
          </cell>
          <cell r="F15" t="str">
            <v>wheat</v>
          </cell>
          <cell r="G15" t="str">
            <v>jia002</v>
          </cell>
          <cell r="H15">
            <v>2008</v>
          </cell>
          <cell r="I15" t="str">
            <v>OTC</v>
          </cell>
          <cell r="J15" t="str">
            <v>field</v>
          </cell>
          <cell r="K15" t="str">
            <v>EO3-1</v>
          </cell>
          <cell r="L15">
            <v>15.32</v>
          </cell>
          <cell r="M15"/>
          <cell r="N15">
            <v>8</v>
          </cell>
          <cell r="O15">
            <v>55</v>
          </cell>
          <cell r="P15">
            <v>3</v>
          </cell>
          <cell r="Q15">
            <v>15.32</v>
          </cell>
          <cell r="R15" t="str">
            <v>ears no. plant-1</v>
          </cell>
          <cell r="S15">
            <v>400.43652237177201</v>
          </cell>
          <cell r="T15" t="str">
            <v>373.89135526391</v>
          </cell>
          <cell r="U15" t="str">
            <v>1.07099700684207</v>
          </cell>
        </row>
        <row r="16">
          <cell r="B16" t="str">
            <v>2012-118jia0022008OTC</v>
          </cell>
          <cell r="C16" t="str">
            <v>2012-118</v>
          </cell>
          <cell r="D16" t="str">
            <v>Wang</v>
          </cell>
          <cell r="E16" t="str">
            <v>China</v>
          </cell>
          <cell r="F16" t="str">
            <v>wheat</v>
          </cell>
          <cell r="G16" t="str">
            <v>jia002</v>
          </cell>
          <cell r="H16">
            <v>2008</v>
          </cell>
          <cell r="I16" t="str">
            <v>OTC</v>
          </cell>
          <cell r="J16" t="str">
            <v>field</v>
          </cell>
          <cell r="K16" t="str">
            <v>EO3-2</v>
          </cell>
          <cell r="L16">
            <v>27.67</v>
          </cell>
          <cell r="M16"/>
          <cell r="N16">
            <v>8</v>
          </cell>
          <cell r="O16">
            <v>55</v>
          </cell>
          <cell r="P16">
            <v>3</v>
          </cell>
          <cell r="Q16">
            <v>27.67</v>
          </cell>
          <cell r="R16" t="str">
            <v>ears no. plant-1</v>
          </cell>
          <cell r="S16">
            <v>397.09708339038701</v>
          </cell>
          <cell r="T16" t="str">
            <v>373.89135526391</v>
          </cell>
          <cell r="U16" t="str">
            <v>1.06206543103971</v>
          </cell>
        </row>
        <row r="17">
          <cell r="B17" t="str">
            <v>2011-133Y152007FACE</v>
          </cell>
          <cell r="C17" t="str">
            <v>2011-133</v>
          </cell>
          <cell r="D17" t="str">
            <v>Zhu</v>
          </cell>
          <cell r="E17" t="str">
            <v>China</v>
          </cell>
          <cell r="F17" t="str">
            <v>wheat</v>
          </cell>
          <cell r="G17" t="str">
            <v>Y15</v>
          </cell>
          <cell r="H17">
            <v>2007</v>
          </cell>
          <cell r="I17" t="str">
            <v>FACE</v>
          </cell>
          <cell r="J17" t="str">
            <v>field</v>
          </cell>
          <cell r="K17" t="str">
            <v>NF</v>
          </cell>
          <cell r="L17">
            <v>7.27</v>
          </cell>
          <cell r="M17">
            <v>46.4</v>
          </cell>
          <cell r="N17">
            <v>7</v>
          </cell>
          <cell r="O17">
            <v>75</v>
          </cell>
          <cell r="P17">
            <v>3</v>
          </cell>
          <cell r="Q17">
            <v>7.27</v>
          </cell>
          <cell r="R17" t="str">
            <v>ears no. plant-1</v>
          </cell>
          <cell r="S17">
            <v>593.30143540669906</v>
          </cell>
          <cell r="T17" t="str">
            <v>572.910086818712</v>
          </cell>
          <cell r="U17" t="str">
            <v>1.03559258085543</v>
          </cell>
        </row>
        <row r="18">
          <cell r="B18" t="str">
            <v>2011-133Y152007FACE</v>
          </cell>
          <cell r="C18" t="str">
            <v>2011-133</v>
          </cell>
          <cell r="D18" t="str">
            <v>Zhu</v>
          </cell>
          <cell r="E18" t="str">
            <v>China</v>
          </cell>
          <cell r="F18" t="str">
            <v>wheat</v>
          </cell>
          <cell r="G18" t="str">
            <v>Y15</v>
          </cell>
          <cell r="H18">
            <v>2007</v>
          </cell>
          <cell r="I18" t="str">
            <v>FACE</v>
          </cell>
          <cell r="J18" t="str">
            <v>field</v>
          </cell>
          <cell r="K18" t="str">
            <v>EO3</v>
          </cell>
          <cell r="L18">
            <v>13.8865</v>
          </cell>
          <cell r="M18">
            <v>56.9</v>
          </cell>
          <cell r="N18">
            <v>7</v>
          </cell>
          <cell r="O18">
            <v>75</v>
          </cell>
          <cell r="P18">
            <v>3</v>
          </cell>
          <cell r="Q18">
            <v>13.8865</v>
          </cell>
          <cell r="R18" t="str">
            <v>ears no. plant-1</v>
          </cell>
          <cell r="S18">
            <v>623.92344497607701</v>
          </cell>
          <cell r="T18" t="str">
            <v>572.910086818712</v>
          </cell>
          <cell r="U18" t="str">
            <v>1.08904252051249</v>
          </cell>
        </row>
        <row r="19">
          <cell r="B19" t="str">
            <v>2011-133Y162007FACE</v>
          </cell>
          <cell r="C19" t="str">
            <v>2011-133</v>
          </cell>
          <cell r="D19" t="str">
            <v>Zhu</v>
          </cell>
          <cell r="E19" t="str">
            <v>China</v>
          </cell>
          <cell r="F19" t="str">
            <v>wheat</v>
          </cell>
          <cell r="G19" t="str">
            <v>Y16</v>
          </cell>
          <cell r="H19">
            <v>2007</v>
          </cell>
          <cell r="I19" t="str">
            <v>FACE</v>
          </cell>
          <cell r="J19" t="str">
            <v>field</v>
          </cell>
          <cell r="K19" t="str">
            <v>NF</v>
          </cell>
          <cell r="L19">
            <v>7.75</v>
          </cell>
          <cell r="M19">
            <v>46.4</v>
          </cell>
          <cell r="N19">
            <v>7</v>
          </cell>
          <cell r="O19">
            <v>75</v>
          </cell>
          <cell r="P19">
            <v>3</v>
          </cell>
          <cell r="Q19">
            <v>7.75</v>
          </cell>
          <cell r="R19" t="str">
            <v>ears no. plant-1</v>
          </cell>
          <cell r="S19">
            <v>459.33014354067001</v>
          </cell>
          <cell r="T19" t="str">
            <v>432.821262257134</v>
          </cell>
          <cell r="U19" t="str">
            <v>1.06124671682092</v>
          </cell>
        </row>
        <row r="20">
          <cell r="B20" t="str">
            <v>2011-133Y162007FACE</v>
          </cell>
          <cell r="C20" t="str">
            <v>2011-133</v>
          </cell>
          <cell r="D20" t="str">
            <v>Zhu</v>
          </cell>
          <cell r="E20" t="str">
            <v>China</v>
          </cell>
          <cell r="F20" t="str">
            <v>wheat</v>
          </cell>
          <cell r="G20" t="str">
            <v>Y16</v>
          </cell>
          <cell r="H20">
            <v>2007</v>
          </cell>
          <cell r="I20" t="str">
            <v>FACE</v>
          </cell>
          <cell r="J20" t="str">
            <v>field</v>
          </cell>
          <cell r="K20" t="str">
            <v>EO3</v>
          </cell>
          <cell r="L20">
            <v>14.6637</v>
          </cell>
          <cell r="M20">
            <v>56.9</v>
          </cell>
          <cell r="N20">
            <v>7</v>
          </cell>
          <cell r="O20">
            <v>75</v>
          </cell>
          <cell r="P20">
            <v>3</v>
          </cell>
          <cell r="Q20">
            <v>14.6637</v>
          </cell>
          <cell r="R20" t="str">
            <v>ears no. plant-1</v>
          </cell>
          <cell r="S20">
            <v>463.15789473684202</v>
          </cell>
          <cell r="T20" t="str">
            <v>432.821262257134</v>
          </cell>
          <cell r="U20" t="str">
            <v>1.0700904394611</v>
          </cell>
        </row>
        <row r="21">
          <cell r="B21" t="str">
            <v>2011-133Y192007FACE</v>
          </cell>
          <cell r="C21" t="str">
            <v>2011-133</v>
          </cell>
          <cell r="D21" t="str">
            <v>Zhu</v>
          </cell>
          <cell r="E21" t="str">
            <v>China</v>
          </cell>
          <cell r="F21" t="str">
            <v>wheat</v>
          </cell>
          <cell r="G21" t="str">
            <v>Y19</v>
          </cell>
          <cell r="H21">
            <v>2007</v>
          </cell>
          <cell r="I21" t="str">
            <v>FACE</v>
          </cell>
          <cell r="J21" t="str">
            <v>field</v>
          </cell>
          <cell r="K21" t="str">
            <v>NF</v>
          </cell>
          <cell r="L21">
            <v>8.4130000000000003</v>
          </cell>
          <cell r="M21">
            <v>46.4</v>
          </cell>
          <cell r="N21">
            <v>7</v>
          </cell>
          <cell r="O21">
            <v>75</v>
          </cell>
          <cell r="P21">
            <v>3</v>
          </cell>
          <cell r="Q21">
            <v>8.4130000000000003</v>
          </cell>
          <cell r="R21" t="str">
            <v>ears no. plant-1</v>
          </cell>
          <cell r="S21">
            <v>524.40191387559798</v>
          </cell>
          <cell r="T21" t="str">
            <v>528.219412818067</v>
          </cell>
          <cell r="U21" t="str">
            <v>0.992772891624518</v>
          </cell>
        </row>
        <row r="22">
          <cell r="B22" t="str">
            <v>2011-133Y192007FACE</v>
          </cell>
          <cell r="C22" t="str">
            <v>2011-133</v>
          </cell>
          <cell r="D22" t="str">
            <v>Zhu</v>
          </cell>
          <cell r="E22" t="str">
            <v>China</v>
          </cell>
          <cell r="F22" t="str">
            <v>wheat</v>
          </cell>
          <cell r="G22" t="str">
            <v>Y19</v>
          </cell>
          <cell r="H22">
            <v>2007</v>
          </cell>
          <cell r="I22" t="str">
            <v>FACE</v>
          </cell>
          <cell r="J22" t="str">
            <v>field</v>
          </cell>
          <cell r="K22" t="str">
            <v>EO3</v>
          </cell>
          <cell r="L22">
            <v>15.313599999999999</v>
          </cell>
          <cell r="M22">
            <v>56.9</v>
          </cell>
          <cell r="N22">
            <v>7</v>
          </cell>
          <cell r="O22">
            <v>75</v>
          </cell>
          <cell r="P22">
            <v>3</v>
          </cell>
          <cell r="Q22">
            <v>15.313599999999999</v>
          </cell>
          <cell r="R22" t="str">
            <v>ears no. plant-1</v>
          </cell>
          <cell r="S22">
            <v>608.61244019138803</v>
          </cell>
          <cell r="T22" t="str">
            <v>528.219412818067</v>
          </cell>
          <cell r="U22" t="str">
            <v>1.15219627568101</v>
          </cell>
        </row>
        <row r="23">
          <cell r="B23" t="str">
            <v>2011-133Y22007FACE</v>
          </cell>
          <cell r="C23" t="str">
            <v>2011-133</v>
          </cell>
          <cell r="D23" t="str">
            <v>Zhu</v>
          </cell>
          <cell r="E23" t="str">
            <v>China</v>
          </cell>
          <cell r="F23" t="str">
            <v>wheat</v>
          </cell>
          <cell r="G23" t="str">
            <v>Y2</v>
          </cell>
          <cell r="H23">
            <v>2007</v>
          </cell>
          <cell r="I23" t="str">
            <v>FACE</v>
          </cell>
          <cell r="J23" t="str">
            <v>field</v>
          </cell>
          <cell r="K23" t="str">
            <v>NF</v>
          </cell>
          <cell r="L23">
            <v>7.7503000000000002</v>
          </cell>
          <cell r="M23">
            <v>46.4</v>
          </cell>
          <cell r="N23">
            <v>7</v>
          </cell>
          <cell r="O23">
            <v>75</v>
          </cell>
          <cell r="P23">
            <v>3</v>
          </cell>
          <cell r="Q23">
            <v>7.7503000000000002</v>
          </cell>
          <cell r="R23" t="str">
            <v>ears no. plant-1</v>
          </cell>
          <cell r="S23">
            <v>501.43540669856498</v>
          </cell>
          <cell r="T23" t="str">
            <v>474.117931807506</v>
          </cell>
          <cell r="U23" t="str">
            <v>1.05761746826769</v>
          </cell>
        </row>
        <row r="24">
          <cell r="B24" t="str">
            <v>2011-133Y22007FACE</v>
          </cell>
          <cell r="C24" t="str">
            <v>2011-133</v>
          </cell>
          <cell r="D24" t="str">
            <v>Zhu</v>
          </cell>
          <cell r="E24" t="str">
            <v>China</v>
          </cell>
          <cell r="F24" t="str">
            <v>wheat</v>
          </cell>
          <cell r="G24" t="str">
            <v>Y2</v>
          </cell>
          <cell r="H24">
            <v>2007</v>
          </cell>
          <cell r="I24" t="str">
            <v>FACE</v>
          </cell>
          <cell r="J24" t="str">
            <v>field</v>
          </cell>
          <cell r="K24" t="str">
            <v>EO3</v>
          </cell>
          <cell r="L24">
            <v>14.6637</v>
          </cell>
          <cell r="M24">
            <v>56.9</v>
          </cell>
          <cell r="N24">
            <v>7</v>
          </cell>
          <cell r="O24">
            <v>75</v>
          </cell>
          <cell r="P24">
            <v>3</v>
          </cell>
          <cell r="Q24">
            <v>14.6637</v>
          </cell>
          <cell r="R24" t="str">
            <v>ears no. plant-1</v>
          </cell>
          <cell r="S24">
            <v>509.09090909090901</v>
          </cell>
          <cell r="T24" t="str">
            <v>474.117931807506</v>
          </cell>
          <cell r="U24" t="str">
            <v>1.07376429984429</v>
          </cell>
        </row>
        <row r="25">
          <cell r="B25" t="str">
            <v>2011-133Y152008FACE</v>
          </cell>
          <cell r="C25" t="str">
            <v>2011-133</v>
          </cell>
          <cell r="D25" t="str">
            <v>Zhu</v>
          </cell>
          <cell r="E25" t="str">
            <v>China</v>
          </cell>
          <cell r="F25" t="str">
            <v>wheat</v>
          </cell>
          <cell r="G25" t="str">
            <v>Y15</v>
          </cell>
          <cell r="H25">
            <v>2008</v>
          </cell>
          <cell r="I25" t="str">
            <v>FACE</v>
          </cell>
          <cell r="J25" t="str">
            <v>field</v>
          </cell>
          <cell r="K25" t="str">
            <v>NF</v>
          </cell>
          <cell r="L25">
            <v>8.2789999999999999</v>
          </cell>
          <cell r="M25">
            <v>46</v>
          </cell>
          <cell r="N25">
            <v>7</v>
          </cell>
          <cell r="O25">
            <v>75</v>
          </cell>
          <cell r="P25">
            <v>3</v>
          </cell>
          <cell r="Q25">
            <v>8.2789999999999999</v>
          </cell>
          <cell r="R25" t="str">
            <v>ears no. plant-1</v>
          </cell>
          <cell r="S25">
            <v>547.36842105263202</v>
          </cell>
          <cell r="T25" t="str">
            <v>520.55584703277</v>
          </cell>
          <cell r="U25" t="str">
            <v>1.05150758400409</v>
          </cell>
        </row>
        <row r="26">
          <cell r="B26" t="str">
            <v>2011-133Y152008FACE</v>
          </cell>
          <cell r="C26" t="str">
            <v>2011-133</v>
          </cell>
          <cell r="D26" t="str">
            <v>Zhu</v>
          </cell>
          <cell r="E26" t="str">
            <v>China</v>
          </cell>
          <cell r="F26" t="str">
            <v>wheat</v>
          </cell>
          <cell r="G26" t="str">
            <v>Y15</v>
          </cell>
          <cell r="H26">
            <v>2008</v>
          </cell>
          <cell r="I26" t="str">
            <v>FACE</v>
          </cell>
          <cell r="J26" t="str">
            <v>field</v>
          </cell>
          <cell r="K26" t="str">
            <v>EO3</v>
          </cell>
          <cell r="L26">
            <v>16.7821</v>
          </cell>
          <cell r="M26">
            <v>57.6</v>
          </cell>
          <cell r="N26">
            <v>7</v>
          </cell>
          <cell r="O26">
            <v>75</v>
          </cell>
          <cell r="P26">
            <v>3</v>
          </cell>
          <cell r="Q26">
            <v>16.7821</v>
          </cell>
          <cell r="R26" t="str">
            <v>ears no. plant-1</v>
          </cell>
          <cell r="S26">
            <v>570.33492822966502</v>
          </cell>
          <cell r="T26" t="str">
            <v>520.55584703277</v>
          </cell>
          <cell r="U26" t="str">
            <v>1.09562678333294</v>
          </cell>
        </row>
        <row r="27">
          <cell r="B27" t="str">
            <v>2011-133Y162008FACE</v>
          </cell>
          <cell r="C27" t="str">
            <v>2011-133</v>
          </cell>
          <cell r="D27" t="str">
            <v>Zhu</v>
          </cell>
          <cell r="E27" t="str">
            <v>China</v>
          </cell>
          <cell r="F27" t="str">
            <v>wheat</v>
          </cell>
          <cell r="G27" t="str">
            <v>Y16</v>
          </cell>
          <cell r="H27">
            <v>2008</v>
          </cell>
          <cell r="I27" t="str">
            <v>FACE</v>
          </cell>
          <cell r="J27" t="str">
            <v>field</v>
          </cell>
          <cell r="K27" t="str">
            <v>NF</v>
          </cell>
          <cell r="L27">
            <v>8.4710000000000001</v>
          </cell>
          <cell r="M27">
            <v>46</v>
          </cell>
          <cell r="N27">
            <v>7</v>
          </cell>
          <cell r="O27">
            <v>75</v>
          </cell>
          <cell r="P27">
            <v>3</v>
          </cell>
          <cell r="Q27">
            <v>8.4710000000000001</v>
          </cell>
          <cell r="R27" t="str">
            <v>ears no. plant-1</v>
          </cell>
          <cell r="S27">
            <v>440.19138755980902</v>
          </cell>
          <cell r="T27" t="str">
            <v>408.149661775944</v>
          </cell>
          <cell r="U27" t="str">
            <v>1.07850484463087</v>
          </cell>
        </row>
        <row r="28">
          <cell r="B28" t="str">
            <v>2011-133Y162008FACE</v>
          </cell>
          <cell r="C28" t="str">
            <v>2011-133</v>
          </cell>
          <cell r="D28" t="str">
            <v>Zhu</v>
          </cell>
          <cell r="E28" t="str">
            <v>China</v>
          </cell>
          <cell r="F28" t="str">
            <v>wheat</v>
          </cell>
          <cell r="G28" t="str">
            <v>Y16</v>
          </cell>
          <cell r="H28">
            <v>2008</v>
          </cell>
          <cell r="I28" t="str">
            <v>FACE</v>
          </cell>
          <cell r="J28" t="str">
            <v>field</v>
          </cell>
          <cell r="K28" t="str">
            <v>EO3</v>
          </cell>
          <cell r="L28">
            <v>16.742999999999999</v>
          </cell>
          <cell r="M28">
            <v>57.6</v>
          </cell>
          <cell r="N28">
            <v>7</v>
          </cell>
          <cell r="O28">
            <v>75</v>
          </cell>
          <cell r="P28">
            <v>3</v>
          </cell>
          <cell r="Q28">
            <v>16.742999999999999</v>
          </cell>
          <cell r="R28" t="str">
            <v>ears no. plant-1</v>
          </cell>
          <cell r="S28">
            <v>436.36363636363598</v>
          </cell>
          <cell r="T28" t="str">
            <v>408.149661775944</v>
          </cell>
          <cell r="U28" t="str">
            <v>1.06912654163408</v>
          </cell>
        </row>
        <row r="29">
          <cell r="B29" t="str">
            <v>2011-133Y192008FACE</v>
          </cell>
          <cell r="C29" t="str">
            <v>2011-133</v>
          </cell>
          <cell r="D29" t="str">
            <v>Zhu</v>
          </cell>
          <cell r="E29" t="str">
            <v>China</v>
          </cell>
          <cell r="F29" t="str">
            <v>wheat</v>
          </cell>
          <cell r="G29" t="str">
            <v>Y19</v>
          </cell>
          <cell r="H29">
            <v>2008</v>
          </cell>
          <cell r="I29" t="str">
            <v>FACE</v>
          </cell>
          <cell r="J29" t="str">
            <v>field</v>
          </cell>
          <cell r="K29" t="str">
            <v>NF</v>
          </cell>
          <cell r="L29">
            <v>9.1110000000000007</v>
          </cell>
          <cell r="M29">
            <v>46</v>
          </cell>
          <cell r="N29">
            <v>7</v>
          </cell>
          <cell r="O29">
            <v>75</v>
          </cell>
          <cell r="P29">
            <v>3</v>
          </cell>
          <cell r="Q29">
            <v>9.1110000000000007</v>
          </cell>
          <cell r="R29" t="str">
            <v>ears no. plant-1</v>
          </cell>
          <cell r="S29">
            <v>489.95215311004802</v>
          </cell>
          <cell r="T29" t="str">
            <v>465.355722973905</v>
          </cell>
          <cell r="U29" t="str">
            <v>1.05285511474739</v>
          </cell>
        </row>
        <row r="30">
          <cell r="B30" t="str">
            <v>2011-133Y192008FACE</v>
          </cell>
          <cell r="C30" t="str">
            <v>2011-133</v>
          </cell>
          <cell r="D30" t="str">
            <v>Zhu</v>
          </cell>
          <cell r="E30" t="str">
            <v>China</v>
          </cell>
          <cell r="F30" t="str">
            <v>wheat</v>
          </cell>
          <cell r="G30" t="str">
            <v>Y19</v>
          </cell>
          <cell r="H30">
            <v>2008</v>
          </cell>
          <cell r="I30" t="str">
            <v>FACE</v>
          </cell>
          <cell r="J30" t="str">
            <v>field</v>
          </cell>
          <cell r="K30" t="str">
            <v>EO3</v>
          </cell>
          <cell r="L30">
            <v>17.272200000000002</v>
          </cell>
          <cell r="M30">
            <v>57.6</v>
          </cell>
          <cell r="N30">
            <v>7</v>
          </cell>
          <cell r="O30">
            <v>75</v>
          </cell>
          <cell r="P30">
            <v>3</v>
          </cell>
          <cell r="Q30">
            <v>17.272200000000002</v>
          </cell>
          <cell r="R30" t="str">
            <v>ears no. plant-1</v>
          </cell>
          <cell r="S30">
            <v>512.91866028708102</v>
          </cell>
          <cell r="T30" t="str">
            <v>465.355722973905</v>
          </cell>
          <cell r="U30" t="str">
            <v>1.10220769825118</v>
          </cell>
        </row>
        <row r="31">
          <cell r="B31" t="str">
            <v>2011-133Y22008FACE</v>
          </cell>
          <cell r="C31" t="str">
            <v>2011-133</v>
          </cell>
          <cell r="D31" t="str">
            <v>Zhu</v>
          </cell>
          <cell r="E31" t="str">
            <v>China</v>
          </cell>
          <cell r="F31" t="str">
            <v>wheat</v>
          </cell>
          <cell r="G31" t="str">
            <v>Y2</v>
          </cell>
          <cell r="H31">
            <v>2008</v>
          </cell>
          <cell r="I31" t="str">
            <v>FACE</v>
          </cell>
          <cell r="J31" t="str">
            <v>field</v>
          </cell>
          <cell r="K31" t="str">
            <v>NF</v>
          </cell>
          <cell r="L31">
            <v>8.4710000000000001</v>
          </cell>
          <cell r="M31">
            <v>46</v>
          </cell>
          <cell r="N31">
            <v>7</v>
          </cell>
          <cell r="O31">
            <v>75</v>
          </cell>
          <cell r="P31">
            <v>3</v>
          </cell>
          <cell r="Q31">
            <v>8.4710000000000001</v>
          </cell>
          <cell r="R31" t="str">
            <v>ears no. plant-1</v>
          </cell>
          <cell r="S31">
            <v>486.124401913876</v>
          </cell>
          <cell r="T31" t="str">
            <v>452.711801526277</v>
          </cell>
          <cell r="U31" t="str">
            <v>1.07380545476162</v>
          </cell>
        </row>
        <row r="32">
          <cell r="B32" t="str">
            <v>2011-133Y22008FACE</v>
          </cell>
          <cell r="C32" t="str">
            <v>2011-133</v>
          </cell>
          <cell r="D32" t="str">
            <v>Zhu</v>
          </cell>
          <cell r="E32" t="str">
            <v>China</v>
          </cell>
          <cell r="F32" t="str">
            <v>wheat</v>
          </cell>
          <cell r="G32" t="str">
            <v>Y2</v>
          </cell>
          <cell r="H32">
            <v>2008</v>
          </cell>
          <cell r="I32" t="str">
            <v>FACE</v>
          </cell>
          <cell r="J32" t="str">
            <v>field</v>
          </cell>
          <cell r="K32" t="str">
            <v>EO3</v>
          </cell>
          <cell r="L32">
            <v>16.742999999999999</v>
          </cell>
          <cell r="M32">
            <v>57.6</v>
          </cell>
          <cell r="N32">
            <v>7</v>
          </cell>
          <cell r="O32">
            <v>75</v>
          </cell>
          <cell r="P32">
            <v>3</v>
          </cell>
          <cell r="Q32">
            <v>16.742999999999999</v>
          </cell>
          <cell r="R32" t="str">
            <v>ears no. plant-1</v>
          </cell>
          <cell r="S32">
            <v>486.124401913876</v>
          </cell>
          <cell r="T32" t="str">
            <v>452.711801526277</v>
          </cell>
          <cell r="U32" t="str">
            <v>1.07380545476162</v>
          </cell>
        </row>
        <row r="33">
          <cell r="B33" t="str">
            <v>2011-133Y152009FACE</v>
          </cell>
          <cell r="C33" t="str">
            <v>2011-133</v>
          </cell>
          <cell r="D33" t="str">
            <v>Zhu</v>
          </cell>
          <cell r="E33" t="str">
            <v>China</v>
          </cell>
          <cell r="F33" t="str">
            <v>wheat</v>
          </cell>
          <cell r="G33" t="str">
            <v>Y15</v>
          </cell>
          <cell r="H33">
            <v>2009</v>
          </cell>
          <cell r="I33" t="str">
            <v>FACE</v>
          </cell>
          <cell r="J33" t="str">
            <v>field</v>
          </cell>
          <cell r="K33" t="str">
            <v>NF</v>
          </cell>
          <cell r="L33">
            <v>6.6849999999999996</v>
          </cell>
          <cell r="M33">
            <v>44.6</v>
          </cell>
          <cell r="N33">
            <v>7</v>
          </cell>
          <cell r="O33">
            <v>75</v>
          </cell>
          <cell r="P33">
            <v>3</v>
          </cell>
          <cell r="Q33">
            <v>6.6849999999999996</v>
          </cell>
          <cell r="R33" t="str">
            <v>ears no. plant-1</v>
          </cell>
          <cell r="S33">
            <v>432.53588516746402</v>
          </cell>
          <cell r="T33" t="str">
            <v>405.145251780763</v>
          </cell>
          <cell r="U33" t="str">
            <v>1.06760694656129</v>
          </cell>
        </row>
        <row r="34">
          <cell r="B34" t="str">
            <v>2011-133Y152009FACE</v>
          </cell>
          <cell r="C34" t="str">
            <v>2011-133</v>
          </cell>
          <cell r="D34" t="str">
            <v>Zhu</v>
          </cell>
          <cell r="E34" t="str">
            <v>China</v>
          </cell>
          <cell r="F34" t="str">
            <v>wheat</v>
          </cell>
          <cell r="G34" t="str">
            <v>Y15</v>
          </cell>
          <cell r="H34">
            <v>2009</v>
          </cell>
          <cell r="I34" t="str">
            <v>FACE</v>
          </cell>
          <cell r="J34" t="str">
            <v>field</v>
          </cell>
          <cell r="K34" t="str">
            <v>EO3</v>
          </cell>
          <cell r="L34">
            <v>14.805400000000001</v>
          </cell>
          <cell r="M34">
            <v>57.3</v>
          </cell>
          <cell r="N34">
            <v>7</v>
          </cell>
          <cell r="O34">
            <v>75</v>
          </cell>
          <cell r="P34">
            <v>3</v>
          </cell>
          <cell r="Q34">
            <v>14.805400000000001</v>
          </cell>
          <cell r="R34" t="str">
            <v>ears no. plant-1</v>
          </cell>
          <cell r="S34">
            <v>428.708133971292</v>
          </cell>
          <cell r="T34" t="str">
            <v>405.145251780763</v>
          </cell>
          <cell r="U34" t="str">
            <v>1.05815909747667</v>
          </cell>
        </row>
        <row r="35">
          <cell r="B35" t="str">
            <v>2011-133Y162009FACE</v>
          </cell>
          <cell r="C35" t="str">
            <v>2011-133</v>
          </cell>
          <cell r="D35" t="str">
            <v>Zhu</v>
          </cell>
          <cell r="E35" t="str">
            <v>China</v>
          </cell>
          <cell r="F35" t="str">
            <v>wheat</v>
          </cell>
          <cell r="G35" t="str">
            <v>Y16</v>
          </cell>
          <cell r="H35">
            <v>2009</v>
          </cell>
          <cell r="I35" t="str">
            <v>FACE</v>
          </cell>
          <cell r="J35" t="str">
            <v>field</v>
          </cell>
          <cell r="K35" t="str">
            <v>NF</v>
          </cell>
          <cell r="L35">
            <v>6.9059999999999997</v>
          </cell>
          <cell r="M35">
            <v>44.6</v>
          </cell>
          <cell r="N35">
            <v>7</v>
          </cell>
          <cell r="O35">
            <v>75</v>
          </cell>
          <cell r="P35">
            <v>3</v>
          </cell>
          <cell r="Q35">
            <v>6.9059999999999997</v>
          </cell>
          <cell r="R35" t="str">
            <v>ears no. plant-1</v>
          </cell>
          <cell r="S35">
            <v>394.25837320574198</v>
          </cell>
          <cell r="T35" t="str">
            <v>361.278947534243</v>
          </cell>
          <cell r="U35" t="str">
            <v>1.09128521298179</v>
          </cell>
        </row>
        <row r="36">
          <cell r="B36" t="str">
            <v>2011-133Y162009FACE</v>
          </cell>
          <cell r="C36" t="str">
            <v>2011-133</v>
          </cell>
          <cell r="D36" t="str">
            <v>Zhu</v>
          </cell>
          <cell r="E36" t="str">
            <v>China</v>
          </cell>
          <cell r="F36" t="str">
            <v>wheat</v>
          </cell>
          <cell r="G36" t="str">
            <v>Y16</v>
          </cell>
          <cell r="H36">
            <v>2009</v>
          </cell>
          <cell r="I36" t="str">
            <v>FACE</v>
          </cell>
          <cell r="J36" t="str">
            <v>field</v>
          </cell>
          <cell r="K36" t="str">
            <v>EO3</v>
          </cell>
          <cell r="L36">
            <v>15.1297</v>
          </cell>
          <cell r="M36">
            <v>57.3</v>
          </cell>
          <cell r="N36">
            <v>7</v>
          </cell>
          <cell r="O36">
            <v>75</v>
          </cell>
          <cell r="P36">
            <v>3</v>
          </cell>
          <cell r="Q36">
            <v>15.1297</v>
          </cell>
          <cell r="R36" t="str">
            <v>ears no. plant-1</v>
          </cell>
          <cell r="S36">
            <v>375.11961722488002</v>
          </cell>
          <cell r="T36" t="str">
            <v>361.278947534243</v>
          </cell>
          <cell r="U36" t="str">
            <v>1.03831020264286</v>
          </cell>
        </row>
        <row r="37">
          <cell r="B37" t="str">
            <v>2011-133Y192009FACE</v>
          </cell>
          <cell r="C37" t="str">
            <v>2011-133</v>
          </cell>
          <cell r="D37" t="str">
            <v>Zhu</v>
          </cell>
          <cell r="E37" t="str">
            <v>China</v>
          </cell>
          <cell r="F37" t="str">
            <v>wheat</v>
          </cell>
          <cell r="G37" t="str">
            <v>Y19</v>
          </cell>
          <cell r="H37">
            <v>2009</v>
          </cell>
          <cell r="I37" t="str">
            <v>FACE</v>
          </cell>
          <cell r="J37" t="str">
            <v>field</v>
          </cell>
          <cell r="K37" t="str">
            <v>NF</v>
          </cell>
          <cell r="L37">
            <v>7.8869999999999996</v>
          </cell>
          <cell r="M37">
            <v>44.6</v>
          </cell>
          <cell r="N37">
            <v>7</v>
          </cell>
          <cell r="O37">
            <v>75</v>
          </cell>
          <cell r="P37">
            <v>3</v>
          </cell>
          <cell r="Q37">
            <v>7.8869999999999996</v>
          </cell>
          <cell r="R37" t="str">
            <v>ears no. plant-1</v>
          </cell>
          <cell r="S37">
            <v>325.35885167464102</v>
          </cell>
          <cell r="T37" t="str">
            <v>340.040096426697</v>
          </cell>
          <cell r="U37" t="str">
            <v>0.956824960037557</v>
          </cell>
        </row>
        <row r="38">
          <cell r="B38" t="str">
            <v>2011-133Y192009FACE</v>
          </cell>
          <cell r="C38" t="str">
            <v>2011-133</v>
          </cell>
          <cell r="D38" t="str">
            <v>Zhu</v>
          </cell>
          <cell r="E38" t="str">
            <v>China</v>
          </cell>
          <cell r="F38" t="str">
            <v>wheat</v>
          </cell>
          <cell r="G38" t="str">
            <v>Y19</v>
          </cell>
          <cell r="H38">
            <v>2009</v>
          </cell>
          <cell r="I38" t="str">
            <v>FACE</v>
          </cell>
          <cell r="J38" t="str">
            <v>field</v>
          </cell>
          <cell r="K38" t="str">
            <v>EO3</v>
          </cell>
          <cell r="L38">
            <v>15.508699999999999</v>
          </cell>
          <cell r="M38">
            <v>57.3</v>
          </cell>
          <cell r="N38">
            <v>7</v>
          </cell>
          <cell r="O38">
            <v>75</v>
          </cell>
          <cell r="P38">
            <v>3</v>
          </cell>
          <cell r="Q38">
            <v>15.508699999999999</v>
          </cell>
          <cell r="R38" t="str">
            <v>ears no. plant-1</v>
          </cell>
          <cell r="S38">
            <v>405.74162679425802</v>
          </cell>
          <cell r="T38" t="str">
            <v>340.040096426697</v>
          </cell>
          <cell r="U38" t="str">
            <v>1.19321700898801</v>
          </cell>
        </row>
        <row r="39">
          <cell r="B39" t="str">
            <v>2011-133Y22009FACE</v>
          </cell>
          <cell r="C39" t="str">
            <v>2011-133</v>
          </cell>
          <cell r="D39" t="str">
            <v>Zhu</v>
          </cell>
          <cell r="E39" t="str">
            <v>China</v>
          </cell>
          <cell r="F39" t="str">
            <v>wheat</v>
          </cell>
          <cell r="G39" t="str">
            <v>Y2</v>
          </cell>
          <cell r="H39">
            <v>2009</v>
          </cell>
          <cell r="I39" t="str">
            <v>FACE</v>
          </cell>
          <cell r="J39" t="str">
            <v>field</v>
          </cell>
          <cell r="K39" t="str">
            <v>NF</v>
          </cell>
          <cell r="L39">
            <v>6.9059999999999997</v>
          </cell>
          <cell r="M39">
            <v>44.6</v>
          </cell>
          <cell r="N39">
            <v>7</v>
          </cell>
          <cell r="O39">
            <v>75</v>
          </cell>
          <cell r="P39">
            <v>3</v>
          </cell>
          <cell r="Q39">
            <v>6.9059999999999997</v>
          </cell>
          <cell r="R39" t="str">
            <v>ears no. plant-1</v>
          </cell>
          <cell r="S39">
            <v>436.36363636363598</v>
          </cell>
          <cell r="T39" t="str">
            <v>417.065661393739</v>
          </cell>
          <cell r="U39" t="str">
            <v>1.04627083156501</v>
          </cell>
        </row>
        <row r="40">
          <cell r="B40" t="str">
            <v>2011-133Y22009FACE</v>
          </cell>
          <cell r="C40" t="str">
            <v>2011-133</v>
          </cell>
          <cell r="D40" t="str">
            <v>Zhu</v>
          </cell>
          <cell r="E40" t="str">
            <v>China</v>
          </cell>
          <cell r="F40" t="str">
            <v>wheat</v>
          </cell>
          <cell r="G40" t="str">
            <v>Y2</v>
          </cell>
          <cell r="H40">
            <v>2009</v>
          </cell>
          <cell r="I40" t="str">
            <v>FACE</v>
          </cell>
          <cell r="J40" t="str">
            <v>field</v>
          </cell>
          <cell r="K40" t="str">
            <v>EO3</v>
          </cell>
          <cell r="L40">
            <v>15.1297</v>
          </cell>
          <cell r="M40">
            <v>57.3</v>
          </cell>
          <cell r="N40">
            <v>7</v>
          </cell>
          <cell r="O40">
            <v>75</v>
          </cell>
          <cell r="P40">
            <v>3</v>
          </cell>
          <cell r="Q40">
            <v>15.1297</v>
          </cell>
          <cell r="R40" t="str">
            <v>ears no. plant-1</v>
          </cell>
          <cell r="S40">
            <v>451.67464114832501</v>
          </cell>
          <cell r="T40" t="str">
            <v>417.065661393739</v>
          </cell>
          <cell r="U40" t="str">
            <v>1.0829820888129</v>
          </cell>
        </row>
      </sheetData>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row>
        <row r="2">
          <cell r="B2" t="str">
            <v>2012-118yangmai1852004OTC</v>
          </cell>
          <cell r="C2" t="str">
            <v>2012-118</v>
          </cell>
          <cell r="D2" t="str">
            <v>Wang</v>
          </cell>
          <cell r="E2" t="str">
            <v>Asian</v>
          </cell>
          <cell r="F2" t="str">
            <v>wheat</v>
          </cell>
          <cell r="G2" t="str">
            <v>yangmai185</v>
          </cell>
          <cell r="H2">
            <v>2004</v>
          </cell>
          <cell r="I2" t="str">
            <v>OTC</v>
          </cell>
          <cell r="J2" t="str">
            <v>field</v>
          </cell>
          <cell r="K2" t="str">
            <v>CF</v>
          </cell>
          <cell r="L2">
            <v>0</v>
          </cell>
          <cell r="M2"/>
          <cell r="N2">
            <v>8</v>
          </cell>
          <cell r="O2">
            <v>65</v>
          </cell>
          <cell r="P2">
            <v>3</v>
          </cell>
          <cell r="Q2">
            <v>0</v>
          </cell>
          <cell r="R2" t="str">
            <v>Total grain no.</v>
          </cell>
          <cell r="S2">
            <v>11278.688524590199</v>
          </cell>
          <cell r="T2" t="str">
            <v>11284.0906189258</v>
          </cell>
          <cell r="U2" t="str">
            <v>0.999526170426078</v>
          </cell>
        </row>
        <row r="3">
          <cell r="B3" t="str">
            <v>2012-118yangmai1852004OTC</v>
          </cell>
          <cell r="C3" t="str">
            <v>2012-118</v>
          </cell>
          <cell r="D3" t="str">
            <v>Wang</v>
          </cell>
          <cell r="E3" t="str">
            <v>Asian</v>
          </cell>
          <cell r="F3" t="str">
            <v>wheat</v>
          </cell>
          <cell r="G3" t="str">
            <v>yangmai185</v>
          </cell>
          <cell r="H3">
            <v>2004</v>
          </cell>
          <cell r="I3" t="str">
            <v>OTC</v>
          </cell>
          <cell r="J3" t="str">
            <v>field</v>
          </cell>
          <cell r="K3" t="str">
            <v>NF</v>
          </cell>
          <cell r="L3">
            <v>3.82</v>
          </cell>
          <cell r="M3"/>
          <cell r="N3">
            <v>8</v>
          </cell>
          <cell r="O3">
            <v>65</v>
          </cell>
          <cell r="P3">
            <v>3</v>
          </cell>
          <cell r="Q3">
            <v>3.82</v>
          </cell>
          <cell r="R3" t="str">
            <v>Total grain no.</v>
          </cell>
          <cell r="S3">
            <v>12129.032258064501</v>
          </cell>
          <cell r="T3" t="str">
            <v>11284.0906189258</v>
          </cell>
          <cell r="U3" t="str">
            <v>1.0748842950531</v>
          </cell>
        </row>
        <row r="4">
          <cell r="B4" t="str">
            <v>2012-118yangmai1852004OTC</v>
          </cell>
          <cell r="C4" t="str">
            <v>2012-118</v>
          </cell>
          <cell r="D4" t="str">
            <v>Wang</v>
          </cell>
          <cell r="E4" t="str">
            <v>Asian</v>
          </cell>
          <cell r="F4" t="str">
            <v>wheat</v>
          </cell>
          <cell r="G4" t="str">
            <v>yangmai185</v>
          </cell>
          <cell r="H4">
            <v>2004</v>
          </cell>
          <cell r="I4" t="str">
            <v>OTC</v>
          </cell>
          <cell r="J4" t="str">
            <v>field</v>
          </cell>
          <cell r="K4" t="str">
            <v>EO3-1</v>
          </cell>
          <cell r="L4">
            <v>22.61</v>
          </cell>
          <cell r="M4"/>
          <cell r="N4">
            <v>8</v>
          </cell>
          <cell r="O4">
            <v>65</v>
          </cell>
          <cell r="P4">
            <v>3</v>
          </cell>
          <cell r="Q4">
            <v>22.61</v>
          </cell>
          <cell r="R4" t="str">
            <v>Total grain no.</v>
          </cell>
          <cell r="S4">
            <v>7947.0198675496704</v>
          </cell>
          <cell r="T4" t="str">
            <v>11284.0906189258</v>
          </cell>
          <cell r="U4" t="str">
            <v>0.704271096519221</v>
          </cell>
        </row>
        <row r="5">
          <cell r="B5" t="str">
            <v>2012-118jia0022006OTC</v>
          </cell>
          <cell r="C5" t="str">
            <v>2012-118</v>
          </cell>
          <cell r="D5" t="str">
            <v>Wang</v>
          </cell>
          <cell r="E5" t="str">
            <v>Asian</v>
          </cell>
          <cell r="F5" t="str">
            <v>wheat</v>
          </cell>
          <cell r="G5" t="str">
            <v>jia002</v>
          </cell>
          <cell r="H5">
            <v>2006</v>
          </cell>
          <cell r="I5" t="str">
            <v>OTC</v>
          </cell>
          <cell r="J5" t="str">
            <v>field</v>
          </cell>
          <cell r="K5" t="str">
            <v>CF</v>
          </cell>
          <cell r="L5">
            <v>0</v>
          </cell>
          <cell r="M5"/>
          <cell r="N5">
            <v>8</v>
          </cell>
          <cell r="O5">
            <v>47</v>
          </cell>
          <cell r="P5">
            <v>3</v>
          </cell>
          <cell r="Q5">
            <v>0</v>
          </cell>
          <cell r="R5" t="str">
            <v>Total grain no.</v>
          </cell>
          <cell r="S5">
            <v>16243.654822335</v>
          </cell>
          <cell r="T5" t="str">
            <v>17535.3253222042</v>
          </cell>
          <cell r="U5" t="str">
            <v>0.926343495292174</v>
          </cell>
        </row>
        <row r="6">
          <cell r="B6" t="str">
            <v>2012-118jia0022006OTC</v>
          </cell>
          <cell r="C6" t="str">
            <v>2012-118</v>
          </cell>
          <cell r="D6" t="str">
            <v>Wang</v>
          </cell>
          <cell r="E6" t="str">
            <v>Asian</v>
          </cell>
          <cell r="F6" t="str">
            <v>wheat</v>
          </cell>
          <cell r="G6" t="str">
            <v>jia002</v>
          </cell>
          <cell r="H6">
            <v>2006</v>
          </cell>
          <cell r="I6" t="str">
            <v>OTC</v>
          </cell>
          <cell r="J6" t="str">
            <v>field</v>
          </cell>
          <cell r="K6" t="str">
            <v>NF</v>
          </cell>
          <cell r="L6">
            <v>2.5</v>
          </cell>
          <cell r="M6"/>
          <cell r="N6">
            <v>8</v>
          </cell>
          <cell r="O6">
            <v>47</v>
          </cell>
          <cell r="P6">
            <v>3</v>
          </cell>
          <cell r="Q6">
            <v>2.5</v>
          </cell>
          <cell r="R6" t="str">
            <v>Total grain no.</v>
          </cell>
          <cell r="S6">
            <v>16869.728209934401</v>
          </cell>
          <cell r="T6" t="str">
            <v>17535.3253222042</v>
          </cell>
          <cell r="U6" t="str">
            <v>0.96204722185627</v>
          </cell>
        </row>
        <row r="7">
          <cell r="B7" t="str">
            <v>2012-118jia0022006OTC</v>
          </cell>
          <cell r="C7" t="str">
            <v>2012-118</v>
          </cell>
          <cell r="D7" t="str">
            <v>Wang</v>
          </cell>
          <cell r="E7" t="str">
            <v>Asian</v>
          </cell>
          <cell r="F7" t="str">
            <v>wheat</v>
          </cell>
          <cell r="G7" t="str">
            <v>jia002</v>
          </cell>
          <cell r="H7">
            <v>2006</v>
          </cell>
          <cell r="I7" t="str">
            <v>OTC</v>
          </cell>
          <cell r="J7" t="str">
            <v>field</v>
          </cell>
          <cell r="K7" t="str">
            <v>EO3-1</v>
          </cell>
          <cell r="L7">
            <v>14.27</v>
          </cell>
          <cell r="M7"/>
          <cell r="N7">
            <v>8</v>
          </cell>
          <cell r="O7">
            <v>47</v>
          </cell>
          <cell r="P7">
            <v>3</v>
          </cell>
          <cell r="Q7">
            <v>14.27</v>
          </cell>
          <cell r="R7" t="str">
            <v>Total grain no.</v>
          </cell>
          <cell r="S7">
            <v>14809.8283406261</v>
          </cell>
          <cell r="T7" t="str">
            <v>17535.3253222042</v>
          </cell>
          <cell r="U7" t="str">
            <v>0.844575207967915</v>
          </cell>
        </row>
        <row r="8">
          <cell r="B8" t="str">
            <v>2012-118jia0022006OTC</v>
          </cell>
          <cell r="C8" t="str">
            <v>2012-118</v>
          </cell>
          <cell r="D8" t="str">
            <v>Wang</v>
          </cell>
          <cell r="E8" t="str">
            <v>Asian</v>
          </cell>
          <cell r="F8" t="str">
            <v>wheat</v>
          </cell>
          <cell r="G8" t="str">
            <v>jia002</v>
          </cell>
          <cell r="H8">
            <v>2006</v>
          </cell>
          <cell r="I8" t="str">
            <v>OTC</v>
          </cell>
          <cell r="J8" t="str">
            <v>field</v>
          </cell>
          <cell r="K8" t="str">
            <v>EO3-2</v>
          </cell>
          <cell r="L8">
            <v>24.22</v>
          </cell>
          <cell r="M8"/>
          <cell r="N8">
            <v>8</v>
          </cell>
          <cell r="O8">
            <v>47</v>
          </cell>
          <cell r="P8">
            <v>3</v>
          </cell>
          <cell r="Q8">
            <v>24.22</v>
          </cell>
          <cell r="R8" t="str">
            <v>Total grain no.</v>
          </cell>
          <cell r="S8">
            <v>15135.1351351351</v>
          </cell>
          <cell r="T8" t="str">
            <v>17535.3253222042</v>
          </cell>
          <cell r="U8" t="str">
            <v>0.863126810816154</v>
          </cell>
        </row>
        <row r="9">
          <cell r="B9" t="str">
            <v>2012-118jia0022007OTC</v>
          </cell>
          <cell r="C9" t="str">
            <v>2012-118</v>
          </cell>
          <cell r="D9" t="str">
            <v>Wang</v>
          </cell>
          <cell r="E9" t="str">
            <v>Asian</v>
          </cell>
          <cell r="F9" t="str">
            <v>wheat</v>
          </cell>
          <cell r="G9" t="str">
            <v>jia002</v>
          </cell>
          <cell r="H9">
            <v>2007</v>
          </cell>
          <cell r="I9" t="str">
            <v>OTC</v>
          </cell>
          <cell r="J9" t="str">
            <v>field</v>
          </cell>
          <cell r="K9" t="str">
            <v>CF</v>
          </cell>
          <cell r="L9">
            <v>0</v>
          </cell>
          <cell r="M9"/>
          <cell r="N9">
            <v>8</v>
          </cell>
          <cell r="O9">
            <v>55</v>
          </cell>
          <cell r="P9">
            <v>3</v>
          </cell>
          <cell r="Q9">
            <v>0</v>
          </cell>
          <cell r="R9" t="str">
            <v>Total grain no.</v>
          </cell>
          <cell r="S9">
            <v>15130.674002751</v>
          </cell>
          <cell r="T9" t="str">
            <v>15490.9708689609</v>
          </cell>
          <cell r="U9" t="str">
            <v>0.976746286316683</v>
          </cell>
        </row>
        <row r="10">
          <cell r="B10" t="str">
            <v>2012-118jia0022007OTC</v>
          </cell>
          <cell r="C10" t="str">
            <v>2012-118</v>
          </cell>
          <cell r="D10" t="str">
            <v>Wang</v>
          </cell>
          <cell r="E10" t="str">
            <v>Asian</v>
          </cell>
          <cell r="F10" t="str">
            <v>wheat</v>
          </cell>
          <cell r="G10" t="str">
            <v>jia002</v>
          </cell>
          <cell r="H10">
            <v>2007</v>
          </cell>
          <cell r="I10" t="str">
            <v>OTC</v>
          </cell>
          <cell r="J10" t="str">
            <v>field</v>
          </cell>
          <cell r="K10" t="str">
            <v>NF</v>
          </cell>
          <cell r="L10">
            <v>0.21</v>
          </cell>
          <cell r="M10"/>
          <cell r="N10">
            <v>8</v>
          </cell>
          <cell r="O10">
            <v>55</v>
          </cell>
          <cell r="P10">
            <v>3</v>
          </cell>
          <cell r="Q10">
            <v>0.21</v>
          </cell>
          <cell r="R10" t="str">
            <v>Total grain no.</v>
          </cell>
          <cell r="S10">
            <v>15275.1423149905</v>
          </cell>
          <cell r="T10" t="str">
            <v>15490.9708689609</v>
          </cell>
          <cell r="U10" t="str">
            <v>0.986072300970406</v>
          </cell>
        </row>
        <row r="11">
          <cell r="B11" t="str">
            <v>2012-118jia0022007OTC</v>
          </cell>
          <cell r="C11" t="str">
            <v>2012-118</v>
          </cell>
          <cell r="D11" t="str">
            <v>Wang</v>
          </cell>
          <cell r="E11" t="str">
            <v>Asian</v>
          </cell>
          <cell r="F11" t="str">
            <v>wheat</v>
          </cell>
          <cell r="G11" t="str">
            <v>jia002</v>
          </cell>
          <cell r="H11">
            <v>2007</v>
          </cell>
          <cell r="I11" t="str">
            <v>OTC</v>
          </cell>
          <cell r="J11" t="str">
            <v>field</v>
          </cell>
          <cell r="K11" t="str">
            <v>EO3-1</v>
          </cell>
          <cell r="L11">
            <v>1.58</v>
          </cell>
          <cell r="M11"/>
          <cell r="N11">
            <v>8</v>
          </cell>
          <cell r="O11">
            <v>55</v>
          </cell>
          <cell r="P11">
            <v>3</v>
          </cell>
          <cell r="Q11">
            <v>1.58</v>
          </cell>
          <cell r="R11" t="str">
            <v>Total grain no.</v>
          </cell>
          <cell r="S11">
            <v>14470.531863919499</v>
          </cell>
          <cell r="T11" t="str">
            <v>15490.9708689609</v>
          </cell>
          <cell r="U11" t="str">
            <v>0.93413143767031</v>
          </cell>
        </row>
        <row r="12">
          <cell r="B12" t="str">
            <v>2012-118jia0022007OTC</v>
          </cell>
          <cell r="C12" t="str">
            <v>2012-118</v>
          </cell>
          <cell r="D12" t="str">
            <v>Wang</v>
          </cell>
          <cell r="E12" t="str">
            <v>Asian</v>
          </cell>
          <cell r="F12" t="str">
            <v>wheat</v>
          </cell>
          <cell r="G12" t="str">
            <v>jia002</v>
          </cell>
          <cell r="H12">
            <v>2007</v>
          </cell>
          <cell r="I12" t="str">
            <v>OTC</v>
          </cell>
          <cell r="J12" t="str">
            <v>field</v>
          </cell>
          <cell r="K12" t="str">
            <v>EO3-2</v>
          </cell>
          <cell r="L12">
            <v>9.17</v>
          </cell>
          <cell r="M12"/>
          <cell r="N12">
            <v>8</v>
          </cell>
          <cell r="O12">
            <v>55</v>
          </cell>
          <cell r="P12">
            <v>3</v>
          </cell>
          <cell r="Q12">
            <v>9.17</v>
          </cell>
          <cell r="R12" t="str">
            <v>Total grain no.</v>
          </cell>
          <cell r="S12">
            <v>15450.643776823999</v>
          </cell>
          <cell r="T12" t="str">
            <v>15490.9708689609</v>
          </cell>
          <cell r="U12" t="str">
            <v>0.997401631115109</v>
          </cell>
        </row>
        <row r="13">
          <cell r="B13" t="str">
            <v>2012-118jia0022008OTC</v>
          </cell>
          <cell r="C13" t="str">
            <v>2012-118</v>
          </cell>
          <cell r="D13" t="str">
            <v>Wang</v>
          </cell>
          <cell r="E13" t="str">
            <v>Asian</v>
          </cell>
          <cell r="F13" t="str">
            <v>wheat</v>
          </cell>
          <cell r="G13" t="str">
            <v>jia002</v>
          </cell>
          <cell r="H13">
            <v>2008</v>
          </cell>
          <cell r="I13" t="str">
            <v>OTC</v>
          </cell>
          <cell r="J13" t="str">
            <v>field</v>
          </cell>
          <cell r="K13" t="str">
            <v>CF</v>
          </cell>
          <cell r="L13">
            <v>0.1</v>
          </cell>
          <cell r="M13"/>
          <cell r="N13">
            <v>8</v>
          </cell>
          <cell r="O13">
            <v>55</v>
          </cell>
          <cell r="P13">
            <v>3</v>
          </cell>
          <cell r="Q13">
            <v>0.1</v>
          </cell>
          <cell r="R13" t="str">
            <v>Total grain no.</v>
          </cell>
          <cell r="S13">
            <v>14587.6887340302</v>
          </cell>
          <cell r="T13" t="str">
            <v>13181.4814901858</v>
          </cell>
          <cell r="U13" t="str">
            <v>1.10668594761045</v>
          </cell>
        </row>
        <row r="14">
          <cell r="B14" t="str">
            <v>2012-118jia0022008OTC</v>
          </cell>
          <cell r="C14" t="str">
            <v>2012-118</v>
          </cell>
          <cell r="D14" t="str">
            <v>Wang</v>
          </cell>
          <cell r="E14" t="str">
            <v>Asian</v>
          </cell>
          <cell r="F14" t="str">
            <v>wheat</v>
          </cell>
          <cell r="G14" t="str">
            <v>jia002</v>
          </cell>
          <cell r="H14">
            <v>2008</v>
          </cell>
          <cell r="I14" t="str">
            <v>OTC</v>
          </cell>
          <cell r="J14" t="str">
            <v>field</v>
          </cell>
          <cell r="K14" t="str">
            <v>NF</v>
          </cell>
          <cell r="L14">
            <v>0.15</v>
          </cell>
          <cell r="M14"/>
          <cell r="N14">
            <v>8</v>
          </cell>
          <cell r="O14">
            <v>55</v>
          </cell>
          <cell r="P14">
            <v>3</v>
          </cell>
          <cell r="Q14">
            <v>0.15</v>
          </cell>
          <cell r="R14" t="str">
            <v>Total grain no.</v>
          </cell>
          <cell r="S14">
            <v>13873.3497426717</v>
          </cell>
          <cell r="T14" t="str">
            <v>13181.4814901858</v>
          </cell>
          <cell r="U14" t="str">
            <v>1.05249306359843</v>
          </cell>
        </row>
        <row r="15">
          <cell r="B15" t="str">
            <v>2012-118jia0022008OTC</v>
          </cell>
          <cell r="C15" t="str">
            <v>2012-118</v>
          </cell>
          <cell r="D15" t="str">
            <v>Wang</v>
          </cell>
          <cell r="E15" t="str">
            <v>Asian</v>
          </cell>
          <cell r="F15" t="str">
            <v>wheat</v>
          </cell>
          <cell r="G15" t="str">
            <v>jia002</v>
          </cell>
          <cell r="H15">
            <v>2008</v>
          </cell>
          <cell r="I15" t="str">
            <v>OTC</v>
          </cell>
          <cell r="J15" t="str">
            <v>field</v>
          </cell>
          <cell r="K15" t="str">
            <v>EO3-1</v>
          </cell>
          <cell r="L15">
            <v>15.32</v>
          </cell>
          <cell r="M15"/>
          <cell r="N15">
            <v>8</v>
          </cell>
          <cell r="O15">
            <v>55</v>
          </cell>
          <cell r="P15">
            <v>3</v>
          </cell>
          <cell r="Q15">
            <v>15.32</v>
          </cell>
          <cell r="R15" t="str">
            <v>Total grain no.</v>
          </cell>
          <cell r="S15">
            <v>11008</v>
          </cell>
          <cell r="T15" t="str">
            <v>13181.4814901858</v>
          </cell>
          <cell r="U15" t="str">
            <v>0.835115084603954</v>
          </cell>
        </row>
        <row r="16">
          <cell r="B16" t="str">
            <v>2012-118jia0022008OTC</v>
          </cell>
          <cell r="C16" t="str">
            <v>2012-118</v>
          </cell>
          <cell r="D16" t="str">
            <v>Wang</v>
          </cell>
          <cell r="E16" t="str">
            <v>Asian</v>
          </cell>
          <cell r="F16" t="str">
            <v>wheat</v>
          </cell>
          <cell r="G16" t="str">
            <v>jia002</v>
          </cell>
          <cell r="H16">
            <v>2008</v>
          </cell>
          <cell r="I16" t="str">
            <v>OTC</v>
          </cell>
          <cell r="J16" t="str">
            <v>field</v>
          </cell>
          <cell r="K16" t="str">
            <v>EO3-2</v>
          </cell>
          <cell r="L16">
            <v>27.67</v>
          </cell>
          <cell r="M16"/>
          <cell r="N16">
            <v>8</v>
          </cell>
          <cell r="O16">
            <v>55</v>
          </cell>
          <cell r="P16">
            <v>3</v>
          </cell>
          <cell r="Q16">
            <v>27.67</v>
          </cell>
          <cell r="R16" t="str">
            <v>Total grain no.</v>
          </cell>
          <cell r="S16">
            <v>8513.7614678899099</v>
          </cell>
          <cell r="T16" t="str">
            <v>13181.4814901858</v>
          </cell>
          <cell r="U16" t="str">
            <v>0.645891227157955</v>
          </cell>
        </row>
        <row r="17">
          <cell r="B17" t="str">
            <v>2011-133Y152007FACE</v>
          </cell>
          <cell r="C17" t="str">
            <v>2011-133</v>
          </cell>
          <cell r="D17" t="str">
            <v>Zhu</v>
          </cell>
          <cell r="E17" t="str">
            <v>Asian</v>
          </cell>
          <cell r="F17" t="str">
            <v>wheat</v>
          </cell>
          <cell r="G17" t="str">
            <v>Y15</v>
          </cell>
          <cell r="H17">
            <v>2007</v>
          </cell>
          <cell r="I17" t="str">
            <v>FACE</v>
          </cell>
          <cell r="J17" t="str">
            <v>field</v>
          </cell>
          <cell r="K17" t="str">
            <v>NF</v>
          </cell>
          <cell r="L17">
            <v>7.27</v>
          </cell>
          <cell r="M17">
            <v>46.4</v>
          </cell>
          <cell r="N17">
            <v>7</v>
          </cell>
          <cell r="O17">
            <v>75</v>
          </cell>
          <cell r="P17">
            <v>3</v>
          </cell>
          <cell r="Q17">
            <v>7.27</v>
          </cell>
          <cell r="R17" t="str">
            <v>Total grain no.</v>
          </cell>
          <cell r="S17">
            <v>18076.323987538999</v>
          </cell>
          <cell r="T17" t="str">
            <v>20206.7271493734</v>
          </cell>
          <cell r="U17" t="str">
            <v>0.894573998887127</v>
          </cell>
        </row>
        <row r="18">
          <cell r="B18" t="str">
            <v>2011-133Y152007FACE</v>
          </cell>
          <cell r="C18" t="str">
            <v>2011-133</v>
          </cell>
          <cell r="D18" t="str">
            <v>Zhu</v>
          </cell>
          <cell r="E18" t="str">
            <v>Asian</v>
          </cell>
          <cell r="F18" t="str">
            <v>wheat</v>
          </cell>
          <cell r="G18" t="str">
            <v>Y15</v>
          </cell>
          <cell r="H18">
            <v>2007</v>
          </cell>
          <cell r="I18" t="str">
            <v>FACE</v>
          </cell>
          <cell r="J18" t="str">
            <v>field</v>
          </cell>
          <cell r="K18" t="str">
            <v>EO3</v>
          </cell>
          <cell r="L18">
            <v>13.8865</v>
          </cell>
          <cell r="M18">
            <v>56.9</v>
          </cell>
          <cell r="N18">
            <v>7</v>
          </cell>
          <cell r="O18">
            <v>75</v>
          </cell>
          <cell r="P18">
            <v>3</v>
          </cell>
          <cell r="Q18">
            <v>13.8865</v>
          </cell>
          <cell r="R18" t="str">
            <v>Total grain no.</v>
          </cell>
          <cell r="S18">
            <v>18252.877114389499</v>
          </cell>
          <cell r="T18" t="str">
            <v>20206.7271493734</v>
          </cell>
          <cell r="U18" t="str">
            <v>0.90331138580338</v>
          </cell>
        </row>
        <row r="19">
          <cell r="B19" t="str">
            <v>2011-133Y162007FACE</v>
          </cell>
          <cell r="C19" t="str">
            <v>2011-133</v>
          </cell>
          <cell r="D19" t="str">
            <v>Zhu</v>
          </cell>
          <cell r="E19" t="str">
            <v>Asian</v>
          </cell>
          <cell r="F19" t="str">
            <v>wheat</v>
          </cell>
          <cell r="G19" t="str">
            <v>Y16</v>
          </cell>
          <cell r="H19">
            <v>2007</v>
          </cell>
          <cell r="I19" t="str">
            <v>FACE</v>
          </cell>
          <cell r="J19" t="str">
            <v>field</v>
          </cell>
          <cell r="K19" t="str">
            <v>NF</v>
          </cell>
          <cell r="L19">
            <v>7.75</v>
          </cell>
          <cell r="M19">
            <v>46.4</v>
          </cell>
          <cell r="N19">
            <v>7</v>
          </cell>
          <cell r="O19">
            <v>75</v>
          </cell>
          <cell r="P19">
            <v>3</v>
          </cell>
          <cell r="Q19">
            <v>7.75</v>
          </cell>
          <cell r="R19" t="str">
            <v>Total grain no.</v>
          </cell>
          <cell r="S19">
            <v>19271.452846219199</v>
          </cell>
          <cell r="T19" t="str">
            <v>20762.1104398712</v>
          </cell>
          <cell r="U19" t="str">
            <v>0.928207538964062</v>
          </cell>
        </row>
        <row r="20">
          <cell r="B20" t="str">
            <v>2011-133Y162007FACE</v>
          </cell>
          <cell r="C20" t="str">
            <v>2011-133</v>
          </cell>
          <cell r="D20" t="str">
            <v>Zhu</v>
          </cell>
          <cell r="E20" t="str">
            <v>Asian</v>
          </cell>
          <cell r="F20" t="str">
            <v>wheat</v>
          </cell>
          <cell r="G20" t="str">
            <v>Y16</v>
          </cell>
          <cell r="H20">
            <v>2007</v>
          </cell>
          <cell r="I20" t="str">
            <v>FACE</v>
          </cell>
          <cell r="J20" t="str">
            <v>field</v>
          </cell>
          <cell r="K20" t="str">
            <v>EO3</v>
          </cell>
          <cell r="L20">
            <v>14.6637</v>
          </cell>
          <cell r="M20">
            <v>56.9</v>
          </cell>
          <cell r="N20">
            <v>7</v>
          </cell>
          <cell r="O20">
            <v>75</v>
          </cell>
          <cell r="P20">
            <v>3</v>
          </cell>
          <cell r="Q20">
            <v>14.6637</v>
          </cell>
          <cell r="R20" t="str">
            <v>Total grain no.</v>
          </cell>
          <cell r="S20">
            <v>17833.4010564811</v>
          </cell>
          <cell r="T20" t="str">
            <v>20762.1104398712</v>
          </cell>
          <cell r="U20" t="str">
            <v>0.858943922810829</v>
          </cell>
        </row>
        <row r="21">
          <cell r="B21" t="str">
            <v>2011-133Y192007FACE</v>
          </cell>
          <cell r="C21" t="str">
            <v>2011-133</v>
          </cell>
          <cell r="D21" t="str">
            <v>Zhu</v>
          </cell>
          <cell r="E21" t="str">
            <v>Asian</v>
          </cell>
          <cell r="F21" t="str">
            <v>wheat</v>
          </cell>
          <cell r="G21" t="str">
            <v>Y19</v>
          </cell>
          <cell r="H21">
            <v>2007</v>
          </cell>
          <cell r="I21" t="str">
            <v>FACE</v>
          </cell>
          <cell r="J21" t="str">
            <v>field</v>
          </cell>
          <cell r="K21" t="str">
            <v>NF</v>
          </cell>
          <cell r="L21">
            <v>8.4130000000000003</v>
          </cell>
          <cell r="M21">
            <v>46.4</v>
          </cell>
          <cell r="N21">
            <v>7</v>
          </cell>
          <cell r="O21">
            <v>75</v>
          </cell>
          <cell r="P21">
            <v>3</v>
          </cell>
          <cell r="Q21">
            <v>8.4130000000000003</v>
          </cell>
          <cell r="R21" t="str">
            <v>Total grain no.</v>
          </cell>
          <cell r="S21">
            <v>18371.275660995299</v>
          </cell>
          <cell r="T21" t="str">
            <v>21466.5257216326</v>
          </cell>
          <cell r="U21" t="str">
            <v>0.855814586385155</v>
          </cell>
        </row>
        <row r="22">
          <cell r="B22" t="str">
            <v>2011-133Y192007FACE</v>
          </cell>
          <cell r="C22" t="str">
            <v>2011-133</v>
          </cell>
          <cell r="D22" t="str">
            <v>Zhu</v>
          </cell>
          <cell r="E22" t="str">
            <v>Asian</v>
          </cell>
          <cell r="F22" t="str">
            <v>wheat</v>
          </cell>
          <cell r="G22" t="str">
            <v>Y19</v>
          </cell>
          <cell r="H22">
            <v>2007</v>
          </cell>
          <cell r="I22" t="str">
            <v>FACE</v>
          </cell>
          <cell r="J22" t="str">
            <v>field</v>
          </cell>
          <cell r="K22" t="str">
            <v>EO3</v>
          </cell>
          <cell r="L22">
            <v>15.313599999999999</v>
          </cell>
          <cell r="M22">
            <v>56.9</v>
          </cell>
          <cell r="N22">
            <v>7</v>
          </cell>
          <cell r="O22">
            <v>75</v>
          </cell>
          <cell r="P22">
            <v>3</v>
          </cell>
          <cell r="Q22">
            <v>15.313599999999999</v>
          </cell>
          <cell r="R22" t="str">
            <v>Total grain no.</v>
          </cell>
          <cell r="S22">
            <v>19719.626168224298</v>
          </cell>
          <cell r="T22" t="str">
            <v>21466.5257216326</v>
          </cell>
          <cell r="U22" t="str">
            <v>0.918626666119846</v>
          </cell>
        </row>
        <row r="23">
          <cell r="B23" t="str">
            <v>2011-133Y22007FACE</v>
          </cell>
          <cell r="C23" t="str">
            <v>2011-133</v>
          </cell>
          <cell r="D23" t="str">
            <v>Zhu</v>
          </cell>
          <cell r="E23" t="str">
            <v>Asian</v>
          </cell>
          <cell r="F23" t="str">
            <v>wheat</v>
          </cell>
          <cell r="G23" t="str">
            <v>Y2</v>
          </cell>
          <cell r="H23">
            <v>2007</v>
          </cell>
          <cell r="I23" t="str">
            <v>FACE</v>
          </cell>
          <cell r="J23" t="str">
            <v>field</v>
          </cell>
          <cell r="K23" t="str">
            <v>NF</v>
          </cell>
          <cell r="L23">
            <v>7.7503000000000002</v>
          </cell>
          <cell r="M23">
            <v>46.4</v>
          </cell>
          <cell r="N23">
            <v>7</v>
          </cell>
          <cell r="O23">
            <v>75</v>
          </cell>
          <cell r="P23">
            <v>3</v>
          </cell>
          <cell r="Q23">
            <v>7.7503000000000002</v>
          </cell>
          <cell r="R23" t="str">
            <v>Total grain no.</v>
          </cell>
          <cell r="S23">
            <v>17612.1852036813</v>
          </cell>
          <cell r="T23" t="str">
            <v>19275.8416325534</v>
          </cell>
          <cell r="U23" t="str">
            <v>0.91369663562347</v>
          </cell>
        </row>
        <row r="24">
          <cell r="B24" t="str">
            <v>2011-133Y22007FACE</v>
          </cell>
          <cell r="C24" t="str">
            <v>2011-133</v>
          </cell>
          <cell r="D24" t="str">
            <v>Zhu</v>
          </cell>
          <cell r="E24" t="str">
            <v>Asian</v>
          </cell>
          <cell r="F24" t="str">
            <v>wheat</v>
          </cell>
          <cell r="G24" t="str">
            <v>Y2</v>
          </cell>
          <cell r="H24">
            <v>2007</v>
          </cell>
          <cell r="I24" t="str">
            <v>FACE</v>
          </cell>
          <cell r="J24" t="str">
            <v>field</v>
          </cell>
          <cell r="K24" t="str">
            <v>EO3</v>
          </cell>
          <cell r="L24">
            <v>14.6637</v>
          </cell>
          <cell r="M24">
            <v>56.9</v>
          </cell>
          <cell r="N24">
            <v>7</v>
          </cell>
          <cell r="O24">
            <v>75</v>
          </cell>
          <cell r="P24">
            <v>3</v>
          </cell>
          <cell r="Q24">
            <v>14.6637</v>
          </cell>
          <cell r="R24" t="str">
            <v>Total grain no.</v>
          </cell>
          <cell r="S24">
            <v>16819.681143485399</v>
          </cell>
          <cell r="T24" t="str">
            <v>19275.8416325534</v>
          </cell>
          <cell r="U24" t="str">
            <v>0.872582583894811</v>
          </cell>
        </row>
        <row r="25">
          <cell r="B25" t="str">
            <v>2011-133Y152008FACE</v>
          </cell>
          <cell r="C25" t="str">
            <v>2011-133</v>
          </cell>
          <cell r="D25" t="str">
            <v>Zhu</v>
          </cell>
          <cell r="E25" t="str">
            <v>Asian</v>
          </cell>
          <cell r="F25" t="str">
            <v>wheat</v>
          </cell>
          <cell r="G25" t="str">
            <v>Y15</v>
          </cell>
          <cell r="H25">
            <v>2008</v>
          </cell>
          <cell r="I25" t="str">
            <v>FACE</v>
          </cell>
          <cell r="J25" t="str">
            <v>field</v>
          </cell>
          <cell r="K25" t="str">
            <v>NF</v>
          </cell>
          <cell r="L25">
            <v>8.2789999999999999</v>
          </cell>
          <cell r="M25">
            <v>46</v>
          </cell>
          <cell r="N25">
            <v>7</v>
          </cell>
          <cell r="O25">
            <v>75</v>
          </cell>
          <cell r="P25">
            <v>3</v>
          </cell>
          <cell r="Q25">
            <v>8.2789999999999999</v>
          </cell>
          <cell r="R25" t="str">
            <v>Total grain no.</v>
          </cell>
          <cell r="S25">
            <v>22407.170294494201</v>
          </cell>
          <cell r="T25" t="str">
            <v>25282.9082395048</v>
          </cell>
          <cell r="U25" t="str">
            <v>0.886261978327453</v>
          </cell>
        </row>
        <row r="26">
          <cell r="B26" t="str">
            <v>2011-133Y152008FACE</v>
          </cell>
          <cell r="C26" t="str">
            <v>2011-133</v>
          </cell>
          <cell r="D26" t="str">
            <v>Zhu</v>
          </cell>
          <cell r="E26" t="str">
            <v>Asian</v>
          </cell>
          <cell r="F26" t="str">
            <v>wheat</v>
          </cell>
          <cell r="G26" t="str">
            <v>Y15</v>
          </cell>
          <cell r="H26">
            <v>2008</v>
          </cell>
          <cell r="I26" t="str">
            <v>FACE</v>
          </cell>
          <cell r="J26" t="str">
            <v>field</v>
          </cell>
          <cell r="K26" t="str">
            <v>EO3</v>
          </cell>
          <cell r="L26">
            <v>16.7821</v>
          </cell>
          <cell r="M26">
            <v>57.6</v>
          </cell>
          <cell r="N26">
            <v>7</v>
          </cell>
          <cell r="O26">
            <v>75</v>
          </cell>
          <cell r="P26">
            <v>3</v>
          </cell>
          <cell r="Q26">
            <v>16.7821</v>
          </cell>
          <cell r="R26" t="str">
            <v>Total grain no.</v>
          </cell>
          <cell r="S26">
            <v>22091.810119979102</v>
          </cell>
          <cell r="T26" t="str">
            <v>25282.9082395048</v>
          </cell>
          <cell r="U26" t="str">
            <v>0.873788661595438</v>
          </cell>
        </row>
        <row r="27">
          <cell r="B27" t="str">
            <v>2011-133Y162008FACE</v>
          </cell>
          <cell r="C27" t="str">
            <v>2011-133</v>
          </cell>
          <cell r="D27" t="str">
            <v>Zhu</v>
          </cell>
          <cell r="E27" t="str">
            <v>Asian</v>
          </cell>
          <cell r="F27" t="str">
            <v>wheat</v>
          </cell>
          <cell r="G27" t="str">
            <v>Y16</v>
          </cell>
          <cell r="H27">
            <v>2008</v>
          </cell>
          <cell r="I27" t="str">
            <v>FACE</v>
          </cell>
          <cell r="J27" t="str">
            <v>field</v>
          </cell>
          <cell r="K27" t="str">
            <v>NF</v>
          </cell>
          <cell r="L27">
            <v>8.4710000000000001</v>
          </cell>
          <cell r="M27">
            <v>46</v>
          </cell>
          <cell r="N27">
            <v>7</v>
          </cell>
          <cell r="O27">
            <v>75</v>
          </cell>
          <cell r="P27">
            <v>3</v>
          </cell>
          <cell r="Q27">
            <v>8.4710000000000001</v>
          </cell>
          <cell r="R27" t="str">
            <v>Total grain no.</v>
          </cell>
          <cell r="S27">
            <v>20166.453265044802</v>
          </cell>
          <cell r="T27" t="str">
            <v>22478.0445041998</v>
          </cell>
          <cell r="U27" t="str">
            <v>0.897166666033854</v>
          </cell>
        </row>
        <row r="28">
          <cell r="B28" t="str">
            <v>2011-133Y162008FACE</v>
          </cell>
          <cell r="C28" t="str">
            <v>2011-133</v>
          </cell>
          <cell r="D28" t="str">
            <v>Zhu</v>
          </cell>
          <cell r="E28" t="str">
            <v>Asian</v>
          </cell>
          <cell r="F28" t="str">
            <v>wheat</v>
          </cell>
          <cell r="G28" t="str">
            <v>Y16</v>
          </cell>
          <cell r="H28">
            <v>2008</v>
          </cell>
          <cell r="I28" t="str">
            <v>FACE</v>
          </cell>
          <cell r="J28" t="str">
            <v>field</v>
          </cell>
          <cell r="K28" t="str">
            <v>EO3</v>
          </cell>
          <cell r="L28">
            <v>16.742999999999999</v>
          </cell>
          <cell r="M28">
            <v>57.6</v>
          </cell>
          <cell r="N28">
            <v>7</v>
          </cell>
          <cell r="O28">
            <v>75</v>
          </cell>
          <cell r="P28">
            <v>3</v>
          </cell>
          <cell r="Q28">
            <v>16.742999999999999</v>
          </cell>
          <cell r="R28" t="str">
            <v>Total grain no.</v>
          </cell>
          <cell r="S28">
            <v>19372.374598467999</v>
          </cell>
          <cell r="T28" t="str">
            <v>22478.0445041998</v>
          </cell>
          <cell r="U28" t="str">
            <v>0.86183963551946</v>
          </cell>
        </row>
        <row r="29">
          <cell r="B29" t="str">
            <v>2011-133Y192008FACE</v>
          </cell>
          <cell r="C29" t="str">
            <v>2011-133</v>
          </cell>
          <cell r="D29" t="str">
            <v>Zhu</v>
          </cell>
          <cell r="E29" t="str">
            <v>Asian</v>
          </cell>
          <cell r="F29" t="str">
            <v>wheat</v>
          </cell>
          <cell r="G29" t="str">
            <v>Y19</v>
          </cell>
          <cell r="H29">
            <v>2008</v>
          </cell>
          <cell r="I29" t="str">
            <v>FACE</v>
          </cell>
          <cell r="J29" t="str">
            <v>field</v>
          </cell>
          <cell r="K29" t="str">
            <v>NF</v>
          </cell>
          <cell r="L29">
            <v>9.1110000000000007</v>
          </cell>
          <cell r="M29">
            <v>46</v>
          </cell>
          <cell r="N29">
            <v>7</v>
          </cell>
          <cell r="O29">
            <v>75</v>
          </cell>
          <cell r="P29">
            <v>3</v>
          </cell>
          <cell r="Q29">
            <v>9.1110000000000007</v>
          </cell>
          <cell r="R29" t="str">
            <v>Total grain no.</v>
          </cell>
          <cell r="S29">
            <v>20354.384370740601</v>
          </cell>
          <cell r="T29" t="str">
            <v>22266.7735729673</v>
          </cell>
          <cell r="U29" t="str">
            <v>0.914119156428252</v>
          </cell>
        </row>
        <row r="30">
          <cell r="B30" t="str">
            <v>2011-133Y192008FACE</v>
          </cell>
          <cell r="C30" t="str">
            <v>2011-133</v>
          </cell>
          <cell r="D30" t="str">
            <v>Zhu</v>
          </cell>
          <cell r="E30" t="str">
            <v>Asian</v>
          </cell>
          <cell r="F30" t="str">
            <v>wheat</v>
          </cell>
          <cell r="G30" t="str">
            <v>Y19</v>
          </cell>
          <cell r="H30">
            <v>2008</v>
          </cell>
          <cell r="I30" t="str">
            <v>FACE</v>
          </cell>
          <cell r="J30" t="str">
            <v>field</v>
          </cell>
          <cell r="K30" t="str">
            <v>EO3</v>
          </cell>
          <cell r="L30">
            <v>17.272200000000002</v>
          </cell>
          <cell r="M30">
            <v>57.6</v>
          </cell>
          <cell r="N30">
            <v>7</v>
          </cell>
          <cell r="O30">
            <v>75</v>
          </cell>
          <cell r="P30">
            <v>3</v>
          </cell>
          <cell r="Q30">
            <v>17.272200000000002</v>
          </cell>
          <cell r="R30" t="str">
            <v>Total grain no.</v>
          </cell>
          <cell r="S30">
            <v>18597.951344430199</v>
          </cell>
          <cell r="T30" t="str">
            <v>22266.7735729673</v>
          </cell>
          <cell r="U30" t="str">
            <v>0.83523742524499</v>
          </cell>
        </row>
        <row r="31">
          <cell r="B31" t="str">
            <v>2011-133Y22008FACE</v>
          </cell>
          <cell r="C31" t="str">
            <v>2011-133</v>
          </cell>
          <cell r="D31" t="str">
            <v>Zhu</v>
          </cell>
          <cell r="E31" t="str">
            <v>Asian</v>
          </cell>
          <cell r="F31" t="str">
            <v>wheat</v>
          </cell>
          <cell r="G31" t="str">
            <v>Y2</v>
          </cell>
          <cell r="H31">
            <v>2008</v>
          </cell>
          <cell r="I31" t="str">
            <v>FACE</v>
          </cell>
          <cell r="J31" t="str">
            <v>field</v>
          </cell>
          <cell r="K31" t="str">
            <v>NF</v>
          </cell>
          <cell r="L31">
            <v>8.4710000000000001</v>
          </cell>
          <cell r="M31">
            <v>46</v>
          </cell>
          <cell r="N31">
            <v>7</v>
          </cell>
          <cell r="O31">
            <v>75</v>
          </cell>
          <cell r="P31">
            <v>3</v>
          </cell>
          <cell r="Q31">
            <v>8.4710000000000001</v>
          </cell>
          <cell r="R31" t="str">
            <v>Total grain no.</v>
          </cell>
          <cell r="S31">
            <v>20019.352757768</v>
          </cell>
          <cell r="T31" t="str">
            <v>22594.9921655279</v>
          </cell>
          <cell r="U31" t="str">
            <v>0.886012744366209</v>
          </cell>
        </row>
        <row r="32">
          <cell r="B32" t="str">
            <v>2011-133Y22008FACE</v>
          </cell>
          <cell r="C32" t="str">
            <v>2011-133</v>
          </cell>
          <cell r="D32" t="str">
            <v>Zhu</v>
          </cell>
          <cell r="E32" t="str">
            <v>Asian</v>
          </cell>
          <cell r="F32" t="str">
            <v>wheat</v>
          </cell>
          <cell r="G32" t="str">
            <v>Y2</v>
          </cell>
          <cell r="H32">
            <v>2008</v>
          </cell>
          <cell r="I32" t="str">
            <v>FACE</v>
          </cell>
          <cell r="J32" t="str">
            <v>field</v>
          </cell>
          <cell r="K32" t="str">
            <v>EO3</v>
          </cell>
          <cell r="L32">
            <v>16.742999999999999</v>
          </cell>
          <cell r="M32">
            <v>57.6</v>
          </cell>
          <cell r="N32">
            <v>7</v>
          </cell>
          <cell r="O32">
            <v>75</v>
          </cell>
          <cell r="P32">
            <v>3</v>
          </cell>
          <cell r="Q32">
            <v>16.742999999999999</v>
          </cell>
          <cell r="R32" t="str">
            <v>Total grain no.</v>
          </cell>
          <cell r="S32">
            <v>19718.309859154899</v>
          </cell>
          <cell r="T32" t="str">
            <v>22594.9921655279</v>
          </cell>
          <cell r="U32" t="str">
            <v>0.872689244450927</v>
          </cell>
        </row>
        <row r="33">
          <cell r="B33" t="str">
            <v>2011-133Y152009FACE</v>
          </cell>
          <cell r="C33" t="str">
            <v>2011-133</v>
          </cell>
          <cell r="D33" t="str">
            <v>Zhu</v>
          </cell>
          <cell r="E33" t="str">
            <v>Asian</v>
          </cell>
          <cell r="F33" t="str">
            <v>wheat</v>
          </cell>
          <cell r="G33" t="str">
            <v>Y15</v>
          </cell>
          <cell r="H33">
            <v>2009</v>
          </cell>
          <cell r="I33" t="str">
            <v>FACE</v>
          </cell>
          <cell r="J33" t="str">
            <v>field</v>
          </cell>
          <cell r="K33" t="str">
            <v>NF</v>
          </cell>
          <cell r="L33">
            <v>6.6849999999999996</v>
          </cell>
          <cell r="M33">
            <v>44.6</v>
          </cell>
          <cell r="N33">
            <v>7</v>
          </cell>
          <cell r="O33">
            <v>75</v>
          </cell>
          <cell r="P33">
            <v>3</v>
          </cell>
          <cell r="Q33">
            <v>6.6849999999999996</v>
          </cell>
          <cell r="R33" t="str">
            <v>Total grain no.</v>
          </cell>
          <cell r="S33">
            <v>14751.1020320396</v>
          </cell>
          <cell r="T33" t="str">
            <v>16562.4784000525</v>
          </cell>
          <cell r="U33" t="str">
            <v>0.890638108479567</v>
          </cell>
        </row>
        <row r="34">
          <cell r="B34" t="str">
            <v>2011-133Y152009FACE</v>
          </cell>
          <cell r="C34" t="str">
            <v>2011-133</v>
          </cell>
          <cell r="D34" t="str">
            <v>Zhu</v>
          </cell>
          <cell r="E34" t="str">
            <v>Asian</v>
          </cell>
          <cell r="F34" t="str">
            <v>wheat</v>
          </cell>
          <cell r="G34" t="str">
            <v>Y15</v>
          </cell>
          <cell r="H34">
            <v>2009</v>
          </cell>
          <cell r="I34" t="str">
            <v>FACE</v>
          </cell>
          <cell r="J34" t="str">
            <v>field</v>
          </cell>
          <cell r="K34" t="str">
            <v>EO3</v>
          </cell>
          <cell r="L34">
            <v>14.805400000000001</v>
          </cell>
          <cell r="M34">
            <v>57.3</v>
          </cell>
          <cell r="N34">
            <v>7</v>
          </cell>
          <cell r="O34">
            <v>75</v>
          </cell>
          <cell r="P34">
            <v>3</v>
          </cell>
          <cell r="Q34">
            <v>14.805400000000001</v>
          </cell>
          <cell r="R34" t="str">
            <v>Total grain no.</v>
          </cell>
          <cell r="S34">
            <v>14964.7887323944</v>
          </cell>
          <cell r="T34" t="str">
            <v>16562.4784000525</v>
          </cell>
          <cell r="U34" t="str">
            <v>0.903540027142858</v>
          </cell>
        </row>
        <row r="35">
          <cell r="B35" t="str">
            <v>2011-133Y162009FACE</v>
          </cell>
          <cell r="C35" t="str">
            <v>2011-133</v>
          </cell>
          <cell r="D35" t="str">
            <v>Zhu</v>
          </cell>
          <cell r="E35" t="str">
            <v>Asian</v>
          </cell>
          <cell r="F35" t="str">
            <v>wheat</v>
          </cell>
          <cell r="G35" t="str">
            <v>Y16</v>
          </cell>
          <cell r="H35">
            <v>2009</v>
          </cell>
          <cell r="I35" t="str">
            <v>FACE</v>
          </cell>
          <cell r="J35" t="str">
            <v>field</v>
          </cell>
          <cell r="K35" t="str">
            <v>NF</v>
          </cell>
          <cell r="L35">
            <v>6.9059999999999997</v>
          </cell>
          <cell r="M35">
            <v>44.6</v>
          </cell>
          <cell r="N35">
            <v>7</v>
          </cell>
          <cell r="O35">
            <v>75</v>
          </cell>
          <cell r="P35">
            <v>3</v>
          </cell>
          <cell r="Q35">
            <v>6.9059999999999997</v>
          </cell>
          <cell r="R35" t="str">
            <v>Total grain no.</v>
          </cell>
          <cell r="S35">
            <v>14942.7816901408</v>
          </cell>
          <cell r="T35" t="str">
            <v>16309.1528975095</v>
          </cell>
          <cell r="U35" t="str">
            <v>0.916225087027599</v>
          </cell>
        </row>
        <row r="36">
          <cell r="B36" t="str">
            <v>2011-133Y162009FACE</v>
          </cell>
          <cell r="C36" t="str">
            <v>2011-133</v>
          </cell>
          <cell r="D36" t="str">
            <v>Zhu</v>
          </cell>
          <cell r="E36" t="str">
            <v>Asian</v>
          </cell>
          <cell r="F36" t="str">
            <v>wheat</v>
          </cell>
          <cell r="G36" t="str">
            <v>Y16</v>
          </cell>
          <cell r="H36">
            <v>2009</v>
          </cell>
          <cell r="I36" t="str">
            <v>FACE</v>
          </cell>
          <cell r="J36" t="str">
            <v>field</v>
          </cell>
          <cell r="K36" t="str">
            <v>EO3</v>
          </cell>
          <cell r="L36">
            <v>15.1297</v>
          </cell>
          <cell r="M36">
            <v>57.3</v>
          </cell>
          <cell r="N36">
            <v>7</v>
          </cell>
          <cell r="O36">
            <v>75</v>
          </cell>
          <cell r="P36">
            <v>3</v>
          </cell>
          <cell r="Q36">
            <v>15.1297</v>
          </cell>
          <cell r="R36" t="str">
            <v>Total grain no.</v>
          </cell>
          <cell r="S36">
            <v>14241.0015649452</v>
          </cell>
          <cell r="T36" t="str">
            <v>16309.1528975095</v>
          </cell>
          <cell r="U36" t="str">
            <v>0.873195042848755</v>
          </cell>
        </row>
        <row r="37">
          <cell r="B37" t="str">
            <v>2011-133Y192009FACE</v>
          </cell>
          <cell r="C37" t="str">
            <v>2011-133</v>
          </cell>
          <cell r="D37" t="str">
            <v>Zhu</v>
          </cell>
          <cell r="E37" t="str">
            <v>Asian</v>
          </cell>
          <cell r="F37" t="str">
            <v>wheat</v>
          </cell>
          <cell r="G37" t="str">
            <v>Y19</v>
          </cell>
          <cell r="H37">
            <v>2009</v>
          </cell>
          <cell r="I37" t="str">
            <v>FACE</v>
          </cell>
          <cell r="J37" t="str">
            <v>field</v>
          </cell>
          <cell r="K37" t="str">
            <v>NF</v>
          </cell>
          <cell r="L37">
            <v>7.8869999999999996</v>
          </cell>
          <cell r="M37">
            <v>44.6</v>
          </cell>
          <cell r="N37">
            <v>7</v>
          </cell>
          <cell r="O37">
            <v>75</v>
          </cell>
          <cell r="P37">
            <v>3</v>
          </cell>
          <cell r="Q37">
            <v>7.8869999999999996</v>
          </cell>
          <cell r="R37" t="str">
            <v>Total grain no.</v>
          </cell>
          <cell r="S37">
            <v>11919.276855160801</v>
          </cell>
          <cell r="T37" t="str">
            <v>14393.4370858067</v>
          </cell>
          <cell r="U37" t="str">
            <v>0.828109039331533</v>
          </cell>
        </row>
        <row r="38">
          <cell r="B38" t="str">
            <v>2011-133Y192009FACE</v>
          </cell>
          <cell r="C38" t="str">
            <v>2011-133</v>
          </cell>
          <cell r="D38" t="str">
            <v>Zhu</v>
          </cell>
          <cell r="E38" t="str">
            <v>Asian</v>
          </cell>
          <cell r="F38" t="str">
            <v>wheat</v>
          </cell>
          <cell r="G38" t="str">
            <v>Y19</v>
          </cell>
          <cell r="H38">
            <v>2009</v>
          </cell>
          <cell r="I38" t="str">
            <v>FACE</v>
          </cell>
          <cell r="J38" t="str">
            <v>field</v>
          </cell>
          <cell r="K38" t="str">
            <v>EO3</v>
          </cell>
          <cell r="L38">
            <v>15.508699999999999</v>
          </cell>
          <cell r="M38">
            <v>57.3</v>
          </cell>
          <cell r="N38">
            <v>7</v>
          </cell>
          <cell r="O38">
            <v>75</v>
          </cell>
          <cell r="P38">
            <v>3</v>
          </cell>
          <cell r="Q38">
            <v>15.508699999999999</v>
          </cell>
          <cell r="R38" t="str">
            <v>Total grain no.</v>
          </cell>
          <cell r="S38">
            <v>13708.920187793399</v>
          </cell>
          <cell r="T38" t="str">
            <v>14393.4370858067</v>
          </cell>
          <cell r="U38" t="str">
            <v>0.952447104378726</v>
          </cell>
        </row>
        <row r="39">
          <cell r="B39" t="str">
            <v>2011-133Y22009FACE</v>
          </cell>
          <cell r="C39" t="str">
            <v>2011-133</v>
          </cell>
          <cell r="D39" t="str">
            <v>Zhu</v>
          </cell>
          <cell r="E39" t="str">
            <v>Asian</v>
          </cell>
          <cell r="F39" t="str">
            <v>wheat</v>
          </cell>
          <cell r="G39" t="str">
            <v>Y2</v>
          </cell>
          <cell r="H39">
            <v>2009</v>
          </cell>
          <cell r="I39" t="str">
            <v>FACE</v>
          </cell>
          <cell r="J39" t="str">
            <v>field</v>
          </cell>
          <cell r="K39" t="str">
            <v>NF</v>
          </cell>
          <cell r="L39">
            <v>6.9059999999999997</v>
          </cell>
          <cell r="M39">
            <v>44.6</v>
          </cell>
          <cell r="N39">
            <v>7</v>
          </cell>
          <cell r="O39">
            <v>75</v>
          </cell>
          <cell r="P39">
            <v>3</v>
          </cell>
          <cell r="Q39">
            <v>6.9059999999999997</v>
          </cell>
          <cell r="R39" t="str">
            <v>Total grain no.</v>
          </cell>
          <cell r="S39">
            <v>15976.1488639868</v>
          </cell>
          <cell r="T39" t="str">
            <v>17346.2611695034</v>
          </cell>
          <cell r="U39" t="str">
            <v>0.921018490532867</v>
          </cell>
        </row>
        <row r="40">
          <cell r="B40" t="str">
            <v>2011-133Y22009FACE</v>
          </cell>
          <cell r="C40" t="str">
            <v>2011-133</v>
          </cell>
          <cell r="D40" t="str">
            <v>Zhu</v>
          </cell>
          <cell r="E40" t="str">
            <v>Asian</v>
          </cell>
          <cell r="F40" t="str">
            <v>wheat</v>
          </cell>
          <cell r="G40" t="str">
            <v>Y2</v>
          </cell>
          <cell r="H40">
            <v>2009</v>
          </cell>
          <cell r="I40" t="str">
            <v>FACE</v>
          </cell>
          <cell r="J40" t="str">
            <v>field</v>
          </cell>
          <cell r="K40" t="str">
            <v>EO3</v>
          </cell>
          <cell r="L40">
            <v>15.1297</v>
          </cell>
          <cell r="M40">
            <v>57.3</v>
          </cell>
          <cell r="N40">
            <v>7</v>
          </cell>
          <cell r="O40">
            <v>75</v>
          </cell>
          <cell r="P40">
            <v>3</v>
          </cell>
          <cell r="Q40">
            <v>15.1297</v>
          </cell>
          <cell r="R40" t="str">
            <v>Total grain no.</v>
          </cell>
          <cell r="S40">
            <v>15067.765081052399</v>
          </cell>
          <cell r="T40" t="str">
            <v>17346.2611695034</v>
          </cell>
          <cell r="U40" t="str">
            <v>0.868650534543877</v>
          </cell>
        </row>
      </sheetData>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row>
        <row r="2">
          <cell r="B2" t="str">
            <v>2010-112HUW5102007OTC</v>
          </cell>
          <cell r="C2" t="str">
            <v>2010-112</v>
          </cell>
          <cell r="D2" t="str">
            <v>Sarkar</v>
          </cell>
          <cell r="E2" t="str">
            <v>India</v>
          </cell>
          <cell r="F2" t="str">
            <v>wheat</v>
          </cell>
          <cell r="G2" t="str">
            <v>HUW510</v>
          </cell>
          <cell r="H2">
            <v>2007</v>
          </cell>
          <cell r="I2" t="str">
            <v>OTC</v>
          </cell>
          <cell r="J2" t="str">
            <v>field</v>
          </cell>
          <cell r="K2" t="str">
            <v>CF</v>
          </cell>
          <cell r="L2">
            <v>0</v>
          </cell>
          <cell r="M2">
            <v>4.7</v>
          </cell>
          <cell r="N2">
            <v>12</v>
          </cell>
          <cell r="O2">
            <v>90</v>
          </cell>
          <cell r="P2">
            <v>3</v>
          </cell>
          <cell r="Q2">
            <v>0</v>
          </cell>
          <cell r="R2" t="str">
            <v>yield</v>
          </cell>
          <cell r="S2">
            <v>458.33330000000001</v>
          </cell>
          <cell r="T2" t="str">
            <v>479.622532622338</v>
          </cell>
          <cell r="U2" t="str">
            <v>1.08502664185393</v>
          </cell>
        </row>
        <row r="3">
          <cell r="B3" t="str">
            <v>2010-112HUW5102007OTC</v>
          </cell>
          <cell r="C3" t="str">
            <v>2010-112</v>
          </cell>
          <cell r="D3" t="str">
            <v>Sarkar</v>
          </cell>
          <cell r="E3" t="str">
            <v>India</v>
          </cell>
          <cell r="F3" t="str">
            <v>wheat</v>
          </cell>
          <cell r="G3" t="str">
            <v>HUW510</v>
          </cell>
          <cell r="H3">
            <v>2007</v>
          </cell>
          <cell r="I3" t="str">
            <v>OTC</v>
          </cell>
          <cell r="J3" t="str">
            <v>field</v>
          </cell>
          <cell r="K3" t="str">
            <v>NF</v>
          </cell>
          <cell r="L3">
            <v>7.9</v>
          </cell>
          <cell r="M3">
            <v>45.3</v>
          </cell>
          <cell r="N3">
            <v>12</v>
          </cell>
          <cell r="O3">
            <v>90</v>
          </cell>
          <cell r="P3">
            <v>3</v>
          </cell>
          <cell r="Q3">
            <v>7.9</v>
          </cell>
          <cell r="R3" t="str">
            <v>yield</v>
          </cell>
          <cell r="S3">
            <v>367.75360000000001</v>
          </cell>
          <cell r="T3" t="str">
            <v>479.622532622338</v>
          </cell>
          <cell r="U3" t="str">
            <v>0.870594507616384</v>
          </cell>
        </row>
        <row r="4">
          <cell r="B4" t="str">
            <v>2010-112HUW5102007OTC</v>
          </cell>
          <cell r="C4" t="str">
            <v>2010-112</v>
          </cell>
          <cell r="D4" t="str">
            <v>Sarkar</v>
          </cell>
          <cell r="E4" t="str">
            <v>India</v>
          </cell>
          <cell r="F4" t="str">
            <v>wheat</v>
          </cell>
          <cell r="G4" t="str">
            <v>HUW510</v>
          </cell>
          <cell r="H4">
            <v>2007</v>
          </cell>
          <cell r="I4" t="str">
            <v>OTC</v>
          </cell>
          <cell r="J4" t="str">
            <v>field</v>
          </cell>
          <cell r="K4" t="str">
            <v>EO3-1</v>
          </cell>
          <cell r="L4">
            <v>10.4</v>
          </cell>
          <cell r="M4">
            <v>50.4</v>
          </cell>
          <cell r="N4">
            <v>12</v>
          </cell>
          <cell r="O4">
            <v>90</v>
          </cell>
          <cell r="P4">
            <v>3</v>
          </cell>
          <cell r="Q4">
            <v>10.4</v>
          </cell>
          <cell r="R4" t="str">
            <v>yield</v>
          </cell>
          <cell r="S4">
            <v>288.04349999999999</v>
          </cell>
          <cell r="T4" t="str">
            <v>479.622532622338</v>
          </cell>
          <cell r="U4" t="str">
            <v>0.681894314711263</v>
          </cell>
        </row>
        <row r="5">
          <cell r="B5" t="str">
            <v>2010-112HUW5102007OTC</v>
          </cell>
          <cell r="C5" t="str">
            <v>2010-112</v>
          </cell>
          <cell r="D5" t="str">
            <v>Sarkar</v>
          </cell>
          <cell r="E5" t="str">
            <v>India</v>
          </cell>
          <cell r="F5" t="str">
            <v>wheat</v>
          </cell>
          <cell r="G5" t="str">
            <v>HUW510</v>
          </cell>
          <cell r="H5">
            <v>2007</v>
          </cell>
          <cell r="I5" t="str">
            <v>OTC</v>
          </cell>
          <cell r="J5" t="str">
            <v>field</v>
          </cell>
          <cell r="K5" t="str">
            <v>EO3-2</v>
          </cell>
          <cell r="L5">
            <v>13.1</v>
          </cell>
          <cell r="M5">
            <v>55.6</v>
          </cell>
          <cell r="N5">
            <v>12</v>
          </cell>
          <cell r="O5">
            <v>90</v>
          </cell>
          <cell r="P5">
            <v>3</v>
          </cell>
          <cell r="Q5">
            <v>13.1</v>
          </cell>
          <cell r="R5" t="str">
            <v>yield</v>
          </cell>
          <cell r="S5">
            <v>260.86959999999999</v>
          </cell>
          <cell r="T5" t="str">
            <v>479.622532622338</v>
          </cell>
          <cell r="U5" t="str">
            <v>0.61756469811331</v>
          </cell>
        </row>
        <row r="6">
          <cell r="B6" t="str">
            <v>2010-112Sonalika2007OTC</v>
          </cell>
          <cell r="C6" t="str">
            <v>2010-112</v>
          </cell>
          <cell r="D6" t="str">
            <v>Sarkar</v>
          </cell>
          <cell r="E6" t="str">
            <v>India</v>
          </cell>
          <cell r="F6" t="str">
            <v>wheat</v>
          </cell>
          <cell r="G6" t="str">
            <v>Sonalika</v>
          </cell>
          <cell r="H6">
            <v>2007</v>
          </cell>
          <cell r="I6" t="str">
            <v>OTC</v>
          </cell>
          <cell r="J6" t="str">
            <v>field</v>
          </cell>
          <cell r="K6" t="str">
            <v>CF</v>
          </cell>
          <cell r="L6">
            <v>0</v>
          </cell>
          <cell r="M6">
            <v>4.7</v>
          </cell>
          <cell r="N6">
            <v>12</v>
          </cell>
          <cell r="O6">
            <v>90</v>
          </cell>
          <cell r="P6">
            <v>3</v>
          </cell>
          <cell r="Q6">
            <v>0</v>
          </cell>
          <cell r="R6" t="str">
            <v>yield</v>
          </cell>
          <cell r="S6">
            <v>501.47058823529397</v>
          </cell>
          <cell r="T6" t="str">
            <v>574.521328271891</v>
          </cell>
          <cell r="U6" t="str">
            <v>0.991055277612061</v>
          </cell>
        </row>
        <row r="7">
          <cell r="B7" t="str">
            <v>2010-112Sonalika2007OTC</v>
          </cell>
          <cell r="C7" t="str">
            <v>2010-112</v>
          </cell>
          <cell r="D7" t="str">
            <v>Sarkar</v>
          </cell>
          <cell r="E7" t="str">
            <v>India</v>
          </cell>
          <cell r="F7" t="str">
            <v>wheat</v>
          </cell>
          <cell r="G7" t="str">
            <v>Sonalika</v>
          </cell>
          <cell r="H7">
            <v>2007</v>
          </cell>
          <cell r="I7" t="str">
            <v>OTC</v>
          </cell>
          <cell r="J7" t="str">
            <v>field</v>
          </cell>
          <cell r="K7" t="str">
            <v>NF</v>
          </cell>
          <cell r="L7">
            <v>7.9</v>
          </cell>
          <cell r="M7">
            <v>45.3</v>
          </cell>
          <cell r="N7">
            <v>12</v>
          </cell>
          <cell r="O7">
            <v>90</v>
          </cell>
          <cell r="P7">
            <v>3</v>
          </cell>
          <cell r="Q7">
            <v>7.9</v>
          </cell>
          <cell r="R7" t="str">
            <v>yield</v>
          </cell>
          <cell r="S7">
            <v>445.39215686274503</v>
          </cell>
          <cell r="T7" t="str">
            <v>574.521328271891</v>
          </cell>
          <cell r="U7" t="str">
            <v>0.880227590653293</v>
          </cell>
        </row>
        <row r="8">
          <cell r="B8" t="str">
            <v>2010-112Sonalika2007OTC</v>
          </cell>
          <cell r="C8" t="str">
            <v>2010-112</v>
          </cell>
          <cell r="D8" t="str">
            <v>Sarkar</v>
          </cell>
          <cell r="E8" t="str">
            <v>India</v>
          </cell>
          <cell r="F8" t="str">
            <v>wheat</v>
          </cell>
          <cell r="G8" t="str">
            <v>Sonalika</v>
          </cell>
          <cell r="H8">
            <v>2007</v>
          </cell>
          <cell r="I8" t="str">
            <v>OTC</v>
          </cell>
          <cell r="J8" t="str">
            <v>field</v>
          </cell>
          <cell r="K8" t="str">
            <v>EO3-1</v>
          </cell>
          <cell r="L8">
            <v>10.4</v>
          </cell>
          <cell r="M8">
            <v>50.4</v>
          </cell>
          <cell r="N8">
            <v>12</v>
          </cell>
          <cell r="O8">
            <v>90</v>
          </cell>
          <cell r="P8">
            <v>3</v>
          </cell>
          <cell r="Q8">
            <v>10.4</v>
          </cell>
          <cell r="R8" t="str">
            <v>yield</v>
          </cell>
          <cell r="S8">
            <v>378.52941176470603</v>
          </cell>
          <cell r="T8" t="str">
            <v>574.521328271891</v>
          </cell>
          <cell r="U8" t="str">
            <v>0.748086886971685</v>
          </cell>
        </row>
        <row r="9">
          <cell r="B9" t="str">
            <v>2010-112Sonalika2007OTC</v>
          </cell>
          <cell r="C9" t="str">
            <v>2010-112</v>
          </cell>
          <cell r="D9" t="str">
            <v>Sarkar</v>
          </cell>
          <cell r="E9" t="str">
            <v>India</v>
          </cell>
          <cell r="F9" t="str">
            <v>wheat</v>
          </cell>
          <cell r="G9" t="str">
            <v>Sonalika</v>
          </cell>
          <cell r="H9">
            <v>2007</v>
          </cell>
          <cell r="I9" t="str">
            <v>OTC</v>
          </cell>
          <cell r="J9" t="str">
            <v>field</v>
          </cell>
          <cell r="K9" t="str">
            <v>EO3-2</v>
          </cell>
          <cell r="L9">
            <v>13.1</v>
          </cell>
          <cell r="M9">
            <v>55.6</v>
          </cell>
          <cell r="N9">
            <v>12</v>
          </cell>
          <cell r="O9">
            <v>90</v>
          </cell>
          <cell r="P9">
            <v>3</v>
          </cell>
          <cell r="Q9">
            <v>13.1</v>
          </cell>
          <cell r="R9" t="str">
            <v>yield</v>
          </cell>
          <cell r="S9">
            <v>308.43137254902001</v>
          </cell>
          <cell r="T9" t="str">
            <v>574.521328271891</v>
          </cell>
          <cell r="U9" t="str">
            <v>0.609552278273226</v>
          </cell>
        </row>
        <row r="10">
          <cell r="B10" t="str">
            <v>2010-112Sonalika2008OTC</v>
          </cell>
          <cell r="C10" t="str">
            <v>2010-112</v>
          </cell>
          <cell r="D10" t="str">
            <v>Sarkar</v>
          </cell>
          <cell r="E10" t="str">
            <v>India</v>
          </cell>
          <cell r="F10" t="str">
            <v>wheat</v>
          </cell>
          <cell r="G10" t="str">
            <v>Sonalika</v>
          </cell>
          <cell r="H10">
            <v>2008</v>
          </cell>
          <cell r="I10" t="str">
            <v>OTC</v>
          </cell>
          <cell r="J10" t="str">
            <v>field</v>
          </cell>
          <cell r="K10" t="str">
            <v>CF</v>
          </cell>
          <cell r="L10">
            <v>0</v>
          </cell>
          <cell r="M10">
            <v>4.9000000000000004</v>
          </cell>
          <cell r="N10">
            <v>12</v>
          </cell>
          <cell r="O10">
            <v>90</v>
          </cell>
          <cell r="P10">
            <v>3</v>
          </cell>
          <cell r="Q10">
            <v>0</v>
          </cell>
          <cell r="R10" t="str">
            <v>yield</v>
          </cell>
          <cell r="S10">
            <v>525.23239999999998</v>
          </cell>
          <cell r="T10" t="str">
            <v>574.386036011501</v>
          </cell>
          <cell r="U10" t="str">
            <v>1.03826019334192</v>
          </cell>
        </row>
        <row r="11">
          <cell r="B11" t="str">
            <v>2010-112Sonalika2008OTC</v>
          </cell>
          <cell r="C11" t="str">
            <v>2010-112</v>
          </cell>
          <cell r="D11" t="str">
            <v>Sarkar</v>
          </cell>
          <cell r="E11" t="str">
            <v>India</v>
          </cell>
          <cell r="F11" t="str">
            <v>wheat</v>
          </cell>
          <cell r="G11" t="str">
            <v>Sonalika</v>
          </cell>
          <cell r="H11">
            <v>2008</v>
          </cell>
          <cell r="I11" t="str">
            <v>OTC</v>
          </cell>
          <cell r="J11" t="str">
            <v>field</v>
          </cell>
          <cell r="K11" t="str">
            <v>NF</v>
          </cell>
          <cell r="L11">
            <v>8.6999999999999993</v>
          </cell>
          <cell r="M11">
            <v>47.3</v>
          </cell>
          <cell r="N11">
            <v>12</v>
          </cell>
          <cell r="O11">
            <v>90</v>
          </cell>
          <cell r="P11">
            <v>3</v>
          </cell>
          <cell r="Q11">
            <v>8.6999999999999993</v>
          </cell>
          <cell r="R11" t="str">
            <v>yield</v>
          </cell>
          <cell r="S11">
            <v>443.11642222222201</v>
          </cell>
          <cell r="T11" t="str">
            <v>574.386036011501</v>
          </cell>
          <cell r="U11" t="str">
            <v>0.875936332582343</v>
          </cell>
        </row>
        <row r="12">
          <cell r="B12" t="str">
            <v>2010-112Sonalika2008OTC</v>
          </cell>
          <cell r="C12" t="str">
            <v>2010-112</v>
          </cell>
          <cell r="D12" t="str">
            <v>Sarkar</v>
          </cell>
          <cell r="E12" t="str">
            <v>India</v>
          </cell>
          <cell r="F12" t="str">
            <v>wheat</v>
          </cell>
          <cell r="G12" t="str">
            <v>Sonalika</v>
          </cell>
          <cell r="H12">
            <v>2008</v>
          </cell>
          <cell r="I12" t="str">
            <v>OTC</v>
          </cell>
          <cell r="J12" t="str">
            <v>field</v>
          </cell>
          <cell r="K12" t="str">
            <v>EO3-2</v>
          </cell>
          <cell r="L12">
            <v>14.4</v>
          </cell>
          <cell r="M12">
            <v>56.9</v>
          </cell>
          <cell r="N12">
            <v>12</v>
          </cell>
          <cell r="O12">
            <v>90</v>
          </cell>
          <cell r="P12">
            <v>3</v>
          </cell>
          <cell r="Q12">
            <v>14.4</v>
          </cell>
          <cell r="R12" t="str">
            <v>yield</v>
          </cell>
          <cell r="S12">
            <v>286.85258888888899</v>
          </cell>
          <cell r="T12" t="str">
            <v>574.386036011501</v>
          </cell>
          <cell r="U12" t="str">
            <v>0.567039703568186</v>
          </cell>
        </row>
        <row r="13">
          <cell r="B13" t="str">
            <v>2010-112HUW5102008OTC</v>
          </cell>
          <cell r="C13" t="str">
            <v>2010-112</v>
          </cell>
          <cell r="D13" t="str">
            <v>Sarkar</v>
          </cell>
          <cell r="E13" t="str">
            <v>India</v>
          </cell>
          <cell r="F13" t="str">
            <v>wheat</v>
          </cell>
          <cell r="G13" t="str">
            <v>HUW510</v>
          </cell>
          <cell r="H13">
            <v>2008</v>
          </cell>
          <cell r="I13" t="str">
            <v>OTC</v>
          </cell>
          <cell r="J13" t="str">
            <v>field</v>
          </cell>
          <cell r="K13" t="str">
            <v>CF</v>
          </cell>
          <cell r="L13">
            <v>0</v>
          </cell>
          <cell r="M13">
            <v>4.9000000000000004</v>
          </cell>
          <cell r="N13">
            <v>12</v>
          </cell>
          <cell r="O13">
            <v>90</v>
          </cell>
          <cell r="P13">
            <v>3</v>
          </cell>
          <cell r="Q13">
            <v>0</v>
          </cell>
          <cell r="R13" t="str">
            <v>yield</v>
          </cell>
          <cell r="S13">
            <v>366.52236666666698</v>
          </cell>
          <cell r="T13" t="str">
            <v>473.852419336946</v>
          </cell>
          <cell r="U13" t="str">
            <v>0.878245529973431</v>
          </cell>
        </row>
        <row r="14">
          <cell r="B14" t="str">
            <v>2010-112HUW5102008OTC</v>
          </cell>
          <cell r="C14" t="str">
            <v>2010-112</v>
          </cell>
          <cell r="D14" t="str">
            <v>Sarkar</v>
          </cell>
          <cell r="E14" t="str">
            <v>India</v>
          </cell>
          <cell r="F14" t="str">
            <v>wheat</v>
          </cell>
          <cell r="G14" t="str">
            <v>HUW510</v>
          </cell>
          <cell r="H14">
            <v>2008</v>
          </cell>
          <cell r="I14" t="str">
            <v>OTC</v>
          </cell>
          <cell r="J14" t="str">
            <v>field</v>
          </cell>
          <cell r="K14" t="str">
            <v>NF</v>
          </cell>
          <cell r="L14">
            <v>8.6999999999999993</v>
          </cell>
          <cell r="M14">
            <v>47.3</v>
          </cell>
          <cell r="N14">
            <v>12</v>
          </cell>
          <cell r="O14">
            <v>90</v>
          </cell>
          <cell r="P14">
            <v>3</v>
          </cell>
          <cell r="Q14">
            <v>8.6999999999999993</v>
          </cell>
          <cell r="R14" t="str">
            <v>yield</v>
          </cell>
          <cell r="S14">
            <v>396.37937272727299</v>
          </cell>
          <cell r="T14" t="str">
            <v>473.852419336946</v>
          </cell>
          <cell r="U14" t="str">
            <v>0.949787636256305</v>
          </cell>
        </row>
        <row r="15">
          <cell r="B15" t="str">
            <v>2010-112HUW5102008OTC</v>
          </cell>
          <cell r="C15" t="str">
            <v>2010-112</v>
          </cell>
          <cell r="D15" t="str">
            <v>Sarkar</v>
          </cell>
          <cell r="E15" t="str">
            <v>India</v>
          </cell>
          <cell r="F15" t="str">
            <v>wheat</v>
          </cell>
          <cell r="G15" t="str">
            <v>HUW510</v>
          </cell>
          <cell r="H15">
            <v>2008</v>
          </cell>
          <cell r="I15" t="str">
            <v>OTC</v>
          </cell>
          <cell r="J15" t="str">
            <v>field</v>
          </cell>
          <cell r="K15" t="str">
            <v>EO3-2</v>
          </cell>
          <cell r="L15">
            <v>14.4</v>
          </cell>
          <cell r="M15">
            <v>56.9</v>
          </cell>
          <cell r="N15">
            <v>12</v>
          </cell>
          <cell r="O15">
            <v>90</v>
          </cell>
          <cell r="P15">
            <v>3</v>
          </cell>
          <cell r="Q15">
            <v>14.4</v>
          </cell>
          <cell r="R15" t="str">
            <v>yield</v>
          </cell>
          <cell r="S15">
            <v>258.00866250000001</v>
          </cell>
          <cell r="T15" t="str">
            <v>473.852419336946</v>
          </cell>
          <cell r="U15" t="str">
            <v>0.618229541066795</v>
          </cell>
        </row>
        <row r="16">
          <cell r="B16" t="str">
            <v>2018-139HD29672016OTC</v>
          </cell>
          <cell r="C16" t="str">
            <v>2018-139</v>
          </cell>
          <cell r="D16" t="str">
            <v>Pandey</v>
          </cell>
          <cell r="E16" t="str">
            <v>India</v>
          </cell>
          <cell r="F16" t="str">
            <v>wheat</v>
          </cell>
          <cell r="G16" t="str">
            <v>HD2967</v>
          </cell>
          <cell r="H16">
            <v>2016</v>
          </cell>
          <cell r="I16" t="str">
            <v>OTC</v>
          </cell>
          <cell r="J16" t="str">
            <v>field</v>
          </cell>
          <cell r="K16" t="str">
            <v>AA</v>
          </cell>
          <cell r="L16">
            <v>11.9</v>
          </cell>
          <cell r="M16">
            <v>52.4</v>
          </cell>
          <cell r="N16">
            <v>8</v>
          </cell>
          <cell r="O16">
            <v>119</v>
          </cell>
          <cell r="P16">
            <v>3</v>
          </cell>
          <cell r="Q16">
            <v>9</v>
          </cell>
          <cell r="R16" t="str">
            <v>yield</v>
          </cell>
          <cell r="S16">
            <v>3333.3333333333298</v>
          </cell>
          <cell r="T16" t="str">
            <v>5264.38374012915</v>
          </cell>
          <cell r="U16" t="str">
            <v>0.718935244106769</v>
          </cell>
        </row>
        <row r="17">
          <cell r="B17" t="str">
            <v>2018-139HD29672016OTC</v>
          </cell>
          <cell r="C17" t="str">
            <v>2018-139</v>
          </cell>
          <cell r="D17" t="str">
            <v>Pandey</v>
          </cell>
          <cell r="E17" t="str">
            <v>India</v>
          </cell>
          <cell r="F17" t="str">
            <v>wheat</v>
          </cell>
          <cell r="G17" t="str">
            <v>HD2967</v>
          </cell>
          <cell r="H17">
            <v>2016</v>
          </cell>
          <cell r="I17" t="str">
            <v>OTC</v>
          </cell>
          <cell r="J17" t="str">
            <v>field</v>
          </cell>
          <cell r="K17" t="str">
            <v>EO3</v>
          </cell>
          <cell r="L17">
            <v>18.3</v>
          </cell>
          <cell r="M17">
            <v>59.6</v>
          </cell>
          <cell r="N17">
            <v>8</v>
          </cell>
          <cell r="O17">
            <v>115</v>
          </cell>
          <cell r="P17">
            <v>3</v>
          </cell>
          <cell r="Q17">
            <v>14.3217391304348</v>
          </cell>
          <cell r="R17" t="str">
            <v>yield</v>
          </cell>
          <cell r="S17">
            <v>3308.6419753086402</v>
          </cell>
          <cell r="T17" t="str">
            <v>5264.38374012915</v>
          </cell>
          <cell r="U17" t="str">
            <v>0.713609797854126</v>
          </cell>
        </row>
        <row r="18">
          <cell r="B18" t="str">
            <v>2018-139Sonalika2016OTC</v>
          </cell>
          <cell r="C18" t="str">
            <v>2018-139</v>
          </cell>
          <cell r="D18" t="str">
            <v>Pandey</v>
          </cell>
          <cell r="E18" t="str">
            <v>India</v>
          </cell>
          <cell r="F18" t="str">
            <v>wheat</v>
          </cell>
          <cell r="G18" t="str">
            <v>Sonalika</v>
          </cell>
          <cell r="H18">
            <v>2016</v>
          </cell>
          <cell r="I18" t="str">
            <v>OTC</v>
          </cell>
          <cell r="J18" t="str">
            <v>field</v>
          </cell>
          <cell r="K18" t="str">
            <v>AA</v>
          </cell>
          <cell r="L18">
            <v>11.9</v>
          </cell>
          <cell r="M18">
            <v>52.4</v>
          </cell>
          <cell r="N18">
            <v>8</v>
          </cell>
          <cell r="O18">
            <v>119</v>
          </cell>
          <cell r="P18">
            <v>3</v>
          </cell>
          <cell r="Q18">
            <v>9</v>
          </cell>
          <cell r="R18" t="str">
            <v>yield</v>
          </cell>
          <cell r="S18">
            <v>2716.0493827160499</v>
          </cell>
          <cell r="T18" t="str">
            <v>3872.75123889344</v>
          </cell>
          <cell r="U18" t="str">
            <v>0.796299840221343</v>
          </cell>
        </row>
        <row r="19">
          <cell r="B19" t="str">
            <v>2018-139Sonalika2016OTC</v>
          </cell>
          <cell r="C19" t="str">
            <v>2018-139</v>
          </cell>
          <cell r="D19" t="str">
            <v>Pandey</v>
          </cell>
          <cell r="E19" t="str">
            <v>India</v>
          </cell>
          <cell r="F19" t="str">
            <v>wheat</v>
          </cell>
          <cell r="G19" t="str">
            <v>Sonalika</v>
          </cell>
          <cell r="H19">
            <v>2016</v>
          </cell>
          <cell r="I19" t="str">
            <v>OTC</v>
          </cell>
          <cell r="J19" t="str">
            <v>field</v>
          </cell>
          <cell r="K19" t="str">
            <v>EO3</v>
          </cell>
          <cell r="L19">
            <v>18.3</v>
          </cell>
          <cell r="M19">
            <v>59.6</v>
          </cell>
          <cell r="N19">
            <v>8</v>
          </cell>
          <cell r="O19">
            <v>115</v>
          </cell>
          <cell r="P19">
            <v>3</v>
          </cell>
          <cell r="Q19">
            <v>14.3217391304348</v>
          </cell>
          <cell r="R19" t="str">
            <v>yield</v>
          </cell>
          <cell r="S19">
            <v>2197.5308641975298</v>
          </cell>
          <cell r="T19" t="str">
            <v>3872.75123889344</v>
          </cell>
          <cell r="U19" t="str">
            <v>0.644278961633633</v>
          </cell>
        </row>
        <row r="20">
          <cell r="B20" t="str">
            <v>2015-100PBW3432008OTC</v>
          </cell>
          <cell r="C20" t="str">
            <v>2015-100</v>
          </cell>
          <cell r="D20" t="str">
            <v>Tomer</v>
          </cell>
          <cell r="E20" t="str">
            <v>India</v>
          </cell>
          <cell r="F20" t="str">
            <v>wheat</v>
          </cell>
          <cell r="G20" t="str">
            <v>PBW343</v>
          </cell>
          <cell r="H20">
            <v>2008</v>
          </cell>
          <cell r="I20" t="str">
            <v>OTC</v>
          </cell>
          <cell r="J20" t="str">
            <v>field</v>
          </cell>
          <cell r="K20" t="str">
            <v>NF</v>
          </cell>
          <cell r="L20">
            <v>2.0499999999999998</v>
          </cell>
          <cell r="M20">
            <v>30.9</v>
          </cell>
          <cell r="N20">
            <v>7</v>
          </cell>
          <cell r="O20">
            <v>123</v>
          </cell>
          <cell r="P20">
            <v>3</v>
          </cell>
          <cell r="Q20">
            <v>1.5</v>
          </cell>
          <cell r="R20" t="str">
            <v>yield</v>
          </cell>
          <cell r="S20">
            <v>439</v>
          </cell>
          <cell r="T20" t="str">
            <v>573.570998181895</v>
          </cell>
          <cell r="U20" t="str">
            <v>0.869032272381903</v>
          </cell>
        </row>
        <row r="21">
          <cell r="B21" t="str">
            <v>2015-100PBW3432008OTC</v>
          </cell>
          <cell r="C21" t="str">
            <v>2015-100</v>
          </cell>
          <cell r="D21" t="str">
            <v>Tomer</v>
          </cell>
          <cell r="E21" t="str">
            <v>India</v>
          </cell>
          <cell r="F21" t="str">
            <v>wheat</v>
          </cell>
          <cell r="G21" t="str">
            <v>PBW343</v>
          </cell>
          <cell r="H21">
            <v>2008</v>
          </cell>
          <cell r="I21" t="str">
            <v>OTC</v>
          </cell>
          <cell r="J21" t="str">
            <v>field</v>
          </cell>
          <cell r="K21" t="str">
            <v>CF</v>
          </cell>
          <cell r="L21">
            <v>0</v>
          </cell>
          <cell r="M21">
            <v>5.25</v>
          </cell>
          <cell r="N21">
            <v>7</v>
          </cell>
          <cell r="O21">
            <v>123</v>
          </cell>
          <cell r="P21">
            <v>3</v>
          </cell>
          <cell r="Q21">
            <v>0</v>
          </cell>
          <cell r="R21" t="str">
            <v>yield</v>
          </cell>
          <cell r="S21">
            <v>527</v>
          </cell>
          <cell r="T21" t="str">
            <v>573.570998181895</v>
          </cell>
          <cell r="U21" t="str">
            <v>1.04323464133317</v>
          </cell>
        </row>
        <row r="22">
          <cell r="B22" t="str">
            <v>2015-100PBW3432008OTC</v>
          </cell>
          <cell r="C22" t="str">
            <v>2015-100</v>
          </cell>
          <cell r="D22" t="str">
            <v>Tomer</v>
          </cell>
          <cell r="E22" t="str">
            <v>India</v>
          </cell>
          <cell r="F22" t="str">
            <v>wheat</v>
          </cell>
          <cell r="G22" t="str">
            <v>PBW343</v>
          </cell>
          <cell r="H22">
            <v>2008</v>
          </cell>
          <cell r="I22" t="str">
            <v>OTC</v>
          </cell>
          <cell r="J22" t="str">
            <v>field</v>
          </cell>
          <cell r="K22" t="str">
            <v>EO3</v>
          </cell>
          <cell r="L22">
            <v>16.62</v>
          </cell>
          <cell r="M22">
            <v>59.2</v>
          </cell>
          <cell r="N22">
            <v>7</v>
          </cell>
          <cell r="O22">
            <v>123</v>
          </cell>
          <cell r="P22">
            <v>3</v>
          </cell>
          <cell r="Q22">
            <v>12.1609756097561</v>
          </cell>
          <cell r="R22" t="str">
            <v>yield</v>
          </cell>
          <cell r="S22">
            <v>369</v>
          </cell>
          <cell r="T22" t="str">
            <v>573.570998181895</v>
          </cell>
          <cell r="U22" t="str">
            <v>0.730462206170665</v>
          </cell>
        </row>
        <row r="23">
          <cell r="B23" t="str">
            <v>2015-100PBW3432009OTC</v>
          </cell>
          <cell r="C23" t="str">
            <v>2015-100</v>
          </cell>
          <cell r="D23" t="str">
            <v>Tomer</v>
          </cell>
          <cell r="E23" t="str">
            <v>India</v>
          </cell>
          <cell r="F23" t="str">
            <v>wheat</v>
          </cell>
          <cell r="G23" t="str">
            <v>PBW343</v>
          </cell>
          <cell r="H23">
            <v>2009</v>
          </cell>
          <cell r="I23" t="str">
            <v>OTC</v>
          </cell>
          <cell r="J23" t="str">
            <v>field</v>
          </cell>
          <cell r="K23" t="str">
            <v>NF</v>
          </cell>
          <cell r="L23">
            <v>2.39</v>
          </cell>
          <cell r="M23">
            <v>34.9</v>
          </cell>
          <cell r="N23">
            <v>7</v>
          </cell>
          <cell r="O23">
            <v>135</v>
          </cell>
          <cell r="P23">
            <v>3</v>
          </cell>
          <cell r="Q23">
            <v>1.5933333333333299</v>
          </cell>
          <cell r="R23" t="str">
            <v>yield</v>
          </cell>
          <cell r="S23">
            <v>423</v>
          </cell>
          <cell r="T23" t="str">
            <v>543.873618422234</v>
          </cell>
          <cell r="U23" t="str">
            <v>0.88308181682192</v>
          </cell>
        </row>
        <row r="24">
          <cell r="B24" t="str">
            <v>2015-100PBW3432009OTC</v>
          </cell>
          <cell r="C24" t="str">
            <v>2015-100</v>
          </cell>
          <cell r="D24" t="str">
            <v>Tomer</v>
          </cell>
          <cell r="E24" t="str">
            <v>India</v>
          </cell>
          <cell r="F24" t="str">
            <v>wheat</v>
          </cell>
          <cell r="G24" t="str">
            <v>PBW343</v>
          </cell>
          <cell r="H24">
            <v>2009</v>
          </cell>
          <cell r="I24" t="str">
            <v>OTC</v>
          </cell>
          <cell r="J24" t="str">
            <v>field</v>
          </cell>
          <cell r="K24" t="str">
            <v>CF</v>
          </cell>
          <cell r="L24">
            <v>0</v>
          </cell>
          <cell r="M24">
            <v>7.69</v>
          </cell>
          <cell r="N24">
            <v>7</v>
          </cell>
          <cell r="O24">
            <v>135</v>
          </cell>
          <cell r="P24">
            <v>3</v>
          </cell>
          <cell r="Q24">
            <v>0</v>
          </cell>
          <cell r="R24" t="str">
            <v>yield</v>
          </cell>
          <cell r="S24">
            <v>499</v>
          </cell>
          <cell r="T24" t="str">
            <v>543.873618422234</v>
          </cell>
          <cell r="U24" t="str">
            <v>1.04174427090813</v>
          </cell>
        </row>
        <row r="25">
          <cell r="B25" t="str">
            <v>2015-100PBW3432009OTC</v>
          </cell>
          <cell r="C25" t="str">
            <v>2015-100</v>
          </cell>
          <cell r="D25" t="str">
            <v>Tomer</v>
          </cell>
          <cell r="E25" t="str">
            <v>India</v>
          </cell>
          <cell r="F25" t="str">
            <v>wheat</v>
          </cell>
          <cell r="G25" t="str">
            <v>PBW343</v>
          </cell>
          <cell r="H25">
            <v>2009</v>
          </cell>
          <cell r="I25" t="str">
            <v>OTC</v>
          </cell>
          <cell r="J25" t="str">
            <v>field</v>
          </cell>
          <cell r="K25" t="str">
            <v>EO3</v>
          </cell>
          <cell r="L25">
            <v>17.96</v>
          </cell>
          <cell r="M25">
            <v>65.349999999999994</v>
          </cell>
          <cell r="N25">
            <v>7</v>
          </cell>
          <cell r="O25">
            <v>135</v>
          </cell>
          <cell r="P25">
            <v>3</v>
          </cell>
          <cell r="Q25">
            <v>11.973333333333301</v>
          </cell>
          <cell r="R25" t="str">
            <v>yield</v>
          </cell>
          <cell r="S25">
            <v>345</v>
          </cell>
          <cell r="T25" t="str">
            <v>543.873618422234</v>
          </cell>
          <cell r="U25" t="str">
            <v>0.720244034996601</v>
          </cell>
        </row>
        <row r="26">
          <cell r="B26" t="str">
            <v>2013-76HUW372011OTC</v>
          </cell>
          <cell r="C26" t="str">
            <v>2013-76</v>
          </cell>
          <cell r="D26" t="str">
            <v>Mishra</v>
          </cell>
          <cell r="E26" t="str">
            <v>India</v>
          </cell>
          <cell r="F26" t="str">
            <v>wheat</v>
          </cell>
          <cell r="G26" t="str">
            <v>HUW37</v>
          </cell>
          <cell r="H26">
            <v>2011</v>
          </cell>
          <cell r="I26" t="str">
            <v>OTC</v>
          </cell>
          <cell r="J26" t="str">
            <v>field</v>
          </cell>
          <cell r="K26" t="str">
            <v>NF</v>
          </cell>
          <cell r="L26">
            <v>5.0999999999999996</v>
          </cell>
          <cell r="M26">
            <v>48.4</v>
          </cell>
          <cell r="N26">
            <v>8</v>
          </cell>
          <cell r="O26">
            <v>125</v>
          </cell>
          <cell r="P26">
            <v>3</v>
          </cell>
          <cell r="Q26">
            <v>3.6720000000000002</v>
          </cell>
          <cell r="R26" t="str">
            <v>yield</v>
          </cell>
          <cell r="S26">
            <v>1718.9189189189201</v>
          </cell>
          <cell r="T26" t="str">
            <v>1801.5280428308</v>
          </cell>
          <cell r="U26" t="str">
            <v>1.08336034054104</v>
          </cell>
        </row>
        <row r="27">
          <cell r="B27" t="str">
            <v>2013-76HUW372011OTC</v>
          </cell>
          <cell r="C27" t="str">
            <v>2013-76</v>
          </cell>
          <cell r="D27" t="str">
            <v>Mishra</v>
          </cell>
          <cell r="E27" t="str">
            <v>India</v>
          </cell>
          <cell r="F27" t="str">
            <v>wheat</v>
          </cell>
          <cell r="G27" t="str">
            <v>HUW37</v>
          </cell>
          <cell r="H27">
            <v>2011</v>
          </cell>
          <cell r="I27" t="str">
            <v>OTC</v>
          </cell>
          <cell r="J27" t="str">
            <v>field</v>
          </cell>
          <cell r="K27" t="str">
            <v>EO3</v>
          </cell>
          <cell r="L27">
            <v>8.4</v>
          </cell>
          <cell r="M27">
            <v>55.2</v>
          </cell>
          <cell r="N27">
            <v>8</v>
          </cell>
          <cell r="O27">
            <v>125</v>
          </cell>
          <cell r="P27">
            <v>3</v>
          </cell>
          <cell r="Q27">
            <v>6.048</v>
          </cell>
          <cell r="R27" t="str">
            <v>yield</v>
          </cell>
          <cell r="S27">
            <v>1037.83783783784</v>
          </cell>
          <cell r="T27" t="str">
            <v>1801.5280428308</v>
          </cell>
          <cell r="U27" t="str">
            <v>0.654104356553079</v>
          </cell>
        </row>
        <row r="28">
          <cell r="B28" t="str">
            <v>2013-76K91072011OTC</v>
          </cell>
          <cell r="C28" t="str">
            <v>2013-76</v>
          </cell>
          <cell r="D28" t="str">
            <v>Mishra</v>
          </cell>
          <cell r="E28" t="str">
            <v>India</v>
          </cell>
          <cell r="F28" t="str">
            <v>wheat</v>
          </cell>
          <cell r="G28" t="str">
            <v>K9107</v>
          </cell>
          <cell r="H28">
            <v>2011</v>
          </cell>
          <cell r="I28" t="str">
            <v>OTC</v>
          </cell>
          <cell r="J28" t="str">
            <v>field</v>
          </cell>
          <cell r="K28" t="str">
            <v>NF</v>
          </cell>
          <cell r="L28">
            <v>5.0999999999999996</v>
          </cell>
          <cell r="M28">
            <v>48.4</v>
          </cell>
          <cell r="N28">
            <v>8</v>
          </cell>
          <cell r="O28">
            <v>125</v>
          </cell>
          <cell r="P28">
            <v>3</v>
          </cell>
          <cell r="Q28">
            <v>3.6720000000000002</v>
          </cell>
          <cell r="R28" t="str">
            <v>yield</v>
          </cell>
          <cell r="S28">
            <v>1816.2162162162199</v>
          </cell>
          <cell r="T28" t="str">
            <v>2314.76612697362</v>
          </cell>
          <cell r="U28" t="str">
            <v>0.890879568000006</v>
          </cell>
        </row>
        <row r="29">
          <cell r="B29" t="str">
            <v>2013-76K91072011OTC</v>
          </cell>
          <cell r="C29" t="str">
            <v>2013-76</v>
          </cell>
          <cell r="D29" t="str">
            <v>Mishra</v>
          </cell>
          <cell r="E29" t="str">
            <v>India</v>
          </cell>
          <cell r="F29" t="str">
            <v>wheat</v>
          </cell>
          <cell r="G29" t="str">
            <v>K9107</v>
          </cell>
          <cell r="H29">
            <v>2011</v>
          </cell>
          <cell r="I29" t="str">
            <v>OTC</v>
          </cell>
          <cell r="J29" t="str">
            <v>field</v>
          </cell>
          <cell r="K29" t="str">
            <v>EO3</v>
          </cell>
          <cell r="L29">
            <v>8.4</v>
          </cell>
          <cell r="M29">
            <v>55.2</v>
          </cell>
          <cell r="N29">
            <v>8</v>
          </cell>
          <cell r="O29">
            <v>125</v>
          </cell>
          <cell r="P29">
            <v>3</v>
          </cell>
          <cell r="Q29">
            <v>6.048</v>
          </cell>
          <cell r="R29" t="str">
            <v>yield</v>
          </cell>
          <cell r="S29">
            <v>1621.6216216216201</v>
          </cell>
          <cell r="T29" t="str">
            <v>2314.76612697362</v>
          </cell>
          <cell r="U29" t="str">
            <v>0.79542818571429</v>
          </cell>
        </row>
        <row r="30">
          <cell r="B30" t="str">
            <v>2019-164C3062016FACE</v>
          </cell>
          <cell r="C30" t="str">
            <v>2019-164</v>
          </cell>
          <cell r="D30" t="str">
            <v>Yadav</v>
          </cell>
          <cell r="E30" t="str">
            <v>India</v>
          </cell>
          <cell r="F30" t="str">
            <v>wheat</v>
          </cell>
          <cell r="G30" t="str">
            <v>C306</v>
          </cell>
          <cell r="H30">
            <v>2016</v>
          </cell>
          <cell r="I30" t="str">
            <v>FACE</v>
          </cell>
          <cell r="J30" t="str">
            <v>field</v>
          </cell>
          <cell r="K30" t="str">
            <v>NF</v>
          </cell>
          <cell r="L30"/>
          <cell r="M30">
            <v>30.7</v>
          </cell>
          <cell r="N30">
            <v>7</v>
          </cell>
          <cell r="O30">
            <v>160</v>
          </cell>
          <cell r="P30">
            <v>4</v>
          </cell>
          <cell r="Q30">
            <v>2.6636551037927898</v>
          </cell>
          <cell r="R30" t="str">
            <v>yield</v>
          </cell>
          <cell r="S30">
            <v>450</v>
          </cell>
          <cell r="T30" t="str">
            <v>672.497594389454</v>
          </cell>
          <cell r="U30" t="str">
            <v>0.759766860901369</v>
          </cell>
        </row>
        <row r="31">
          <cell r="B31" t="str">
            <v>2019-164C3062016FACE</v>
          </cell>
          <cell r="C31" t="str">
            <v>2019-164</v>
          </cell>
          <cell r="D31" t="str">
            <v>Yadav</v>
          </cell>
          <cell r="E31" t="str">
            <v>India</v>
          </cell>
          <cell r="F31" t="str">
            <v>wheat</v>
          </cell>
          <cell r="G31" t="str">
            <v>C306</v>
          </cell>
          <cell r="H31">
            <v>2016</v>
          </cell>
          <cell r="I31" t="str">
            <v>FACE</v>
          </cell>
          <cell r="J31" t="str">
            <v>field</v>
          </cell>
          <cell r="K31" t="str">
            <v>EO3</v>
          </cell>
          <cell r="L31">
            <v>31.232610000000001</v>
          </cell>
          <cell r="M31">
            <v>72.2</v>
          </cell>
          <cell r="N31">
            <v>7</v>
          </cell>
          <cell r="O31">
            <v>160</v>
          </cell>
          <cell r="P31">
            <v>4</v>
          </cell>
          <cell r="Q31">
            <v>17.568343124999998</v>
          </cell>
          <cell r="R31" t="str">
            <v>yield</v>
          </cell>
          <cell r="S31">
            <v>440</v>
          </cell>
          <cell r="T31" t="str">
            <v>672.497594389454</v>
          </cell>
          <cell r="U31" t="str">
            <v>0.742883152881338</v>
          </cell>
        </row>
        <row r="32">
          <cell r="B32" t="str">
            <v>2019-164HD29672016FACE</v>
          </cell>
          <cell r="C32" t="str">
            <v>2019-164</v>
          </cell>
          <cell r="D32" t="str">
            <v>Yadav</v>
          </cell>
          <cell r="E32" t="str">
            <v>India</v>
          </cell>
          <cell r="F32" t="str">
            <v>wheat</v>
          </cell>
          <cell r="G32" t="str">
            <v>HD2967</v>
          </cell>
          <cell r="H32">
            <v>2016</v>
          </cell>
          <cell r="I32" t="str">
            <v>FACE</v>
          </cell>
          <cell r="J32" t="str">
            <v>field</v>
          </cell>
          <cell r="K32" t="str">
            <v>NF</v>
          </cell>
          <cell r="L32"/>
          <cell r="M32">
            <v>30.7</v>
          </cell>
          <cell r="N32">
            <v>7</v>
          </cell>
          <cell r="O32">
            <v>160</v>
          </cell>
          <cell r="P32">
            <v>4</v>
          </cell>
          <cell r="Q32">
            <v>2.6636551037927898</v>
          </cell>
          <cell r="R32" t="str">
            <v>yield</v>
          </cell>
          <cell r="S32">
            <v>440</v>
          </cell>
          <cell r="T32" t="str">
            <v>626.061189127504</v>
          </cell>
          <cell r="U32" t="str">
            <v>0.797984513177363</v>
          </cell>
        </row>
        <row r="33">
          <cell r="B33" t="str">
            <v>2019-164HD29672016FACE</v>
          </cell>
          <cell r="C33" t="str">
            <v>2019-164</v>
          </cell>
          <cell r="D33" t="str">
            <v>Yadav</v>
          </cell>
          <cell r="E33" t="str">
            <v>India</v>
          </cell>
          <cell r="F33" t="str">
            <v>wheat</v>
          </cell>
          <cell r="G33" t="str">
            <v>HD2967</v>
          </cell>
          <cell r="H33">
            <v>2016</v>
          </cell>
          <cell r="I33" t="str">
            <v>FACE</v>
          </cell>
          <cell r="J33" t="str">
            <v>field</v>
          </cell>
          <cell r="K33" t="str">
            <v>EO3</v>
          </cell>
          <cell r="L33">
            <v>31.232610000000001</v>
          </cell>
          <cell r="M33">
            <v>72.2</v>
          </cell>
          <cell r="N33">
            <v>7</v>
          </cell>
          <cell r="O33">
            <v>160</v>
          </cell>
          <cell r="P33">
            <v>4</v>
          </cell>
          <cell r="Q33">
            <v>17.568343124999998</v>
          </cell>
          <cell r="R33" t="str">
            <v>yield</v>
          </cell>
          <cell r="S33">
            <v>390</v>
          </cell>
          <cell r="T33" t="str">
            <v>626.061189127504</v>
          </cell>
          <cell r="U33" t="str">
            <v>0.707304454861754</v>
          </cell>
        </row>
        <row r="34">
          <cell r="B34" t="str">
            <v>2019-164C3062017FACE</v>
          </cell>
          <cell r="C34" t="str">
            <v>2019-164</v>
          </cell>
          <cell r="D34" t="str">
            <v>Yadav</v>
          </cell>
          <cell r="E34" t="str">
            <v>India</v>
          </cell>
          <cell r="F34" t="str">
            <v>wheat</v>
          </cell>
          <cell r="G34" t="str">
            <v>C306</v>
          </cell>
          <cell r="H34">
            <v>2017</v>
          </cell>
          <cell r="I34" t="str">
            <v>FACE</v>
          </cell>
          <cell r="J34" t="str">
            <v>field</v>
          </cell>
          <cell r="K34" t="str">
            <v>NF</v>
          </cell>
          <cell r="L34"/>
          <cell r="M34">
            <v>30.7</v>
          </cell>
          <cell r="N34">
            <v>7</v>
          </cell>
          <cell r="O34">
            <v>160</v>
          </cell>
          <cell r="P34">
            <v>4</v>
          </cell>
          <cell r="Q34">
            <v>2.6636551037927898</v>
          </cell>
          <cell r="R34" t="str">
            <v>yield</v>
          </cell>
          <cell r="S34">
            <v>490</v>
          </cell>
          <cell r="T34" t="str">
            <v>685.615812465125</v>
          </cell>
          <cell r="U34" t="str">
            <v>0.811472530605724</v>
          </cell>
        </row>
        <row r="35">
          <cell r="B35" t="str">
            <v>2019-164C3062017FACE</v>
          </cell>
          <cell r="C35" t="str">
            <v>2019-164</v>
          </cell>
          <cell r="D35" t="str">
            <v>Yadav</v>
          </cell>
          <cell r="E35" t="str">
            <v>India</v>
          </cell>
          <cell r="F35" t="str">
            <v>wheat</v>
          </cell>
          <cell r="G35" t="str">
            <v>C306</v>
          </cell>
          <cell r="H35">
            <v>2017</v>
          </cell>
          <cell r="I35" t="str">
            <v>FACE</v>
          </cell>
          <cell r="J35" t="str">
            <v>field</v>
          </cell>
          <cell r="K35" t="str">
            <v>EO3</v>
          </cell>
          <cell r="L35">
            <v>31.232610000000001</v>
          </cell>
          <cell r="M35">
            <v>72.2</v>
          </cell>
          <cell r="N35">
            <v>7</v>
          </cell>
          <cell r="O35">
            <v>160</v>
          </cell>
          <cell r="P35">
            <v>4</v>
          </cell>
          <cell r="Q35">
            <v>17.568343124999998</v>
          </cell>
          <cell r="R35" t="str">
            <v>yield</v>
          </cell>
          <cell r="S35">
            <v>420</v>
          </cell>
          <cell r="T35" t="str">
            <v>685.615812465125</v>
          </cell>
          <cell r="U35" t="str">
            <v>0.695547883376335</v>
          </cell>
        </row>
        <row r="36">
          <cell r="B36" t="str">
            <v>2019-164HD29672017FACE</v>
          </cell>
          <cell r="C36" t="str">
            <v>2019-164</v>
          </cell>
          <cell r="D36" t="str">
            <v>Yadav</v>
          </cell>
          <cell r="E36" t="str">
            <v>India</v>
          </cell>
          <cell r="F36" t="str">
            <v>wheat</v>
          </cell>
          <cell r="G36" t="str">
            <v>HD2967</v>
          </cell>
          <cell r="H36">
            <v>2017</v>
          </cell>
          <cell r="I36" t="str">
            <v>FACE</v>
          </cell>
          <cell r="J36" t="str">
            <v>field</v>
          </cell>
          <cell r="K36" t="str">
            <v>NF</v>
          </cell>
          <cell r="L36"/>
          <cell r="M36">
            <v>30.7</v>
          </cell>
          <cell r="N36">
            <v>7</v>
          </cell>
          <cell r="O36">
            <v>160</v>
          </cell>
          <cell r="P36">
            <v>4</v>
          </cell>
          <cell r="Q36">
            <v>2.6636551037927898</v>
          </cell>
          <cell r="R36" t="str">
            <v>yield</v>
          </cell>
          <cell r="S36">
            <v>430</v>
          </cell>
          <cell r="T36" t="str">
            <v>602.827741449262</v>
          </cell>
          <cell r="U36" t="str">
            <v>0.80990446628011</v>
          </cell>
        </row>
        <row r="37">
          <cell r="B37" t="str">
            <v>2019-164HD29672017FACE</v>
          </cell>
          <cell r="C37" t="str">
            <v>2019-164</v>
          </cell>
          <cell r="D37" t="str">
            <v>Yadav</v>
          </cell>
          <cell r="E37" t="str">
            <v>India</v>
          </cell>
          <cell r="F37" t="str">
            <v>wheat</v>
          </cell>
          <cell r="G37" t="str">
            <v>HD2967</v>
          </cell>
          <cell r="H37">
            <v>2017</v>
          </cell>
          <cell r="I37" t="str">
            <v>FACE</v>
          </cell>
          <cell r="J37" t="str">
            <v>field</v>
          </cell>
          <cell r="K37" t="str">
            <v>EO3</v>
          </cell>
          <cell r="L37">
            <v>31.232610000000001</v>
          </cell>
          <cell r="M37">
            <v>72.2</v>
          </cell>
          <cell r="N37">
            <v>7</v>
          </cell>
          <cell r="O37">
            <v>160</v>
          </cell>
          <cell r="P37">
            <v>4</v>
          </cell>
          <cell r="Q37">
            <v>17.568343124999998</v>
          </cell>
          <cell r="R37" t="str">
            <v>yield</v>
          </cell>
          <cell r="S37">
            <v>370</v>
          </cell>
          <cell r="T37" t="str">
            <v>602.827741449262</v>
          </cell>
          <cell r="U37" t="str">
            <v>0.696894540752652</v>
          </cell>
        </row>
        <row r="38">
          <cell r="B38" t="str">
            <v>2020-13HD29672018OTC</v>
          </cell>
          <cell r="C38" t="str">
            <v>2020-13</v>
          </cell>
          <cell r="D38" t="str">
            <v>Annesha</v>
          </cell>
          <cell r="E38" t="str">
            <v>India</v>
          </cell>
          <cell r="F38" t="str">
            <v>wheat</v>
          </cell>
          <cell r="G38" t="str">
            <v>HD2967</v>
          </cell>
          <cell r="H38">
            <v>2018</v>
          </cell>
          <cell r="I38" t="str">
            <v>OTC</v>
          </cell>
          <cell r="J38" t="str">
            <v>field</v>
          </cell>
          <cell r="K38" t="str">
            <v>AA</v>
          </cell>
          <cell r="L38">
            <v>8.9</v>
          </cell>
          <cell r="M38">
            <v>46.12</v>
          </cell>
          <cell r="N38">
            <v>8</v>
          </cell>
          <cell r="O38">
            <v>126</v>
          </cell>
          <cell r="P38">
            <v>3</v>
          </cell>
          <cell r="Q38">
            <v>6.3571428571428603</v>
          </cell>
          <cell r="R38" t="str">
            <v>yield</v>
          </cell>
          <cell r="S38">
            <v>3263.5063675334</v>
          </cell>
          <cell r="T38" t="str">
            <v>4394.8443256727</v>
          </cell>
          <cell r="U38" t="str">
            <v>0.843139695267448</v>
          </cell>
        </row>
        <row r="39">
          <cell r="B39" t="str">
            <v>2020-13HD29672018OTC</v>
          </cell>
          <cell r="C39" t="str">
            <v>2020-13</v>
          </cell>
          <cell r="D39" t="str">
            <v>Annesha</v>
          </cell>
          <cell r="E39" t="str">
            <v>India</v>
          </cell>
          <cell r="F39" t="str">
            <v>wheat</v>
          </cell>
          <cell r="G39" t="str">
            <v>HD2967</v>
          </cell>
          <cell r="H39">
            <v>2018</v>
          </cell>
          <cell r="I39" t="str">
            <v>OTC</v>
          </cell>
          <cell r="J39" t="str">
            <v>field</v>
          </cell>
          <cell r="K39" t="str">
            <v>EO3</v>
          </cell>
          <cell r="L39">
            <v>15.7</v>
          </cell>
          <cell r="M39">
            <v>65.849999999999994</v>
          </cell>
          <cell r="N39">
            <v>8</v>
          </cell>
          <cell r="O39">
            <v>126</v>
          </cell>
          <cell r="P39">
            <v>3</v>
          </cell>
          <cell r="Q39">
            <v>11.214285714285699</v>
          </cell>
          <cell r="R39" t="str">
            <v>yield</v>
          </cell>
          <cell r="S39">
            <v>2683.7886041490601</v>
          </cell>
          <cell r="T39" t="str">
            <v>4394.8443256727</v>
          </cell>
          <cell r="U39" t="str">
            <v>0.693367332871101</v>
          </cell>
        </row>
        <row r="40">
          <cell r="B40" t="str">
            <v>2019-35DB502015OTC</v>
          </cell>
          <cell r="C40" t="str">
            <v>2019-35</v>
          </cell>
          <cell r="D40" t="str">
            <v>Adeeb</v>
          </cell>
          <cell r="E40" t="str">
            <v>India</v>
          </cell>
          <cell r="F40" t="str">
            <v>wheat</v>
          </cell>
          <cell r="G40" t="str">
            <v>DB50</v>
          </cell>
          <cell r="H40">
            <v>2015</v>
          </cell>
          <cell r="I40" t="str">
            <v>OTC</v>
          </cell>
          <cell r="J40" t="str">
            <v>field</v>
          </cell>
          <cell r="K40" t="str">
            <v>NF</v>
          </cell>
          <cell r="L40">
            <v>8</v>
          </cell>
          <cell r="M40"/>
          <cell r="N40">
            <v>8</v>
          </cell>
          <cell r="O40">
            <v>120</v>
          </cell>
          <cell r="P40">
            <v>9</v>
          </cell>
          <cell r="Q40">
            <v>6</v>
          </cell>
          <cell r="R40" t="str">
            <v>yield</v>
          </cell>
          <cell r="S40">
            <v>386.93467336683398</v>
          </cell>
          <cell r="T40" t="str">
            <v>506.276054229979</v>
          </cell>
          <cell r="U40" t="str">
            <v>0.867778388874312</v>
          </cell>
        </row>
        <row r="41">
          <cell r="B41" t="str">
            <v>2019-35DB502015OTC</v>
          </cell>
          <cell r="C41" t="str">
            <v>2019-35</v>
          </cell>
          <cell r="D41" t="str">
            <v>Adeeb</v>
          </cell>
          <cell r="E41" t="str">
            <v>India</v>
          </cell>
          <cell r="F41" t="str">
            <v>wheat</v>
          </cell>
          <cell r="G41" t="str">
            <v>DB50</v>
          </cell>
          <cell r="H41">
            <v>2015</v>
          </cell>
          <cell r="I41" t="str">
            <v>OTC</v>
          </cell>
          <cell r="J41" t="str">
            <v>field</v>
          </cell>
          <cell r="K41" t="str">
            <v>EO3</v>
          </cell>
          <cell r="L41">
            <v>21.7</v>
          </cell>
          <cell r="M41"/>
          <cell r="N41">
            <v>8</v>
          </cell>
          <cell r="O41">
            <v>120</v>
          </cell>
          <cell r="P41">
            <v>9</v>
          </cell>
          <cell r="Q41">
            <v>16.274999999999999</v>
          </cell>
          <cell r="R41" t="str">
            <v>yield</v>
          </cell>
          <cell r="S41">
            <v>271.356783919598</v>
          </cell>
          <cell r="T41" t="str">
            <v>506.276054229979</v>
          </cell>
          <cell r="U41" t="str">
            <v>0.608571857132635</v>
          </cell>
        </row>
        <row r="42">
          <cell r="B42" t="str">
            <v>2019-35DB772015OTC</v>
          </cell>
          <cell r="C42" t="str">
            <v>2019-35</v>
          </cell>
          <cell r="D42" t="str">
            <v>Adeeb</v>
          </cell>
          <cell r="E42" t="str">
            <v>India</v>
          </cell>
          <cell r="F42" t="str">
            <v>wheat</v>
          </cell>
          <cell r="G42" t="str">
            <v>DB77</v>
          </cell>
          <cell r="H42">
            <v>2015</v>
          </cell>
          <cell r="I42" t="str">
            <v>OTC</v>
          </cell>
          <cell r="J42" t="str">
            <v>field</v>
          </cell>
          <cell r="K42" t="str">
            <v>NF</v>
          </cell>
          <cell r="L42">
            <v>8</v>
          </cell>
          <cell r="M42"/>
          <cell r="N42">
            <v>8</v>
          </cell>
          <cell r="O42">
            <v>120</v>
          </cell>
          <cell r="P42">
            <v>9</v>
          </cell>
          <cell r="Q42">
            <v>6</v>
          </cell>
          <cell r="R42" t="str">
            <v>yield</v>
          </cell>
          <cell r="S42">
            <v>218.592964824121</v>
          </cell>
          <cell r="T42" t="str">
            <v>290.633083455889</v>
          </cell>
          <cell r="U42" t="str">
            <v>0.853983931631947</v>
          </cell>
        </row>
        <row r="43">
          <cell r="B43" t="str">
            <v>2019-35DB772015OTC</v>
          </cell>
          <cell r="C43" t="str">
            <v>2019-35</v>
          </cell>
          <cell r="D43" t="str">
            <v>Adeeb</v>
          </cell>
          <cell r="E43" t="str">
            <v>India</v>
          </cell>
          <cell r="F43" t="str">
            <v>wheat</v>
          </cell>
          <cell r="G43" t="str">
            <v>DB77</v>
          </cell>
          <cell r="H43">
            <v>2015</v>
          </cell>
          <cell r="I43" t="str">
            <v>OTC</v>
          </cell>
          <cell r="J43" t="str">
            <v>field</v>
          </cell>
          <cell r="K43" t="str">
            <v>EO3</v>
          </cell>
          <cell r="L43">
            <v>21.7</v>
          </cell>
          <cell r="M43"/>
          <cell r="N43">
            <v>8</v>
          </cell>
          <cell r="O43">
            <v>120</v>
          </cell>
          <cell r="P43">
            <v>9</v>
          </cell>
          <cell r="Q43">
            <v>16.274999999999999</v>
          </cell>
          <cell r="R43" t="str">
            <v>yield</v>
          </cell>
          <cell r="S43">
            <v>158.29145728643201</v>
          </cell>
          <cell r="T43" t="str">
            <v>290.633083455889</v>
          </cell>
          <cell r="U43" t="str">
            <v>0.61840215738865</v>
          </cell>
        </row>
        <row r="44">
          <cell r="B44" t="str">
            <v>2019-35HD262015OTC</v>
          </cell>
          <cell r="C44" t="str">
            <v>2019-35</v>
          </cell>
          <cell r="D44" t="str">
            <v>Adeeb</v>
          </cell>
          <cell r="E44" t="str">
            <v>India</v>
          </cell>
          <cell r="F44" t="str">
            <v>wheat</v>
          </cell>
          <cell r="G44" t="str">
            <v>HD26</v>
          </cell>
          <cell r="H44">
            <v>2015</v>
          </cell>
          <cell r="I44" t="str">
            <v>OTC</v>
          </cell>
          <cell r="J44" t="str">
            <v>field</v>
          </cell>
          <cell r="K44" t="str">
            <v>NF</v>
          </cell>
          <cell r="L44">
            <v>8</v>
          </cell>
          <cell r="M44"/>
          <cell r="N44">
            <v>8</v>
          </cell>
          <cell r="O44">
            <v>120</v>
          </cell>
          <cell r="P44">
            <v>9</v>
          </cell>
          <cell r="Q44">
            <v>6</v>
          </cell>
          <cell r="R44" t="str">
            <v>yield</v>
          </cell>
          <cell r="S44">
            <v>321.608040201005</v>
          </cell>
          <cell r="T44" t="str">
            <v>439.67641625976</v>
          </cell>
          <cell r="U44" t="str">
            <v>0.83052420580002</v>
          </cell>
        </row>
        <row r="45">
          <cell r="B45" t="str">
            <v>2019-35HD262015OTC</v>
          </cell>
          <cell r="C45" t="str">
            <v>2019-35</v>
          </cell>
          <cell r="D45" t="str">
            <v>Adeeb</v>
          </cell>
          <cell r="E45" t="str">
            <v>India</v>
          </cell>
          <cell r="F45" t="str">
            <v>wheat</v>
          </cell>
          <cell r="G45" t="str">
            <v>HD26</v>
          </cell>
          <cell r="H45">
            <v>2015</v>
          </cell>
          <cell r="I45" t="str">
            <v>OTC</v>
          </cell>
          <cell r="J45" t="str">
            <v>field</v>
          </cell>
          <cell r="K45" t="str">
            <v>EO3</v>
          </cell>
          <cell r="L45">
            <v>21.7</v>
          </cell>
          <cell r="M45"/>
          <cell r="N45">
            <v>8</v>
          </cell>
          <cell r="O45">
            <v>120</v>
          </cell>
          <cell r="P45">
            <v>9</v>
          </cell>
          <cell r="Q45">
            <v>16.274999999999999</v>
          </cell>
          <cell r="R45" t="str">
            <v>yield</v>
          </cell>
          <cell r="S45">
            <v>246.23115577889399</v>
          </cell>
          <cell r="T45" t="str">
            <v>439.67641625976</v>
          </cell>
          <cell r="U45" t="str">
            <v>0.635870095065639</v>
          </cell>
        </row>
        <row r="46">
          <cell r="B46" t="str">
            <v>2019-35HD282015OTC</v>
          </cell>
          <cell r="C46" t="str">
            <v>2019-35</v>
          </cell>
          <cell r="D46" t="str">
            <v>Adeeb</v>
          </cell>
          <cell r="E46" t="str">
            <v>India</v>
          </cell>
          <cell r="F46" t="str">
            <v>wheat</v>
          </cell>
          <cell r="G46" t="str">
            <v>HD28</v>
          </cell>
          <cell r="H46">
            <v>2015</v>
          </cell>
          <cell r="I46" t="str">
            <v>OTC</v>
          </cell>
          <cell r="J46" t="str">
            <v>field</v>
          </cell>
          <cell r="K46" t="str">
            <v>NF</v>
          </cell>
          <cell r="L46">
            <v>8</v>
          </cell>
          <cell r="M46"/>
          <cell r="N46">
            <v>8</v>
          </cell>
          <cell r="O46">
            <v>120</v>
          </cell>
          <cell r="P46">
            <v>9</v>
          </cell>
          <cell r="Q46">
            <v>6</v>
          </cell>
          <cell r="R46" t="str">
            <v>yield</v>
          </cell>
          <cell r="S46">
            <v>319.09547738693499</v>
          </cell>
          <cell r="T46" t="str">
            <v>410.266668328257</v>
          </cell>
          <cell r="U46" t="str">
            <v>0.883106298899524</v>
          </cell>
        </row>
        <row r="47">
          <cell r="B47" t="str">
            <v>2019-35HD282015OTC</v>
          </cell>
          <cell r="C47" t="str">
            <v>2019-35</v>
          </cell>
          <cell r="D47" t="str">
            <v>Adeeb</v>
          </cell>
          <cell r="E47" t="str">
            <v>India</v>
          </cell>
          <cell r="F47" t="str">
            <v>wheat</v>
          </cell>
          <cell r="G47" t="str">
            <v>HD28</v>
          </cell>
          <cell r="H47">
            <v>2015</v>
          </cell>
          <cell r="I47" t="str">
            <v>OTC</v>
          </cell>
          <cell r="J47" t="str">
            <v>field</v>
          </cell>
          <cell r="K47" t="str">
            <v>EO3</v>
          </cell>
          <cell r="L47">
            <v>21.7</v>
          </cell>
          <cell r="M47"/>
          <cell r="N47">
            <v>8</v>
          </cell>
          <cell r="O47">
            <v>120</v>
          </cell>
          <cell r="P47">
            <v>9</v>
          </cell>
          <cell r="Q47">
            <v>16.274999999999999</v>
          </cell>
          <cell r="R47" t="str">
            <v>yield</v>
          </cell>
          <cell r="S47">
            <v>216.08040201004999</v>
          </cell>
          <cell r="T47" t="str">
            <v>410.266668328257</v>
          </cell>
          <cell r="U47" t="str">
            <v>0.598008989805975</v>
          </cell>
        </row>
        <row r="48">
          <cell r="B48" t="str">
            <v>2019-35HD302015OTC</v>
          </cell>
          <cell r="C48" t="str">
            <v>2019-35</v>
          </cell>
          <cell r="D48" t="str">
            <v>Adeeb</v>
          </cell>
          <cell r="E48" t="str">
            <v>India</v>
          </cell>
          <cell r="F48" t="str">
            <v>wheat</v>
          </cell>
          <cell r="G48" t="str">
            <v>HD30</v>
          </cell>
          <cell r="H48">
            <v>2015</v>
          </cell>
          <cell r="I48" t="str">
            <v>OTC</v>
          </cell>
          <cell r="J48" t="str">
            <v>field</v>
          </cell>
          <cell r="K48" t="str">
            <v>NF</v>
          </cell>
          <cell r="L48">
            <v>8</v>
          </cell>
          <cell r="M48"/>
          <cell r="N48">
            <v>8</v>
          </cell>
          <cell r="O48">
            <v>120</v>
          </cell>
          <cell r="P48">
            <v>9</v>
          </cell>
          <cell r="Q48">
            <v>6</v>
          </cell>
          <cell r="R48" t="str">
            <v>yield</v>
          </cell>
          <cell r="S48">
            <v>366.83417085427101</v>
          </cell>
          <cell r="T48" t="str">
            <v>499.75030265114</v>
          </cell>
          <cell r="U48" t="str">
            <v>0.833441815451272</v>
          </cell>
        </row>
        <row r="49">
          <cell r="B49" t="str">
            <v>2019-35HD302015OTC</v>
          </cell>
          <cell r="C49" t="str">
            <v>2019-35</v>
          </cell>
          <cell r="D49" t="str">
            <v>Adeeb</v>
          </cell>
          <cell r="E49" t="str">
            <v>India</v>
          </cell>
          <cell r="F49" t="str">
            <v>wheat</v>
          </cell>
          <cell r="G49" t="str">
            <v>HD30</v>
          </cell>
          <cell r="H49">
            <v>2015</v>
          </cell>
          <cell r="I49" t="str">
            <v>OTC</v>
          </cell>
          <cell r="J49" t="str">
            <v>field</v>
          </cell>
          <cell r="K49" t="str">
            <v>EO3</v>
          </cell>
          <cell r="L49">
            <v>21.7</v>
          </cell>
          <cell r="M49"/>
          <cell r="N49">
            <v>8</v>
          </cell>
          <cell r="O49">
            <v>120</v>
          </cell>
          <cell r="P49">
            <v>9</v>
          </cell>
          <cell r="Q49">
            <v>16.274999999999999</v>
          </cell>
          <cell r="R49" t="str">
            <v>yield</v>
          </cell>
          <cell r="S49">
            <v>278.89447236180899</v>
          </cell>
          <cell r="T49" t="str">
            <v>499.75030265114</v>
          </cell>
          <cell r="U49" t="str">
            <v>0.633644119966378</v>
          </cell>
        </row>
        <row r="50">
          <cell r="B50" t="str">
            <v>2019-35HU122015OTC</v>
          </cell>
          <cell r="C50" t="str">
            <v>2019-35</v>
          </cell>
          <cell r="D50" t="str">
            <v>Adeeb</v>
          </cell>
          <cell r="E50" t="str">
            <v>India</v>
          </cell>
          <cell r="F50" t="str">
            <v>wheat</v>
          </cell>
          <cell r="G50" t="str">
            <v>HU12</v>
          </cell>
          <cell r="H50">
            <v>2015</v>
          </cell>
          <cell r="I50" t="str">
            <v>OTC</v>
          </cell>
          <cell r="J50" t="str">
            <v>field</v>
          </cell>
          <cell r="K50" t="str">
            <v>NF</v>
          </cell>
          <cell r="L50">
            <v>8</v>
          </cell>
          <cell r="M50"/>
          <cell r="N50">
            <v>8</v>
          </cell>
          <cell r="O50">
            <v>120</v>
          </cell>
          <cell r="P50">
            <v>9</v>
          </cell>
          <cell r="Q50">
            <v>6</v>
          </cell>
          <cell r="R50" t="str">
            <v>yield</v>
          </cell>
          <cell r="S50">
            <v>270.93596059113298</v>
          </cell>
          <cell r="T50" t="str">
            <v>399.559597932225</v>
          </cell>
          <cell r="U50" t="str">
            <v>0.769916544819332</v>
          </cell>
        </row>
        <row r="51">
          <cell r="B51" t="str">
            <v>2019-35HU122015OTC</v>
          </cell>
          <cell r="C51" t="str">
            <v>2019-35</v>
          </cell>
          <cell r="D51" t="str">
            <v>Adeeb</v>
          </cell>
          <cell r="E51" t="str">
            <v>India</v>
          </cell>
          <cell r="F51" t="str">
            <v>wheat</v>
          </cell>
          <cell r="G51" t="str">
            <v>HU12</v>
          </cell>
          <cell r="H51">
            <v>2015</v>
          </cell>
          <cell r="I51" t="str">
            <v>OTC</v>
          </cell>
          <cell r="J51" t="str">
            <v>field</v>
          </cell>
          <cell r="K51" t="str">
            <v>EO3</v>
          </cell>
          <cell r="L51">
            <v>21.7</v>
          </cell>
          <cell r="M51"/>
          <cell r="N51">
            <v>8</v>
          </cell>
          <cell r="O51">
            <v>120</v>
          </cell>
          <cell r="P51">
            <v>9</v>
          </cell>
          <cell r="Q51">
            <v>16.274999999999999</v>
          </cell>
          <cell r="R51" t="str">
            <v>yield</v>
          </cell>
          <cell r="S51">
            <v>241.37931034482801</v>
          </cell>
          <cell r="T51" t="str">
            <v>399.559597932225</v>
          </cell>
          <cell r="U51" t="str">
            <v>0.685925649020861</v>
          </cell>
        </row>
        <row r="52">
          <cell r="B52" t="str">
            <v>2019-35HU212015OTC</v>
          </cell>
          <cell r="C52" t="str">
            <v>2019-35</v>
          </cell>
          <cell r="D52" t="str">
            <v>Adeeb</v>
          </cell>
          <cell r="E52" t="str">
            <v>India</v>
          </cell>
          <cell r="F52" t="str">
            <v>wheat</v>
          </cell>
          <cell r="G52" t="str">
            <v>HU21</v>
          </cell>
          <cell r="H52">
            <v>2015</v>
          </cell>
          <cell r="I52" t="str">
            <v>OTC</v>
          </cell>
          <cell r="J52" t="str">
            <v>field</v>
          </cell>
          <cell r="K52" t="str">
            <v>NF</v>
          </cell>
          <cell r="L52">
            <v>8</v>
          </cell>
          <cell r="M52"/>
          <cell r="N52">
            <v>8</v>
          </cell>
          <cell r="O52">
            <v>120</v>
          </cell>
          <cell r="P52">
            <v>9</v>
          </cell>
          <cell r="Q52">
            <v>6</v>
          </cell>
          <cell r="R52" t="str">
            <v>yield</v>
          </cell>
          <cell r="S52">
            <v>320.19704433497498</v>
          </cell>
          <cell r="T52" t="str">
            <v>455.990443449644</v>
          </cell>
          <cell r="U52" t="str">
            <v>0.797297029438446</v>
          </cell>
        </row>
        <row r="53">
          <cell r="B53" t="str">
            <v>2019-35HU212015OTC</v>
          </cell>
          <cell r="C53" t="str">
            <v>2019-35</v>
          </cell>
          <cell r="D53" t="str">
            <v>Adeeb</v>
          </cell>
          <cell r="E53" t="str">
            <v>India</v>
          </cell>
          <cell r="F53" t="str">
            <v>wheat</v>
          </cell>
          <cell r="G53" t="str">
            <v>HU21</v>
          </cell>
          <cell r="H53">
            <v>2015</v>
          </cell>
          <cell r="I53" t="str">
            <v>OTC</v>
          </cell>
          <cell r="J53" t="str">
            <v>field</v>
          </cell>
          <cell r="K53" t="str">
            <v>EO3</v>
          </cell>
          <cell r="L53">
            <v>21.7</v>
          </cell>
          <cell r="M53"/>
          <cell r="N53">
            <v>8</v>
          </cell>
          <cell r="O53">
            <v>120</v>
          </cell>
          <cell r="P53">
            <v>9</v>
          </cell>
          <cell r="Q53">
            <v>16.274999999999999</v>
          </cell>
          <cell r="R53" t="str">
            <v>yield</v>
          </cell>
          <cell r="S53">
            <v>266.00985221674898</v>
          </cell>
          <cell r="T53" t="str">
            <v>455.990443449644</v>
          </cell>
          <cell r="U53" t="str">
            <v>0.662369839841172</v>
          </cell>
        </row>
        <row r="54">
          <cell r="B54" t="str">
            <v>2019-35HU252015OTC</v>
          </cell>
          <cell r="C54" t="str">
            <v>2019-35</v>
          </cell>
          <cell r="D54" t="str">
            <v>Adeeb</v>
          </cell>
          <cell r="E54" t="str">
            <v>India</v>
          </cell>
          <cell r="F54" t="str">
            <v>wheat</v>
          </cell>
          <cell r="G54" t="str">
            <v>HU25</v>
          </cell>
          <cell r="H54">
            <v>2015</v>
          </cell>
          <cell r="I54" t="str">
            <v>OTC</v>
          </cell>
          <cell r="J54" t="str">
            <v>field</v>
          </cell>
          <cell r="K54" t="str">
            <v>NF</v>
          </cell>
          <cell r="L54">
            <v>8</v>
          </cell>
          <cell r="M54"/>
          <cell r="N54">
            <v>8</v>
          </cell>
          <cell r="O54">
            <v>120</v>
          </cell>
          <cell r="P54">
            <v>9</v>
          </cell>
          <cell r="Q54">
            <v>6</v>
          </cell>
          <cell r="R54" t="str">
            <v>yield</v>
          </cell>
          <cell r="S54">
            <v>310.34482758620697</v>
          </cell>
          <cell r="T54" t="str">
            <v>434.128348847805</v>
          </cell>
          <cell r="U54" t="str">
            <v>0.811680165013106</v>
          </cell>
        </row>
        <row r="55">
          <cell r="B55" t="str">
            <v>2019-35HU252015OTC</v>
          </cell>
          <cell r="C55" t="str">
            <v>2019-35</v>
          </cell>
          <cell r="D55" t="str">
            <v>Adeeb</v>
          </cell>
          <cell r="E55" t="str">
            <v>India</v>
          </cell>
          <cell r="F55" t="str">
            <v>wheat</v>
          </cell>
          <cell r="G55" t="str">
            <v>HU25</v>
          </cell>
          <cell r="H55">
            <v>2015</v>
          </cell>
          <cell r="I55" t="str">
            <v>OTC</v>
          </cell>
          <cell r="J55" t="str">
            <v>field</v>
          </cell>
          <cell r="K55" t="str">
            <v>EO3</v>
          </cell>
          <cell r="L55">
            <v>21.7</v>
          </cell>
          <cell r="M55"/>
          <cell r="N55">
            <v>8</v>
          </cell>
          <cell r="O55">
            <v>120</v>
          </cell>
          <cell r="P55">
            <v>9</v>
          </cell>
          <cell r="Q55">
            <v>16.274999999999999</v>
          </cell>
          <cell r="R55" t="str">
            <v>yield</v>
          </cell>
          <cell r="S55">
            <v>248.76847290640401</v>
          </cell>
          <cell r="T55" t="str">
            <v>434.128348847805</v>
          </cell>
          <cell r="U55" t="str">
            <v>0.650632513224791</v>
          </cell>
        </row>
        <row r="56">
          <cell r="B56" t="str">
            <v>2019-35HU552015OTC</v>
          </cell>
          <cell r="C56" t="str">
            <v>2019-35</v>
          </cell>
          <cell r="D56" t="str">
            <v>Adeeb</v>
          </cell>
          <cell r="E56" t="str">
            <v>India</v>
          </cell>
          <cell r="F56" t="str">
            <v>wheat</v>
          </cell>
          <cell r="G56" t="str">
            <v>HU55</v>
          </cell>
          <cell r="H56">
            <v>2015</v>
          </cell>
          <cell r="I56" t="str">
            <v>OTC</v>
          </cell>
          <cell r="J56" t="str">
            <v>field</v>
          </cell>
          <cell r="K56" t="str">
            <v>NF</v>
          </cell>
          <cell r="L56">
            <v>8</v>
          </cell>
          <cell r="M56"/>
          <cell r="N56">
            <v>8</v>
          </cell>
          <cell r="O56">
            <v>120</v>
          </cell>
          <cell r="P56">
            <v>9</v>
          </cell>
          <cell r="Q56">
            <v>6</v>
          </cell>
          <cell r="R56" t="str">
            <v>yield</v>
          </cell>
          <cell r="S56">
            <v>347.290640394089</v>
          </cell>
          <cell r="T56" t="str">
            <v>483.604969137265</v>
          </cell>
          <cell r="U56" t="str">
            <v>0.815381573161082</v>
          </cell>
        </row>
        <row r="57">
          <cell r="B57" t="str">
            <v>2019-35HU552015OTC</v>
          </cell>
          <cell r="C57" t="str">
            <v>2019-35</v>
          </cell>
          <cell r="D57" t="str">
            <v>Adeeb</v>
          </cell>
          <cell r="E57" t="str">
            <v>India</v>
          </cell>
          <cell r="F57" t="str">
            <v>wheat</v>
          </cell>
          <cell r="G57" t="str">
            <v>HU55</v>
          </cell>
          <cell r="H57">
            <v>2015</v>
          </cell>
          <cell r="I57" t="str">
            <v>OTC</v>
          </cell>
          <cell r="J57" t="str">
            <v>field</v>
          </cell>
          <cell r="K57" t="str">
            <v>EO3</v>
          </cell>
          <cell r="L57">
            <v>21.7</v>
          </cell>
          <cell r="M57"/>
          <cell r="N57">
            <v>8</v>
          </cell>
          <cell r="O57">
            <v>120</v>
          </cell>
          <cell r="P57">
            <v>9</v>
          </cell>
          <cell r="Q57">
            <v>16.274999999999999</v>
          </cell>
          <cell r="R57" t="str">
            <v>yield</v>
          </cell>
          <cell r="S57">
            <v>275.86206896551698</v>
          </cell>
          <cell r="T57" t="str">
            <v>483.604969137265</v>
          </cell>
          <cell r="U57" t="str">
            <v>0.647678980099582</v>
          </cell>
        </row>
        <row r="58">
          <cell r="B58" t="str">
            <v>2019-35KH652015OTC</v>
          </cell>
          <cell r="C58" t="str">
            <v>2019-35</v>
          </cell>
          <cell r="D58" t="str">
            <v>Adeeb</v>
          </cell>
          <cell r="E58" t="str">
            <v>India</v>
          </cell>
          <cell r="F58" t="str">
            <v>wheat</v>
          </cell>
          <cell r="G58" t="str">
            <v>KH65</v>
          </cell>
          <cell r="H58">
            <v>2015</v>
          </cell>
          <cell r="I58" t="str">
            <v>OTC</v>
          </cell>
          <cell r="J58" t="str">
            <v>field</v>
          </cell>
          <cell r="K58" t="str">
            <v>NF</v>
          </cell>
          <cell r="L58">
            <v>8</v>
          </cell>
          <cell r="M58"/>
          <cell r="N58">
            <v>8</v>
          </cell>
          <cell r="O58">
            <v>120</v>
          </cell>
          <cell r="P58">
            <v>9</v>
          </cell>
          <cell r="Q58">
            <v>6</v>
          </cell>
          <cell r="R58" t="str">
            <v>yield</v>
          </cell>
          <cell r="S58">
            <v>500</v>
          </cell>
          <cell r="T58" t="str">
            <v>738.842191603883</v>
          </cell>
          <cell r="U58" t="str">
            <v>0.768381472855287</v>
          </cell>
        </row>
        <row r="59">
          <cell r="B59" t="str">
            <v>2019-35KH652015OTC</v>
          </cell>
          <cell r="C59" t="str">
            <v>2019-35</v>
          </cell>
          <cell r="D59" t="str">
            <v>Adeeb</v>
          </cell>
          <cell r="E59" t="str">
            <v>India</v>
          </cell>
          <cell r="F59" t="str">
            <v>wheat</v>
          </cell>
          <cell r="G59" t="str">
            <v>KH65</v>
          </cell>
          <cell r="H59">
            <v>2015</v>
          </cell>
          <cell r="I59" t="str">
            <v>OTC</v>
          </cell>
          <cell r="J59" t="str">
            <v>field</v>
          </cell>
          <cell r="K59" t="str">
            <v>EO3</v>
          </cell>
          <cell r="L59">
            <v>21.7</v>
          </cell>
          <cell r="M59"/>
          <cell r="N59">
            <v>8</v>
          </cell>
          <cell r="O59">
            <v>120</v>
          </cell>
          <cell r="P59">
            <v>9</v>
          </cell>
          <cell r="Q59">
            <v>16.274999999999999</v>
          </cell>
          <cell r="R59" t="str">
            <v>yield</v>
          </cell>
          <cell r="S59">
            <v>447.236180904523</v>
          </cell>
          <cell r="T59" t="str">
            <v>738.842191603883</v>
          </cell>
          <cell r="U59" t="str">
            <v>0.687295990795182</v>
          </cell>
        </row>
        <row r="60">
          <cell r="B60" t="str">
            <v>2019-35KUND2015OTC</v>
          </cell>
          <cell r="C60" t="str">
            <v>2019-35</v>
          </cell>
          <cell r="D60" t="str">
            <v>Adeeb</v>
          </cell>
          <cell r="E60" t="str">
            <v>India</v>
          </cell>
          <cell r="F60" t="str">
            <v>wheat</v>
          </cell>
          <cell r="G60" t="str">
            <v>KUND</v>
          </cell>
          <cell r="H60">
            <v>2015</v>
          </cell>
          <cell r="I60" t="str">
            <v>OTC</v>
          </cell>
          <cell r="J60" t="str">
            <v>field</v>
          </cell>
          <cell r="K60" t="str">
            <v>NF</v>
          </cell>
          <cell r="L60">
            <v>8</v>
          </cell>
          <cell r="M60"/>
          <cell r="N60">
            <v>8</v>
          </cell>
          <cell r="O60">
            <v>120</v>
          </cell>
          <cell r="P60">
            <v>9</v>
          </cell>
          <cell r="Q60">
            <v>6</v>
          </cell>
          <cell r="R60" t="str">
            <v>yield</v>
          </cell>
          <cell r="S60">
            <v>280.78817733990098</v>
          </cell>
          <cell r="T60" t="str">
            <v>410.889092581628</v>
          </cell>
          <cell r="U60" t="str">
            <v>0.775912544359184</v>
          </cell>
        </row>
        <row r="61">
          <cell r="B61" t="str">
            <v>2019-35KUND2015OTC</v>
          </cell>
          <cell r="C61" t="str">
            <v>2019-35</v>
          </cell>
          <cell r="D61" t="str">
            <v>Adeeb</v>
          </cell>
          <cell r="E61" t="str">
            <v>India</v>
          </cell>
          <cell r="F61" t="str">
            <v>wheat</v>
          </cell>
          <cell r="G61" t="str">
            <v>KUND</v>
          </cell>
          <cell r="H61">
            <v>2015</v>
          </cell>
          <cell r="I61" t="str">
            <v>OTC</v>
          </cell>
          <cell r="J61" t="str">
            <v>field</v>
          </cell>
          <cell r="K61" t="str">
            <v>EO3</v>
          </cell>
          <cell r="L61">
            <v>21.7</v>
          </cell>
          <cell r="M61"/>
          <cell r="N61">
            <v>8</v>
          </cell>
          <cell r="O61">
            <v>120</v>
          </cell>
          <cell r="P61">
            <v>9</v>
          </cell>
          <cell r="Q61">
            <v>16.274999999999999</v>
          </cell>
          <cell r="R61" t="str">
            <v>yield</v>
          </cell>
          <cell r="S61">
            <v>246.30541871921201</v>
          </cell>
          <cell r="T61" t="str">
            <v>410.889092581628</v>
          </cell>
          <cell r="U61" t="str">
            <v>0.680625038911567</v>
          </cell>
        </row>
        <row r="62">
          <cell r="B62" t="str">
            <v>2019-35NI342015OTC</v>
          </cell>
          <cell r="C62" t="str">
            <v>2019-35</v>
          </cell>
          <cell r="D62" t="str">
            <v>Adeeb</v>
          </cell>
          <cell r="E62" t="str">
            <v>India</v>
          </cell>
          <cell r="F62" t="str">
            <v>wheat</v>
          </cell>
          <cell r="G62" t="str">
            <v>NI34</v>
          </cell>
          <cell r="H62">
            <v>2015</v>
          </cell>
          <cell r="I62" t="str">
            <v>OTC</v>
          </cell>
          <cell r="J62" t="str">
            <v>field</v>
          </cell>
          <cell r="K62" t="str">
            <v>NF</v>
          </cell>
          <cell r="L62">
            <v>8</v>
          </cell>
          <cell r="M62"/>
          <cell r="N62">
            <v>8</v>
          </cell>
          <cell r="O62">
            <v>120</v>
          </cell>
          <cell r="P62">
            <v>9</v>
          </cell>
          <cell r="Q62">
            <v>6</v>
          </cell>
          <cell r="R62" t="str">
            <v>yield</v>
          </cell>
          <cell r="S62">
            <v>258.79396984924603</v>
          </cell>
          <cell r="T62" t="str">
            <v>351.869044932251</v>
          </cell>
          <cell r="U62" t="str">
            <v>0.835086876231024</v>
          </cell>
        </row>
        <row r="63">
          <cell r="B63" t="str">
            <v>2019-35NI342015OTC</v>
          </cell>
          <cell r="C63" t="str">
            <v>2019-35</v>
          </cell>
          <cell r="D63" t="str">
            <v>Adeeb</v>
          </cell>
          <cell r="E63" t="str">
            <v>India</v>
          </cell>
          <cell r="F63" t="str">
            <v>wheat</v>
          </cell>
          <cell r="G63" t="str">
            <v>NI34</v>
          </cell>
          <cell r="H63">
            <v>2015</v>
          </cell>
          <cell r="I63" t="str">
            <v>OTC</v>
          </cell>
          <cell r="J63" t="str">
            <v>field</v>
          </cell>
          <cell r="K63" t="str">
            <v>EO3</v>
          </cell>
          <cell r="L63">
            <v>21.7</v>
          </cell>
          <cell r="M63"/>
          <cell r="N63">
            <v>8</v>
          </cell>
          <cell r="O63">
            <v>120</v>
          </cell>
          <cell r="P63">
            <v>9</v>
          </cell>
          <cell r="Q63">
            <v>16.274999999999999</v>
          </cell>
          <cell r="R63" t="str">
            <v>yield</v>
          </cell>
          <cell r="S63">
            <v>195.979899497487</v>
          </cell>
          <cell r="T63" t="str">
            <v>351.869044932251</v>
          </cell>
          <cell r="U63" t="str">
            <v>0.632395886854561</v>
          </cell>
        </row>
        <row r="64">
          <cell r="B64" t="str">
            <v>2019-35P5022015OTC</v>
          </cell>
          <cell r="C64" t="str">
            <v>2019-35</v>
          </cell>
          <cell r="D64" t="str">
            <v>Adeeb</v>
          </cell>
          <cell r="E64" t="str">
            <v>India</v>
          </cell>
          <cell r="F64" t="str">
            <v>wheat</v>
          </cell>
          <cell r="G64" t="str">
            <v>P502</v>
          </cell>
          <cell r="H64">
            <v>2015</v>
          </cell>
          <cell r="I64" t="str">
            <v>OTC</v>
          </cell>
          <cell r="J64" t="str">
            <v>field</v>
          </cell>
          <cell r="K64" t="str">
            <v>NF</v>
          </cell>
          <cell r="L64">
            <v>8</v>
          </cell>
          <cell r="M64"/>
          <cell r="N64">
            <v>8</v>
          </cell>
          <cell r="O64">
            <v>120</v>
          </cell>
          <cell r="P64">
            <v>9</v>
          </cell>
          <cell r="Q64">
            <v>6</v>
          </cell>
          <cell r="R64" t="str">
            <v>yield</v>
          </cell>
          <cell r="S64">
            <v>329.14572864321599</v>
          </cell>
          <cell r="T64" t="str">
            <v>449.314874768455</v>
          </cell>
          <cell r="U64" t="str">
            <v>0.831756101547978</v>
          </cell>
        </row>
        <row r="65">
          <cell r="B65" t="str">
            <v>2019-35P5022015OTC</v>
          </cell>
          <cell r="C65" t="str">
            <v>2019-35</v>
          </cell>
          <cell r="D65" t="str">
            <v>Adeeb</v>
          </cell>
          <cell r="E65" t="str">
            <v>India</v>
          </cell>
          <cell r="F65" t="str">
            <v>wheat</v>
          </cell>
          <cell r="G65" t="str">
            <v>P502</v>
          </cell>
          <cell r="H65">
            <v>2015</v>
          </cell>
          <cell r="I65" t="str">
            <v>OTC</v>
          </cell>
          <cell r="J65" t="str">
            <v>field</v>
          </cell>
          <cell r="K65" t="str">
            <v>EO3</v>
          </cell>
          <cell r="L65">
            <v>21.7</v>
          </cell>
          <cell r="M65"/>
          <cell r="N65">
            <v>8</v>
          </cell>
          <cell r="O65">
            <v>120</v>
          </cell>
          <cell r="P65">
            <v>9</v>
          </cell>
          <cell r="Q65">
            <v>16.274999999999999</v>
          </cell>
          <cell r="R65" t="str">
            <v>yield</v>
          </cell>
          <cell r="S65">
            <v>251.256281407035</v>
          </cell>
          <cell r="T65" t="str">
            <v>449.314874768455</v>
          </cell>
          <cell r="U65" t="str">
            <v>0.634928321792349</v>
          </cell>
        </row>
        <row r="66">
          <cell r="B66" t="str">
            <v>2019-35P5502015OTC</v>
          </cell>
          <cell r="C66" t="str">
            <v>2019-35</v>
          </cell>
          <cell r="D66" t="str">
            <v>Adeeb</v>
          </cell>
          <cell r="E66" t="str">
            <v>India</v>
          </cell>
          <cell r="F66" t="str">
            <v>wheat</v>
          </cell>
          <cell r="G66" t="str">
            <v>P550</v>
          </cell>
          <cell r="H66">
            <v>2015</v>
          </cell>
          <cell r="I66" t="str">
            <v>OTC</v>
          </cell>
          <cell r="J66" t="str">
            <v>field</v>
          </cell>
          <cell r="K66" t="str">
            <v>NF</v>
          </cell>
          <cell r="L66">
            <v>8</v>
          </cell>
          <cell r="M66"/>
          <cell r="N66">
            <v>8</v>
          </cell>
          <cell r="O66">
            <v>120</v>
          </cell>
          <cell r="P66">
            <v>9</v>
          </cell>
          <cell r="Q66">
            <v>6</v>
          </cell>
          <cell r="R66" t="str">
            <v>yield</v>
          </cell>
          <cell r="S66">
            <v>331.658291457286</v>
          </cell>
          <cell r="T66" t="str">
            <v>441.913969724117</v>
          </cell>
          <cell r="U66" t="str">
            <v>0.852141461456739</v>
          </cell>
        </row>
        <row r="67">
          <cell r="B67" t="str">
            <v>2019-35P5502015OTC</v>
          </cell>
          <cell r="C67" t="str">
            <v>2019-35</v>
          </cell>
          <cell r="D67" t="str">
            <v>Adeeb</v>
          </cell>
          <cell r="E67" t="str">
            <v>India</v>
          </cell>
          <cell r="F67" t="str">
            <v>wheat</v>
          </cell>
          <cell r="G67" t="str">
            <v>P550</v>
          </cell>
          <cell r="H67">
            <v>2015</v>
          </cell>
          <cell r="I67" t="str">
            <v>OTC</v>
          </cell>
          <cell r="J67" t="str">
            <v>field</v>
          </cell>
          <cell r="K67" t="str">
            <v>EO3</v>
          </cell>
          <cell r="L67">
            <v>21.7</v>
          </cell>
          <cell r="M67"/>
          <cell r="N67">
            <v>8</v>
          </cell>
          <cell r="O67">
            <v>120</v>
          </cell>
          <cell r="P67">
            <v>9</v>
          </cell>
          <cell r="Q67">
            <v>16.274999999999999</v>
          </cell>
          <cell r="R67" t="str">
            <v>yield</v>
          </cell>
          <cell r="S67">
            <v>241.206030150754</v>
          </cell>
          <cell r="T67" t="str">
            <v>441.913969724117</v>
          </cell>
          <cell r="U67" t="str">
            <v>0.619739244695812</v>
          </cell>
        </row>
        <row r="68">
          <cell r="B68" t="str">
            <v>2020-48HD31182016OTC</v>
          </cell>
          <cell r="C68" t="str">
            <v>2020-48</v>
          </cell>
          <cell r="D68" t="str">
            <v>Durgesh</v>
          </cell>
          <cell r="E68" t="str">
            <v>India</v>
          </cell>
          <cell r="F68" t="str">
            <v>wheat</v>
          </cell>
          <cell r="G68" t="str">
            <v>HD3118</v>
          </cell>
          <cell r="H68">
            <v>2016</v>
          </cell>
          <cell r="I68" t="str">
            <v>OTC</v>
          </cell>
          <cell r="J68" t="str">
            <v>field</v>
          </cell>
          <cell r="K68" t="str">
            <v>NF</v>
          </cell>
          <cell r="L68"/>
          <cell r="M68">
            <v>51.7</v>
          </cell>
          <cell r="N68">
            <v>8</v>
          </cell>
          <cell r="O68">
            <v>100</v>
          </cell>
          <cell r="P68">
            <v>5</v>
          </cell>
          <cell r="Q68">
            <v>16.635934586368901</v>
          </cell>
          <cell r="R68" t="str">
            <v>yield</v>
          </cell>
          <cell r="S68">
            <v>364.5</v>
          </cell>
          <cell r="T68" t="str">
            <v>654.788287397934</v>
          </cell>
          <cell r="U68" t="str">
            <v>0.632055476296893</v>
          </cell>
        </row>
        <row r="69">
          <cell r="B69" t="str">
            <v>2020-48HD31182016OTC</v>
          </cell>
          <cell r="C69" t="str">
            <v>2020-48</v>
          </cell>
          <cell r="D69" t="str">
            <v>Durgesh</v>
          </cell>
          <cell r="E69" t="str">
            <v>India</v>
          </cell>
          <cell r="F69" t="str">
            <v>wheat</v>
          </cell>
          <cell r="G69" t="str">
            <v>HD3118</v>
          </cell>
          <cell r="H69">
            <v>2016</v>
          </cell>
          <cell r="I69" t="str">
            <v>OTC</v>
          </cell>
          <cell r="J69" t="str">
            <v>field</v>
          </cell>
          <cell r="K69" t="str">
            <v>EO3</v>
          </cell>
          <cell r="L69"/>
          <cell r="M69">
            <v>71.7</v>
          </cell>
          <cell r="N69">
            <v>8</v>
          </cell>
          <cell r="O69">
            <v>100</v>
          </cell>
          <cell r="P69">
            <v>5</v>
          </cell>
          <cell r="Q69">
            <v>29.338133020351801</v>
          </cell>
          <cell r="R69" t="str">
            <v>yield</v>
          </cell>
          <cell r="S69">
            <v>277.5</v>
          </cell>
          <cell r="T69" t="str">
            <v>654.788287397934</v>
          </cell>
          <cell r="U69" t="str">
            <v>0.48119449841533</v>
          </cell>
        </row>
        <row r="70">
          <cell r="B70" t="str">
            <v>2020-48HUW2342016OTC</v>
          </cell>
          <cell r="C70" t="str">
            <v>2020-48</v>
          </cell>
          <cell r="D70" t="str">
            <v>Durgesh</v>
          </cell>
          <cell r="E70" t="str">
            <v>India</v>
          </cell>
          <cell r="F70" t="str">
            <v>wheat</v>
          </cell>
          <cell r="G70" t="str">
            <v>HUW234</v>
          </cell>
          <cell r="H70">
            <v>2016</v>
          </cell>
          <cell r="I70" t="str">
            <v>OTC</v>
          </cell>
          <cell r="J70" t="str">
            <v>field</v>
          </cell>
          <cell r="K70" t="str">
            <v>NF</v>
          </cell>
          <cell r="L70"/>
          <cell r="M70">
            <v>51.7</v>
          </cell>
          <cell r="N70">
            <v>8</v>
          </cell>
          <cell r="O70">
            <v>100</v>
          </cell>
          <cell r="P70">
            <v>5</v>
          </cell>
          <cell r="Q70">
            <v>16.635934586368901</v>
          </cell>
          <cell r="R70" t="str">
            <v>yield</v>
          </cell>
          <cell r="S70">
            <v>435.5</v>
          </cell>
          <cell r="T70" t="str">
            <v>791.069373521975</v>
          </cell>
          <cell r="U70" t="str">
            <v>0.625075038818814</v>
          </cell>
        </row>
        <row r="71">
          <cell r="B71" t="str">
            <v>2020-48HUW2342016OTC</v>
          </cell>
          <cell r="C71" t="str">
            <v>2020-48</v>
          </cell>
          <cell r="D71" t="str">
            <v>Durgesh</v>
          </cell>
          <cell r="E71" t="str">
            <v>India</v>
          </cell>
          <cell r="F71" t="str">
            <v>wheat</v>
          </cell>
          <cell r="G71" t="str">
            <v>HUW234</v>
          </cell>
          <cell r="H71">
            <v>2016</v>
          </cell>
          <cell r="I71" t="str">
            <v>OTC</v>
          </cell>
          <cell r="J71" t="str">
            <v>field</v>
          </cell>
          <cell r="K71" t="str">
            <v>EO3</v>
          </cell>
          <cell r="L71"/>
          <cell r="M71">
            <v>71.7</v>
          </cell>
          <cell r="N71">
            <v>8</v>
          </cell>
          <cell r="O71">
            <v>100</v>
          </cell>
          <cell r="P71">
            <v>5</v>
          </cell>
          <cell r="Q71">
            <v>29.338133020351801</v>
          </cell>
          <cell r="R71" t="str">
            <v>yield</v>
          </cell>
          <cell r="S71">
            <v>339</v>
          </cell>
          <cell r="T71" t="str">
            <v>791.069373521975</v>
          </cell>
          <cell r="U71" t="str">
            <v>0.486568170286057</v>
          </cell>
        </row>
        <row r="72">
          <cell r="B72" t="str">
            <v>2021-X140HD30862017OTC</v>
          </cell>
          <cell r="C72" t="str">
            <v>2021-X140</v>
          </cell>
          <cell r="D72" t="str">
            <v>Durgesh</v>
          </cell>
          <cell r="E72" t="str">
            <v>India</v>
          </cell>
          <cell r="F72" t="str">
            <v>wheat</v>
          </cell>
          <cell r="G72" t="str">
            <v>HD3086</v>
          </cell>
          <cell r="H72">
            <v>2017</v>
          </cell>
          <cell r="I72" t="str">
            <v>OTC</v>
          </cell>
          <cell r="J72" t="str">
            <v>field</v>
          </cell>
          <cell r="K72" t="str">
            <v>NF</v>
          </cell>
          <cell r="L72">
            <v>11.78</v>
          </cell>
          <cell r="M72">
            <v>51.2</v>
          </cell>
          <cell r="N72">
            <v>8</v>
          </cell>
          <cell r="O72">
            <v>150</v>
          </cell>
          <cell r="P72">
            <v>3</v>
          </cell>
          <cell r="Q72">
            <v>7.0679999999999996</v>
          </cell>
          <cell r="R72" t="str">
            <v>yield</v>
          </cell>
          <cell r="S72">
            <v>554</v>
          </cell>
          <cell r="T72" t="str">
            <v>701.508077180205</v>
          </cell>
          <cell r="U72" t="str">
            <v>0.89667622968936</v>
          </cell>
        </row>
        <row r="73">
          <cell r="B73" t="str">
            <v>2021-X140HD30862017OTC</v>
          </cell>
          <cell r="C73" t="str">
            <v>2021-X140</v>
          </cell>
          <cell r="D73" t="str">
            <v>Durgesh</v>
          </cell>
          <cell r="E73" t="str">
            <v>India</v>
          </cell>
          <cell r="F73" t="str">
            <v>wheat</v>
          </cell>
          <cell r="G73" t="str">
            <v>HD3086</v>
          </cell>
          <cell r="H73">
            <v>2017</v>
          </cell>
          <cell r="I73" t="str">
            <v>OTC</v>
          </cell>
          <cell r="J73" t="str">
            <v>field</v>
          </cell>
          <cell r="K73" t="str">
            <v>EO3</v>
          </cell>
          <cell r="L73">
            <v>21.6</v>
          </cell>
          <cell r="M73">
            <v>72.2</v>
          </cell>
          <cell r="N73">
            <v>8</v>
          </cell>
          <cell r="O73">
            <v>150</v>
          </cell>
          <cell r="P73">
            <v>3</v>
          </cell>
          <cell r="Q73">
            <v>12.96</v>
          </cell>
          <cell r="R73" t="str">
            <v>yield</v>
          </cell>
          <cell r="S73">
            <v>381</v>
          </cell>
          <cell r="T73" t="str">
            <v>701.508077180205</v>
          </cell>
          <cell r="U73" t="str">
            <v>0.616667226555318</v>
          </cell>
        </row>
        <row r="74">
          <cell r="B74" t="str">
            <v>2021-X140HD31182017OTC</v>
          </cell>
          <cell r="C74" t="str">
            <v>2021-X140</v>
          </cell>
          <cell r="D74" t="str">
            <v>Durgesh</v>
          </cell>
          <cell r="E74" t="str">
            <v>India</v>
          </cell>
          <cell r="F74" t="str">
            <v>wheat</v>
          </cell>
          <cell r="G74" t="str">
            <v>HD3118</v>
          </cell>
          <cell r="H74">
            <v>2017</v>
          </cell>
          <cell r="I74" t="str">
            <v>OTC</v>
          </cell>
          <cell r="J74" t="str">
            <v>field</v>
          </cell>
          <cell r="K74" t="str">
            <v>NF</v>
          </cell>
          <cell r="L74">
            <v>8.4</v>
          </cell>
          <cell r="M74">
            <v>51.74</v>
          </cell>
          <cell r="N74">
            <v>8</v>
          </cell>
          <cell r="O74">
            <v>131</v>
          </cell>
          <cell r="P74">
            <v>3</v>
          </cell>
          <cell r="Q74">
            <v>5.7709923664122096</v>
          </cell>
          <cell r="R74" t="str">
            <v>yield</v>
          </cell>
          <cell r="S74">
            <v>542</v>
          </cell>
          <cell r="T74" t="str">
            <v>688.98158795345</v>
          </cell>
          <cell r="U74" t="str">
            <v>0.893203134697911</v>
          </cell>
        </row>
        <row r="75">
          <cell r="B75" t="str">
            <v>2021-X140HD31182017OTC</v>
          </cell>
          <cell r="C75" t="str">
            <v>2021-X140</v>
          </cell>
          <cell r="D75" t="str">
            <v>Durgesh</v>
          </cell>
          <cell r="E75" t="str">
            <v>India</v>
          </cell>
          <cell r="F75" t="str">
            <v>wheat</v>
          </cell>
          <cell r="G75" t="str">
            <v>HD3118</v>
          </cell>
          <cell r="H75">
            <v>2017</v>
          </cell>
          <cell r="I75" t="str">
            <v>OTC</v>
          </cell>
          <cell r="J75" t="str">
            <v>field</v>
          </cell>
          <cell r="K75" t="str">
            <v>EO3</v>
          </cell>
          <cell r="L75">
            <v>16.5</v>
          </cell>
          <cell r="M75">
            <v>74.260000000000005</v>
          </cell>
          <cell r="N75">
            <v>8</v>
          </cell>
          <cell r="O75">
            <v>131</v>
          </cell>
          <cell r="P75">
            <v>3</v>
          </cell>
          <cell r="Q75">
            <v>11.3358778625954</v>
          </cell>
          <cell r="R75" t="str">
            <v>yield</v>
          </cell>
          <cell r="S75">
            <v>402</v>
          </cell>
          <cell r="T75" t="str">
            <v>688.98158795345</v>
          </cell>
          <cell r="U75" t="str">
            <v>0.662486457838672</v>
          </cell>
        </row>
        <row r="76">
          <cell r="B76" t="str">
            <v>2021-X140HUW2342017OTC</v>
          </cell>
          <cell r="C76" t="str">
            <v>2021-X140</v>
          </cell>
          <cell r="D76" t="str">
            <v>Durgesh</v>
          </cell>
          <cell r="E76" t="str">
            <v>India</v>
          </cell>
          <cell r="F76" t="str">
            <v>wheat</v>
          </cell>
          <cell r="G76" t="str">
            <v>HUW234</v>
          </cell>
          <cell r="H76">
            <v>2017</v>
          </cell>
          <cell r="I76" t="str">
            <v>OTC</v>
          </cell>
          <cell r="J76" t="str">
            <v>field</v>
          </cell>
          <cell r="K76" t="str">
            <v>NF</v>
          </cell>
          <cell r="L76">
            <v>8.4</v>
          </cell>
          <cell r="M76">
            <v>51.74</v>
          </cell>
          <cell r="N76">
            <v>8</v>
          </cell>
          <cell r="O76">
            <v>131</v>
          </cell>
          <cell r="P76">
            <v>3</v>
          </cell>
          <cell r="Q76">
            <v>5.7709923664122096</v>
          </cell>
          <cell r="R76" t="str">
            <v>yield</v>
          </cell>
          <cell r="S76">
            <v>521</v>
          </cell>
          <cell r="T76" t="str">
            <v>688.813973688592</v>
          </cell>
          <cell r="U76" t="str">
            <v>0.8588045616771</v>
          </cell>
        </row>
        <row r="77">
          <cell r="B77" t="str">
            <v>2021-X140HUW2342017OTC</v>
          </cell>
          <cell r="C77" t="str">
            <v>2021-X140</v>
          </cell>
          <cell r="D77" t="str">
            <v>Durgesh</v>
          </cell>
          <cell r="E77" t="str">
            <v>India</v>
          </cell>
          <cell r="F77" t="str">
            <v>wheat</v>
          </cell>
          <cell r="G77" t="str">
            <v>HUW234</v>
          </cell>
          <cell r="H77">
            <v>2017</v>
          </cell>
          <cell r="I77" t="str">
            <v>OTC</v>
          </cell>
          <cell r="J77" t="str">
            <v>field</v>
          </cell>
          <cell r="K77" t="str">
            <v>EO3</v>
          </cell>
          <cell r="L77">
            <v>16.5</v>
          </cell>
          <cell r="M77">
            <v>74.260000000000005</v>
          </cell>
          <cell r="N77">
            <v>8</v>
          </cell>
          <cell r="O77">
            <v>131</v>
          </cell>
          <cell r="P77">
            <v>3</v>
          </cell>
          <cell r="Q77">
            <v>11.3358778625954</v>
          </cell>
          <cell r="R77" t="str">
            <v>yield</v>
          </cell>
          <cell r="S77">
            <v>418</v>
          </cell>
          <cell r="T77" t="str">
            <v>688.813973688592</v>
          </cell>
          <cell r="U77" t="str">
            <v>0.689021702074909</v>
          </cell>
        </row>
        <row r="78">
          <cell r="B78" t="str">
            <v>2021-X140HUW4682017OTC</v>
          </cell>
          <cell r="C78" t="str">
            <v>2021-X140</v>
          </cell>
          <cell r="D78" t="str">
            <v>Durgesh</v>
          </cell>
          <cell r="E78" t="str">
            <v>India</v>
          </cell>
          <cell r="F78" t="str">
            <v>wheat</v>
          </cell>
          <cell r="G78" t="str">
            <v>HUW468</v>
          </cell>
          <cell r="H78">
            <v>2017</v>
          </cell>
          <cell r="I78" t="str">
            <v>OTC</v>
          </cell>
          <cell r="J78" t="str">
            <v>field</v>
          </cell>
          <cell r="K78" t="str">
            <v>NF</v>
          </cell>
          <cell r="L78">
            <v>11.78</v>
          </cell>
          <cell r="M78">
            <v>51.2</v>
          </cell>
          <cell r="N78">
            <v>8</v>
          </cell>
          <cell r="O78">
            <v>150</v>
          </cell>
          <cell r="P78">
            <v>3</v>
          </cell>
          <cell r="Q78">
            <v>7.0679999999999996</v>
          </cell>
          <cell r="R78" t="str">
            <v>yield</v>
          </cell>
          <cell r="S78">
            <v>545</v>
          </cell>
          <cell r="T78" t="str">
            <v>681.02019240421</v>
          </cell>
          <cell r="U78" t="str">
            <v>0.908646758083547</v>
          </cell>
        </row>
        <row r="79">
          <cell r="B79" t="str">
            <v>2021-X140HUW4682017OTC</v>
          </cell>
          <cell r="C79" t="str">
            <v>2021-X140</v>
          </cell>
          <cell r="D79" t="str">
            <v>Durgesh</v>
          </cell>
          <cell r="E79" t="str">
            <v>India</v>
          </cell>
          <cell r="F79" t="str">
            <v>wheat</v>
          </cell>
          <cell r="G79" t="str">
            <v>HUW468</v>
          </cell>
          <cell r="H79">
            <v>2017</v>
          </cell>
          <cell r="I79" t="str">
            <v>OTC</v>
          </cell>
          <cell r="J79" t="str">
            <v>field</v>
          </cell>
          <cell r="K79" t="str">
            <v>EO3</v>
          </cell>
          <cell r="L79">
            <v>21.6</v>
          </cell>
          <cell r="M79">
            <v>72.2</v>
          </cell>
          <cell r="N79">
            <v>8</v>
          </cell>
          <cell r="O79">
            <v>150</v>
          </cell>
          <cell r="P79">
            <v>3</v>
          </cell>
          <cell r="Q79">
            <v>12.96</v>
          </cell>
          <cell r="R79" t="str">
            <v>yield</v>
          </cell>
          <cell r="S79">
            <v>365</v>
          </cell>
          <cell r="T79" t="str">
            <v>681.02019240421</v>
          </cell>
          <cell r="U79" t="str">
            <v>0.608543241652284</v>
          </cell>
        </row>
        <row r="80">
          <cell r="B80" t="str">
            <v>2021-X140HD30862018OTC</v>
          </cell>
          <cell r="C80" t="str">
            <v>2021-X140</v>
          </cell>
          <cell r="D80" t="str">
            <v>Durgesh</v>
          </cell>
          <cell r="E80" t="str">
            <v>India</v>
          </cell>
          <cell r="F80" t="str">
            <v>wheat</v>
          </cell>
          <cell r="G80" t="str">
            <v>HD3086</v>
          </cell>
          <cell r="H80">
            <v>2018</v>
          </cell>
          <cell r="I80" t="str">
            <v>OTC</v>
          </cell>
          <cell r="J80" t="str">
            <v>field</v>
          </cell>
          <cell r="K80" t="str">
            <v>NF</v>
          </cell>
          <cell r="L80">
            <v>6.8</v>
          </cell>
          <cell r="M80">
            <v>45.87</v>
          </cell>
          <cell r="N80">
            <v>8</v>
          </cell>
          <cell r="O80">
            <v>150</v>
          </cell>
          <cell r="P80">
            <v>3</v>
          </cell>
          <cell r="Q80">
            <v>4.08</v>
          </cell>
          <cell r="R80" t="str">
            <v>yield</v>
          </cell>
          <cell r="S80">
            <v>524</v>
          </cell>
          <cell r="T80" t="str">
            <v>636.934703636517</v>
          </cell>
          <cell r="U80" t="str">
            <v>0.934103378670001</v>
          </cell>
        </row>
        <row r="81">
          <cell r="B81" t="str">
            <v>2021-X140HD30862018OTC</v>
          </cell>
          <cell r="C81" t="str">
            <v>2021-X140</v>
          </cell>
          <cell r="D81" t="str">
            <v>Durgesh</v>
          </cell>
          <cell r="E81" t="str">
            <v>India</v>
          </cell>
          <cell r="F81" t="str">
            <v>wheat</v>
          </cell>
          <cell r="G81" t="str">
            <v>HD3086</v>
          </cell>
          <cell r="H81">
            <v>2018</v>
          </cell>
          <cell r="I81" t="str">
            <v>OTC</v>
          </cell>
          <cell r="J81" t="str">
            <v>field</v>
          </cell>
          <cell r="K81" t="str">
            <v>EO3</v>
          </cell>
          <cell r="L81">
            <v>16.7</v>
          </cell>
          <cell r="M81">
            <v>67.17</v>
          </cell>
          <cell r="N81">
            <v>8</v>
          </cell>
          <cell r="O81">
            <v>150</v>
          </cell>
          <cell r="P81">
            <v>3</v>
          </cell>
          <cell r="Q81">
            <v>10.02</v>
          </cell>
          <cell r="R81" t="str">
            <v>yield</v>
          </cell>
          <cell r="S81">
            <v>383</v>
          </cell>
          <cell r="T81" t="str">
            <v>636.934703636517</v>
          </cell>
          <cell r="U81" t="str">
            <v>0.682751133646203</v>
          </cell>
        </row>
        <row r="82">
          <cell r="B82" t="str">
            <v>2021-X140HD31182018OTC</v>
          </cell>
          <cell r="C82" t="str">
            <v>2021-X140</v>
          </cell>
          <cell r="D82" t="str">
            <v>Durgesh</v>
          </cell>
          <cell r="E82" t="str">
            <v>India</v>
          </cell>
          <cell r="F82" t="str">
            <v>wheat</v>
          </cell>
          <cell r="G82" t="str">
            <v>HD3118</v>
          </cell>
          <cell r="H82">
            <v>2018</v>
          </cell>
          <cell r="I82" t="str">
            <v>OTC</v>
          </cell>
          <cell r="J82" t="str">
            <v>field</v>
          </cell>
          <cell r="K82" t="str">
            <v>NF</v>
          </cell>
          <cell r="L82">
            <v>6.2</v>
          </cell>
          <cell r="M82">
            <v>45.17</v>
          </cell>
          <cell r="N82">
            <v>8</v>
          </cell>
          <cell r="O82">
            <v>131</v>
          </cell>
          <cell r="P82">
            <v>3</v>
          </cell>
          <cell r="Q82">
            <v>4.2595419847328202</v>
          </cell>
          <cell r="R82" t="str">
            <v>yield</v>
          </cell>
          <cell r="S82">
            <v>463</v>
          </cell>
          <cell r="T82" t="str">
            <v>573.215059896462</v>
          </cell>
          <cell r="U82" t="str">
            <v>0.917111136759301</v>
          </cell>
        </row>
        <row r="83">
          <cell r="B83" t="str">
            <v>2021-X140HD31182018OTC</v>
          </cell>
          <cell r="C83" t="str">
            <v>2021-X140</v>
          </cell>
          <cell r="D83" t="str">
            <v>Durgesh</v>
          </cell>
          <cell r="E83" t="str">
            <v>India</v>
          </cell>
          <cell r="F83" t="str">
            <v>wheat</v>
          </cell>
          <cell r="G83" t="str">
            <v>HD3118</v>
          </cell>
          <cell r="H83">
            <v>2018</v>
          </cell>
          <cell r="I83" t="str">
            <v>OTC</v>
          </cell>
          <cell r="J83" t="str">
            <v>field</v>
          </cell>
          <cell r="K83" t="str">
            <v>EO3</v>
          </cell>
          <cell r="L83">
            <v>15.2</v>
          </cell>
          <cell r="M83">
            <v>68.930000000000007</v>
          </cell>
          <cell r="N83">
            <v>8</v>
          </cell>
          <cell r="O83">
            <v>131</v>
          </cell>
          <cell r="P83">
            <v>3</v>
          </cell>
          <cell r="Q83">
            <v>10.4427480916031</v>
          </cell>
          <cell r="R83" t="str">
            <v>yield</v>
          </cell>
          <cell r="S83">
            <v>346</v>
          </cell>
          <cell r="T83" t="str">
            <v>573.215059896462</v>
          </cell>
          <cell r="U83" t="str">
            <v>0.685357350580385</v>
          </cell>
        </row>
        <row r="84">
          <cell r="B84" t="str">
            <v>2021-X140HUW2342018OTC</v>
          </cell>
          <cell r="C84" t="str">
            <v>2021-X140</v>
          </cell>
          <cell r="D84" t="str">
            <v>Durgesh</v>
          </cell>
          <cell r="E84" t="str">
            <v>India</v>
          </cell>
          <cell r="F84" t="str">
            <v>wheat</v>
          </cell>
          <cell r="G84" t="str">
            <v>HUW234</v>
          </cell>
          <cell r="H84">
            <v>2018</v>
          </cell>
          <cell r="I84" t="str">
            <v>OTC</v>
          </cell>
          <cell r="J84" t="str">
            <v>field</v>
          </cell>
          <cell r="K84" t="str">
            <v>NF</v>
          </cell>
          <cell r="L84">
            <v>6.2</v>
          </cell>
          <cell r="M84">
            <v>45.17</v>
          </cell>
          <cell r="N84">
            <v>8</v>
          </cell>
          <cell r="O84">
            <v>131</v>
          </cell>
          <cell r="P84">
            <v>3</v>
          </cell>
          <cell r="Q84">
            <v>4.2595419847328202</v>
          </cell>
          <cell r="R84" t="str">
            <v>yield</v>
          </cell>
          <cell r="S84">
            <v>478</v>
          </cell>
          <cell r="T84" t="str">
            <v>606.343364467571</v>
          </cell>
          <cell r="U84" t="str">
            <v>0.895092329752029</v>
          </cell>
        </row>
        <row r="85">
          <cell r="B85" t="str">
            <v>2021-X140HUW2342018OTC</v>
          </cell>
          <cell r="C85" t="str">
            <v>2021-X140</v>
          </cell>
          <cell r="D85" t="str">
            <v>Durgesh</v>
          </cell>
          <cell r="E85" t="str">
            <v>India</v>
          </cell>
          <cell r="F85" t="str">
            <v>wheat</v>
          </cell>
          <cell r="G85" t="str">
            <v>HUW234</v>
          </cell>
          <cell r="H85">
            <v>2018</v>
          </cell>
          <cell r="I85" t="str">
            <v>OTC</v>
          </cell>
          <cell r="J85" t="str">
            <v>field</v>
          </cell>
          <cell r="K85" t="str">
            <v>EO3</v>
          </cell>
          <cell r="L85">
            <v>15.2</v>
          </cell>
          <cell r="M85">
            <v>68.930000000000007</v>
          </cell>
          <cell r="N85">
            <v>8</v>
          </cell>
          <cell r="O85">
            <v>131</v>
          </cell>
          <cell r="P85">
            <v>3</v>
          </cell>
          <cell r="Q85">
            <v>10.4427480916031</v>
          </cell>
          <cell r="R85" t="str">
            <v>yield</v>
          </cell>
          <cell r="S85">
            <v>375</v>
          </cell>
          <cell r="T85" t="str">
            <v>606.343364467571</v>
          </cell>
          <cell r="U85" t="str">
            <v>0.702216785893328</v>
          </cell>
        </row>
        <row r="86">
          <cell r="B86" t="str">
            <v>2021-X140HUW4682018OTC</v>
          </cell>
          <cell r="C86" t="str">
            <v>2021-X140</v>
          </cell>
          <cell r="D86" t="str">
            <v>Durgesh</v>
          </cell>
          <cell r="E86" t="str">
            <v>India</v>
          </cell>
          <cell r="F86" t="str">
            <v>wheat</v>
          </cell>
          <cell r="G86" t="str">
            <v>HUW468</v>
          </cell>
          <cell r="H86">
            <v>2018</v>
          </cell>
          <cell r="I86" t="str">
            <v>OTC</v>
          </cell>
          <cell r="J86" t="str">
            <v>field</v>
          </cell>
          <cell r="K86" t="str">
            <v>NF</v>
          </cell>
          <cell r="L86">
            <v>6.8</v>
          </cell>
          <cell r="M86">
            <v>45.87</v>
          </cell>
          <cell r="N86">
            <v>8</v>
          </cell>
          <cell r="O86">
            <v>150</v>
          </cell>
          <cell r="P86">
            <v>3</v>
          </cell>
          <cell r="Q86">
            <v>4.08</v>
          </cell>
          <cell r="R86" t="str">
            <v>yield</v>
          </cell>
          <cell r="S86">
            <v>514</v>
          </cell>
          <cell r="T86" t="str">
            <v>614.13627965943</v>
          </cell>
          <cell r="U86" t="str">
            <v>0.950291694141311</v>
          </cell>
        </row>
        <row r="87">
          <cell r="B87" t="str">
            <v>2021-X140HUW4682018OTC</v>
          </cell>
          <cell r="C87" t="str">
            <v>2021-X140</v>
          </cell>
          <cell r="D87" t="str">
            <v>Durgesh</v>
          </cell>
          <cell r="E87" t="str">
            <v>India</v>
          </cell>
          <cell r="F87" t="str">
            <v>wheat</v>
          </cell>
          <cell r="G87" t="str">
            <v>HUW468</v>
          </cell>
          <cell r="H87">
            <v>2018</v>
          </cell>
          <cell r="I87" t="str">
            <v>OTC</v>
          </cell>
          <cell r="J87" t="str">
            <v>field</v>
          </cell>
          <cell r="K87" t="str">
            <v>EO3</v>
          </cell>
          <cell r="L87">
            <v>16.7</v>
          </cell>
          <cell r="M87">
            <v>67.17</v>
          </cell>
          <cell r="N87">
            <v>8</v>
          </cell>
          <cell r="O87">
            <v>150</v>
          </cell>
          <cell r="P87">
            <v>3</v>
          </cell>
          <cell r="Q87">
            <v>10.02</v>
          </cell>
          <cell r="R87" t="str">
            <v>yield</v>
          </cell>
          <cell r="S87">
            <v>363</v>
          </cell>
          <cell r="T87" t="str">
            <v>614.13627965943</v>
          </cell>
          <cell r="U87" t="str">
            <v>0.671120398780731</v>
          </cell>
        </row>
      </sheetData>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row>
        <row r="2">
          <cell r="B2" t="str">
            <v>2010-112HUW5102007OTC</v>
          </cell>
          <cell r="C2" t="str">
            <v>2010-112</v>
          </cell>
          <cell r="D2" t="str">
            <v>Sarkar</v>
          </cell>
          <cell r="E2" t="str">
            <v>India</v>
          </cell>
          <cell r="F2" t="str">
            <v>wheat</v>
          </cell>
          <cell r="G2" t="str">
            <v>HUW510</v>
          </cell>
          <cell r="H2">
            <v>2007</v>
          </cell>
          <cell r="I2" t="str">
            <v>OTC</v>
          </cell>
          <cell r="J2" t="str">
            <v>field</v>
          </cell>
          <cell r="K2" t="str">
            <v>CF</v>
          </cell>
          <cell r="L2">
            <v>0</v>
          </cell>
          <cell r="M2">
            <v>4.7</v>
          </cell>
          <cell r="N2">
            <v>12</v>
          </cell>
          <cell r="O2">
            <v>90</v>
          </cell>
          <cell r="P2">
            <v>3</v>
          </cell>
          <cell r="Q2">
            <v>0</v>
          </cell>
          <cell r="R2" t="str">
            <v>1000 grain weight</v>
          </cell>
          <cell r="S2">
            <v>34.128677479927497</v>
          </cell>
          <cell r="T2" t="str">
            <v>34.728564592933</v>
          </cell>
          <cell r="U2" t="str">
            <v>1.03234127956143</v>
          </cell>
        </row>
        <row r="3">
          <cell r="B3" t="str">
            <v>2010-112HUW5102007OTC</v>
          </cell>
          <cell r="C3" t="str">
            <v>2010-112</v>
          </cell>
          <cell r="D3" t="str">
            <v>Sarkar</v>
          </cell>
          <cell r="E3" t="str">
            <v>India</v>
          </cell>
          <cell r="F3" t="str">
            <v>wheat</v>
          </cell>
          <cell r="G3" t="str">
            <v>HUW510</v>
          </cell>
          <cell r="H3">
            <v>2007</v>
          </cell>
          <cell r="I3" t="str">
            <v>OTC</v>
          </cell>
          <cell r="J3" t="str">
            <v>field</v>
          </cell>
          <cell r="K3" t="str">
            <v>NF</v>
          </cell>
          <cell r="L3">
            <v>7.9</v>
          </cell>
          <cell r="M3">
            <v>45.3</v>
          </cell>
          <cell r="N3">
            <v>12</v>
          </cell>
          <cell r="O3">
            <v>90</v>
          </cell>
          <cell r="P3">
            <v>3</v>
          </cell>
          <cell r="Q3">
            <v>7.9</v>
          </cell>
          <cell r="R3" t="str">
            <v>1000 grain weight</v>
          </cell>
          <cell r="S3">
            <v>30.955690235690199</v>
          </cell>
          <cell r="T3" t="str">
            <v>34.728564592933</v>
          </cell>
          <cell r="U3" t="str">
            <v>0.936363176874193</v>
          </cell>
        </row>
        <row r="4">
          <cell r="B4" t="str">
            <v>2010-112HUW5102007OTC</v>
          </cell>
          <cell r="C4" t="str">
            <v>2010-112</v>
          </cell>
          <cell r="D4" t="str">
            <v>Sarkar</v>
          </cell>
          <cell r="E4" t="str">
            <v>India</v>
          </cell>
          <cell r="F4" t="str">
            <v>wheat</v>
          </cell>
          <cell r="G4" t="str">
            <v>HUW510</v>
          </cell>
          <cell r="H4">
            <v>2007</v>
          </cell>
          <cell r="I4" t="str">
            <v>OTC</v>
          </cell>
          <cell r="J4" t="str">
            <v>field</v>
          </cell>
          <cell r="K4" t="str">
            <v>EO3-1</v>
          </cell>
          <cell r="L4">
            <v>10.4</v>
          </cell>
          <cell r="M4">
            <v>50.4</v>
          </cell>
          <cell r="N4">
            <v>12</v>
          </cell>
          <cell r="O4">
            <v>90</v>
          </cell>
          <cell r="P4">
            <v>3</v>
          </cell>
          <cell r="Q4">
            <v>10.4</v>
          </cell>
          <cell r="R4" t="str">
            <v>1000 grain weight</v>
          </cell>
          <cell r="S4">
            <v>28.8444814524556</v>
          </cell>
          <cell r="T4" t="str">
            <v>34.728564592933</v>
          </cell>
          <cell r="U4" t="str">
            <v>0.87250227930535</v>
          </cell>
        </row>
        <row r="5">
          <cell r="B5" t="str">
            <v>2010-112HUW5102007OTC</v>
          </cell>
          <cell r="C5" t="str">
            <v>2010-112</v>
          </cell>
          <cell r="D5" t="str">
            <v>Sarkar</v>
          </cell>
          <cell r="E5" t="str">
            <v>India</v>
          </cell>
          <cell r="F5" t="str">
            <v>wheat</v>
          </cell>
          <cell r="G5" t="str">
            <v>HUW510</v>
          </cell>
          <cell r="H5">
            <v>2007</v>
          </cell>
          <cell r="I5" t="str">
            <v>OTC</v>
          </cell>
          <cell r="J5" t="str">
            <v>field</v>
          </cell>
          <cell r="K5" t="str">
            <v>EO3-2</v>
          </cell>
          <cell r="L5">
            <v>13.1</v>
          </cell>
          <cell r="M5">
            <v>55.6</v>
          </cell>
          <cell r="N5">
            <v>12</v>
          </cell>
          <cell r="O5">
            <v>90</v>
          </cell>
          <cell r="P5">
            <v>3</v>
          </cell>
          <cell r="Q5">
            <v>13.1</v>
          </cell>
          <cell r="R5" t="str">
            <v>1000 grain weight</v>
          </cell>
          <cell r="S5">
            <v>27.056280663780601</v>
          </cell>
          <cell r="T5" t="str">
            <v>34.728564592933</v>
          </cell>
          <cell r="U5" t="str">
            <v>0.81841188885939</v>
          </cell>
        </row>
        <row r="6">
          <cell r="B6" t="str">
            <v>2010-112Sonalika2007OTC</v>
          </cell>
          <cell r="C6" t="str">
            <v>2010-112</v>
          </cell>
          <cell r="D6" t="str">
            <v>Sarkar</v>
          </cell>
          <cell r="E6" t="str">
            <v>India</v>
          </cell>
          <cell r="F6" t="str">
            <v>wheat</v>
          </cell>
          <cell r="G6" t="str">
            <v>Sonalika</v>
          </cell>
          <cell r="H6">
            <v>2007</v>
          </cell>
          <cell r="I6" t="str">
            <v>OTC</v>
          </cell>
          <cell r="J6" t="str">
            <v>field</v>
          </cell>
          <cell r="K6" t="str">
            <v>CF</v>
          </cell>
          <cell r="L6">
            <v>0</v>
          </cell>
          <cell r="M6">
            <v>4.7</v>
          </cell>
          <cell r="N6">
            <v>12</v>
          </cell>
          <cell r="O6">
            <v>90</v>
          </cell>
          <cell r="P6">
            <v>3</v>
          </cell>
          <cell r="Q6">
            <v>0</v>
          </cell>
          <cell r="R6" t="str">
            <v>1000 grain weight</v>
          </cell>
          <cell r="S6">
            <v>37.6626943881</v>
          </cell>
          <cell r="T6" t="str">
            <v>43.7118354776662</v>
          </cell>
          <cell r="U6" t="str">
            <v>0.905113433725905</v>
          </cell>
        </row>
        <row r="7">
          <cell r="B7" t="str">
            <v>2010-112Sonalika2007OTC</v>
          </cell>
          <cell r="C7" t="str">
            <v>2010-112</v>
          </cell>
          <cell r="D7" t="str">
            <v>Sarkar</v>
          </cell>
          <cell r="E7" t="str">
            <v>India</v>
          </cell>
          <cell r="F7" t="str">
            <v>wheat</v>
          </cell>
          <cell r="G7" t="str">
            <v>Sonalika</v>
          </cell>
          <cell r="H7">
            <v>2007</v>
          </cell>
          <cell r="I7" t="str">
            <v>OTC</v>
          </cell>
          <cell r="J7" t="str">
            <v>field</v>
          </cell>
          <cell r="K7" t="str">
            <v>NF</v>
          </cell>
          <cell r="L7">
            <v>7.9</v>
          </cell>
          <cell r="M7">
            <v>45.3</v>
          </cell>
          <cell r="N7">
            <v>12</v>
          </cell>
          <cell r="O7">
            <v>90</v>
          </cell>
          <cell r="P7">
            <v>3</v>
          </cell>
          <cell r="Q7">
            <v>7.9</v>
          </cell>
          <cell r="R7" t="str">
            <v>1000 grain weight</v>
          </cell>
          <cell r="S7">
            <v>40.845373237014101</v>
          </cell>
          <cell r="T7" t="str">
            <v>43.7118354776662</v>
          </cell>
          <cell r="U7" t="str">
            <v>0.981599872845288</v>
          </cell>
        </row>
        <row r="8">
          <cell r="B8" t="str">
            <v>2010-112Sonalika2007OTC</v>
          </cell>
          <cell r="C8" t="str">
            <v>2010-112</v>
          </cell>
          <cell r="D8" t="str">
            <v>Sarkar</v>
          </cell>
          <cell r="E8" t="str">
            <v>India</v>
          </cell>
          <cell r="F8" t="str">
            <v>wheat</v>
          </cell>
          <cell r="G8" t="str">
            <v>Sonalika</v>
          </cell>
          <cell r="H8">
            <v>2007</v>
          </cell>
          <cell r="I8" t="str">
            <v>OTC</v>
          </cell>
          <cell r="J8" t="str">
            <v>field</v>
          </cell>
          <cell r="K8" t="str">
            <v>EO3-1</v>
          </cell>
          <cell r="L8">
            <v>10.4</v>
          </cell>
          <cell r="M8">
            <v>50.4</v>
          </cell>
          <cell r="N8">
            <v>12</v>
          </cell>
          <cell r="O8">
            <v>90</v>
          </cell>
          <cell r="P8">
            <v>3</v>
          </cell>
          <cell r="Q8">
            <v>10.4</v>
          </cell>
          <cell r="R8" t="str">
            <v>1000 grain weight</v>
          </cell>
          <cell r="S8">
            <v>38.797577854671196</v>
          </cell>
          <cell r="T8" t="str">
            <v>43.7118354776662</v>
          </cell>
          <cell r="U8" t="str">
            <v>0.932387060533432</v>
          </cell>
        </row>
        <row r="9">
          <cell r="B9" t="str">
            <v>2010-112Sonalika2007OTC</v>
          </cell>
          <cell r="C9" t="str">
            <v>2010-112</v>
          </cell>
          <cell r="D9" t="str">
            <v>Sarkar</v>
          </cell>
          <cell r="E9" t="str">
            <v>India</v>
          </cell>
          <cell r="F9" t="str">
            <v>wheat</v>
          </cell>
          <cell r="G9" t="str">
            <v>Sonalika</v>
          </cell>
          <cell r="H9">
            <v>2007</v>
          </cell>
          <cell r="I9" t="str">
            <v>OTC</v>
          </cell>
          <cell r="J9" t="str">
            <v>field</v>
          </cell>
          <cell r="K9" t="str">
            <v>EO3-2</v>
          </cell>
          <cell r="L9">
            <v>13.1</v>
          </cell>
          <cell r="M9">
            <v>55.6</v>
          </cell>
          <cell r="N9">
            <v>12</v>
          </cell>
          <cell r="O9">
            <v>90</v>
          </cell>
          <cell r="P9">
            <v>3</v>
          </cell>
          <cell r="Q9">
            <v>13.1</v>
          </cell>
          <cell r="R9" t="str">
            <v>1000 grain weight</v>
          </cell>
          <cell r="S9">
            <v>34.672148429264297</v>
          </cell>
          <cell r="T9" t="str">
            <v>43.7118354776662</v>
          </cell>
          <cell r="U9" t="str">
            <v>0.833244350393083</v>
          </cell>
        </row>
        <row r="10">
          <cell r="B10" t="str">
            <v>2018-139HD29672016OTC</v>
          </cell>
          <cell r="C10" t="str">
            <v>2018-139</v>
          </cell>
          <cell r="D10" t="str">
            <v>Pandey</v>
          </cell>
          <cell r="E10" t="str">
            <v>India</v>
          </cell>
          <cell r="F10" t="str">
            <v>wheat</v>
          </cell>
          <cell r="G10" t="str">
            <v>HD2967</v>
          </cell>
          <cell r="H10">
            <v>2016</v>
          </cell>
          <cell r="I10" t="str">
            <v>OTC</v>
          </cell>
          <cell r="J10" t="str">
            <v>field</v>
          </cell>
          <cell r="K10" t="str">
            <v>AA</v>
          </cell>
          <cell r="L10">
            <v>11.9</v>
          </cell>
          <cell r="M10">
            <v>52.4</v>
          </cell>
          <cell r="N10">
            <v>8</v>
          </cell>
          <cell r="O10">
            <v>119</v>
          </cell>
          <cell r="P10">
            <v>3</v>
          </cell>
          <cell r="Q10">
            <v>9</v>
          </cell>
          <cell r="R10" t="str">
            <v>1000 grain weight</v>
          </cell>
          <cell r="S10">
            <v>47.142857142857103</v>
          </cell>
          <cell r="T10" t="str">
            <v>57.6488111236392</v>
          </cell>
          <cell r="U10" t="str">
            <v>0.859045588865735</v>
          </cell>
        </row>
        <row r="11">
          <cell r="B11" t="str">
            <v>2018-139HD29672016OTC</v>
          </cell>
          <cell r="C11" t="str">
            <v>2018-139</v>
          </cell>
          <cell r="D11" t="str">
            <v>Pandey</v>
          </cell>
          <cell r="E11" t="str">
            <v>India</v>
          </cell>
          <cell r="F11" t="str">
            <v>wheat</v>
          </cell>
          <cell r="G11" t="str">
            <v>HD2967</v>
          </cell>
          <cell r="H11">
            <v>2016</v>
          </cell>
          <cell r="I11" t="str">
            <v>OTC</v>
          </cell>
          <cell r="J11" t="str">
            <v>field</v>
          </cell>
          <cell r="K11" t="str">
            <v>EO3</v>
          </cell>
          <cell r="L11">
            <v>18.3</v>
          </cell>
          <cell r="M11">
            <v>59.6</v>
          </cell>
          <cell r="N11">
            <v>8</v>
          </cell>
          <cell r="O11">
            <v>115</v>
          </cell>
          <cell r="P11">
            <v>3</v>
          </cell>
          <cell r="Q11">
            <v>14.3217391304348</v>
          </cell>
          <cell r="R11" t="str">
            <v>1000 grain weight</v>
          </cell>
          <cell r="S11">
            <v>48.928571428571402</v>
          </cell>
          <cell r="T11" t="str">
            <v>57.6488111236392</v>
          </cell>
          <cell r="U11" t="str">
            <v>0.891585194504589</v>
          </cell>
        </row>
        <row r="12">
          <cell r="B12" t="str">
            <v>2018-139Sonalika2016OTC</v>
          </cell>
          <cell r="C12" t="str">
            <v>2018-139</v>
          </cell>
          <cell r="D12" t="str">
            <v>Pandey</v>
          </cell>
          <cell r="E12" t="str">
            <v>India</v>
          </cell>
          <cell r="F12" t="str">
            <v>wheat</v>
          </cell>
          <cell r="G12" t="str">
            <v>Sonalika</v>
          </cell>
          <cell r="H12">
            <v>2016</v>
          </cell>
          <cell r="I12" t="str">
            <v>OTC</v>
          </cell>
          <cell r="J12" t="str">
            <v>field</v>
          </cell>
          <cell r="K12" t="str">
            <v>AA</v>
          </cell>
          <cell r="L12">
            <v>11.9</v>
          </cell>
          <cell r="M12">
            <v>52.4</v>
          </cell>
          <cell r="N12">
            <v>8</v>
          </cell>
          <cell r="O12">
            <v>119</v>
          </cell>
          <cell r="P12">
            <v>3</v>
          </cell>
          <cell r="Q12">
            <v>9</v>
          </cell>
          <cell r="R12" t="str">
            <v>1000 grain weight</v>
          </cell>
          <cell r="S12">
            <v>52.5</v>
          </cell>
          <cell r="T12" t="str">
            <v>61.9363981467092</v>
          </cell>
          <cell r="U12" t="str">
            <v>0.890438696596736</v>
          </cell>
        </row>
        <row r="13">
          <cell r="B13" t="str">
            <v>2018-139Sonalika2016OTC</v>
          </cell>
          <cell r="C13" t="str">
            <v>2018-139</v>
          </cell>
          <cell r="D13" t="str">
            <v>Pandey</v>
          </cell>
          <cell r="E13" t="str">
            <v>India</v>
          </cell>
          <cell r="F13" t="str">
            <v>wheat</v>
          </cell>
          <cell r="G13" t="str">
            <v>Sonalika</v>
          </cell>
          <cell r="H13">
            <v>2016</v>
          </cell>
          <cell r="I13" t="str">
            <v>OTC</v>
          </cell>
          <cell r="J13" t="str">
            <v>field</v>
          </cell>
          <cell r="K13" t="str">
            <v>EO3</v>
          </cell>
          <cell r="L13">
            <v>18.3</v>
          </cell>
          <cell r="M13">
            <v>59.6</v>
          </cell>
          <cell r="N13">
            <v>8</v>
          </cell>
          <cell r="O13">
            <v>115</v>
          </cell>
          <cell r="P13">
            <v>3</v>
          </cell>
          <cell r="Q13">
            <v>14.3217391304348</v>
          </cell>
          <cell r="R13" t="str">
            <v>1000 grain weight</v>
          </cell>
          <cell r="S13">
            <v>50.714285714285701</v>
          </cell>
          <cell r="T13" t="str">
            <v>61.9363981467092</v>
          </cell>
          <cell r="U13" t="str">
            <v>0.860151666100248</v>
          </cell>
        </row>
        <row r="14">
          <cell r="B14" t="str">
            <v>2015-100PBW3432008OTC</v>
          </cell>
          <cell r="C14" t="str">
            <v>2015-100</v>
          </cell>
          <cell r="D14" t="str">
            <v>Tomer</v>
          </cell>
          <cell r="E14" t="str">
            <v>India</v>
          </cell>
          <cell r="F14" t="str">
            <v>wheat</v>
          </cell>
          <cell r="G14" t="str">
            <v>PBW343</v>
          </cell>
          <cell r="H14">
            <v>2008</v>
          </cell>
          <cell r="I14" t="str">
            <v>OTC</v>
          </cell>
          <cell r="J14" t="str">
            <v>field</v>
          </cell>
          <cell r="K14" t="str">
            <v>NF</v>
          </cell>
          <cell r="L14">
            <v>2.0499999999999998</v>
          </cell>
          <cell r="M14">
            <v>30.9</v>
          </cell>
          <cell r="N14">
            <v>7</v>
          </cell>
          <cell r="O14">
            <v>123</v>
          </cell>
          <cell r="P14">
            <v>3</v>
          </cell>
          <cell r="Q14">
            <v>1.5</v>
          </cell>
          <cell r="R14" t="str">
            <v>1000 grain weight</v>
          </cell>
          <cell r="S14">
            <v>42.8</v>
          </cell>
          <cell r="T14" t="str">
            <v>46.3786609127445</v>
          </cell>
          <cell r="U14" t="str">
            <v>0.969429500483664</v>
          </cell>
        </row>
        <row r="15">
          <cell r="B15" t="str">
            <v>2015-100PBW3432008OTC</v>
          </cell>
          <cell r="C15" t="str">
            <v>2015-100</v>
          </cell>
          <cell r="D15" t="str">
            <v>Tomer</v>
          </cell>
          <cell r="E15" t="str">
            <v>India</v>
          </cell>
          <cell r="F15" t="str">
            <v>wheat</v>
          </cell>
          <cell r="G15" t="str">
            <v>PBW343</v>
          </cell>
          <cell r="H15">
            <v>2008</v>
          </cell>
          <cell r="I15" t="str">
            <v>OTC</v>
          </cell>
          <cell r="J15" t="str">
            <v>field</v>
          </cell>
          <cell r="K15" t="str">
            <v>CF</v>
          </cell>
          <cell r="L15">
            <v>0</v>
          </cell>
          <cell r="M15">
            <v>5.25</v>
          </cell>
          <cell r="N15">
            <v>7</v>
          </cell>
          <cell r="O15">
            <v>123</v>
          </cell>
          <cell r="P15">
            <v>3</v>
          </cell>
          <cell r="Q15">
            <v>0</v>
          </cell>
          <cell r="R15" t="str">
            <v>1000 grain weight</v>
          </cell>
          <cell r="S15">
            <v>45.3</v>
          </cell>
          <cell r="T15" t="str">
            <v>46.3786609127445</v>
          </cell>
          <cell r="U15" t="str">
            <v>1.02605505541846</v>
          </cell>
        </row>
        <row r="16">
          <cell r="B16" t="str">
            <v>2015-100PBW3432008OTC</v>
          </cell>
          <cell r="C16" t="str">
            <v>2015-100</v>
          </cell>
          <cell r="D16" t="str">
            <v>Tomer</v>
          </cell>
          <cell r="E16" t="str">
            <v>India</v>
          </cell>
          <cell r="F16" t="str">
            <v>wheat</v>
          </cell>
          <cell r="G16" t="str">
            <v>PBW343</v>
          </cell>
          <cell r="H16">
            <v>2008</v>
          </cell>
          <cell r="I16" t="str">
            <v>OTC</v>
          </cell>
          <cell r="J16" t="str">
            <v>field</v>
          </cell>
          <cell r="K16" t="str">
            <v>EO3</v>
          </cell>
          <cell r="L16">
            <v>16.62</v>
          </cell>
          <cell r="M16">
            <v>59.2</v>
          </cell>
          <cell r="N16">
            <v>7</v>
          </cell>
          <cell r="O16">
            <v>123</v>
          </cell>
          <cell r="P16">
            <v>3</v>
          </cell>
          <cell r="Q16">
            <v>12.1609756097561</v>
          </cell>
          <cell r="R16" t="str">
            <v>1000 grain weight</v>
          </cell>
          <cell r="S16">
            <v>37.6</v>
          </cell>
          <cell r="T16" t="str">
            <v>46.3786609127445</v>
          </cell>
          <cell r="U16" t="str">
            <v>0.851648346219294</v>
          </cell>
        </row>
        <row r="17">
          <cell r="B17" t="str">
            <v>2015-100PBW3432009OTC</v>
          </cell>
          <cell r="C17" t="str">
            <v>2015-100</v>
          </cell>
          <cell r="D17" t="str">
            <v>Tomer</v>
          </cell>
          <cell r="E17" t="str">
            <v>India</v>
          </cell>
          <cell r="F17" t="str">
            <v>wheat</v>
          </cell>
          <cell r="G17" t="str">
            <v>PBW343</v>
          </cell>
          <cell r="H17">
            <v>2009</v>
          </cell>
          <cell r="I17" t="str">
            <v>OTC</v>
          </cell>
          <cell r="J17" t="str">
            <v>field</v>
          </cell>
          <cell r="K17" t="str">
            <v>NF</v>
          </cell>
          <cell r="L17">
            <v>2.39</v>
          </cell>
          <cell r="M17">
            <v>34.9</v>
          </cell>
          <cell r="N17">
            <v>7</v>
          </cell>
          <cell r="O17">
            <v>135</v>
          </cell>
          <cell r="P17">
            <v>3</v>
          </cell>
          <cell r="Q17">
            <v>1.5933333333333299</v>
          </cell>
          <cell r="R17" t="str">
            <v>1000 grain weight</v>
          </cell>
          <cell r="S17">
            <v>42.1</v>
          </cell>
          <cell r="T17" t="str">
            <v>45.3021401855872</v>
          </cell>
          <cell r="U17" t="str">
            <v>0.976234257926841</v>
          </cell>
        </row>
        <row r="18">
          <cell r="B18" t="str">
            <v>2015-100PBW3432009OTC</v>
          </cell>
          <cell r="C18" t="str">
            <v>2015-100</v>
          </cell>
          <cell r="D18" t="str">
            <v>Tomer</v>
          </cell>
          <cell r="E18" t="str">
            <v>India</v>
          </cell>
          <cell r="F18" t="str">
            <v>wheat</v>
          </cell>
          <cell r="G18" t="str">
            <v>PBW343</v>
          </cell>
          <cell r="H18">
            <v>2009</v>
          </cell>
          <cell r="I18" t="str">
            <v>OTC</v>
          </cell>
          <cell r="J18" t="str">
            <v>field</v>
          </cell>
          <cell r="K18" t="str">
            <v>CF</v>
          </cell>
          <cell r="L18">
            <v>0</v>
          </cell>
          <cell r="M18">
            <v>7.69</v>
          </cell>
          <cell r="N18">
            <v>7</v>
          </cell>
          <cell r="O18">
            <v>135</v>
          </cell>
          <cell r="P18">
            <v>3</v>
          </cell>
          <cell r="Q18">
            <v>0</v>
          </cell>
          <cell r="R18" t="str">
            <v>1000 grain weight</v>
          </cell>
          <cell r="S18">
            <v>43.5</v>
          </cell>
          <cell r="T18" t="str">
            <v>45.3021401855872</v>
          </cell>
          <cell r="U18" t="str">
            <v>1.00869810498379</v>
          </cell>
        </row>
        <row r="19">
          <cell r="B19" t="str">
            <v>2015-100PBW3432009OTC</v>
          </cell>
          <cell r="C19" t="str">
            <v>2015-100</v>
          </cell>
          <cell r="D19" t="str">
            <v>Tomer</v>
          </cell>
          <cell r="E19" t="str">
            <v>India</v>
          </cell>
          <cell r="F19" t="str">
            <v>wheat</v>
          </cell>
          <cell r="G19" t="str">
            <v>PBW343</v>
          </cell>
          <cell r="H19">
            <v>2009</v>
          </cell>
          <cell r="I19" t="str">
            <v>OTC</v>
          </cell>
          <cell r="J19" t="str">
            <v>field</v>
          </cell>
          <cell r="K19" t="str">
            <v>EO3</v>
          </cell>
          <cell r="L19">
            <v>17.96</v>
          </cell>
          <cell r="M19">
            <v>65.349999999999994</v>
          </cell>
          <cell r="N19">
            <v>7</v>
          </cell>
          <cell r="O19">
            <v>135</v>
          </cell>
          <cell r="P19">
            <v>3</v>
          </cell>
          <cell r="Q19">
            <v>11.973333333333301</v>
          </cell>
          <cell r="R19" t="str">
            <v>1000 grain weight</v>
          </cell>
          <cell r="S19">
            <v>37.1</v>
          </cell>
          <cell r="T19" t="str">
            <v>45.3021401855872</v>
          </cell>
          <cell r="U19" t="str">
            <v>0.860291947009164</v>
          </cell>
        </row>
        <row r="20">
          <cell r="B20" t="str">
            <v>2013-76HUW372011OTC</v>
          </cell>
          <cell r="C20" t="str">
            <v>2013-76</v>
          </cell>
          <cell r="D20" t="str">
            <v>Mishra</v>
          </cell>
          <cell r="E20" t="str">
            <v>India</v>
          </cell>
          <cell r="F20" t="str">
            <v>wheat</v>
          </cell>
          <cell r="G20" t="str">
            <v>HUW37</v>
          </cell>
          <cell r="H20">
            <v>2011</v>
          </cell>
          <cell r="I20" t="str">
            <v>OTC</v>
          </cell>
          <cell r="J20" t="str">
            <v>field</v>
          </cell>
          <cell r="K20" t="str">
            <v>NF</v>
          </cell>
          <cell r="L20">
            <v>5.0999999999999996</v>
          </cell>
          <cell r="M20">
            <v>48.4</v>
          </cell>
          <cell r="N20">
            <v>8</v>
          </cell>
          <cell r="O20">
            <v>125</v>
          </cell>
          <cell r="P20">
            <v>3</v>
          </cell>
          <cell r="Q20">
            <v>3.6720000000000002</v>
          </cell>
          <cell r="R20" t="str">
            <v>1000 grain weight</v>
          </cell>
          <cell r="S20">
            <v>41.6730038022814</v>
          </cell>
          <cell r="T20" t="str">
            <v>42.6816145638422</v>
          </cell>
          <cell r="U20" t="str">
            <v>1.02566286946545</v>
          </cell>
        </row>
        <row r="21">
          <cell r="B21" t="str">
            <v>2013-76HUW372011OTC</v>
          </cell>
          <cell r="C21" t="str">
            <v>2013-76</v>
          </cell>
          <cell r="D21" t="str">
            <v>Mishra</v>
          </cell>
          <cell r="E21" t="str">
            <v>India</v>
          </cell>
          <cell r="F21" t="str">
            <v>wheat</v>
          </cell>
          <cell r="G21" t="str">
            <v>HUW37</v>
          </cell>
          <cell r="H21">
            <v>2011</v>
          </cell>
          <cell r="I21" t="str">
            <v>OTC</v>
          </cell>
          <cell r="J21" t="str">
            <v>field</v>
          </cell>
          <cell r="K21" t="str">
            <v>EO3</v>
          </cell>
          <cell r="L21">
            <v>8.4</v>
          </cell>
          <cell r="M21">
            <v>55.2</v>
          </cell>
          <cell r="N21">
            <v>8</v>
          </cell>
          <cell r="O21">
            <v>125</v>
          </cell>
          <cell r="P21">
            <v>3</v>
          </cell>
          <cell r="Q21">
            <v>6.048</v>
          </cell>
          <cell r="R21" t="str">
            <v>1000 grain weight</v>
          </cell>
          <cell r="S21">
            <v>34.372623574144498</v>
          </cell>
          <cell r="T21" t="str">
            <v>42.6816145638422</v>
          </cell>
          <cell r="U21" t="str">
            <v>0.845984702551791</v>
          </cell>
        </row>
        <row r="22">
          <cell r="B22" t="str">
            <v>2013-76K91072011OTC</v>
          </cell>
          <cell r="C22" t="str">
            <v>2013-76</v>
          </cell>
          <cell r="D22" t="str">
            <v>Mishra</v>
          </cell>
          <cell r="E22" t="str">
            <v>India</v>
          </cell>
          <cell r="F22" t="str">
            <v>wheat</v>
          </cell>
          <cell r="G22" t="str">
            <v>K9107</v>
          </cell>
          <cell r="H22">
            <v>2011</v>
          </cell>
          <cell r="I22" t="str">
            <v>OTC</v>
          </cell>
          <cell r="J22" t="str">
            <v>field</v>
          </cell>
          <cell r="K22" t="str">
            <v>NF</v>
          </cell>
          <cell r="L22">
            <v>5.0999999999999996</v>
          </cell>
          <cell r="M22">
            <v>48.4</v>
          </cell>
          <cell r="N22">
            <v>8</v>
          </cell>
          <cell r="O22">
            <v>125</v>
          </cell>
          <cell r="P22">
            <v>3</v>
          </cell>
          <cell r="Q22">
            <v>3.6720000000000002</v>
          </cell>
          <cell r="R22" t="str">
            <v>1000 grain weight</v>
          </cell>
          <cell r="S22">
            <v>38.3269961977186</v>
          </cell>
          <cell r="T22" t="str">
            <v>40.2012776539403</v>
          </cell>
          <cell r="U22" t="str">
            <v>1.00151070425549</v>
          </cell>
        </row>
        <row r="23">
          <cell r="B23" t="str">
            <v>2013-76K91072011OTC</v>
          </cell>
          <cell r="C23" t="str">
            <v>2013-76</v>
          </cell>
          <cell r="D23" t="str">
            <v>Mishra</v>
          </cell>
          <cell r="E23" t="str">
            <v>India</v>
          </cell>
          <cell r="F23" t="str">
            <v>wheat</v>
          </cell>
          <cell r="G23" t="str">
            <v>K9107</v>
          </cell>
          <cell r="H23">
            <v>2011</v>
          </cell>
          <cell r="I23" t="str">
            <v>OTC</v>
          </cell>
          <cell r="J23" t="str">
            <v>field</v>
          </cell>
          <cell r="K23" t="str">
            <v>EO3</v>
          </cell>
          <cell r="L23">
            <v>8.4</v>
          </cell>
          <cell r="M23">
            <v>55.2</v>
          </cell>
          <cell r="N23">
            <v>8</v>
          </cell>
          <cell r="O23">
            <v>125</v>
          </cell>
          <cell r="P23">
            <v>3</v>
          </cell>
          <cell r="Q23">
            <v>6.048</v>
          </cell>
          <cell r="R23" t="str">
            <v>1000 grain weight</v>
          </cell>
          <cell r="S23">
            <v>33.155893536121702</v>
          </cell>
          <cell r="T23" t="str">
            <v>40.2012776539403</v>
          </cell>
          <cell r="U23" t="str">
            <v>0.866386244157525</v>
          </cell>
        </row>
        <row r="24">
          <cell r="B24" t="str">
            <v>2019-164C3062016FACE</v>
          </cell>
          <cell r="C24" t="str">
            <v>2019-164</v>
          </cell>
          <cell r="D24" t="str">
            <v>Yadav</v>
          </cell>
          <cell r="E24" t="str">
            <v>India</v>
          </cell>
          <cell r="F24" t="str">
            <v>wheat</v>
          </cell>
          <cell r="G24" t="str">
            <v>C306</v>
          </cell>
          <cell r="H24">
            <v>2016</v>
          </cell>
          <cell r="I24" t="str">
            <v>FACE</v>
          </cell>
          <cell r="J24" t="str">
            <v>field</v>
          </cell>
          <cell r="K24" t="str">
            <v>NF</v>
          </cell>
          <cell r="L24"/>
          <cell r="M24">
            <v>30.7</v>
          </cell>
          <cell r="N24">
            <v>7</v>
          </cell>
          <cell r="O24">
            <v>160</v>
          </cell>
          <cell r="P24">
            <v>4</v>
          </cell>
          <cell r="Q24">
            <v>2.6636551037927898</v>
          </cell>
          <cell r="R24" t="str">
            <v>1000 grain weight</v>
          </cell>
          <cell r="S24">
            <v>36.1</v>
          </cell>
          <cell r="T24" t="str">
            <v>40.7650002558505</v>
          </cell>
          <cell r="U24" t="str">
            <v>0.93027300825226</v>
          </cell>
        </row>
        <row r="25">
          <cell r="B25" t="str">
            <v>2019-164C3062016FACE</v>
          </cell>
          <cell r="C25" t="str">
            <v>2019-164</v>
          </cell>
          <cell r="D25" t="str">
            <v>Yadav</v>
          </cell>
          <cell r="E25" t="str">
            <v>India</v>
          </cell>
          <cell r="F25" t="str">
            <v>wheat</v>
          </cell>
          <cell r="G25" t="str">
            <v>C306</v>
          </cell>
          <cell r="H25">
            <v>2016</v>
          </cell>
          <cell r="I25" t="str">
            <v>FACE</v>
          </cell>
          <cell r="J25" t="str">
            <v>field</v>
          </cell>
          <cell r="K25" t="str">
            <v>EO3</v>
          </cell>
          <cell r="L25">
            <v>31.232610000000001</v>
          </cell>
          <cell r="M25">
            <v>72.2</v>
          </cell>
          <cell r="N25">
            <v>7</v>
          </cell>
          <cell r="O25">
            <v>160</v>
          </cell>
          <cell r="P25">
            <v>4</v>
          </cell>
          <cell r="Q25">
            <v>17.568343124999998</v>
          </cell>
          <cell r="R25" t="str">
            <v>1000 grain weight</v>
          </cell>
          <cell r="S25">
            <v>33.299999999999997</v>
          </cell>
          <cell r="T25" t="str">
            <v>40.7650002558505</v>
          </cell>
          <cell r="U25" t="str">
            <v>0.85811886910804</v>
          </cell>
        </row>
        <row r="26">
          <cell r="B26" t="str">
            <v>2019-164HD29672016FACE</v>
          </cell>
          <cell r="C26" t="str">
            <v>2019-164</v>
          </cell>
          <cell r="D26" t="str">
            <v>Yadav</v>
          </cell>
          <cell r="E26" t="str">
            <v>India</v>
          </cell>
          <cell r="F26" t="str">
            <v>wheat</v>
          </cell>
          <cell r="G26" t="str">
            <v>HD2967</v>
          </cell>
          <cell r="H26">
            <v>2016</v>
          </cell>
          <cell r="I26" t="str">
            <v>FACE</v>
          </cell>
          <cell r="J26" t="str">
            <v>field</v>
          </cell>
          <cell r="K26" t="str">
            <v>NF</v>
          </cell>
          <cell r="L26"/>
          <cell r="M26">
            <v>30.7</v>
          </cell>
          <cell r="N26">
            <v>7</v>
          </cell>
          <cell r="O26">
            <v>160</v>
          </cell>
          <cell r="P26">
            <v>4</v>
          </cell>
          <cell r="Q26">
            <v>2.6636551037927898</v>
          </cell>
          <cell r="R26" t="str">
            <v>1000 grain weight</v>
          </cell>
          <cell r="S26">
            <v>35.9</v>
          </cell>
          <cell r="T26" t="str">
            <v>41.016519499127</v>
          </cell>
          <cell r="U26" t="str">
            <v>0.919446176492657</v>
          </cell>
        </row>
        <row r="27">
          <cell r="B27" t="str">
            <v>2019-164HD29672016FACE</v>
          </cell>
          <cell r="C27" t="str">
            <v>2019-164</v>
          </cell>
          <cell r="D27" t="str">
            <v>Yadav</v>
          </cell>
          <cell r="E27" t="str">
            <v>India</v>
          </cell>
          <cell r="F27" t="str">
            <v>wheat</v>
          </cell>
          <cell r="G27" t="str">
            <v>HD2967</v>
          </cell>
          <cell r="H27">
            <v>2016</v>
          </cell>
          <cell r="I27" t="str">
            <v>FACE</v>
          </cell>
          <cell r="J27" t="str">
            <v>field</v>
          </cell>
          <cell r="K27" t="str">
            <v>EO3</v>
          </cell>
          <cell r="L27">
            <v>31.232610000000001</v>
          </cell>
          <cell r="M27">
            <v>72.2</v>
          </cell>
          <cell r="N27">
            <v>7</v>
          </cell>
          <cell r="O27">
            <v>160</v>
          </cell>
          <cell r="P27">
            <v>4</v>
          </cell>
          <cell r="Q27">
            <v>17.568343124999998</v>
          </cell>
          <cell r="R27" t="str">
            <v>1000 grain weight</v>
          </cell>
          <cell r="S27">
            <v>33.9</v>
          </cell>
          <cell r="T27" t="str">
            <v>41.016519499127</v>
          </cell>
          <cell r="U27" t="str">
            <v>0.868223548275796</v>
          </cell>
        </row>
        <row r="28">
          <cell r="B28" t="str">
            <v>2019-164C3062017FACE</v>
          </cell>
          <cell r="C28" t="str">
            <v>2019-164</v>
          </cell>
          <cell r="D28" t="str">
            <v>Yadav</v>
          </cell>
          <cell r="E28" t="str">
            <v>India</v>
          </cell>
          <cell r="F28" t="str">
            <v>wheat</v>
          </cell>
          <cell r="G28" t="str">
            <v>C306</v>
          </cell>
          <cell r="H28">
            <v>2017</v>
          </cell>
          <cell r="I28" t="str">
            <v>FACE</v>
          </cell>
          <cell r="J28" t="str">
            <v>field</v>
          </cell>
          <cell r="K28" t="str">
            <v>NF</v>
          </cell>
          <cell r="L28"/>
          <cell r="M28">
            <v>30.7</v>
          </cell>
          <cell r="N28">
            <v>7</v>
          </cell>
          <cell r="O28">
            <v>160</v>
          </cell>
          <cell r="P28">
            <v>4</v>
          </cell>
          <cell r="Q28">
            <v>2.6636551037927898</v>
          </cell>
          <cell r="R28" t="str">
            <v>1000 grain weight</v>
          </cell>
          <cell r="S28">
            <v>40.200000000000003</v>
          </cell>
          <cell r="T28" t="str">
            <v>45.0988326798335</v>
          </cell>
          <cell r="U28" t="str">
            <v>0.936378470675077</v>
          </cell>
        </row>
        <row r="29">
          <cell r="B29" t="str">
            <v>2019-164C3062017FACE</v>
          </cell>
          <cell r="C29" t="str">
            <v>2019-164</v>
          </cell>
          <cell r="D29" t="str">
            <v>Yadav</v>
          </cell>
          <cell r="E29" t="str">
            <v>India</v>
          </cell>
          <cell r="F29" t="str">
            <v>wheat</v>
          </cell>
          <cell r="G29" t="str">
            <v>C306</v>
          </cell>
          <cell r="H29">
            <v>2017</v>
          </cell>
          <cell r="I29" t="str">
            <v>FACE</v>
          </cell>
          <cell r="J29" t="str">
            <v>field</v>
          </cell>
          <cell r="K29" t="str">
            <v>EO3</v>
          </cell>
          <cell r="L29">
            <v>31.232610000000001</v>
          </cell>
          <cell r="M29">
            <v>72.2</v>
          </cell>
          <cell r="N29">
            <v>7</v>
          </cell>
          <cell r="O29">
            <v>160</v>
          </cell>
          <cell r="P29">
            <v>4</v>
          </cell>
          <cell r="Q29">
            <v>17.568343124999998</v>
          </cell>
          <cell r="R29" t="str">
            <v>1000 grain weight</v>
          </cell>
          <cell r="S29">
            <v>36.6</v>
          </cell>
          <cell r="T29" t="str">
            <v>45.0988326798335</v>
          </cell>
          <cell r="U29" t="str">
            <v>0.852523682256414</v>
          </cell>
        </row>
        <row r="30">
          <cell r="B30" t="str">
            <v>2019-164HD29672017FACE</v>
          </cell>
          <cell r="C30" t="str">
            <v>2019-164</v>
          </cell>
          <cell r="D30" t="str">
            <v>Yadav</v>
          </cell>
          <cell r="E30" t="str">
            <v>India</v>
          </cell>
          <cell r="F30" t="str">
            <v>wheat</v>
          </cell>
          <cell r="G30" t="str">
            <v>HD2967</v>
          </cell>
          <cell r="H30">
            <v>2017</v>
          </cell>
          <cell r="I30" t="str">
            <v>FACE</v>
          </cell>
          <cell r="J30" t="str">
            <v>field</v>
          </cell>
          <cell r="K30" t="str">
            <v>NF</v>
          </cell>
          <cell r="L30"/>
          <cell r="M30">
            <v>30.7</v>
          </cell>
          <cell r="N30">
            <v>7</v>
          </cell>
          <cell r="O30">
            <v>160</v>
          </cell>
          <cell r="P30">
            <v>4</v>
          </cell>
          <cell r="Q30">
            <v>2.6636551037927898</v>
          </cell>
          <cell r="R30" t="str">
            <v>1000 grain weight</v>
          </cell>
          <cell r="S30">
            <v>34.799999999999997</v>
          </cell>
          <cell r="T30" t="str">
            <v>39.9039006516305</v>
          </cell>
          <cell r="U30" t="str">
            <v>0.916124633646204</v>
          </cell>
        </row>
        <row r="31">
          <cell r="B31" t="str">
            <v>2019-164HD29672017FACE</v>
          </cell>
          <cell r="C31" t="str">
            <v>2019-164</v>
          </cell>
          <cell r="D31" t="str">
            <v>Yadav</v>
          </cell>
          <cell r="E31" t="str">
            <v>India</v>
          </cell>
          <cell r="F31" t="str">
            <v>wheat</v>
          </cell>
          <cell r="G31" t="str">
            <v>HD2967</v>
          </cell>
          <cell r="H31">
            <v>2017</v>
          </cell>
          <cell r="I31" t="str">
            <v>FACE</v>
          </cell>
          <cell r="J31" t="str">
            <v>field</v>
          </cell>
          <cell r="K31" t="str">
            <v>EO3</v>
          </cell>
          <cell r="L31">
            <v>31.232610000000001</v>
          </cell>
          <cell r="M31">
            <v>72.2</v>
          </cell>
          <cell r="N31">
            <v>7</v>
          </cell>
          <cell r="O31">
            <v>160</v>
          </cell>
          <cell r="P31">
            <v>4</v>
          </cell>
          <cell r="Q31">
            <v>17.568343124999998</v>
          </cell>
          <cell r="R31" t="str">
            <v>1000 grain weight</v>
          </cell>
          <cell r="S31">
            <v>33.1</v>
          </cell>
          <cell r="T31" t="str">
            <v>39.9039006516305</v>
          </cell>
          <cell r="U31" t="str">
            <v>0.871371418784177</v>
          </cell>
        </row>
        <row r="32">
          <cell r="B32" t="str">
            <v>2020-13HD29672018OTC</v>
          </cell>
          <cell r="C32" t="str">
            <v>2020-13</v>
          </cell>
          <cell r="D32" t="str">
            <v>Annesha</v>
          </cell>
          <cell r="E32" t="str">
            <v>India</v>
          </cell>
          <cell r="F32" t="str">
            <v>wheat</v>
          </cell>
          <cell r="G32" t="str">
            <v>HD2967</v>
          </cell>
          <cell r="H32">
            <v>2018</v>
          </cell>
          <cell r="I32" t="str">
            <v>OTC</v>
          </cell>
          <cell r="J32" t="str">
            <v>field</v>
          </cell>
          <cell r="K32" t="str">
            <v>AA</v>
          </cell>
          <cell r="L32">
            <v>8.9</v>
          </cell>
          <cell r="M32">
            <v>46.12</v>
          </cell>
          <cell r="N32">
            <v>8</v>
          </cell>
          <cell r="O32">
            <v>126</v>
          </cell>
          <cell r="P32">
            <v>3</v>
          </cell>
          <cell r="Q32">
            <v>6.3571428571428603</v>
          </cell>
          <cell r="R32" t="str">
            <v>1000 grain weight</v>
          </cell>
          <cell r="S32">
            <v>49.703579418344503</v>
          </cell>
          <cell r="T32" t="str">
            <v>53.3488558395273</v>
          </cell>
          <cell r="U32" t="str">
            <v>0.978708192474546</v>
          </cell>
        </row>
        <row r="33">
          <cell r="B33" t="str">
            <v>2020-13HD29672018OTC</v>
          </cell>
          <cell r="C33" t="str">
            <v>2020-13</v>
          </cell>
          <cell r="D33" t="str">
            <v>Annesha</v>
          </cell>
          <cell r="E33" t="str">
            <v>India</v>
          </cell>
          <cell r="F33" t="str">
            <v>wheat</v>
          </cell>
          <cell r="G33" t="str">
            <v>HD2967</v>
          </cell>
          <cell r="H33">
            <v>2018</v>
          </cell>
          <cell r="I33" t="str">
            <v>OTC</v>
          </cell>
          <cell r="J33" t="str">
            <v>field</v>
          </cell>
          <cell r="K33" t="str">
            <v>EO3</v>
          </cell>
          <cell r="L33">
            <v>15.7</v>
          </cell>
          <cell r="M33">
            <v>65.849999999999994</v>
          </cell>
          <cell r="N33">
            <v>8</v>
          </cell>
          <cell r="O33">
            <v>126</v>
          </cell>
          <cell r="P33">
            <v>3</v>
          </cell>
          <cell r="Q33">
            <v>11.214285714285699</v>
          </cell>
          <cell r="R33" t="str">
            <v>1000 grain weight</v>
          </cell>
          <cell r="S33">
            <v>41.754154682006998</v>
          </cell>
          <cell r="T33" t="str">
            <v>53.3488558395273</v>
          </cell>
          <cell r="U33" t="str">
            <v>0.822176868051624</v>
          </cell>
        </row>
        <row r="34">
          <cell r="B34" t="str">
            <v>2020-48HD31182016OTC</v>
          </cell>
          <cell r="C34" t="str">
            <v>2020-48</v>
          </cell>
          <cell r="D34" t="str">
            <v>Durgesh</v>
          </cell>
          <cell r="E34" t="str">
            <v>India</v>
          </cell>
          <cell r="F34" t="str">
            <v>wheat</v>
          </cell>
          <cell r="G34" t="str">
            <v>HD3118</v>
          </cell>
          <cell r="H34">
            <v>2016</v>
          </cell>
          <cell r="I34" t="str">
            <v>OTC</v>
          </cell>
          <cell r="J34" t="str">
            <v>field</v>
          </cell>
          <cell r="K34" t="str">
            <v>NF</v>
          </cell>
          <cell r="L34"/>
          <cell r="M34">
            <v>51.7</v>
          </cell>
          <cell r="N34">
            <v>8</v>
          </cell>
          <cell r="O34">
            <v>100</v>
          </cell>
          <cell r="P34">
            <v>5</v>
          </cell>
          <cell r="Q34">
            <v>16.635934586368901</v>
          </cell>
          <cell r="R34" t="str">
            <v>1000 grain weight</v>
          </cell>
          <cell r="S34">
            <v>35.4</v>
          </cell>
          <cell r="T34" t="str">
            <v>44.8597213203773</v>
          </cell>
          <cell r="U34" t="str">
            <v>0.828967221589791</v>
          </cell>
        </row>
        <row r="35">
          <cell r="B35" t="str">
            <v>2020-48HD31182016OTC</v>
          </cell>
          <cell r="C35" t="str">
            <v>2020-48</v>
          </cell>
          <cell r="D35" t="str">
            <v>Durgesh</v>
          </cell>
          <cell r="E35" t="str">
            <v>India</v>
          </cell>
          <cell r="F35" t="str">
            <v>wheat</v>
          </cell>
          <cell r="G35" t="str">
            <v>HD3118</v>
          </cell>
          <cell r="H35">
            <v>2016</v>
          </cell>
          <cell r="I35" t="str">
            <v>OTC</v>
          </cell>
          <cell r="J35" t="str">
            <v>field</v>
          </cell>
          <cell r="K35" t="str">
            <v>EO3</v>
          </cell>
          <cell r="L35"/>
          <cell r="M35">
            <v>71.7</v>
          </cell>
          <cell r="N35">
            <v>8</v>
          </cell>
          <cell r="O35">
            <v>100</v>
          </cell>
          <cell r="P35">
            <v>5</v>
          </cell>
          <cell r="Q35">
            <v>29.338133020351801</v>
          </cell>
          <cell r="R35" t="str">
            <v>1000 grain weight</v>
          </cell>
          <cell r="S35">
            <v>33.1</v>
          </cell>
          <cell r="T35" t="str">
            <v>44.8597213203773</v>
          </cell>
          <cell r="U35" t="str">
            <v>0.775107769339607</v>
          </cell>
        </row>
        <row r="36">
          <cell r="B36" t="str">
            <v>2020-48HUW2342016OTC</v>
          </cell>
          <cell r="C36" t="str">
            <v>2020-48</v>
          </cell>
          <cell r="D36" t="str">
            <v>Durgesh</v>
          </cell>
          <cell r="E36" t="str">
            <v>India</v>
          </cell>
          <cell r="F36" t="str">
            <v>wheat</v>
          </cell>
          <cell r="G36" t="str">
            <v>HUW234</v>
          </cell>
          <cell r="H36">
            <v>2016</v>
          </cell>
          <cell r="I36" t="str">
            <v>OTC</v>
          </cell>
          <cell r="J36" t="str">
            <v>field</v>
          </cell>
          <cell r="K36" t="str">
            <v>NF</v>
          </cell>
          <cell r="L36"/>
          <cell r="M36">
            <v>51.7</v>
          </cell>
          <cell r="N36">
            <v>8</v>
          </cell>
          <cell r="O36">
            <v>100</v>
          </cell>
          <cell r="P36">
            <v>5</v>
          </cell>
          <cell r="Q36">
            <v>16.635934586368901</v>
          </cell>
          <cell r="R36" t="str">
            <v>1000 grain weight</v>
          </cell>
          <cell r="S36">
            <v>38.5</v>
          </cell>
          <cell r="T36" t="str">
            <v>50.1260065496204</v>
          </cell>
          <cell r="U36" t="str">
            <v>0.806841616122809</v>
          </cell>
        </row>
        <row r="37">
          <cell r="B37" t="str">
            <v>2020-48HUW2342016OTC</v>
          </cell>
          <cell r="C37" t="str">
            <v>2020-48</v>
          </cell>
          <cell r="D37" t="str">
            <v>Durgesh</v>
          </cell>
          <cell r="E37" t="str">
            <v>India</v>
          </cell>
          <cell r="F37" t="str">
            <v>wheat</v>
          </cell>
          <cell r="G37" t="str">
            <v>HUW234</v>
          </cell>
          <cell r="H37">
            <v>2016</v>
          </cell>
          <cell r="I37" t="str">
            <v>OTC</v>
          </cell>
          <cell r="J37" t="str">
            <v>field</v>
          </cell>
          <cell r="K37" t="str">
            <v>EO3</v>
          </cell>
          <cell r="L37"/>
          <cell r="M37">
            <v>71.7</v>
          </cell>
          <cell r="N37">
            <v>8</v>
          </cell>
          <cell r="O37">
            <v>100</v>
          </cell>
          <cell r="P37">
            <v>5</v>
          </cell>
          <cell r="Q37">
            <v>29.338133020351801</v>
          </cell>
          <cell r="R37" t="str">
            <v>1000 grain weight</v>
          </cell>
          <cell r="S37">
            <v>38</v>
          </cell>
          <cell r="T37" t="str">
            <v>50.1260065496204</v>
          </cell>
          <cell r="U37" t="str">
            <v>0.79636315357576</v>
          </cell>
        </row>
        <row r="38">
          <cell r="B38" t="str">
            <v>2021-X140HD30862017OTC</v>
          </cell>
          <cell r="C38" t="str">
            <v>2021-X140</v>
          </cell>
          <cell r="D38" t="str">
            <v>Durgesh</v>
          </cell>
          <cell r="E38" t="str">
            <v>India</v>
          </cell>
          <cell r="F38" t="str">
            <v>wheat</v>
          </cell>
          <cell r="G38" t="str">
            <v>HD3086</v>
          </cell>
          <cell r="H38">
            <v>2017</v>
          </cell>
          <cell r="I38" t="str">
            <v>OTC</v>
          </cell>
          <cell r="J38" t="str">
            <v>field</v>
          </cell>
          <cell r="K38" t="str">
            <v>NF</v>
          </cell>
          <cell r="L38">
            <v>11.78</v>
          </cell>
          <cell r="M38">
            <v>51.2</v>
          </cell>
          <cell r="N38">
            <v>8</v>
          </cell>
          <cell r="O38">
            <v>150</v>
          </cell>
          <cell r="P38">
            <v>3</v>
          </cell>
          <cell r="Q38">
            <v>7.0679999999999996</v>
          </cell>
          <cell r="R38" t="str">
            <v>1000 grain weight</v>
          </cell>
          <cell r="S38">
            <v>45.4</v>
          </cell>
          <cell r="T38" t="str">
            <v>51.4923109707255</v>
          </cell>
          <cell r="U38" t="str">
            <v>0.926198636076492</v>
          </cell>
        </row>
        <row r="39">
          <cell r="B39" t="str">
            <v>2021-X140HD30862017OTC</v>
          </cell>
          <cell r="C39" t="str">
            <v>2021-X140</v>
          </cell>
          <cell r="D39" t="str">
            <v>Durgesh</v>
          </cell>
          <cell r="E39" t="str">
            <v>India</v>
          </cell>
          <cell r="F39" t="str">
            <v>wheat</v>
          </cell>
          <cell r="G39" t="str">
            <v>HD3086</v>
          </cell>
          <cell r="H39">
            <v>2017</v>
          </cell>
          <cell r="I39" t="str">
            <v>OTC</v>
          </cell>
          <cell r="J39" t="str">
            <v>field</v>
          </cell>
          <cell r="K39" t="str">
            <v>EO3</v>
          </cell>
          <cell r="L39">
            <v>21.6</v>
          </cell>
          <cell r="M39">
            <v>72.2</v>
          </cell>
          <cell r="N39">
            <v>8</v>
          </cell>
          <cell r="O39">
            <v>150</v>
          </cell>
          <cell r="P39">
            <v>3</v>
          </cell>
          <cell r="Q39">
            <v>12.96</v>
          </cell>
          <cell r="R39" t="str">
            <v>1000 grain weight</v>
          </cell>
          <cell r="S39">
            <v>41.7</v>
          </cell>
          <cell r="T39" t="str">
            <v>51.4923109707255</v>
          </cell>
          <cell r="U39" t="str">
            <v>0.85071548732136</v>
          </cell>
        </row>
        <row r="40">
          <cell r="B40" t="str">
            <v>2021-X140HD31182017OTC</v>
          </cell>
          <cell r="C40" t="str">
            <v>2021-X140</v>
          </cell>
          <cell r="D40" t="str">
            <v>Durgesh</v>
          </cell>
          <cell r="E40" t="str">
            <v>India</v>
          </cell>
          <cell r="F40" t="str">
            <v>wheat</v>
          </cell>
          <cell r="G40" t="str">
            <v>HD3118</v>
          </cell>
          <cell r="H40">
            <v>2017</v>
          </cell>
          <cell r="I40" t="str">
            <v>OTC</v>
          </cell>
          <cell r="J40" t="str">
            <v>field</v>
          </cell>
          <cell r="K40" t="str">
            <v>NF</v>
          </cell>
          <cell r="L40">
            <v>8.4</v>
          </cell>
          <cell r="M40">
            <v>51.74</v>
          </cell>
          <cell r="N40">
            <v>8</v>
          </cell>
          <cell r="O40">
            <v>131</v>
          </cell>
          <cell r="P40">
            <v>3</v>
          </cell>
          <cell r="Q40">
            <v>5.7709923664122096</v>
          </cell>
          <cell r="R40" t="str">
            <v>1000 grain weight</v>
          </cell>
          <cell r="S40">
            <v>38.4</v>
          </cell>
          <cell r="T40" t="str">
            <v>41.459591402393</v>
          </cell>
          <cell r="U40" t="str">
            <v>0.972964230310704</v>
          </cell>
        </row>
        <row r="41">
          <cell r="B41" t="str">
            <v>2021-X140HD31182017OTC</v>
          </cell>
          <cell r="C41" t="str">
            <v>2021-X140</v>
          </cell>
          <cell r="D41" t="str">
            <v>Durgesh</v>
          </cell>
          <cell r="E41" t="str">
            <v>India</v>
          </cell>
          <cell r="F41" t="str">
            <v>wheat</v>
          </cell>
          <cell r="G41" t="str">
            <v>HD3118</v>
          </cell>
          <cell r="H41">
            <v>2017</v>
          </cell>
          <cell r="I41" t="str">
            <v>OTC</v>
          </cell>
          <cell r="J41" t="str">
            <v>field</v>
          </cell>
          <cell r="K41" t="str">
            <v>EO3</v>
          </cell>
          <cell r="L41">
            <v>16.5</v>
          </cell>
          <cell r="M41">
            <v>74.260000000000005</v>
          </cell>
          <cell r="N41">
            <v>8</v>
          </cell>
          <cell r="O41">
            <v>131</v>
          </cell>
          <cell r="P41">
            <v>3</v>
          </cell>
          <cell r="Q41">
            <v>11.3358778625954</v>
          </cell>
          <cell r="R41" t="str">
            <v>1000 grain weight</v>
          </cell>
          <cell r="S41">
            <v>32.799999999999997</v>
          </cell>
          <cell r="T41" t="str">
            <v>41.459591402393</v>
          </cell>
          <cell r="U41" t="str">
            <v>0.831073613390393</v>
          </cell>
        </row>
        <row r="42">
          <cell r="B42" t="str">
            <v>2021-X140HUW2342017OTC</v>
          </cell>
          <cell r="C42" t="str">
            <v>2021-X140</v>
          </cell>
          <cell r="D42" t="str">
            <v>Durgesh</v>
          </cell>
          <cell r="E42" t="str">
            <v>India</v>
          </cell>
          <cell r="F42" t="str">
            <v>wheat</v>
          </cell>
          <cell r="G42" t="str">
            <v>HUW234</v>
          </cell>
          <cell r="H42">
            <v>2017</v>
          </cell>
          <cell r="I42" t="str">
            <v>OTC</v>
          </cell>
          <cell r="J42" t="str">
            <v>field</v>
          </cell>
          <cell r="K42" t="str">
            <v>NF</v>
          </cell>
          <cell r="L42">
            <v>8.4</v>
          </cell>
          <cell r="M42">
            <v>51.74</v>
          </cell>
          <cell r="N42">
            <v>8</v>
          </cell>
          <cell r="O42">
            <v>131</v>
          </cell>
          <cell r="P42">
            <v>3</v>
          </cell>
          <cell r="Q42">
            <v>5.7709923664122096</v>
          </cell>
          <cell r="R42" t="str">
            <v>1000 grain weight</v>
          </cell>
          <cell r="S42">
            <v>36.9</v>
          </cell>
          <cell r="T42" t="str">
            <v>40.8888323352069</v>
          </cell>
          <cell r="U42" t="str">
            <v>0.948008704999363</v>
          </cell>
        </row>
        <row r="43">
          <cell r="B43" t="str">
            <v>2021-X140HUW2342017OTC</v>
          </cell>
          <cell r="C43" t="str">
            <v>2021-X140</v>
          </cell>
          <cell r="D43" t="str">
            <v>Durgesh</v>
          </cell>
          <cell r="E43" t="str">
            <v>India</v>
          </cell>
          <cell r="F43" t="str">
            <v>wheat</v>
          </cell>
          <cell r="G43" t="str">
            <v>HUW234</v>
          </cell>
          <cell r="H43">
            <v>2017</v>
          </cell>
          <cell r="I43" t="str">
            <v>OTC</v>
          </cell>
          <cell r="J43" t="str">
            <v>field</v>
          </cell>
          <cell r="K43" t="str">
            <v>EO3</v>
          </cell>
          <cell r="L43">
            <v>16.5</v>
          </cell>
          <cell r="M43">
            <v>74.260000000000005</v>
          </cell>
          <cell r="N43">
            <v>8</v>
          </cell>
          <cell r="O43">
            <v>131</v>
          </cell>
          <cell r="P43">
            <v>3</v>
          </cell>
          <cell r="Q43">
            <v>11.3358778625954</v>
          </cell>
          <cell r="R43" t="str">
            <v>1000 grain weight</v>
          </cell>
          <cell r="S43">
            <v>33.200000000000003</v>
          </cell>
          <cell r="T43" t="str">
            <v>40.8888323352069</v>
          </cell>
          <cell r="U43" t="str">
            <v>0.852950921571243</v>
          </cell>
        </row>
        <row r="44">
          <cell r="B44" t="str">
            <v>2021-X140HUW4682017OTC</v>
          </cell>
          <cell r="C44" t="str">
            <v>2021-X140</v>
          </cell>
          <cell r="D44" t="str">
            <v>Durgesh</v>
          </cell>
          <cell r="E44" t="str">
            <v>India</v>
          </cell>
          <cell r="F44" t="str">
            <v>wheat</v>
          </cell>
          <cell r="G44" t="str">
            <v>HUW468</v>
          </cell>
          <cell r="H44">
            <v>2017</v>
          </cell>
          <cell r="I44" t="str">
            <v>OTC</v>
          </cell>
          <cell r="J44" t="str">
            <v>field</v>
          </cell>
          <cell r="K44" t="str">
            <v>NF</v>
          </cell>
          <cell r="L44">
            <v>11.78</v>
          </cell>
          <cell r="M44">
            <v>51.2</v>
          </cell>
          <cell r="N44">
            <v>8</v>
          </cell>
          <cell r="O44">
            <v>150</v>
          </cell>
          <cell r="P44">
            <v>3</v>
          </cell>
          <cell r="Q44">
            <v>7.0679999999999996</v>
          </cell>
          <cell r="R44" t="str">
            <v>1000 grain weight</v>
          </cell>
          <cell r="S44">
            <v>37.1</v>
          </cell>
          <cell r="T44" t="str">
            <v>41.4085815678209</v>
          </cell>
          <cell r="U44" t="str">
            <v>0.941183322594836</v>
          </cell>
        </row>
        <row r="45">
          <cell r="B45" t="str">
            <v>2021-X140HUW4682017OTC</v>
          </cell>
          <cell r="C45" t="str">
            <v>2021-X140</v>
          </cell>
          <cell r="D45" t="str">
            <v>Durgesh</v>
          </cell>
          <cell r="E45" t="str">
            <v>India</v>
          </cell>
          <cell r="F45" t="str">
            <v>wheat</v>
          </cell>
          <cell r="G45" t="str">
            <v>HUW468</v>
          </cell>
          <cell r="H45">
            <v>2017</v>
          </cell>
          <cell r="I45" t="str">
            <v>OTC</v>
          </cell>
          <cell r="J45" t="str">
            <v>field</v>
          </cell>
          <cell r="K45" t="str">
            <v>EO3</v>
          </cell>
          <cell r="L45">
            <v>21.6</v>
          </cell>
          <cell r="M45">
            <v>72.2</v>
          </cell>
          <cell r="N45">
            <v>8</v>
          </cell>
          <cell r="O45">
            <v>150</v>
          </cell>
          <cell r="P45">
            <v>3</v>
          </cell>
          <cell r="Q45">
            <v>12.96</v>
          </cell>
          <cell r="R45" t="str">
            <v>1000 grain weight</v>
          </cell>
          <cell r="S45">
            <v>33</v>
          </cell>
          <cell r="T45" t="str">
            <v>41.4085815678209</v>
          </cell>
          <cell r="U45" t="str">
            <v>0.837171149477886</v>
          </cell>
        </row>
        <row r="46">
          <cell r="B46" t="str">
            <v>2021-X140HD30862018OTC</v>
          </cell>
          <cell r="C46" t="str">
            <v>2021-X140</v>
          </cell>
          <cell r="D46" t="str">
            <v>Durgesh</v>
          </cell>
          <cell r="E46" t="str">
            <v>India</v>
          </cell>
          <cell r="F46" t="str">
            <v>wheat</v>
          </cell>
          <cell r="G46" t="str">
            <v>HD3086</v>
          </cell>
          <cell r="H46">
            <v>2018</v>
          </cell>
          <cell r="I46" t="str">
            <v>OTC</v>
          </cell>
          <cell r="J46" t="str">
            <v>field</v>
          </cell>
          <cell r="K46" t="str">
            <v>NF</v>
          </cell>
          <cell r="L46">
            <v>6.8</v>
          </cell>
          <cell r="M46">
            <v>45.87</v>
          </cell>
          <cell r="N46">
            <v>8</v>
          </cell>
          <cell r="O46">
            <v>150</v>
          </cell>
          <cell r="P46">
            <v>3</v>
          </cell>
          <cell r="Q46">
            <v>4.08</v>
          </cell>
          <cell r="R46" t="str">
            <v>1000 grain weight</v>
          </cell>
          <cell r="S46">
            <v>41.2</v>
          </cell>
          <cell r="T46" t="str">
            <v>44.5804543737303</v>
          </cell>
          <cell r="U46" t="str">
            <v>0.970830458022515</v>
          </cell>
        </row>
        <row r="47">
          <cell r="B47" t="str">
            <v>2021-X140HD30862018OTC</v>
          </cell>
          <cell r="C47" t="str">
            <v>2021-X140</v>
          </cell>
          <cell r="D47" t="str">
            <v>Durgesh</v>
          </cell>
          <cell r="E47" t="str">
            <v>India</v>
          </cell>
          <cell r="F47" t="str">
            <v>wheat</v>
          </cell>
          <cell r="G47" t="str">
            <v>HD3086</v>
          </cell>
          <cell r="H47">
            <v>2018</v>
          </cell>
          <cell r="I47" t="str">
            <v>OTC</v>
          </cell>
          <cell r="J47" t="str">
            <v>field</v>
          </cell>
          <cell r="K47" t="str">
            <v>EO3</v>
          </cell>
          <cell r="L47">
            <v>16.7</v>
          </cell>
          <cell r="M47">
            <v>67.17</v>
          </cell>
          <cell r="N47">
            <v>8</v>
          </cell>
          <cell r="O47">
            <v>150</v>
          </cell>
          <cell r="P47">
            <v>3</v>
          </cell>
          <cell r="Q47">
            <v>10.02</v>
          </cell>
          <cell r="R47" t="str">
            <v>1000 grain weight</v>
          </cell>
          <cell r="S47">
            <v>36.4</v>
          </cell>
          <cell r="T47" t="str">
            <v>44.5804543737303</v>
          </cell>
          <cell r="U47" t="str">
            <v>0.857723996893678</v>
          </cell>
        </row>
        <row r="48">
          <cell r="B48" t="str">
            <v>2021-X140HD31182018OTC</v>
          </cell>
          <cell r="C48" t="str">
            <v>2021-X140</v>
          </cell>
          <cell r="D48" t="str">
            <v>Durgesh</v>
          </cell>
          <cell r="E48" t="str">
            <v>India</v>
          </cell>
          <cell r="F48" t="str">
            <v>wheat</v>
          </cell>
          <cell r="G48" t="str">
            <v>HD3118</v>
          </cell>
          <cell r="H48">
            <v>2018</v>
          </cell>
          <cell r="I48" t="str">
            <v>OTC</v>
          </cell>
          <cell r="J48" t="str">
            <v>field</v>
          </cell>
          <cell r="K48" t="str">
            <v>NF</v>
          </cell>
          <cell r="L48">
            <v>6.2</v>
          </cell>
          <cell r="M48">
            <v>45.17</v>
          </cell>
          <cell r="N48">
            <v>8</v>
          </cell>
          <cell r="O48">
            <v>131</v>
          </cell>
          <cell r="P48">
            <v>3</v>
          </cell>
          <cell r="Q48">
            <v>4.2595419847328202</v>
          </cell>
          <cell r="R48" t="str">
            <v>1000 grain weight</v>
          </cell>
          <cell r="S48">
            <v>38.94</v>
          </cell>
          <cell r="T48" t="str">
            <v>42.2520523241164</v>
          </cell>
          <cell r="U48" t="str">
            <v>0.968141430974277</v>
          </cell>
        </row>
        <row r="49">
          <cell r="B49" t="str">
            <v>2021-X140HD31182018OTC</v>
          </cell>
          <cell r="C49" t="str">
            <v>2021-X140</v>
          </cell>
          <cell r="D49" t="str">
            <v>Durgesh</v>
          </cell>
          <cell r="E49" t="str">
            <v>India</v>
          </cell>
          <cell r="F49" t="str">
            <v>wheat</v>
          </cell>
          <cell r="G49" t="str">
            <v>HD3118</v>
          </cell>
          <cell r="H49">
            <v>2018</v>
          </cell>
          <cell r="I49" t="str">
            <v>OTC</v>
          </cell>
          <cell r="J49" t="str">
            <v>field</v>
          </cell>
          <cell r="K49" t="str">
            <v>EO3</v>
          </cell>
          <cell r="L49">
            <v>15.2</v>
          </cell>
          <cell r="M49">
            <v>68.930000000000007</v>
          </cell>
          <cell r="N49">
            <v>8</v>
          </cell>
          <cell r="O49">
            <v>131</v>
          </cell>
          <cell r="P49">
            <v>3</v>
          </cell>
          <cell r="Q49">
            <v>10.4427480916031</v>
          </cell>
          <cell r="R49" t="str">
            <v>1000 grain weight</v>
          </cell>
          <cell r="S49">
            <v>34.4</v>
          </cell>
          <cell r="T49" t="str">
            <v>42.2520523241164</v>
          </cell>
          <cell r="U49" t="str">
            <v>0.855266184527867</v>
          </cell>
        </row>
        <row r="50">
          <cell r="B50" t="str">
            <v>2021-X140HUW2342018OTC</v>
          </cell>
          <cell r="C50" t="str">
            <v>2021-X140</v>
          </cell>
          <cell r="D50" t="str">
            <v>Durgesh</v>
          </cell>
          <cell r="E50" t="str">
            <v>India</v>
          </cell>
          <cell r="F50" t="str">
            <v>wheat</v>
          </cell>
          <cell r="G50" t="str">
            <v>HUW234</v>
          </cell>
          <cell r="H50">
            <v>2018</v>
          </cell>
          <cell r="I50" t="str">
            <v>OTC</v>
          </cell>
          <cell r="J50" t="str">
            <v>field</v>
          </cell>
          <cell r="K50" t="str">
            <v>NF</v>
          </cell>
          <cell r="L50">
            <v>6.2</v>
          </cell>
          <cell r="M50">
            <v>45.17</v>
          </cell>
          <cell r="N50">
            <v>8</v>
          </cell>
          <cell r="O50">
            <v>131</v>
          </cell>
          <cell r="P50">
            <v>3</v>
          </cell>
          <cell r="Q50">
            <v>4.2595419847328202</v>
          </cell>
          <cell r="R50" t="str">
            <v>1000 grain weight</v>
          </cell>
          <cell r="S50">
            <v>39.64</v>
          </cell>
          <cell r="T50" t="str">
            <v>43.5678416542432</v>
          </cell>
          <cell r="U50" t="str">
            <v>0.955780724790234</v>
          </cell>
        </row>
        <row r="51">
          <cell r="B51" t="str">
            <v>2021-X140HUW2342018OTC</v>
          </cell>
          <cell r="C51" t="str">
            <v>2021-X140</v>
          </cell>
          <cell r="D51" t="str">
            <v>Durgesh</v>
          </cell>
          <cell r="E51" t="str">
            <v>India</v>
          </cell>
          <cell r="F51" t="str">
            <v>wheat</v>
          </cell>
          <cell r="G51" t="str">
            <v>HUW234</v>
          </cell>
          <cell r="H51">
            <v>2018</v>
          </cell>
          <cell r="I51" t="str">
            <v>OTC</v>
          </cell>
          <cell r="J51" t="str">
            <v>field</v>
          </cell>
          <cell r="K51" t="str">
            <v>EO3</v>
          </cell>
          <cell r="L51">
            <v>15.2</v>
          </cell>
          <cell r="M51">
            <v>68.930000000000007</v>
          </cell>
          <cell r="N51">
            <v>8</v>
          </cell>
          <cell r="O51">
            <v>131</v>
          </cell>
          <cell r="P51">
            <v>3</v>
          </cell>
          <cell r="Q51">
            <v>10.4427480916031</v>
          </cell>
          <cell r="R51" t="str">
            <v>1000 grain weight</v>
          </cell>
          <cell r="S51">
            <v>35.93</v>
          </cell>
          <cell r="T51" t="str">
            <v>43.5678416542432</v>
          </cell>
          <cell r="U51" t="str">
            <v>0.8663269788525</v>
          </cell>
        </row>
        <row r="52">
          <cell r="B52" t="str">
            <v>2021-X140HUW4682018OTC</v>
          </cell>
          <cell r="C52" t="str">
            <v>2021-X140</v>
          </cell>
          <cell r="D52" t="str">
            <v>Durgesh</v>
          </cell>
          <cell r="E52" t="str">
            <v>India</v>
          </cell>
          <cell r="F52" t="str">
            <v>wheat</v>
          </cell>
          <cell r="G52" t="str">
            <v>HUW468</v>
          </cell>
          <cell r="H52">
            <v>2018</v>
          </cell>
          <cell r="I52" t="str">
            <v>OTC</v>
          </cell>
          <cell r="J52" t="str">
            <v>field</v>
          </cell>
          <cell r="K52" t="str">
            <v>NF</v>
          </cell>
          <cell r="L52">
            <v>6.8</v>
          </cell>
          <cell r="M52">
            <v>45.87</v>
          </cell>
          <cell r="N52">
            <v>8</v>
          </cell>
          <cell r="O52">
            <v>150</v>
          </cell>
          <cell r="P52">
            <v>3</v>
          </cell>
          <cell r="Q52">
            <v>4.08</v>
          </cell>
          <cell r="R52" t="str">
            <v>1000 grain weight</v>
          </cell>
          <cell r="S52">
            <v>33.9</v>
          </cell>
          <cell r="T52" t="str">
            <v>35.7822355140235</v>
          </cell>
          <cell r="U52" t="str">
            <v>0.995228710165378</v>
          </cell>
        </row>
        <row r="53">
          <cell r="B53" t="str">
            <v>2021-X140HUW4682018OTC</v>
          </cell>
          <cell r="C53" t="str">
            <v>2021-X140</v>
          </cell>
          <cell r="D53" t="str">
            <v>Durgesh</v>
          </cell>
          <cell r="E53" t="str">
            <v>India</v>
          </cell>
          <cell r="F53" t="str">
            <v>wheat</v>
          </cell>
          <cell r="G53" t="str">
            <v>HUW468</v>
          </cell>
          <cell r="H53">
            <v>2018</v>
          </cell>
          <cell r="I53" t="str">
            <v>OTC</v>
          </cell>
          <cell r="J53" t="str">
            <v>field</v>
          </cell>
          <cell r="K53" t="str">
            <v>EO3</v>
          </cell>
          <cell r="L53">
            <v>16.7</v>
          </cell>
          <cell r="M53">
            <v>67.17</v>
          </cell>
          <cell r="N53">
            <v>8</v>
          </cell>
          <cell r="O53">
            <v>150</v>
          </cell>
          <cell r="P53">
            <v>3</v>
          </cell>
          <cell r="Q53">
            <v>10.02</v>
          </cell>
          <cell r="R53" t="str">
            <v>1000 grain weight</v>
          </cell>
          <cell r="S53">
            <v>28.5</v>
          </cell>
          <cell r="T53" t="str">
            <v>35.7822355140235</v>
          </cell>
          <cell r="U53" t="str">
            <v>0.83669670323638</v>
          </cell>
        </row>
        <row r="54">
          <cell r="B54" t="str">
            <v>2020-13HD29672017OTC</v>
          </cell>
          <cell r="C54" t="str">
            <v>2020-13</v>
          </cell>
          <cell r="D54" t="str">
            <v>Annesha</v>
          </cell>
          <cell r="E54" t="str">
            <v>India</v>
          </cell>
          <cell r="F54" t="str">
            <v>wheat</v>
          </cell>
          <cell r="G54" t="str">
            <v>HD2967</v>
          </cell>
          <cell r="H54">
            <v>2017</v>
          </cell>
          <cell r="I54" t="str">
            <v>OTC</v>
          </cell>
          <cell r="J54" t="str">
            <v>field</v>
          </cell>
          <cell r="K54" t="str">
            <v>NF</v>
          </cell>
          <cell r="L54">
            <v>11.9</v>
          </cell>
          <cell r="M54">
            <v>52.4</v>
          </cell>
          <cell r="N54">
            <v>8</v>
          </cell>
          <cell r="O54">
            <v>88</v>
          </cell>
          <cell r="P54">
            <v>3</v>
          </cell>
          <cell r="Q54">
            <v>11.9</v>
          </cell>
          <cell r="R54" t="str">
            <v>1000 grain weight</v>
          </cell>
          <cell r="S54">
            <v>49.15</v>
          </cell>
          <cell r="T54" t="str">
            <v>55.6329439460924</v>
          </cell>
          <cell r="U54" t="str">
            <v>0.928073020124873</v>
          </cell>
        </row>
        <row r="55">
          <cell r="B55" t="str">
            <v>2020-13HD29672017OTC</v>
          </cell>
          <cell r="C55" t="str">
            <v>2020-13</v>
          </cell>
          <cell r="D55" t="str">
            <v>Annesha</v>
          </cell>
          <cell r="E55" t="str">
            <v>India</v>
          </cell>
          <cell r="F55" t="str">
            <v>wheat</v>
          </cell>
          <cell r="G55" t="str">
            <v>HD2967</v>
          </cell>
          <cell r="H55">
            <v>2017</v>
          </cell>
          <cell r="I55" t="str">
            <v>OTC</v>
          </cell>
          <cell r="J55" t="str">
            <v>field</v>
          </cell>
          <cell r="K55" t="str">
            <v>EO3</v>
          </cell>
          <cell r="L55">
            <v>18.3</v>
          </cell>
          <cell r="M55">
            <v>60</v>
          </cell>
          <cell r="N55">
            <v>8</v>
          </cell>
          <cell r="O55">
            <v>88</v>
          </cell>
          <cell r="P55">
            <v>3</v>
          </cell>
          <cell r="Q55">
            <v>18.3</v>
          </cell>
          <cell r="R55" t="str">
            <v>1000 grain weight</v>
          </cell>
          <cell r="S55">
            <v>46.93</v>
          </cell>
          <cell r="T55" t="str">
            <v>55.6329439460924</v>
          </cell>
          <cell r="U55" t="str">
            <v>0.886153953905601</v>
          </cell>
        </row>
        <row r="56">
          <cell r="B56" t="str">
            <v>2020-13HD29672017OTC</v>
          </cell>
          <cell r="C56" t="str">
            <v>2020-13</v>
          </cell>
          <cell r="D56" t="str">
            <v>Annesha</v>
          </cell>
          <cell r="E56" t="str">
            <v>India</v>
          </cell>
          <cell r="F56" t="str">
            <v>wheat</v>
          </cell>
          <cell r="G56" t="str">
            <v>HD2967</v>
          </cell>
          <cell r="H56">
            <v>2017</v>
          </cell>
          <cell r="I56" t="str">
            <v>OTC</v>
          </cell>
          <cell r="J56" t="str">
            <v>field</v>
          </cell>
          <cell r="K56" t="str">
            <v>NF</v>
          </cell>
          <cell r="L56">
            <v>13</v>
          </cell>
          <cell r="M56">
            <v>55.7</v>
          </cell>
          <cell r="N56">
            <v>8</v>
          </cell>
          <cell r="O56">
            <v>99</v>
          </cell>
          <cell r="P56">
            <v>3</v>
          </cell>
          <cell r="Q56">
            <v>11.818181818181801</v>
          </cell>
          <cell r="R56" t="str">
            <v>1000 grain weight</v>
          </cell>
          <cell r="S56">
            <v>45.11</v>
          </cell>
          <cell r="T56" t="str">
            <v>55.6329439460924</v>
          </cell>
          <cell r="U56" t="str">
            <v>0.851787872590703</v>
          </cell>
        </row>
        <row r="57">
          <cell r="B57" t="str">
            <v>2020-13HD29672017OTC</v>
          </cell>
          <cell r="C57" t="str">
            <v>2020-13</v>
          </cell>
          <cell r="D57" t="str">
            <v>Annesha</v>
          </cell>
          <cell r="E57" t="str">
            <v>India</v>
          </cell>
          <cell r="F57" t="str">
            <v>wheat</v>
          </cell>
          <cell r="G57" t="str">
            <v>HD2967</v>
          </cell>
          <cell r="H57">
            <v>2017</v>
          </cell>
          <cell r="I57" t="str">
            <v>OTC</v>
          </cell>
          <cell r="J57" t="str">
            <v>field</v>
          </cell>
          <cell r="K57" t="str">
            <v>EO3</v>
          </cell>
          <cell r="L57">
            <v>21.5</v>
          </cell>
          <cell r="M57">
            <v>63.9</v>
          </cell>
          <cell r="N57">
            <v>8</v>
          </cell>
          <cell r="O57">
            <v>99</v>
          </cell>
          <cell r="P57">
            <v>3</v>
          </cell>
          <cell r="Q57">
            <v>19.545454545454501</v>
          </cell>
          <cell r="R57" t="str">
            <v>1000 grain weight</v>
          </cell>
          <cell r="S57">
            <v>39.380000000000003</v>
          </cell>
          <cell r="T57" t="str">
            <v>55.6329439460924</v>
          </cell>
          <cell r="U57" t="str">
            <v>0.743591363835555</v>
          </cell>
        </row>
      </sheetData>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row>
        <row r="2">
          <cell r="B2" t="str">
            <v>2010-112HUW5102007OTC</v>
          </cell>
          <cell r="C2" t="str">
            <v>2010-112</v>
          </cell>
          <cell r="D2" t="str">
            <v>Sarkar</v>
          </cell>
          <cell r="E2" t="str">
            <v>India</v>
          </cell>
          <cell r="F2" t="str">
            <v>wheat</v>
          </cell>
          <cell r="G2" t="str">
            <v>HUW510</v>
          </cell>
          <cell r="H2">
            <v>2007</v>
          </cell>
          <cell r="I2" t="str">
            <v>OTC</v>
          </cell>
          <cell r="J2" t="str">
            <v>field</v>
          </cell>
          <cell r="K2" t="str">
            <v>CF</v>
          </cell>
          <cell r="L2">
            <v>0</v>
          </cell>
          <cell r="M2">
            <v>4.7</v>
          </cell>
          <cell r="N2">
            <v>12</v>
          </cell>
          <cell r="O2">
            <v>90</v>
          </cell>
          <cell r="P2">
            <v>3</v>
          </cell>
          <cell r="Q2">
            <v>0</v>
          </cell>
          <cell r="R2" t="str">
            <v>Total grain no. ear-1</v>
          </cell>
          <cell r="S2">
            <v>25.489366029891201</v>
          </cell>
          <cell r="T2" t="str">
            <v>31.291563623553</v>
          </cell>
          <cell r="U2" t="str">
            <v>0.814576361846477</v>
          </cell>
        </row>
        <row r="3">
          <cell r="B3" t="str">
            <v>2010-112HUW5102007OTC</v>
          </cell>
          <cell r="C3" t="str">
            <v>2010-112</v>
          </cell>
          <cell r="D3" t="str">
            <v>Sarkar</v>
          </cell>
          <cell r="E3" t="str">
            <v>India</v>
          </cell>
          <cell r="F3" t="str">
            <v>wheat</v>
          </cell>
          <cell r="G3" t="str">
            <v>HUW510</v>
          </cell>
          <cell r="H3">
            <v>2007</v>
          </cell>
          <cell r="I3" t="str">
            <v>OTC</v>
          </cell>
          <cell r="J3" t="str">
            <v>field</v>
          </cell>
          <cell r="K3" t="str">
            <v>NF</v>
          </cell>
          <cell r="L3">
            <v>7.9</v>
          </cell>
          <cell r="M3">
            <v>45.3</v>
          </cell>
          <cell r="N3">
            <v>12</v>
          </cell>
          <cell r="O3">
            <v>90</v>
          </cell>
          <cell r="P3">
            <v>3</v>
          </cell>
          <cell r="Q3">
            <v>7.9</v>
          </cell>
          <cell r="R3" t="str">
            <v>Total grain no. ear-1</v>
          </cell>
          <cell r="S3">
            <v>27.986957062186999</v>
          </cell>
          <cell r="T3" t="str">
            <v>31.291563623553</v>
          </cell>
          <cell r="U3" t="str">
            <v>0.894393122062565</v>
          </cell>
        </row>
        <row r="4">
          <cell r="B4" t="str">
            <v>2010-112HUW5102007OTC</v>
          </cell>
          <cell r="C4" t="str">
            <v>2010-112</v>
          </cell>
          <cell r="D4" t="str">
            <v>Sarkar</v>
          </cell>
          <cell r="E4" t="str">
            <v>India</v>
          </cell>
          <cell r="F4" t="str">
            <v>wheat</v>
          </cell>
          <cell r="G4" t="str">
            <v>HUW510</v>
          </cell>
          <cell r="H4">
            <v>2007</v>
          </cell>
          <cell r="I4" t="str">
            <v>OTC</v>
          </cell>
          <cell r="J4" t="str">
            <v>field</v>
          </cell>
          <cell r="K4" t="str">
            <v>EO3-1</v>
          </cell>
          <cell r="L4">
            <v>10.4</v>
          </cell>
          <cell r="M4">
            <v>50.4</v>
          </cell>
          <cell r="N4">
            <v>12</v>
          </cell>
          <cell r="O4">
            <v>90</v>
          </cell>
          <cell r="P4">
            <v>3</v>
          </cell>
          <cell r="Q4">
            <v>10.4</v>
          </cell>
          <cell r="R4" t="str">
            <v>Total grain no. ear-1</v>
          </cell>
          <cell r="S4">
            <v>32.807286118711701</v>
          </cell>
          <cell r="T4" t="str">
            <v>31.291563623553</v>
          </cell>
          <cell r="U4" t="str">
            <v>1.04843877785338</v>
          </cell>
        </row>
        <row r="5">
          <cell r="B5" t="str">
            <v>2010-112HUW5102007OTC</v>
          </cell>
          <cell r="C5" t="str">
            <v>2010-112</v>
          </cell>
          <cell r="D5" t="str">
            <v>Sarkar</v>
          </cell>
          <cell r="E5" t="str">
            <v>India</v>
          </cell>
          <cell r="F5" t="str">
            <v>wheat</v>
          </cell>
          <cell r="G5" t="str">
            <v>HUW510</v>
          </cell>
          <cell r="H5">
            <v>2007</v>
          </cell>
          <cell r="I5" t="str">
            <v>OTC</v>
          </cell>
          <cell r="J5" t="str">
            <v>field</v>
          </cell>
          <cell r="K5" t="str">
            <v>EO3-2</v>
          </cell>
          <cell r="L5">
            <v>13.1</v>
          </cell>
          <cell r="M5">
            <v>55.6</v>
          </cell>
          <cell r="N5">
            <v>12</v>
          </cell>
          <cell r="O5">
            <v>90</v>
          </cell>
          <cell r="P5">
            <v>3</v>
          </cell>
          <cell r="Q5">
            <v>13.1</v>
          </cell>
          <cell r="R5" t="str">
            <v>Total grain no. ear-1</v>
          </cell>
          <cell r="S5">
            <v>40.364343325875701</v>
          </cell>
          <cell r="T5" t="str">
            <v>31.291563623553</v>
          </cell>
          <cell r="U5" t="str">
            <v>1.28994341782201</v>
          </cell>
        </row>
        <row r="6">
          <cell r="B6" t="str">
            <v>2010-112Sonalika2007OTC</v>
          </cell>
          <cell r="C6" t="str">
            <v>2010-112</v>
          </cell>
          <cell r="D6" t="str">
            <v>Sarkar</v>
          </cell>
          <cell r="E6" t="str">
            <v>India</v>
          </cell>
          <cell r="F6" t="str">
            <v>wheat</v>
          </cell>
          <cell r="G6" t="str">
            <v>Sonalika</v>
          </cell>
          <cell r="H6">
            <v>2007</v>
          </cell>
          <cell r="I6" t="str">
            <v>OTC</v>
          </cell>
          <cell r="J6" t="str">
            <v>field</v>
          </cell>
          <cell r="K6" t="str">
            <v>CF</v>
          </cell>
          <cell r="L6">
            <v>0</v>
          </cell>
          <cell r="M6">
            <v>4.7</v>
          </cell>
          <cell r="N6">
            <v>12</v>
          </cell>
          <cell r="O6">
            <v>90</v>
          </cell>
          <cell r="P6">
            <v>3</v>
          </cell>
          <cell r="Q6">
            <v>0</v>
          </cell>
          <cell r="R6" t="str">
            <v>Total grain no. ear-1</v>
          </cell>
          <cell r="S6">
            <v>26.983358586507201</v>
          </cell>
          <cell r="T6" t="str">
            <v>28.6749222210849</v>
          </cell>
          <cell r="U6" t="str">
            <v>0.941009029426879</v>
          </cell>
        </row>
        <row r="7">
          <cell r="B7" t="str">
            <v>2010-112Sonalika2007OTC</v>
          </cell>
          <cell r="C7" t="str">
            <v>2010-112</v>
          </cell>
          <cell r="D7" t="str">
            <v>Sarkar</v>
          </cell>
          <cell r="E7" t="str">
            <v>India</v>
          </cell>
          <cell r="F7" t="str">
            <v>wheat</v>
          </cell>
          <cell r="G7" t="str">
            <v>Sonalika</v>
          </cell>
          <cell r="H7">
            <v>2007</v>
          </cell>
          <cell r="I7" t="str">
            <v>OTC</v>
          </cell>
          <cell r="J7" t="str">
            <v>field</v>
          </cell>
          <cell r="K7" t="str">
            <v>NF</v>
          </cell>
          <cell r="L7">
            <v>7.9</v>
          </cell>
          <cell r="M7">
            <v>45.3</v>
          </cell>
          <cell r="N7">
            <v>12</v>
          </cell>
          <cell r="O7">
            <v>90</v>
          </cell>
          <cell r="P7">
            <v>3</v>
          </cell>
          <cell r="Q7">
            <v>7.9</v>
          </cell>
          <cell r="R7" t="str">
            <v>Total grain no. ear-1</v>
          </cell>
          <cell r="S7">
            <v>25.4028194370288</v>
          </cell>
          <cell r="T7" t="str">
            <v>28.6749222210849</v>
          </cell>
          <cell r="U7" t="str">
            <v>0.885889811919035</v>
          </cell>
        </row>
        <row r="8">
          <cell r="B8" t="str">
            <v>2010-112Sonalika2007OTC</v>
          </cell>
          <cell r="C8" t="str">
            <v>2010-112</v>
          </cell>
          <cell r="D8" t="str">
            <v>Sarkar</v>
          </cell>
          <cell r="E8" t="str">
            <v>India</v>
          </cell>
          <cell r="F8" t="str">
            <v>wheat</v>
          </cell>
          <cell r="G8" t="str">
            <v>Sonalika</v>
          </cell>
          <cell r="H8">
            <v>2007</v>
          </cell>
          <cell r="I8" t="str">
            <v>OTC</v>
          </cell>
          <cell r="J8" t="str">
            <v>field</v>
          </cell>
          <cell r="K8" t="str">
            <v>EO3-1</v>
          </cell>
          <cell r="L8">
            <v>10.4</v>
          </cell>
          <cell r="M8">
            <v>50.4</v>
          </cell>
          <cell r="N8">
            <v>12</v>
          </cell>
          <cell r="O8">
            <v>90</v>
          </cell>
          <cell r="P8">
            <v>3</v>
          </cell>
          <cell r="Q8">
            <v>10.4</v>
          </cell>
          <cell r="R8" t="str">
            <v>Total grain no. ear-1</v>
          </cell>
          <cell r="S8">
            <v>29.599050350575599</v>
          </cell>
          <cell r="T8" t="str">
            <v>28.6749222210849</v>
          </cell>
          <cell r="U8" t="str">
            <v>1.03222782860989</v>
          </cell>
        </row>
        <row r="9">
          <cell r="B9" t="str">
            <v>2010-112Sonalika2007OTC</v>
          </cell>
          <cell r="C9" t="str">
            <v>2010-112</v>
          </cell>
          <cell r="D9" t="str">
            <v>Sarkar</v>
          </cell>
          <cell r="E9" t="str">
            <v>India</v>
          </cell>
          <cell r="F9" t="str">
            <v>wheat</v>
          </cell>
          <cell r="G9" t="str">
            <v>Sonalika</v>
          </cell>
          <cell r="H9">
            <v>2007</v>
          </cell>
          <cell r="I9" t="str">
            <v>OTC</v>
          </cell>
          <cell r="J9" t="str">
            <v>field</v>
          </cell>
          <cell r="K9" t="str">
            <v>EO3-2</v>
          </cell>
          <cell r="L9">
            <v>13.1</v>
          </cell>
          <cell r="M9">
            <v>55.6</v>
          </cell>
          <cell r="N9">
            <v>12</v>
          </cell>
          <cell r="O9">
            <v>90</v>
          </cell>
          <cell r="P9">
            <v>3</v>
          </cell>
          <cell r="Q9">
            <v>13.1</v>
          </cell>
          <cell r="R9" t="str">
            <v>Total grain no. ear-1</v>
          </cell>
          <cell r="S9">
            <v>32.834253218017103</v>
          </cell>
          <cell r="T9" t="str">
            <v>28.6749222210849</v>
          </cell>
          <cell r="U9" t="str">
            <v>1.14505126015308</v>
          </cell>
        </row>
        <row r="10">
          <cell r="B10" t="str">
            <v>2015-100PBW3432008OTC</v>
          </cell>
          <cell r="C10" t="str">
            <v>2015-100</v>
          </cell>
          <cell r="D10" t="str">
            <v>Tomer</v>
          </cell>
          <cell r="E10" t="str">
            <v>India</v>
          </cell>
          <cell r="F10" t="str">
            <v>wheat</v>
          </cell>
          <cell r="G10" t="str">
            <v>PBW343</v>
          </cell>
          <cell r="H10">
            <v>2008</v>
          </cell>
          <cell r="I10" t="str">
            <v>OTC</v>
          </cell>
          <cell r="J10" t="str">
            <v>field</v>
          </cell>
          <cell r="K10" t="str">
            <v>NF</v>
          </cell>
          <cell r="L10">
            <v>2.0499999999999998</v>
          </cell>
          <cell r="M10">
            <v>30.9</v>
          </cell>
          <cell r="N10">
            <v>7</v>
          </cell>
          <cell r="O10">
            <v>123</v>
          </cell>
          <cell r="P10">
            <v>3</v>
          </cell>
          <cell r="Q10">
            <v>1.5</v>
          </cell>
          <cell r="R10" t="str">
            <v>Total grain no. ear-1</v>
          </cell>
          <cell r="S10">
            <v>52.3</v>
          </cell>
          <cell r="T10" t="str">
            <v>52.3820261663631</v>
          </cell>
          <cell r="U10" t="str">
            <v>0.998434157260464</v>
          </cell>
        </row>
        <row r="11">
          <cell r="B11" t="str">
            <v>2015-100PBW3432008OTC</v>
          </cell>
          <cell r="C11" t="str">
            <v>2015-100</v>
          </cell>
          <cell r="D11" t="str">
            <v>Tomer</v>
          </cell>
          <cell r="E11" t="str">
            <v>India</v>
          </cell>
          <cell r="F11" t="str">
            <v>wheat</v>
          </cell>
          <cell r="G11" t="str">
            <v>PBW343</v>
          </cell>
          <cell r="H11">
            <v>2008</v>
          </cell>
          <cell r="I11" t="str">
            <v>OTC</v>
          </cell>
          <cell r="J11" t="str">
            <v>field</v>
          </cell>
          <cell r="K11" t="str">
            <v>CF</v>
          </cell>
          <cell r="L11">
            <v>0</v>
          </cell>
          <cell r="M11">
            <v>5.25</v>
          </cell>
          <cell r="N11">
            <v>7</v>
          </cell>
          <cell r="O11">
            <v>123</v>
          </cell>
          <cell r="P11">
            <v>3</v>
          </cell>
          <cell r="Q11">
            <v>0</v>
          </cell>
          <cell r="R11" t="str">
            <v>Total grain no. ear-1</v>
          </cell>
          <cell r="S11">
            <v>56.3</v>
          </cell>
          <cell r="T11" t="str">
            <v>52.3820261663631</v>
          </cell>
          <cell r="U11" t="str">
            <v>1.07479623429759</v>
          </cell>
        </row>
        <row r="12">
          <cell r="B12" t="str">
            <v>2015-100PBW3432008OTC</v>
          </cell>
          <cell r="C12" t="str">
            <v>2015-100</v>
          </cell>
          <cell r="D12" t="str">
            <v>Tomer</v>
          </cell>
          <cell r="E12" t="str">
            <v>India</v>
          </cell>
          <cell r="F12" t="str">
            <v>wheat</v>
          </cell>
          <cell r="G12" t="str">
            <v>PBW343</v>
          </cell>
          <cell r="H12">
            <v>2008</v>
          </cell>
          <cell r="I12" t="str">
            <v>OTC</v>
          </cell>
          <cell r="J12" t="str">
            <v>field</v>
          </cell>
          <cell r="K12" t="str">
            <v>EO3</v>
          </cell>
          <cell r="L12">
            <v>16.62</v>
          </cell>
          <cell r="M12">
            <v>59.2</v>
          </cell>
          <cell r="N12">
            <v>7</v>
          </cell>
          <cell r="O12">
            <v>123</v>
          </cell>
          <cell r="P12">
            <v>3</v>
          </cell>
          <cell r="Q12">
            <v>12.1609756097561</v>
          </cell>
          <cell r="R12" t="str">
            <v>Total grain no. ear-1</v>
          </cell>
          <cell r="S12">
            <v>48.5</v>
          </cell>
          <cell r="T12" t="str">
            <v>52.3820261663631</v>
          </cell>
          <cell r="U12" t="str">
            <v>0.925890184075192</v>
          </cell>
        </row>
        <row r="13">
          <cell r="B13" t="str">
            <v>2015-100PBW3432009OTC</v>
          </cell>
          <cell r="C13" t="str">
            <v>2015-100</v>
          </cell>
          <cell r="D13" t="str">
            <v>Tomer</v>
          </cell>
          <cell r="E13" t="str">
            <v>India</v>
          </cell>
          <cell r="F13" t="str">
            <v>wheat</v>
          </cell>
          <cell r="G13" t="str">
            <v>PBW343</v>
          </cell>
          <cell r="H13">
            <v>2009</v>
          </cell>
          <cell r="I13" t="str">
            <v>OTC</v>
          </cell>
          <cell r="J13" t="str">
            <v>field</v>
          </cell>
          <cell r="K13" t="str">
            <v>NF</v>
          </cell>
          <cell r="L13">
            <v>2.39</v>
          </cell>
          <cell r="M13">
            <v>34.9</v>
          </cell>
          <cell r="N13">
            <v>7</v>
          </cell>
          <cell r="O13">
            <v>135</v>
          </cell>
          <cell r="P13">
            <v>3</v>
          </cell>
          <cell r="Q13">
            <v>1.5933333333333299</v>
          </cell>
          <cell r="R13" t="str">
            <v>Total grain no. ear-1</v>
          </cell>
          <cell r="S13">
            <v>44.8</v>
          </cell>
          <cell r="T13" t="str">
            <v>44.560796923002</v>
          </cell>
          <cell r="U13" t="str">
            <v>1.00536809593309</v>
          </cell>
        </row>
        <row r="14">
          <cell r="B14" t="str">
            <v>2015-100PBW3432009OTC</v>
          </cell>
          <cell r="C14" t="str">
            <v>2015-100</v>
          </cell>
          <cell r="D14" t="str">
            <v>Tomer</v>
          </cell>
          <cell r="E14" t="str">
            <v>India</v>
          </cell>
          <cell r="F14" t="str">
            <v>wheat</v>
          </cell>
          <cell r="G14" t="str">
            <v>PBW343</v>
          </cell>
          <cell r="H14">
            <v>2009</v>
          </cell>
          <cell r="I14" t="str">
            <v>OTC</v>
          </cell>
          <cell r="J14" t="str">
            <v>field</v>
          </cell>
          <cell r="K14" t="str">
            <v>CF</v>
          </cell>
          <cell r="L14">
            <v>0</v>
          </cell>
          <cell r="M14">
            <v>7.69</v>
          </cell>
          <cell r="N14">
            <v>7</v>
          </cell>
          <cell r="O14">
            <v>135</v>
          </cell>
          <cell r="P14">
            <v>3</v>
          </cell>
          <cell r="Q14">
            <v>0</v>
          </cell>
          <cell r="R14" t="str">
            <v>Total grain no. ear-1</v>
          </cell>
          <cell r="S14">
            <v>48.1</v>
          </cell>
          <cell r="T14" t="str">
            <v>44.560796923002</v>
          </cell>
          <cell r="U14" t="str">
            <v>1.07942422799959</v>
          </cell>
        </row>
        <row r="15">
          <cell r="B15" t="str">
            <v>2015-100PBW3432009OTC</v>
          </cell>
          <cell r="C15" t="str">
            <v>2015-100</v>
          </cell>
          <cell r="D15" t="str">
            <v>Tomer</v>
          </cell>
          <cell r="E15" t="str">
            <v>India</v>
          </cell>
          <cell r="F15" t="str">
            <v>wheat</v>
          </cell>
          <cell r="G15" t="str">
            <v>PBW343</v>
          </cell>
          <cell r="H15">
            <v>2009</v>
          </cell>
          <cell r="I15" t="str">
            <v>OTC</v>
          </cell>
          <cell r="J15" t="str">
            <v>field</v>
          </cell>
          <cell r="K15" t="str">
            <v>EO3</v>
          </cell>
          <cell r="L15">
            <v>17.96</v>
          </cell>
          <cell r="M15">
            <v>65.349999999999994</v>
          </cell>
          <cell r="N15">
            <v>7</v>
          </cell>
          <cell r="O15">
            <v>135</v>
          </cell>
          <cell r="P15">
            <v>3</v>
          </cell>
          <cell r="Q15">
            <v>11.973333333333301</v>
          </cell>
          <cell r="R15" t="str">
            <v>Total grain no. ear-1</v>
          </cell>
          <cell r="S15">
            <v>40.799999999999997</v>
          </cell>
          <cell r="T15" t="str">
            <v>44.560796923002</v>
          </cell>
          <cell r="U15" t="str">
            <v>0.915603087367632</v>
          </cell>
        </row>
        <row r="16">
          <cell r="B16" t="str">
            <v>2013-76HUW372011OTC</v>
          </cell>
          <cell r="C16" t="str">
            <v>2013-76</v>
          </cell>
          <cell r="D16" t="str">
            <v>Mishra</v>
          </cell>
          <cell r="E16" t="str">
            <v>India</v>
          </cell>
          <cell r="F16" t="str">
            <v>wheat</v>
          </cell>
          <cell r="G16" t="str">
            <v>HUW37</v>
          </cell>
          <cell r="H16">
            <v>2011</v>
          </cell>
          <cell r="I16" t="str">
            <v>OTC</v>
          </cell>
          <cell r="J16" t="str">
            <v>field</v>
          </cell>
          <cell r="K16" t="str">
            <v>NF</v>
          </cell>
          <cell r="L16">
            <v>5.0999999999999996</v>
          </cell>
          <cell r="M16">
            <v>48.4</v>
          </cell>
          <cell r="N16">
            <v>8</v>
          </cell>
          <cell r="O16">
            <v>125</v>
          </cell>
          <cell r="P16">
            <v>3</v>
          </cell>
          <cell r="Q16">
            <v>3.6720000000000002</v>
          </cell>
          <cell r="R16" t="str">
            <v>Total grain no. ear-1</v>
          </cell>
          <cell r="S16">
            <v>27.182769133725799</v>
          </cell>
          <cell r="T16" t="str">
            <v>27.8345071457082</v>
          </cell>
          <cell r="U16" t="str">
            <v>0.976585328021204</v>
          </cell>
        </row>
        <row r="17">
          <cell r="B17" t="str">
            <v>2013-76HUW372011OTC</v>
          </cell>
          <cell r="C17" t="str">
            <v>2013-76</v>
          </cell>
          <cell r="D17" t="str">
            <v>Mishra</v>
          </cell>
          <cell r="E17" t="str">
            <v>India</v>
          </cell>
          <cell r="F17" t="str">
            <v>wheat</v>
          </cell>
          <cell r="G17" t="str">
            <v>HUW37</v>
          </cell>
          <cell r="H17">
            <v>2011</v>
          </cell>
          <cell r="I17" t="str">
            <v>OTC</v>
          </cell>
          <cell r="J17" t="str">
            <v>field</v>
          </cell>
          <cell r="K17" t="str">
            <v>EO3</v>
          </cell>
          <cell r="L17">
            <v>8.4</v>
          </cell>
          <cell r="M17">
            <v>55.2</v>
          </cell>
          <cell r="N17">
            <v>8</v>
          </cell>
          <cell r="O17">
            <v>125</v>
          </cell>
          <cell r="P17">
            <v>3</v>
          </cell>
          <cell r="Q17">
            <v>6.048</v>
          </cell>
          <cell r="R17" t="str">
            <v>Total grain no. ear-1</v>
          </cell>
          <cell r="S17">
            <v>28.371827141236501</v>
          </cell>
          <cell r="T17" t="str">
            <v>27.8345071457082</v>
          </cell>
          <cell r="U17" t="str">
            <v>1.01930417681061</v>
          </cell>
        </row>
        <row r="18">
          <cell r="B18" t="str">
            <v>2013-76K91072011OTC</v>
          </cell>
          <cell r="C18" t="str">
            <v>2013-76</v>
          </cell>
          <cell r="D18" t="str">
            <v>Mishra</v>
          </cell>
          <cell r="E18" t="str">
            <v>India</v>
          </cell>
          <cell r="F18" t="str">
            <v>wheat</v>
          </cell>
          <cell r="G18" t="str">
            <v>K9107</v>
          </cell>
          <cell r="H18">
            <v>2011</v>
          </cell>
          <cell r="I18" t="str">
            <v>OTC</v>
          </cell>
          <cell r="J18" t="str">
            <v>field</v>
          </cell>
          <cell r="K18" t="str">
            <v>NF</v>
          </cell>
          <cell r="L18">
            <v>5.0999999999999996</v>
          </cell>
          <cell r="M18">
            <v>48.4</v>
          </cell>
          <cell r="N18">
            <v>8</v>
          </cell>
          <cell r="O18">
            <v>125</v>
          </cell>
          <cell r="P18">
            <v>3</v>
          </cell>
          <cell r="Q18">
            <v>3.6720000000000002</v>
          </cell>
          <cell r="R18" t="str">
            <v>Total grain no. ear-1</v>
          </cell>
          <cell r="S18">
            <v>33.338041531639099</v>
          </cell>
          <cell r="T18" t="str">
            <v>34.0154894462562</v>
          </cell>
          <cell r="U18" t="str">
            <v>0.980084212232952</v>
          </cell>
        </row>
        <row r="19">
          <cell r="B19" t="str">
            <v>2013-76K91072011OTC</v>
          </cell>
          <cell r="C19" t="str">
            <v>2013-76</v>
          </cell>
          <cell r="D19" t="str">
            <v>Mishra</v>
          </cell>
          <cell r="E19" t="str">
            <v>India</v>
          </cell>
          <cell r="F19" t="str">
            <v>wheat</v>
          </cell>
          <cell r="G19" t="str">
            <v>K9107</v>
          </cell>
          <cell r="H19">
            <v>2011</v>
          </cell>
          <cell r="I19" t="str">
            <v>OTC</v>
          </cell>
          <cell r="J19" t="str">
            <v>field</v>
          </cell>
          <cell r="K19" t="str">
            <v>EO3</v>
          </cell>
          <cell r="L19">
            <v>8.4</v>
          </cell>
          <cell r="M19">
            <v>55.2</v>
          </cell>
          <cell r="N19">
            <v>8</v>
          </cell>
          <cell r="O19">
            <v>125</v>
          </cell>
          <cell r="P19">
            <v>3</v>
          </cell>
          <cell r="Q19">
            <v>6.048</v>
          </cell>
          <cell r="R19" t="str">
            <v>Total grain no. ear-1</v>
          </cell>
          <cell r="S19">
            <v>34.548348802072098</v>
          </cell>
          <cell r="T19" t="str">
            <v>34.0154894462562</v>
          </cell>
          <cell r="U19" t="str">
            <v>1.01566527798261</v>
          </cell>
        </row>
        <row r="20">
          <cell r="B20" t="str">
            <v>2019-164C3062016FACE</v>
          </cell>
          <cell r="C20" t="str">
            <v>2019-164</v>
          </cell>
          <cell r="D20" t="str">
            <v>Yadav</v>
          </cell>
          <cell r="E20" t="str">
            <v>India</v>
          </cell>
          <cell r="F20" t="str">
            <v>wheat</v>
          </cell>
          <cell r="G20" t="str">
            <v>C306</v>
          </cell>
          <cell r="H20">
            <v>2016</v>
          </cell>
          <cell r="I20" t="str">
            <v>FACE</v>
          </cell>
          <cell r="J20" t="str">
            <v>field</v>
          </cell>
          <cell r="K20" t="str">
            <v>NF</v>
          </cell>
          <cell r="L20"/>
          <cell r="M20">
            <v>30.7</v>
          </cell>
          <cell r="N20">
            <v>7</v>
          </cell>
          <cell r="O20">
            <v>160</v>
          </cell>
          <cell r="P20">
            <v>4</v>
          </cell>
          <cell r="Q20">
            <v>2.6636551037927898</v>
          </cell>
          <cell r="R20" t="str">
            <v>Total grain no. ear-1</v>
          </cell>
          <cell r="S20">
            <v>42.2</v>
          </cell>
          <cell r="T20" t="str">
            <v>39.0544487185643</v>
          </cell>
          <cell r="U20" t="str">
            <v>1.08054279945117</v>
          </cell>
        </row>
        <row r="21">
          <cell r="B21" t="str">
            <v>2019-164C3062016FACE</v>
          </cell>
          <cell r="C21" t="str">
            <v>2019-164</v>
          </cell>
          <cell r="D21" t="str">
            <v>Yadav</v>
          </cell>
          <cell r="E21" t="str">
            <v>India</v>
          </cell>
          <cell r="F21" t="str">
            <v>wheat</v>
          </cell>
          <cell r="G21" t="str">
            <v>C306</v>
          </cell>
          <cell r="H21">
            <v>2016</v>
          </cell>
          <cell r="I21" t="str">
            <v>FACE</v>
          </cell>
          <cell r="J21" t="str">
            <v>field</v>
          </cell>
          <cell r="K21" t="str">
            <v>EO3</v>
          </cell>
          <cell r="L21">
            <v>31.232610000000001</v>
          </cell>
          <cell r="M21">
            <v>72.2</v>
          </cell>
          <cell r="N21">
            <v>7</v>
          </cell>
          <cell r="O21">
            <v>160</v>
          </cell>
          <cell r="P21">
            <v>4</v>
          </cell>
          <cell r="Q21">
            <v>17.568343124999998</v>
          </cell>
          <cell r="R21" t="str">
            <v>Total grain no. ear-1</v>
          </cell>
          <cell r="S21">
            <v>35.799999999999997</v>
          </cell>
          <cell r="T21" t="str">
            <v>39.0544487185643</v>
          </cell>
          <cell r="U21" t="str">
            <v>0.916669009960945</v>
          </cell>
        </row>
        <row r="22">
          <cell r="B22" t="str">
            <v>2019-164HD29672016FACE</v>
          </cell>
          <cell r="C22" t="str">
            <v>2019-164</v>
          </cell>
          <cell r="D22" t="str">
            <v>Yadav</v>
          </cell>
          <cell r="E22" t="str">
            <v>India</v>
          </cell>
          <cell r="F22" t="str">
            <v>wheat</v>
          </cell>
          <cell r="G22" t="str">
            <v>HD2967</v>
          </cell>
          <cell r="H22">
            <v>2016</v>
          </cell>
          <cell r="I22" t="str">
            <v>FACE</v>
          </cell>
          <cell r="J22" t="str">
            <v>field</v>
          </cell>
          <cell r="K22" t="str">
            <v>NF</v>
          </cell>
          <cell r="L22"/>
          <cell r="M22">
            <v>30.7</v>
          </cell>
          <cell r="N22">
            <v>7</v>
          </cell>
          <cell r="O22">
            <v>160</v>
          </cell>
          <cell r="P22">
            <v>4</v>
          </cell>
          <cell r="Q22">
            <v>2.6636551037927898</v>
          </cell>
          <cell r="R22" t="str">
            <v>Total grain no. ear-1</v>
          </cell>
          <cell r="S22">
            <v>41.3</v>
          </cell>
          <cell r="T22" t="str">
            <v>41.0937060893374</v>
          </cell>
          <cell r="U22" t="str">
            <v>1.00502016508712</v>
          </cell>
        </row>
        <row r="23">
          <cell r="B23" t="str">
            <v>2019-164HD29672016FACE</v>
          </cell>
          <cell r="C23" t="str">
            <v>2019-164</v>
          </cell>
          <cell r="D23" t="str">
            <v>Yadav</v>
          </cell>
          <cell r="E23" t="str">
            <v>India</v>
          </cell>
          <cell r="F23" t="str">
            <v>wheat</v>
          </cell>
          <cell r="G23" t="str">
            <v>HD2967</v>
          </cell>
          <cell r="H23">
            <v>2016</v>
          </cell>
          <cell r="I23" t="str">
            <v>FACE</v>
          </cell>
          <cell r="J23" t="str">
            <v>field</v>
          </cell>
          <cell r="K23" t="str">
            <v>EO3</v>
          </cell>
          <cell r="L23">
            <v>31.232610000000001</v>
          </cell>
          <cell r="M23">
            <v>72.2</v>
          </cell>
          <cell r="N23">
            <v>7</v>
          </cell>
          <cell r="O23">
            <v>160</v>
          </cell>
          <cell r="P23">
            <v>4</v>
          </cell>
          <cell r="Q23">
            <v>17.568343124999998</v>
          </cell>
          <cell r="R23" t="str">
            <v>Total grain no. ear-1</v>
          </cell>
          <cell r="S23">
            <v>40.5</v>
          </cell>
          <cell r="T23" t="str">
            <v>41.0937060893374</v>
          </cell>
          <cell r="U23" t="str">
            <v>0.985552462131433</v>
          </cell>
        </row>
        <row r="24">
          <cell r="B24" t="str">
            <v>2019-164C3062017FACE</v>
          </cell>
          <cell r="C24" t="str">
            <v>2019-164</v>
          </cell>
          <cell r="D24" t="str">
            <v>Yadav</v>
          </cell>
          <cell r="E24" t="str">
            <v>India</v>
          </cell>
          <cell r="F24" t="str">
            <v>wheat</v>
          </cell>
          <cell r="G24" t="str">
            <v>C306</v>
          </cell>
          <cell r="H24">
            <v>2017</v>
          </cell>
          <cell r="I24" t="str">
            <v>FACE</v>
          </cell>
          <cell r="J24" t="str">
            <v>field</v>
          </cell>
          <cell r="K24" t="str">
            <v>NF</v>
          </cell>
          <cell r="L24"/>
          <cell r="M24">
            <v>30.7</v>
          </cell>
          <cell r="N24">
            <v>7</v>
          </cell>
          <cell r="O24">
            <v>160</v>
          </cell>
          <cell r="P24">
            <v>4</v>
          </cell>
          <cell r="Q24">
            <v>2.6636551037927898</v>
          </cell>
          <cell r="R24" t="str">
            <v>Total grain no. ear-1</v>
          </cell>
          <cell r="S24">
            <v>43</v>
          </cell>
          <cell r="T24" t="str">
            <v>42.751174317228</v>
          </cell>
          <cell r="U24" t="str">
            <v>1.00582040375781</v>
          </cell>
        </row>
        <row r="25">
          <cell r="B25" t="str">
            <v>2019-164C3062017FACE</v>
          </cell>
          <cell r="C25" t="str">
            <v>2019-164</v>
          </cell>
          <cell r="D25" t="str">
            <v>Yadav</v>
          </cell>
          <cell r="E25" t="str">
            <v>India</v>
          </cell>
          <cell r="F25" t="str">
            <v>wheat</v>
          </cell>
          <cell r="G25" t="str">
            <v>C306</v>
          </cell>
          <cell r="H25">
            <v>2017</v>
          </cell>
          <cell r="I25" t="str">
            <v>FACE</v>
          </cell>
          <cell r="J25" t="str">
            <v>field</v>
          </cell>
          <cell r="K25" t="str">
            <v>EO3</v>
          </cell>
          <cell r="L25">
            <v>31.232610000000001</v>
          </cell>
          <cell r="M25">
            <v>72.2</v>
          </cell>
          <cell r="N25">
            <v>7</v>
          </cell>
          <cell r="O25">
            <v>160</v>
          </cell>
          <cell r="P25">
            <v>4</v>
          </cell>
          <cell r="Q25">
            <v>17.568343124999998</v>
          </cell>
          <cell r="R25" t="str">
            <v>Total grain no. ear-1</v>
          </cell>
          <cell r="S25">
            <v>42.1</v>
          </cell>
          <cell r="T25" t="str">
            <v>42.751174317228</v>
          </cell>
          <cell r="U25" t="str">
            <v>0.984768348795441</v>
          </cell>
        </row>
        <row r="26">
          <cell r="B26" t="str">
            <v>2019-164HD29672017FACE</v>
          </cell>
          <cell r="C26" t="str">
            <v>2019-164</v>
          </cell>
          <cell r="D26" t="str">
            <v>Yadav</v>
          </cell>
          <cell r="E26" t="str">
            <v>India</v>
          </cell>
          <cell r="F26" t="str">
            <v>wheat</v>
          </cell>
          <cell r="G26" t="str">
            <v>HD2967</v>
          </cell>
          <cell r="H26">
            <v>2017</v>
          </cell>
          <cell r="I26" t="str">
            <v>FACE</v>
          </cell>
          <cell r="J26" t="str">
            <v>field</v>
          </cell>
          <cell r="K26" t="str">
            <v>NF</v>
          </cell>
          <cell r="L26"/>
          <cell r="M26">
            <v>30.7</v>
          </cell>
          <cell r="N26">
            <v>7</v>
          </cell>
          <cell r="O26">
            <v>160</v>
          </cell>
          <cell r="P26">
            <v>4</v>
          </cell>
          <cell r="Q26">
            <v>2.6636551037927898</v>
          </cell>
          <cell r="R26" t="str">
            <v>Total grain no. ear-1</v>
          </cell>
          <cell r="S26">
            <v>52.6</v>
          </cell>
          <cell r="T26" t="str">
            <v>49.2093996159506</v>
          </cell>
          <cell r="U26" t="str">
            <v>1.06890156322431</v>
          </cell>
        </row>
        <row r="27">
          <cell r="B27" t="str">
            <v>2019-164HD29672017FACE</v>
          </cell>
          <cell r="C27" t="str">
            <v>2019-164</v>
          </cell>
          <cell r="D27" t="str">
            <v>Yadav</v>
          </cell>
          <cell r="E27" t="str">
            <v>India</v>
          </cell>
          <cell r="F27" t="str">
            <v>wheat</v>
          </cell>
          <cell r="G27" t="str">
            <v>HD2967</v>
          </cell>
          <cell r="H27">
            <v>2017</v>
          </cell>
          <cell r="I27" t="str">
            <v>FACE</v>
          </cell>
          <cell r="J27" t="str">
            <v>field</v>
          </cell>
          <cell r="K27" t="str">
            <v>EO3</v>
          </cell>
          <cell r="L27">
            <v>31.232610000000001</v>
          </cell>
          <cell r="M27">
            <v>72.2</v>
          </cell>
          <cell r="N27">
            <v>7</v>
          </cell>
          <cell r="O27">
            <v>160</v>
          </cell>
          <cell r="P27">
            <v>4</v>
          </cell>
          <cell r="Q27">
            <v>17.568343124999998</v>
          </cell>
          <cell r="R27" t="str">
            <v>Total grain no. ear-1</v>
          </cell>
          <cell r="S27">
            <v>45.6</v>
          </cell>
          <cell r="T27" t="str">
            <v>49.2093996159506</v>
          </cell>
          <cell r="U27" t="str">
            <v>0.926652305760994</v>
          </cell>
        </row>
        <row r="28">
          <cell r="B28" t="str">
            <v>2020-48HD31182016OTC</v>
          </cell>
          <cell r="C28" t="str">
            <v>2020-48</v>
          </cell>
          <cell r="D28" t="str">
            <v>Durgesh</v>
          </cell>
          <cell r="E28" t="str">
            <v>India</v>
          </cell>
          <cell r="F28" t="str">
            <v>wheat</v>
          </cell>
          <cell r="G28" t="str">
            <v>HD3118</v>
          </cell>
          <cell r="H28">
            <v>2016</v>
          </cell>
          <cell r="I28" t="str">
            <v>OTC</v>
          </cell>
          <cell r="J28" t="str">
            <v>field</v>
          </cell>
          <cell r="K28" t="str">
            <v>NF</v>
          </cell>
          <cell r="L28"/>
          <cell r="M28">
            <v>51.7</v>
          </cell>
          <cell r="N28">
            <v>8</v>
          </cell>
          <cell r="O28">
            <v>100</v>
          </cell>
          <cell r="P28">
            <v>5</v>
          </cell>
          <cell r="Q28">
            <v>16.635934586368901</v>
          </cell>
          <cell r="R28" t="str">
            <v>Total grain no. ear-1</v>
          </cell>
          <cell r="S28">
            <v>94.291301918420601</v>
          </cell>
          <cell r="T28" t="str">
            <v>92.3145606848513</v>
          </cell>
          <cell r="U28" t="str">
            <v>1.02141318447196</v>
          </cell>
        </row>
        <row r="29">
          <cell r="B29" t="str">
            <v>2020-48HD31182016OTC</v>
          </cell>
          <cell r="C29" t="str">
            <v>2020-48</v>
          </cell>
          <cell r="D29" t="str">
            <v>Durgesh</v>
          </cell>
          <cell r="E29" t="str">
            <v>India</v>
          </cell>
          <cell r="F29" t="str">
            <v>wheat</v>
          </cell>
          <cell r="G29" t="str">
            <v>HD3118</v>
          </cell>
          <cell r="H29">
            <v>2016</v>
          </cell>
          <cell r="I29" t="str">
            <v>OTC</v>
          </cell>
          <cell r="J29" t="str">
            <v>field</v>
          </cell>
          <cell r="K29" t="str">
            <v>EO3</v>
          </cell>
          <cell r="L29"/>
          <cell r="M29">
            <v>71.7</v>
          </cell>
          <cell r="N29">
            <v>8</v>
          </cell>
          <cell r="O29">
            <v>100</v>
          </cell>
          <cell r="P29">
            <v>5</v>
          </cell>
          <cell r="Q29">
            <v>29.338133020351801</v>
          </cell>
          <cell r="R29" t="str">
            <v>Total grain no. ear-1</v>
          </cell>
          <cell r="S29">
            <v>88.435504225783006</v>
          </cell>
          <cell r="T29" t="str">
            <v>92.3145606848513</v>
          </cell>
          <cell r="U29" t="str">
            <v>0.957980090992828</v>
          </cell>
        </row>
        <row r="30">
          <cell r="B30" t="str">
            <v>2020-48HUW2342016OTC</v>
          </cell>
          <cell r="C30" t="str">
            <v>2020-48</v>
          </cell>
          <cell r="D30" t="str">
            <v>Durgesh</v>
          </cell>
          <cell r="E30" t="str">
            <v>India</v>
          </cell>
          <cell r="F30" t="str">
            <v>wheat</v>
          </cell>
          <cell r="G30" t="str">
            <v>HUW234</v>
          </cell>
          <cell r="H30">
            <v>2016</v>
          </cell>
          <cell r="I30" t="str">
            <v>OTC</v>
          </cell>
          <cell r="J30" t="str">
            <v>field</v>
          </cell>
          <cell r="K30" t="str">
            <v>NF</v>
          </cell>
          <cell r="L30"/>
          <cell r="M30">
            <v>51.7</v>
          </cell>
          <cell r="N30">
            <v>8</v>
          </cell>
          <cell r="O30">
            <v>100</v>
          </cell>
          <cell r="P30">
            <v>5</v>
          </cell>
          <cell r="Q30">
            <v>16.635934586368901</v>
          </cell>
          <cell r="R30" t="str">
            <v>Total grain no. ear-1</v>
          </cell>
          <cell r="S30">
            <v>79.213503583251494</v>
          </cell>
          <cell r="T30" t="str">
            <v>80.4445501924322</v>
          </cell>
          <cell r="U30" t="str">
            <v>0.984697032687424</v>
          </cell>
        </row>
        <row r="31">
          <cell r="B31" t="str">
            <v>2020-48HUW2342016OTC</v>
          </cell>
          <cell r="C31" t="str">
            <v>2020-48</v>
          </cell>
          <cell r="D31" t="str">
            <v>Durgesh</v>
          </cell>
          <cell r="E31" t="str">
            <v>India</v>
          </cell>
          <cell r="F31" t="str">
            <v>wheat</v>
          </cell>
          <cell r="G31" t="str">
            <v>HUW234</v>
          </cell>
          <cell r="H31">
            <v>2016</v>
          </cell>
          <cell r="I31" t="str">
            <v>OTC</v>
          </cell>
          <cell r="J31" t="str">
            <v>field</v>
          </cell>
          <cell r="K31" t="str">
            <v>EO3</v>
          </cell>
          <cell r="L31"/>
          <cell r="M31">
            <v>71.7</v>
          </cell>
          <cell r="N31">
            <v>8</v>
          </cell>
          <cell r="O31">
            <v>100</v>
          </cell>
          <cell r="P31">
            <v>5</v>
          </cell>
          <cell r="Q31">
            <v>29.338133020351801</v>
          </cell>
          <cell r="R31" t="str">
            <v>Total grain no. ear-1</v>
          </cell>
          <cell r="S31">
            <v>79.937747594793393</v>
          </cell>
          <cell r="T31" t="str">
            <v>80.4445501924322</v>
          </cell>
          <cell r="U31" t="str">
            <v>0.993700054859742</v>
          </cell>
        </row>
      </sheetData>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4"/>
    </sheetNames>
    <sheetDataSet>
      <sheetData sheetId="0"/>
      <sheetData sheetId="1">
        <row r="1">
          <cell r="B1" t="str">
            <v>EXP_ID</v>
          </cell>
          <cell r="C1" t="str">
            <v>PDFnumber</v>
          </cell>
          <cell r="D1" t="str">
            <v>Author</v>
          </cell>
          <cell r="E1" t="str">
            <v>Area</v>
          </cell>
          <cell r="F1" t="str">
            <v>species</v>
          </cell>
          <cell r="G1" t="str">
            <v>cultivar/genotype</v>
          </cell>
          <cell r="H1" t="str">
            <v>exp.Year</v>
          </cell>
          <cell r="I1" t="str">
            <v>experimental facility</v>
          </cell>
          <cell r="J1" t="str">
            <v>rooting</v>
          </cell>
          <cell r="K1" t="str">
            <v>O3Trt</v>
          </cell>
          <cell r="L1" t="str">
            <v>AOT40</v>
          </cell>
          <cell r="M1" t="str">
            <v>O3 con</v>
          </cell>
          <cell r="N1" t="str">
            <v>O3 moniter hour</v>
          </cell>
          <cell r="O1" t="str">
            <v>AOT40 Days</v>
          </cell>
          <cell r="P1" t="str">
            <v>N</v>
          </cell>
          <cell r="Q1" t="str">
            <v>AOT40_Adjusted</v>
          </cell>
          <cell r="R1" t="str">
            <v>name</v>
          </cell>
          <cell r="S1" t="str">
            <v>value</v>
          </cell>
          <cell r="T1" t="str">
            <v>Y0</v>
          </cell>
          <cell r="U1" t="str">
            <v>RY</v>
          </cell>
        </row>
        <row r="2">
          <cell r="B2" t="str">
            <v>2010-112HUW5102007OTC</v>
          </cell>
          <cell r="C2" t="str">
            <v>2010-112</v>
          </cell>
          <cell r="D2" t="str">
            <v>Sarkar</v>
          </cell>
          <cell r="E2" t="str">
            <v>India</v>
          </cell>
          <cell r="F2" t="str">
            <v>wheat</v>
          </cell>
          <cell r="G2" t="str">
            <v>HUW510</v>
          </cell>
          <cell r="H2">
            <v>2007</v>
          </cell>
          <cell r="I2" t="str">
            <v>OTC</v>
          </cell>
          <cell r="J2" t="str">
            <v>field</v>
          </cell>
          <cell r="K2" t="str">
            <v>CF</v>
          </cell>
          <cell r="L2">
            <v>0</v>
          </cell>
          <cell r="M2">
            <v>4.7</v>
          </cell>
          <cell r="N2">
            <v>12</v>
          </cell>
          <cell r="O2">
            <v>90</v>
          </cell>
          <cell r="P2">
            <v>3</v>
          </cell>
          <cell r="Q2">
            <v>0</v>
          </cell>
          <cell r="R2" t="str">
            <v>ears no. plant-1</v>
          </cell>
          <cell r="S2">
            <v>526.86933059231706</v>
          </cell>
          <cell r="T2" t="str">
            <v>403.60923792164</v>
          </cell>
          <cell r="U2" t="str">
            <v>1.30539462700457</v>
          </cell>
        </row>
        <row r="3">
          <cell r="B3" t="str">
            <v>2010-112HUW5102007OTC</v>
          </cell>
          <cell r="C3" t="str">
            <v>2010-112</v>
          </cell>
          <cell r="D3" t="str">
            <v>Sarkar</v>
          </cell>
          <cell r="E3" t="str">
            <v>India</v>
          </cell>
          <cell r="F3" t="str">
            <v>wheat</v>
          </cell>
          <cell r="G3" t="str">
            <v>HUW510</v>
          </cell>
          <cell r="H3">
            <v>2007</v>
          </cell>
          <cell r="I3" t="str">
            <v>OTC</v>
          </cell>
          <cell r="J3" t="str">
            <v>field</v>
          </cell>
          <cell r="K3" t="str">
            <v>NF</v>
          </cell>
          <cell r="L3">
            <v>7.9</v>
          </cell>
          <cell r="M3">
            <v>45.3</v>
          </cell>
          <cell r="N3">
            <v>12</v>
          </cell>
          <cell r="O3">
            <v>90</v>
          </cell>
          <cell r="P3">
            <v>3</v>
          </cell>
          <cell r="Q3">
            <v>7.9</v>
          </cell>
          <cell r="R3" t="str">
            <v>ears no. plant-1</v>
          </cell>
          <cell r="S3">
            <v>424.48344682855799</v>
          </cell>
          <cell r="T3" t="str">
            <v>403.60923792164</v>
          </cell>
          <cell r="U3" t="str">
            <v>1.05171885810743</v>
          </cell>
        </row>
        <row r="4">
          <cell r="B4" t="str">
            <v>2010-112HUW5102007OTC</v>
          </cell>
          <cell r="C4" t="str">
            <v>2010-112</v>
          </cell>
          <cell r="D4" t="str">
            <v>Sarkar</v>
          </cell>
          <cell r="E4" t="str">
            <v>India</v>
          </cell>
          <cell r="F4" t="str">
            <v>wheat</v>
          </cell>
          <cell r="G4" t="str">
            <v>HUW510</v>
          </cell>
          <cell r="H4">
            <v>2007</v>
          </cell>
          <cell r="I4" t="str">
            <v>OTC</v>
          </cell>
          <cell r="J4" t="str">
            <v>field</v>
          </cell>
          <cell r="K4" t="str">
            <v>EO3-1</v>
          </cell>
          <cell r="L4">
            <v>10.4</v>
          </cell>
          <cell r="M4">
            <v>50.4</v>
          </cell>
          <cell r="N4">
            <v>12</v>
          </cell>
          <cell r="O4">
            <v>90</v>
          </cell>
          <cell r="P4">
            <v>3</v>
          </cell>
          <cell r="Q4">
            <v>10.4</v>
          </cell>
          <cell r="R4" t="str">
            <v>ears no. plant-1</v>
          </cell>
          <cell r="S4">
            <v>304.38625494310998</v>
          </cell>
          <cell r="T4" t="str">
            <v>403.60923792164</v>
          </cell>
          <cell r="U4" t="str">
            <v>0.754160773203625</v>
          </cell>
        </row>
        <row r="5">
          <cell r="B5" t="str">
            <v>2010-112HUW5102007OTC</v>
          </cell>
          <cell r="C5" t="str">
            <v>2010-112</v>
          </cell>
          <cell r="D5" t="str">
            <v>Sarkar</v>
          </cell>
          <cell r="E5" t="str">
            <v>India</v>
          </cell>
          <cell r="F5" t="str">
            <v>wheat</v>
          </cell>
          <cell r="G5" t="str">
            <v>HUW510</v>
          </cell>
          <cell r="H5">
            <v>2007</v>
          </cell>
          <cell r="I5" t="str">
            <v>OTC</v>
          </cell>
          <cell r="J5" t="str">
            <v>field</v>
          </cell>
          <cell r="K5" t="str">
            <v>EO3-2</v>
          </cell>
          <cell r="L5">
            <v>13.1</v>
          </cell>
          <cell r="M5">
            <v>55.6</v>
          </cell>
          <cell r="N5">
            <v>12</v>
          </cell>
          <cell r="O5">
            <v>90</v>
          </cell>
          <cell r="P5">
            <v>3</v>
          </cell>
          <cell r="Q5">
            <v>13.1</v>
          </cell>
          <cell r="R5" t="str">
            <v>ears no. plant-1</v>
          </cell>
          <cell r="S5">
            <v>238.86773166588199</v>
          </cell>
          <cell r="T5" t="str">
            <v>403.60923792164</v>
          </cell>
          <cell r="U5" t="str">
            <v>0.591829198201498</v>
          </cell>
        </row>
        <row r="6">
          <cell r="B6" t="str">
            <v>2010-112Sonalika2007OTC</v>
          </cell>
          <cell r="C6" t="str">
            <v>2010-112</v>
          </cell>
          <cell r="D6" t="str">
            <v>Sarkar</v>
          </cell>
          <cell r="E6" t="str">
            <v>India</v>
          </cell>
          <cell r="F6" t="str">
            <v>wheat</v>
          </cell>
          <cell r="G6" t="str">
            <v>Sonalika</v>
          </cell>
          <cell r="H6">
            <v>2007</v>
          </cell>
          <cell r="I6" t="str">
            <v>OTC</v>
          </cell>
          <cell r="J6" t="str">
            <v>field</v>
          </cell>
          <cell r="K6" t="str">
            <v>CF</v>
          </cell>
          <cell r="L6">
            <v>0</v>
          </cell>
          <cell r="M6">
            <v>4.7</v>
          </cell>
          <cell r="N6">
            <v>12</v>
          </cell>
          <cell r="O6">
            <v>90</v>
          </cell>
          <cell r="P6">
            <v>3</v>
          </cell>
          <cell r="Q6">
            <v>0</v>
          </cell>
          <cell r="R6" t="str">
            <v>ears no. plant-1</v>
          </cell>
          <cell r="S6">
            <v>493.44423030250903</v>
          </cell>
          <cell r="T6" t="str">
            <v>419.160628276864</v>
          </cell>
          <cell r="U6" t="str">
            <v>1.17721989379351</v>
          </cell>
        </row>
        <row r="7">
          <cell r="B7" t="str">
            <v>2010-112Sonalika2007OTC</v>
          </cell>
          <cell r="C7" t="str">
            <v>2010-112</v>
          </cell>
          <cell r="D7" t="str">
            <v>Sarkar</v>
          </cell>
          <cell r="E7" t="str">
            <v>India</v>
          </cell>
          <cell r="F7" t="str">
            <v>wheat</v>
          </cell>
          <cell r="G7" t="str">
            <v>Sonalika</v>
          </cell>
          <cell r="H7">
            <v>2007</v>
          </cell>
          <cell r="I7" t="str">
            <v>OTC</v>
          </cell>
          <cell r="J7" t="str">
            <v>field</v>
          </cell>
          <cell r="K7" t="str">
            <v>NF</v>
          </cell>
          <cell r="L7">
            <v>7.9</v>
          </cell>
          <cell r="M7">
            <v>45.3</v>
          </cell>
          <cell r="N7">
            <v>12</v>
          </cell>
          <cell r="O7">
            <v>90</v>
          </cell>
          <cell r="P7">
            <v>3</v>
          </cell>
          <cell r="Q7">
            <v>7.9</v>
          </cell>
          <cell r="R7" t="str">
            <v>ears no. plant-1</v>
          </cell>
          <cell r="S7">
            <v>429.25738432766502</v>
          </cell>
          <cell r="T7" t="str">
            <v>419.160628276864</v>
          </cell>
          <cell r="U7" t="str">
            <v>1.02408803539662</v>
          </cell>
        </row>
        <row r="8">
          <cell r="B8" t="str">
            <v>2010-112Sonalika2007OTC</v>
          </cell>
          <cell r="C8" t="str">
            <v>2010-112</v>
          </cell>
          <cell r="D8" t="str">
            <v>Sarkar</v>
          </cell>
          <cell r="E8" t="str">
            <v>India</v>
          </cell>
          <cell r="F8" t="str">
            <v>wheat</v>
          </cell>
          <cell r="G8" t="str">
            <v>Sonalika</v>
          </cell>
          <cell r="H8">
            <v>2007</v>
          </cell>
          <cell r="I8" t="str">
            <v>OTC</v>
          </cell>
          <cell r="J8" t="str">
            <v>field</v>
          </cell>
          <cell r="K8" t="str">
            <v>EO3-1</v>
          </cell>
          <cell r="L8">
            <v>10.4</v>
          </cell>
          <cell r="M8">
            <v>50.4</v>
          </cell>
          <cell r="N8">
            <v>12</v>
          </cell>
          <cell r="O8">
            <v>90</v>
          </cell>
          <cell r="P8">
            <v>3</v>
          </cell>
          <cell r="Q8">
            <v>10.4</v>
          </cell>
          <cell r="R8" t="str">
            <v>ears no. plant-1</v>
          </cell>
          <cell r="S8">
            <v>329.62279612260301</v>
          </cell>
          <cell r="T8" t="str">
            <v>419.160628276864</v>
          </cell>
          <cell r="U8" t="str">
            <v>0.786387780449839</v>
          </cell>
        </row>
        <row r="9">
          <cell r="B9" t="str">
            <v>2010-112Sonalika2007OTC</v>
          </cell>
          <cell r="C9" t="str">
            <v>2010-112</v>
          </cell>
          <cell r="D9" t="str">
            <v>Sarkar</v>
          </cell>
          <cell r="E9" t="str">
            <v>India</v>
          </cell>
          <cell r="F9" t="str">
            <v>wheat</v>
          </cell>
          <cell r="G9" t="str">
            <v>Sonalika</v>
          </cell>
          <cell r="H9">
            <v>2007</v>
          </cell>
          <cell r="I9" t="str">
            <v>OTC</v>
          </cell>
          <cell r="J9" t="str">
            <v>field</v>
          </cell>
          <cell r="K9" t="str">
            <v>EO3-2</v>
          </cell>
          <cell r="L9">
            <v>13.1</v>
          </cell>
          <cell r="M9">
            <v>55.6</v>
          </cell>
          <cell r="N9">
            <v>12</v>
          </cell>
          <cell r="O9">
            <v>90</v>
          </cell>
          <cell r="P9">
            <v>3</v>
          </cell>
          <cell r="Q9">
            <v>13.1</v>
          </cell>
          <cell r="R9" t="str">
            <v>ears no. plant-1</v>
          </cell>
          <cell r="S9">
            <v>270.92597827173199</v>
          </cell>
          <cell r="T9" t="str">
            <v>419.160628276864</v>
          </cell>
          <cell r="U9" t="str">
            <v>0.646353593336012</v>
          </cell>
        </row>
        <row r="10">
          <cell r="B10" t="str">
            <v>2015-100PBW3432008OTC</v>
          </cell>
          <cell r="C10" t="str">
            <v>2015-100</v>
          </cell>
          <cell r="D10" t="str">
            <v>Tomer</v>
          </cell>
          <cell r="E10" t="str">
            <v>India</v>
          </cell>
          <cell r="F10" t="str">
            <v>wheat</v>
          </cell>
          <cell r="G10" t="str">
            <v>PBW343</v>
          </cell>
          <cell r="H10">
            <v>2008</v>
          </cell>
          <cell r="I10" t="str">
            <v>OTC</v>
          </cell>
          <cell r="J10" t="str">
            <v>field</v>
          </cell>
          <cell r="K10" t="str">
            <v>NF</v>
          </cell>
          <cell r="L10">
            <v>2.0499999999999998</v>
          </cell>
          <cell r="M10">
            <v>30.9</v>
          </cell>
          <cell r="N10">
            <v>7</v>
          </cell>
          <cell r="O10">
            <v>123</v>
          </cell>
          <cell r="P10">
            <v>3</v>
          </cell>
          <cell r="Q10">
            <v>1.5</v>
          </cell>
          <cell r="R10" t="str">
            <v>ears no. plant-1</v>
          </cell>
          <cell r="S10">
            <v>10.8</v>
          </cell>
          <cell r="T10" t="str">
            <v>11.5078798437648</v>
          </cell>
          <cell r="U10" t="str">
            <v>0.938487379658526</v>
          </cell>
        </row>
        <row r="11">
          <cell r="B11" t="str">
            <v>2015-100PBW3432008OTC</v>
          </cell>
          <cell r="C11" t="str">
            <v>2015-100</v>
          </cell>
          <cell r="D11" t="str">
            <v>Tomer</v>
          </cell>
          <cell r="E11" t="str">
            <v>India</v>
          </cell>
          <cell r="F11" t="str">
            <v>wheat</v>
          </cell>
          <cell r="G11" t="str">
            <v>PBW343</v>
          </cell>
          <cell r="H11">
            <v>2008</v>
          </cell>
          <cell r="I11" t="str">
            <v>OTC</v>
          </cell>
          <cell r="J11" t="str">
            <v>field</v>
          </cell>
          <cell r="K11" t="str">
            <v>CF</v>
          </cell>
          <cell r="L11">
            <v>0</v>
          </cell>
          <cell r="M11">
            <v>5.25</v>
          </cell>
          <cell r="N11">
            <v>7</v>
          </cell>
          <cell r="O11">
            <v>123</v>
          </cell>
          <cell r="P11">
            <v>3</v>
          </cell>
          <cell r="Q11">
            <v>0</v>
          </cell>
          <cell r="R11" t="str">
            <v>ears no. plant-1</v>
          </cell>
          <cell r="S11">
            <v>12</v>
          </cell>
          <cell r="T11" t="str">
            <v>11.5078798437648</v>
          </cell>
          <cell r="U11" t="str">
            <v>1.04276375517614</v>
          </cell>
        </row>
        <row r="12">
          <cell r="B12" t="str">
            <v>2015-100PBW3432008OTC</v>
          </cell>
          <cell r="C12" t="str">
            <v>2015-100</v>
          </cell>
          <cell r="D12" t="str">
            <v>Tomer</v>
          </cell>
          <cell r="E12" t="str">
            <v>India</v>
          </cell>
          <cell r="F12" t="str">
            <v>wheat</v>
          </cell>
          <cell r="G12" t="str">
            <v>PBW343</v>
          </cell>
          <cell r="H12">
            <v>2008</v>
          </cell>
          <cell r="I12" t="str">
            <v>OTC</v>
          </cell>
          <cell r="J12" t="str">
            <v>field</v>
          </cell>
          <cell r="K12" t="str">
            <v>EO3</v>
          </cell>
          <cell r="L12">
            <v>16.62</v>
          </cell>
          <cell r="M12">
            <v>59.2</v>
          </cell>
          <cell r="N12">
            <v>7</v>
          </cell>
          <cell r="O12">
            <v>123</v>
          </cell>
          <cell r="P12">
            <v>3</v>
          </cell>
          <cell r="Q12">
            <v>12.1609756097561</v>
          </cell>
          <cell r="R12" t="str">
            <v>ears no. plant-1</v>
          </cell>
          <cell r="S12">
            <v>9.5</v>
          </cell>
          <cell r="T12" t="str">
            <v>11.5078798437648</v>
          </cell>
          <cell r="U12" t="str">
            <v>0.825521306181111</v>
          </cell>
        </row>
        <row r="13">
          <cell r="B13" t="str">
            <v>2015-100PBW3432009OTC</v>
          </cell>
          <cell r="C13" t="str">
            <v>2015-100</v>
          </cell>
          <cell r="D13" t="str">
            <v>Tomer</v>
          </cell>
          <cell r="E13" t="str">
            <v>India</v>
          </cell>
          <cell r="F13" t="str">
            <v>wheat</v>
          </cell>
          <cell r="G13" t="str">
            <v>PBW343</v>
          </cell>
          <cell r="H13">
            <v>2009</v>
          </cell>
          <cell r="I13" t="str">
            <v>OTC</v>
          </cell>
          <cell r="J13" t="str">
            <v>field</v>
          </cell>
          <cell r="K13" t="str">
            <v>NF</v>
          </cell>
          <cell r="L13">
            <v>2.39</v>
          </cell>
          <cell r="M13">
            <v>34.9</v>
          </cell>
          <cell r="N13">
            <v>7</v>
          </cell>
          <cell r="O13">
            <v>135</v>
          </cell>
          <cell r="P13">
            <v>3</v>
          </cell>
          <cell r="Q13">
            <v>1.5933333333333299</v>
          </cell>
          <cell r="R13" t="str">
            <v>ears no. plant-1</v>
          </cell>
          <cell r="S13">
            <v>10.9</v>
          </cell>
          <cell r="T13" t="str">
            <v>11.5910946780788</v>
          </cell>
          <cell r="U13" t="str">
            <v>0.940377100069262</v>
          </cell>
        </row>
        <row r="14">
          <cell r="B14" t="str">
            <v>2015-100PBW3432009OTC</v>
          </cell>
          <cell r="C14" t="str">
            <v>2015-100</v>
          </cell>
          <cell r="D14" t="str">
            <v>Tomer</v>
          </cell>
          <cell r="E14" t="str">
            <v>India</v>
          </cell>
          <cell r="F14" t="str">
            <v>wheat</v>
          </cell>
          <cell r="G14" t="str">
            <v>PBW343</v>
          </cell>
          <cell r="H14">
            <v>2009</v>
          </cell>
          <cell r="I14" t="str">
            <v>OTC</v>
          </cell>
          <cell r="J14" t="str">
            <v>field</v>
          </cell>
          <cell r="K14" t="str">
            <v>CF</v>
          </cell>
          <cell r="L14">
            <v>0</v>
          </cell>
          <cell r="M14">
            <v>7.69</v>
          </cell>
          <cell r="N14">
            <v>7</v>
          </cell>
          <cell r="O14">
            <v>135</v>
          </cell>
          <cell r="P14">
            <v>3</v>
          </cell>
          <cell r="Q14">
            <v>0</v>
          </cell>
          <cell r="R14" t="str">
            <v>ears no. plant-1</v>
          </cell>
          <cell r="S14">
            <v>11.8</v>
          </cell>
          <cell r="T14" t="str">
            <v>11.5910946780788</v>
          </cell>
          <cell r="U14" t="str">
            <v>1.01802291567131</v>
          </cell>
        </row>
        <row r="15">
          <cell r="B15" t="str">
            <v>2015-100PBW3432009OTC</v>
          </cell>
          <cell r="C15" t="str">
            <v>2015-100</v>
          </cell>
          <cell r="D15" t="str">
            <v>Tomer</v>
          </cell>
          <cell r="E15" t="str">
            <v>India</v>
          </cell>
          <cell r="F15" t="str">
            <v>wheat</v>
          </cell>
          <cell r="G15" t="str">
            <v>PBW343</v>
          </cell>
          <cell r="H15">
            <v>2009</v>
          </cell>
          <cell r="I15" t="str">
            <v>OTC</v>
          </cell>
          <cell r="J15" t="str">
            <v>field</v>
          </cell>
          <cell r="K15" t="str">
            <v>EO3</v>
          </cell>
          <cell r="L15">
            <v>17.96</v>
          </cell>
          <cell r="M15">
            <v>65.349999999999994</v>
          </cell>
          <cell r="N15">
            <v>7</v>
          </cell>
          <cell r="O15">
            <v>135</v>
          </cell>
          <cell r="P15">
            <v>3</v>
          </cell>
          <cell r="Q15">
            <v>11.973333333333301</v>
          </cell>
          <cell r="R15" t="str">
            <v>ears no. plant-1</v>
          </cell>
          <cell r="S15">
            <v>9.8000000000000007</v>
          </cell>
          <cell r="T15" t="str">
            <v>11.5910946780788</v>
          </cell>
          <cell r="U15" t="str">
            <v>0.845476658777869</v>
          </cell>
        </row>
        <row r="16">
          <cell r="B16" t="str">
            <v>2013-76HUW372011OTC</v>
          </cell>
          <cell r="C16" t="str">
            <v>2013-76</v>
          </cell>
          <cell r="D16" t="str">
            <v>Mishra</v>
          </cell>
          <cell r="E16" t="str">
            <v>India</v>
          </cell>
          <cell r="F16" t="str">
            <v>wheat</v>
          </cell>
          <cell r="G16" t="str">
            <v>HUW37</v>
          </cell>
          <cell r="H16">
            <v>2011</v>
          </cell>
          <cell r="I16" t="str">
            <v>OTC</v>
          </cell>
          <cell r="J16" t="str">
            <v>field</v>
          </cell>
          <cell r="K16" t="str">
            <v>NF</v>
          </cell>
          <cell r="L16">
            <v>5.0999999999999996</v>
          </cell>
          <cell r="M16">
            <v>48.4</v>
          </cell>
          <cell r="N16">
            <v>8</v>
          </cell>
          <cell r="O16">
            <v>125</v>
          </cell>
          <cell r="P16">
            <v>3</v>
          </cell>
          <cell r="Q16">
            <v>3.6720000000000002</v>
          </cell>
          <cell r="R16" t="str">
            <v>ears no. plant-1</v>
          </cell>
          <cell r="S16">
            <v>4.7106598984771599</v>
          </cell>
          <cell r="T16" t="str">
            <v>4.36058606445414</v>
          </cell>
          <cell r="U16" t="str">
            <v>1.08028137246887</v>
          </cell>
        </row>
        <row r="17">
          <cell r="B17" t="str">
            <v>2013-76HUW372011OTC</v>
          </cell>
          <cell r="C17" t="str">
            <v>2013-76</v>
          </cell>
          <cell r="D17" t="str">
            <v>Mishra</v>
          </cell>
          <cell r="E17" t="str">
            <v>India</v>
          </cell>
          <cell r="F17" t="str">
            <v>wheat</v>
          </cell>
          <cell r="G17" t="str">
            <v>HUW37</v>
          </cell>
          <cell r="H17">
            <v>2011</v>
          </cell>
          <cell r="I17" t="str">
            <v>OTC</v>
          </cell>
          <cell r="J17" t="str">
            <v>field</v>
          </cell>
          <cell r="K17" t="str">
            <v>EO3</v>
          </cell>
          <cell r="L17">
            <v>8.4</v>
          </cell>
          <cell r="M17">
            <v>55.2</v>
          </cell>
          <cell r="N17">
            <v>8</v>
          </cell>
          <cell r="O17">
            <v>125</v>
          </cell>
          <cell r="P17">
            <v>3</v>
          </cell>
          <cell r="Q17">
            <v>6.048</v>
          </cell>
          <cell r="R17" t="str">
            <v>ears no. plant-1</v>
          </cell>
          <cell r="S17">
            <v>3.4923857868020298</v>
          </cell>
          <cell r="T17" t="str">
            <v>4.36058606445414</v>
          </cell>
          <cell r="U17" t="str">
            <v>0.800898258899337</v>
          </cell>
        </row>
        <row r="18">
          <cell r="B18" t="str">
            <v>2013-76K91072011OTC</v>
          </cell>
          <cell r="C18" t="str">
            <v>2013-76</v>
          </cell>
          <cell r="D18" t="str">
            <v>Mishra</v>
          </cell>
          <cell r="E18" t="str">
            <v>India</v>
          </cell>
          <cell r="F18" t="str">
            <v>wheat</v>
          </cell>
          <cell r="G18" t="str">
            <v>K9107</v>
          </cell>
          <cell r="H18">
            <v>2011</v>
          </cell>
          <cell r="I18" t="str">
            <v>OTC</v>
          </cell>
          <cell r="J18" t="str">
            <v>field</v>
          </cell>
          <cell r="K18" t="str">
            <v>NF</v>
          </cell>
          <cell r="L18">
            <v>5.0999999999999996</v>
          </cell>
          <cell r="M18">
            <v>48.4</v>
          </cell>
          <cell r="N18">
            <v>8</v>
          </cell>
          <cell r="O18">
            <v>125</v>
          </cell>
          <cell r="P18">
            <v>3</v>
          </cell>
          <cell r="Q18">
            <v>3.6720000000000002</v>
          </cell>
          <cell r="R18" t="str">
            <v>ears no. plant-1</v>
          </cell>
          <cell r="S18">
            <v>5.8071065989847703</v>
          </cell>
          <cell r="T18" t="str">
            <v>5.54975591541415</v>
          </cell>
          <cell r="U18" t="str">
            <v>1.04637153191834</v>
          </cell>
        </row>
        <row r="19">
          <cell r="B19" t="str">
            <v>2013-76K91072011OTC</v>
          </cell>
          <cell r="C19" t="str">
            <v>2013-76</v>
          </cell>
          <cell r="D19" t="str">
            <v>Mishra</v>
          </cell>
          <cell r="E19" t="str">
            <v>India</v>
          </cell>
          <cell r="F19" t="str">
            <v>wheat</v>
          </cell>
          <cell r="G19" t="str">
            <v>K9107</v>
          </cell>
          <cell r="H19">
            <v>2011</v>
          </cell>
          <cell r="I19" t="str">
            <v>OTC</v>
          </cell>
          <cell r="J19" t="str">
            <v>field</v>
          </cell>
          <cell r="K19" t="str">
            <v>EO3</v>
          </cell>
          <cell r="L19">
            <v>8.4</v>
          </cell>
          <cell r="M19">
            <v>55.2</v>
          </cell>
          <cell r="N19">
            <v>8</v>
          </cell>
          <cell r="O19">
            <v>125</v>
          </cell>
          <cell r="P19">
            <v>3</v>
          </cell>
          <cell r="Q19">
            <v>6.048</v>
          </cell>
          <cell r="R19" t="str">
            <v>ears no. plant-1</v>
          </cell>
          <cell r="S19">
            <v>4.5888324873096504</v>
          </cell>
          <cell r="T19" t="str">
            <v>5.54975591541415</v>
          </cell>
          <cell r="U19" t="str">
            <v>0.826853028718689</v>
          </cell>
        </row>
        <row r="20">
          <cell r="B20" t="str">
            <v>2019-164C3062016FACE</v>
          </cell>
          <cell r="C20" t="str">
            <v>2019-164</v>
          </cell>
          <cell r="D20" t="str">
            <v>Yadav</v>
          </cell>
          <cell r="E20" t="str">
            <v>India</v>
          </cell>
          <cell r="F20" t="str">
            <v>wheat</v>
          </cell>
          <cell r="G20" t="str">
            <v>C306</v>
          </cell>
          <cell r="H20">
            <v>2016</v>
          </cell>
          <cell r="I20" t="str">
            <v>FACE</v>
          </cell>
          <cell r="J20" t="str">
            <v>field</v>
          </cell>
          <cell r="K20" t="str">
            <v>NF</v>
          </cell>
          <cell r="L20"/>
          <cell r="M20">
            <v>30.7</v>
          </cell>
          <cell r="N20">
            <v>7</v>
          </cell>
          <cell r="O20">
            <v>160</v>
          </cell>
          <cell r="P20">
            <v>4</v>
          </cell>
          <cell r="Q20">
            <v>2.6636551037927898</v>
          </cell>
          <cell r="R20" t="str">
            <v>ears no. plant-1</v>
          </cell>
          <cell r="S20">
            <v>450</v>
          </cell>
          <cell r="T20" t="str">
            <v>503.902613846114</v>
          </cell>
          <cell r="U20" t="str">
            <v>0.893029699856696</v>
          </cell>
        </row>
        <row r="21">
          <cell r="B21" t="str">
            <v>2019-164C3062016FACE</v>
          </cell>
          <cell r="C21" t="str">
            <v>2019-164</v>
          </cell>
          <cell r="D21" t="str">
            <v>Yadav</v>
          </cell>
          <cell r="E21" t="str">
            <v>India</v>
          </cell>
          <cell r="F21" t="str">
            <v>wheat</v>
          </cell>
          <cell r="G21" t="str">
            <v>C306</v>
          </cell>
          <cell r="H21">
            <v>2016</v>
          </cell>
          <cell r="I21" t="str">
            <v>FACE</v>
          </cell>
          <cell r="J21" t="str">
            <v>field</v>
          </cell>
          <cell r="K21" t="str">
            <v>EO3</v>
          </cell>
          <cell r="L21">
            <v>31.232610000000001</v>
          </cell>
          <cell r="M21">
            <v>72.2</v>
          </cell>
          <cell r="N21">
            <v>7</v>
          </cell>
          <cell r="O21">
            <v>160</v>
          </cell>
          <cell r="P21">
            <v>4</v>
          </cell>
          <cell r="Q21">
            <v>17.568343124999998</v>
          </cell>
          <cell r="R21" t="str">
            <v>ears no. plant-1</v>
          </cell>
          <cell r="S21">
            <v>406</v>
          </cell>
          <cell r="T21" t="str">
            <v>503.902613846114</v>
          </cell>
          <cell r="U21" t="str">
            <v>0.805711240315152</v>
          </cell>
        </row>
        <row r="22">
          <cell r="B22" t="str">
            <v>2019-164HD29672016FACE</v>
          </cell>
          <cell r="C22" t="str">
            <v>2019-164</v>
          </cell>
          <cell r="D22" t="str">
            <v>Yadav</v>
          </cell>
          <cell r="E22" t="str">
            <v>India</v>
          </cell>
          <cell r="F22" t="str">
            <v>wheat</v>
          </cell>
          <cell r="G22" t="str">
            <v>HD2967</v>
          </cell>
          <cell r="H22">
            <v>2016</v>
          </cell>
          <cell r="I22" t="str">
            <v>FACE</v>
          </cell>
          <cell r="J22" t="str">
            <v>field</v>
          </cell>
          <cell r="K22" t="str">
            <v>NF</v>
          </cell>
          <cell r="L22"/>
          <cell r="M22">
            <v>30.7</v>
          </cell>
          <cell r="N22">
            <v>7</v>
          </cell>
          <cell r="O22">
            <v>160</v>
          </cell>
          <cell r="P22">
            <v>4</v>
          </cell>
          <cell r="Q22">
            <v>2.6636551037927898</v>
          </cell>
          <cell r="R22" t="str">
            <v>ears no. plant-1</v>
          </cell>
          <cell r="S22">
            <v>400</v>
          </cell>
          <cell r="T22" t="str">
            <v>460.224591390262</v>
          </cell>
          <cell r="U22" t="str">
            <v>0.869140866183761</v>
          </cell>
        </row>
        <row r="23">
          <cell r="B23" t="str">
            <v>2019-164HD29672016FACE</v>
          </cell>
          <cell r="C23" t="str">
            <v>2019-164</v>
          </cell>
          <cell r="D23" t="str">
            <v>Yadav</v>
          </cell>
          <cell r="E23" t="str">
            <v>India</v>
          </cell>
          <cell r="F23" t="str">
            <v>wheat</v>
          </cell>
          <cell r="G23" t="str">
            <v>HD2967</v>
          </cell>
          <cell r="H23">
            <v>2016</v>
          </cell>
          <cell r="I23" t="str">
            <v>FACE</v>
          </cell>
          <cell r="J23" t="str">
            <v>field</v>
          </cell>
          <cell r="K23" t="str">
            <v>EO3</v>
          </cell>
          <cell r="L23">
            <v>31.232610000000001</v>
          </cell>
          <cell r="M23">
            <v>72.2</v>
          </cell>
          <cell r="N23">
            <v>7</v>
          </cell>
          <cell r="O23">
            <v>160</v>
          </cell>
          <cell r="P23">
            <v>4</v>
          </cell>
          <cell r="Q23">
            <v>17.568343124999998</v>
          </cell>
          <cell r="R23" t="str">
            <v>ears no. plant-1</v>
          </cell>
          <cell r="S23">
            <v>381</v>
          </cell>
          <cell r="T23" t="str">
            <v>460.224591390262</v>
          </cell>
          <cell r="U23" t="str">
            <v>0.827856675040032</v>
          </cell>
        </row>
        <row r="24">
          <cell r="B24" t="str">
            <v>2019-164C3062017FACE</v>
          </cell>
          <cell r="C24" t="str">
            <v>2019-164</v>
          </cell>
          <cell r="D24" t="str">
            <v>Yadav</v>
          </cell>
          <cell r="E24" t="str">
            <v>India</v>
          </cell>
          <cell r="F24" t="str">
            <v>wheat</v>
          </cell>
          <cell r="G24" t="str">
            <v>C306</v>
          </cell>
          <cell r="H24">
            <v>2017</v>
          </cell>
          <cell r="I24" t="str">
            <v>FACE</v>
          </cell>
          <cell r="J24" t="str">
            <v>field</v>
          </cell>
          <cell r="K24" t="str">
            <v>NF</v>
          </cell>
          <cell r="L24"/>
          <cell r="M24">
            <v>30.7</v>
          </cell>
          <cell r="N24">
            <v>7</v>
          </cell>
          <cell r="O24">
            <v>160</v>
          </cell>
          <cell r="P24">
            <v>4</v>
          </cell>
          <cell r="Q24">
            <v>2.6636551037927898</v>
          </cell>
          <cell r="R24" t="str">
            <v>ears no. plant-1</v>
          </cell>
          <cell r="S24">
            <v>374</v>
          </cell>
          <cell r="T24" t="str">
            <v>407.838412518202</v>
          </cell>
          <cell r="U24" t="str">
            <v>0.917029854276681</v>
          </cell>
        </row>
        <row r="25">
          <cell r="B25" t="str">
            <v>2019-164C3062017FACE</v>
          </cell>
          <cell r="C25" t="str">
            <v>2019-164</v>
          </cell>
          <cell r="D25" t="str">
            <v>Yadav</v>
          </cell>
          <cell r="E25" t="str">
            <v>India</v>
          </cell>
          <cell r="F25" t="str">
            <v>wheat</v>
          </cell>
          <cell r="G25" t="str">
            <v>C306</v>
          </cell>
          <cell r="H25">
            <v>2017</v>
          </cell>
          <cell r="I25" t="str">
            <v>FACE</v>
          </cell>
          <cell r="J25" t="str">
            <v>field</v>
          </cell>
          <cell r="K25" t="str">
            <v>EO3</v>
          </cell>
          <cell r="L25">
            <v>31.232610000000001</v>
          </cell>
          <cell r="M25">
            <v>72.2</v>
          </cell>
          <cell r="N25">
            <v>7</v>
          </cell>
          <cell r="O25">
            <v>160</v>
          </cell>
          <cell r="P25">
            <v>4</v>
          </cell>
          <cell r="Q25">
            <v>17.568343124999998</v>
          </cell>
          <cell r="R25" t="str">
            <v>ears no. plant-1</v>
          </cell>
          <cell r="S25">
            <v>320</v>
          </cell>
          <cell r="T25" t="str">
            <v>407.838412518202</v>
          </cell>
          <cell r="U25" t="str">
            <v>0.784624474247428</v>
          </cell>
        </row>
        <row r="26">
          <cell r="B26" t="str">
            <v>2019-164HD29672017FACE</v>
          </cell>
          <cell r="C26" t="str">
            <v>2019-164</v>
          </cell>
          <cell r="D26" t="str">
            <v>Yadav</v>
          </cell>
          <cell r="E26" t="str">
            <v>India</v>
          </cell>
          <cell r="F26" t="str">
            <v>wheat</v>
          </cell>
          <cell r="G26" t="str">
            <v>HD2967</v>
          </cell>
          <cell r="H26">
            <v>2017</v>
          </cell>
          <cell r="I26" t="str">
            <v>FACE</v>
          </cell>
          <cell r="J26" t="str">
            <v>field</v>
          </cell>
          <cell r="K26" t="str">
            <v>NF</v>
          </cell>
          <cell r="L26"/>
          <cell r="M26">
            <v>30.7</v>
          </cell>
          <cell r="N26">
            <v>7</v>
          </cell>
          <cell r="O26">
            <v>160</v>
          </cell>
          <cell r="P26">
            <v>4</v>
          </cell>
          <cell r="Q26">
            <v>2.6636551037927898</v>
          </cell>
          <cell r="R26" t="str">
            <v>ears no. plant-1</v>
          </cell>
          <cell r="S26">
            <v>394</v>
          </cell>
          <cell r="T26" t="str">
            <v>450.725784003239</v>
          </cell>
          <cell r="U26" t="str">
            <v>0.874145686764547</v>
          </cell>
        </row>
        <row r="27">
          <cell r="B27" t="str">
            <v>2019-164HD29672017FACE</v>
          </cell>
          <cell r="C27" t="str">
            <v>2019-164</v>
          </cell>
          <cell r="D27" t="str">
            <v>Yadav</v>
          </cell>
          <cell r="E27" t="str">
            <v>India</v>
          </cell>
          <cell r="F27" t="str">
            <v>wheat</v>
          </cell>
          <cell r="G27" t="str">
            <v>HD2967</v>
          </cell>
          <cell r="H27">
            <v>2017</v>
          </cell>
          <cell r="I27" t="str">
            <v>FACE</v>
          </cell>
          <cell r="J27" t="str">
            <v>field</v>
          </cell>
          <cell r="K27" t="str">
            <v>EO3</v>
          </cell>
          <cell r="L27">
            <v>31.232610000000001</v>
          </cell>
          <cell r="M27">
            <v>72.2</v>
          </cell>
          <cell r="N27">
            <v>7</v>
          </cell>
          <cell r="O27">
            <v>160</v>
          </cell>
          <cell r="P27">
            <v>4</v>
          </cell>
          <cell r="Q27">
            <v>17.568343124999998</v>
          </cell>
          <cell r="R27" t="str">
            <v>ears no. plant-1</v>
          </cell>
          <cell r="S27">
            <v>371</v>
          </cell>
          <cell r="T27" t="str">
            <v>450.725784003239</v>
          </cell>
          <cell r="U27" t="str">
            <v>0.823116877638697</v>
          </cell>
        </row>
        <row r="28">
          <cell r="B28" t="str">
            <v>2020-48HD31182016OTC</v>
          </cell>
          <cell r="C28" t="str">
            <v>2020-48</v>
          </cell>
          <cell r="D28" t="str">
            <v>Durgesh</v>
          </cell>
          <cell r="E28" t="str">
            <v>India</v>
          </cell>
          <cell r="F28" t="str">
            <v>wheat</v>
          </cell>
          <cell r="G28" t="str">
            <v>HD3118</v>
          </cell>
          <cell r="H28">
            <v>2016</v>
          </cell>
          <cell r="I28" t="str">
            <v>OTC</v>
          </cell>
          <cell r="J28" t="str">
            <v>field</v>
          </cell>
          <cell r="K28" t="str">
            <v>NF</v>
          </cell>
          <cell r="L28"/>
          <cell r="M28">
            <v>51.7</v>
          </cell>
          <cell r="N28">
            <v>8</v>
          </cell>
          <cell r="O28">
            <v>100</v>
          </cell>
          <cell r="P28">
            <v>5</v>
          </cell>
          <cell r="Q28">
            <v>16.635934586368901</v>
          </cell>
          <cell r="R28" t="str">
            <v>ears no. plant-1</v>
          </cell>
          <cell r="S28">
            <v>4.55</v>
          </cell>
          <cell r="T28" t="str">
            <v>6.38284675637844</v>
          </cell>
          <cell r="U28" t="str">
            <v>0.712848071348907</v>
          </cell>
        </row>
        <row r="29">
          <cell r="B29" t="str">
            <v>2020-48HD31182016OTC</v>
          </cell>
          <cell r="C29" t="str">
            <v>2020-48</v>
          </cell>
          <cell r="D29" t="str">
            <v>Durgesh</v>
          </cell>
          <cell r="E29" t="str">
            <v>India</v>
          </cell>
          <cell r="F29" t="str">
            <v>wheat</v>
          </cell>
          <cell r="G29" t="str">
            <v>HD3118</v>
          </cell>
          <cell r="H29">
            <v>2016</v>
          </cell>
          <cell r="I29" t="str">
            <v>OTC</v>
          </cell>
          <cell r="J29" t="str">
            <v>field</v>
          </cell>
          <cell r="K29" t="str">
            <v>EO3</v>
          </cell>
          <cell r="L29"/>
          <cell r="M29">
            <v>71.7</v>
          </cell>
          <cell r="N29">
            <v>8</v>
          </cell>
          <cell r="O29">
            <v>100</v>
          </cell>
          <cell r="P29">
            <v>5</v>
          </cell>
          <cell r="Q29">
            <v>29.338133020351801</v>
          </cell>
          <cell r="R29" t="str">
            <v>ears no. plant-1</v>
          </cell>
          <cell r="S29">
            <v>3.95</v>
          </cell>
          <cell r="T29" t="str">
            <v>6.38284675637844</v>
          </cell>
          <cell r="U29" t="str">
            <v>0.618846127874326</v>
          </cell>
        </row>
        <row r="30">
          <cell r="B30" t="str">
            <v>2020-48HUW2342016OTC</v>
          </cell>
          <cell r="C30" t="str">
            <v>2020-48</v>
          </cell>
          <cell r="D30" t="str">
            <v>Durgesh</v>
          </cell>
          <cell r="E30" t="str">
            <v>India</v>
          </cell>
          <cell r="F30" t="str">
            <v>wheat</v>
          </cell>
          <cell r="G30" t="str">
            <v>HUW234</v>
          </cell>
          <cell r="H30">
            <v>2016</v>
          </cell>
          <cell r="I30" t="str">
            <v>OTC</v>
          </cell>
          <cell r="J30" t="str">
            <v>field</v>
          </cell>
          <cell r="K30" t="str">
            <v>NF</v>
          </cell>
          <cell r="L30"/>
          <cell r="M30">
            <v>51.7</v>
          </cell>
          <cell r="N30">
            <v>8</v>
          </cell>
          <cell r="O30">
            <v>100</v>
          </cell>
          <cell r="P30">
            <v>5</v>
          </cell>
          <cell r="Q30">
            <v>16.635934586368901</v>
          </cell>
          <cell r="R30" t="str">
            <v>ears no. plant-1</v>
          </cell>
          <cell r="S30">
            <v>5.95</v>
          </cell>
          <cell r="T30" t="str">
            <v>7.91945200020196</v>
          </cell>
          <cell r="U30" t="str">
            <v>0.751314611143329</v>
          </cell>
        </row>
        <row r="31">
          <cell r="B31" t="str">
            <v>2020-48HUW2342016OTC</v>
          </cell>
          <cell r="C31" t="str">
            <v>2020-48</v>
          </cell>
          <cell r="D31" t="str">
            <v>Durgesh</v>
          </cell>
          <cell r="E31" t="str">
            <v>India</v>
          </cell>
          <cell r="F31" t="str">
            <v>wheat</v>
          </cell>
          <cell r="G31" t="str">
            <v>HUW234</v>
          </cell>
          <cell r="H31">
            <v>2016</v>
          </cell>
          <cell r="I31" t="str">
            <v>OTC</v>
          </cell>
          <cell r="J31" t="str">
            <v>field</v>
          </cell>
          <cell r="K31" t="str">
            <v>EO3</v>
          </cell>
          <cell r="L31"/>
          <cell r="M31">
            <v>71.7</v>
          </cell>
          <cell r="N31">
            <v>8</v>
          </cell>
          <cell r="O31">
            <v>100</v>
          </cell>
          <cell r="P31">
            <v>5</v>
          </cell>
          <cell r="Q31">
            <v>29.338133020351801</v>
          </cell>
          <cell r="R31" t="str">
            <v>ears no. plant-1</v>
          </cell>
          <cell r="S31">
            <v>4.6500000000000004</v>
          </cell>
          <cell r="T31" t="str">
            <v>7.91945200020196</v>
          </cell>
          <cell r="U31" t="str">
            <v>0.587161838960753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9E24-4F19-4D2F-A9D4-EA234C9FDEE5}">
  <sheetPr filterMode="1"/>
  <dimension ref="A1:CR261"/>
  <sheetViews>
    <sheetView tabSelected="1" topLeftCell="BH1" zoomScale="85" zoomScaleNormal="85" workbookViewId="0">
      <selection activeCell="BR65" sqref="BR65"/>
    </sheetView>
  </sheetViews>
  <sheetFormatPr defaultColWidth="7.88671875" defaultRowHeight="15.6" x14ac:dyDescent="0.3"/>
  <cols>
    <col min="1" max="1" width="8.33203125" bestFit="1" customWidth="1"/>
    <col min="2" max="2" width="15.5546875" bestFit="1" customWidth="1"/>
    <col min="3" max="3" width="11.6640625" bestFit="1" customWidth="1"/>
    <col min="4" max="4" width="14" bestFit="1" customWidth="1"/>
    <col min="5" max="5" width="37.88671875" bestFit="1" customWidth="1"/>
    <col min="6" max="6" width="36.88671875" bestFit="1" customWidth="1"/>
    <col min="7" max="7" width="12.109375" customWidth="1"/>
    <col min="8" max="8" width="15.6640625" customWidth="1"/>
    <col min="9" max="9" width="24.44140625" customWidth="1"/>
    <col min="10" max="10" width="15.21875" customWidth="1"/>
    <col min="11" max="11" width="19.6640625" customWidth="1"/>
    <col min="12" max="12" width="10.21875" customWidth="1"/>
    <col min="13" max="13" width="23.21875" customWidth="1"/>
    <col min="14" max="14" width="9.109375" customWidth="1"/>
    <col min="15" max="15" width="10" customWidth="1"/>
    <col min="16" max="16" width="9.5546875" customWidth="1"/>
    <col min="17" max="17" width="15.109375" customWidth="1"/>
    <col min="18" max="19" width="13.33203125" customWidth="1"/>
    <col min="20" max="20" width="18.88671875" customWidth="1"/>
    <col min="21" max="21" width="14.109375" customWidth="1"/>
    <col min="22" max="22" width="3.33203125" customWidth="1"/>
    <col min="23" max="23" width="18.88671875" customWidth="1"/>
    <col min="24" max="24" width="15.21875" customWidth="1"/>
    <col min="25" max="25" width="11.33203125" customWidth="1"/>
    <col min="26" max="26" width="15.109375" style="63" customWidth="1"/>
    <col min="27" max="27" width="7" style="64" customWidth="1"/>
    <col min="28" max="28" width="23.109375" style="63" customWidth="1"/>
    <col min="29" max="30" width="15.109375" style="63" customWidth="1"/>
    <col min="31" max="31" width="7" style="63" customWidth="1"/>
    <col min="32" max="32" width="23.109375" style="63" customWidth="1"/>
    <col min="33" max="33" width="15.109375" style="63" customWidth="1"/>
    <col min="34" max="36" width="16.109375" style="22" customWidth="1"/>
    <col min="37" max="37" width="20.33203125" style="63" customWidth="1"/>
    <col min="38" max="38" width="10" style="63" customWidth="1"/>
    <col min="39" max="40" width="15.109375" style="63" customWidth="1"/>
    <col min="41" max="41" width="24.33203125" style="63" customWidth="1"/>
    <col min="42" max="42" width="10" style="63" customWidth="1"/>
    <col min="43" max="44" width="15.109375" style="63" customWidth="1"/>
    <col min="45" max="47" width="24.44140625" style="22" customWidth="1"/>
    <col min="48" max="48" width="22.88671875" style="63" customWidth="1"/>
    <col min="49" max="49" width="21.77734375" style="63" customWidth="1"/>
    <col min="50" max="50" width="15.109375" style="63" customWidth="1"/>
    <col min="51" max="51" width="6.5546875" style="63" customWidth="1"/>
    <col min="52" max="52" width="26.77734375" style="63" customWidth="1"/>
    <col min="53" max="53" width="21.77734375" style="63" customWidth="1"/>
    <col min="54" max="54" width="15.109375" style="63" customWidth="1"/>
    <col min="55" max="55" width="8" style="63" customWidth="1"/>
    <col min="56" max="58" width="26.88671875" style="22" customWidth="1"/>
    <col min="59" max="59" width="17.33203125" style="63" customWidth="1"/>
    <col min="60" max="60" width="11.33203125" style="63" customWidth="1"/>
    <col min="61" max="62" width="15.109375" style="63" customWidth="1"/>
    <col min="63" max="63" width="21.33203125" style="63" customWidth="1"/>
    <col min="64" max="64" width="11.33203125" style="63" customWidth="1"/>
    <col min="65" max="66" width="15.109375" style="63" customWidth="1"/>
    <col min="67" max="69" width="21.44140625" style="22" customWidth="1"/>
    <col min="70" max="70" width="16.5546875" style="63" customWidth="1"/>
    <col min="71" max="71" width="11.33203125" style="63" customWidth="1"/>
    <col min="72" max="72" width="4.5546875" style="63" customWidth="1"/>
    <col min="73" max="73" width="4.44140625" style="63" customWidth="1"/>
    <col min="74" max="74" width="20" style="63" customWidth="1"/>
    <col min="75" max="75" width="11.33203125" style="63" customWidth="1"/>
    <col min="76" max="76" width="8.109375" style="63" customWidth="1"/>
    <col min="77" max="77" width="8" style="63" customWidth="1"/>
    <col min="78" max="78" width="20.109375" style="22" bestFit="1" customWidth="1"/>
    <col min="79" max="80" width="20.109375" style="22" customWidth="1"/>
    <col min="81" max="81" width="15.109375" bestFit="1" customWidth="1"/>
    <col min="82" max="82" width="16.109375" bestFit="1" customWidth="1"/>
    <col min="83" max="83" width="12.6640625" bestFit="1" customWidth="1"/>
    <col min="84" max="84" width="11.33203125" bestFit="1" customWidth="1"/>
    <col min="85" max="85" width="25.44140625" bestFit="1" customWidth="1"/>
    <col min="86" max="86" width="24.33203125" bestFit="1" customWidth="1"/>
    <col min="87" max="87" width="9" bestFit="1" customWidth="1"/>
    <col min="88" max="88" width="9.44140625" bestFit="1" customWidth="1"/>
    <col min="89" max="89" width="18.33203125" style="17" bestFit="1" customWidth="1"/>
    <col min="90" max="90" width="25.44140625" bestFit="1" customWidth="1"/>
    <col min="91" max="91" width="24.33203125" bestFit="1" customWidth="1"/>
    <col min="92" max="92" width="20.88671875" bestFit="1" customWidth="1"/>
    <col min="93" max="93" width="14.88671875" bestFit="1" customWidth="1"/>
    <col min="94" max="94" width="19.6640625" bestFit="1" customWidth="1"/>
    <col min="95" max="95" width="27.44140625" bestFit="1" customWidth="1"/>
    <col min="96" max="96" width="19.6640625" bestFit="1" customWidth="1"/>
  </cols>
  <sheetData>
    <row r="1" spans="1:96" x14ac:dyDescent="0.25">
      <c r="A1" s="1" t="s">
        <v>0</v>
      </c>
      <c r="B1" s="1" t="s">
        <v>1</v>
      </c>
      <c r="C1" s="1" t="s">
        <v>2</v>
      </c>
      <c r="D1" s="1" t="s">
        <v>3</v>
      </c>
      <c r="E1" s="1" t="s">
        <v>4</v>
      </c>
      <c r="F1" s="1" t="s">
        <v>211</v>
      </c>
      <c r="G1" s="1" t="s">
        <v>5</v>
      </c>
      <c r="H1" s="1" t="s">
        <v>6</v>
      </c>
      <c r="I1" s="1" t="s">
        <v>7</v>
      </c>
      <c r="J1" s="1" t="s">
        <v>8</v>
      </c>
      <c r="K1" s="1" t="s">
        <v>9</v>
      </c>
      <c r="L1" s="1" t="s">
        <v>10</v>
      </c>
      <c r="M1" s="1" t="s">
        <v>11</v>
      </c>
      <c r="N1" s="1" t="s">
        <v>12</v>
      </c>
      <c r="O1" s="1" t="s">
        <v>13</v>
      </c>
      <c r="P1" s="1" t="s">
        <v>266</v>
      </c>
      <c r="Q1" s="1" t="s">
        <v>14</v>
      </c>
      <c r="R1" s="1" t="s">
        <v>15</v>
      </c>
      <c r="S1" s="1" t="s">
        <v>16</v>
      </c>
      <c r="T1" s="1" t="s">
        <v>17</v>
      </c>
      <c r="U1" s="1" t="s">
        <v>18</v>
      </c>
      <c r="V1" s="1" t="s">
        <v>19</v>
      </c>
      <c r="W1" s="1" t="s">
        <v>20</v>
      </c>
      <c r="X1" s="1" t="s">
        <v>21</v>
      </c>
      <c r="Y1" s="1" t="s">
        <v>22</v>
      </c>
      <c r="Z1" s="46" t="s">
        <v>23</v>
      </c>
      <c r="AA1" s="46" t="s">
        <v>24</v>
      </c>
      <c r="AB1" s="46" t="s">
        <v>25</v>
      </c>
      <c r="AC1" s="46" t="s">
        <v>26</v>
      </c>
      <c r="AD1" s="46" t="s">
        <v>253</v>
      </c>
      <c r="AE1" s="46" t="s">
        <v>24</v>
      </c>
      <c r="AF1" s="46" t="s">
        <v>254</v>
      </c>
      <c r="AG1" s="46" t="s">
        <v>255</v>
      </c>
      <c r="AH1" s="58" t="s">
        <v>260</v>
      </c>
      <c r="AI1" s="58" t="s">
        <v>272</v>
      </c>
      <c r="AJ1" s="58" t="s">
        <v>280</v>
      </c>
      <c r="AK1" s="2" t="s">
        <v>27</v>
      </c>
      <c r="AL1" s="2" t="s">
        <v>24</v>
      </c>
      <c r="AM1" s="2" t="s">
        <v>25</v>
      </c>
      <c r="AN1" s="2" t="s">
        <v>26</v>
      </c>
      <c r="AO1" s="2" t="s">
        <v>256</v>
      </c>
      <c r="AP1" s="2" t="s">
        <v>24</v>
      </c>
      <c r="AQ1" s="2" t="s">
        <v>254</v>
      </c>
      <c r="AR1" s="2" t="s">
        <v>255</v>
      </c>
      <c r="AS1" s="58" t="s">
        <v>262</v>
      </c>
      <c r="AT1" s="58" t="s">
        <v>273</v>
      </c>
      <c r="AU1" s="58" t="s">
        <v>279</v>
      </c>
      <c r="AV1" s="65" t="s">
        <v>269</v>
      </c>
      <c r="AW1" s="46" t="s">
        <v>24</v>
      </c>
      <c r="AX1" s="46" t="s">
        <v>25</v>
      </c>
      <c r="AY1" s="46" t="s">
        <v>26</v>
      </c>
      <c r="AZ1" s="46" t="s">
        <v>257</v>
      </c>
      <c r="BA1" s="46" t="s">
        <v>24</v>
      </c>
      <c r="BB1" s="46" t="s">
        <v>254</v>
      </c>
      <c r="BC1" s="46" t="s">
        <v>255</v>
      </c>
      <c r="BD1" s="58" t="s">
        <v>263</v>
      </c>
      <c r="BE1" s="58" t="s">
        <v>274</v>
      </c>
      <c r="BF1" s="58" t="s">
        <v>278</v>
      </c>
      <c r="BG1" s="2" t="s">
        <v>270</v>
      </c>
      <c r="BH1" s="2" t="s">
        <v>24</v>
      </c>
      <c r="BI1" s="2" t="s">
        <v>25</v>
      </c>
      <c r="BJ1" s="2" t="s">
        <v>26</v>
      </c>
      <c r="BK1" s="2" t="s">
        <v>258</v>
      </c>
      <c r="BL1" s="2" t="s">
        <v>24</v>
      </c>
      <c r="BM1" s="2" t="s">
        <v>254</v>
      </c>
      <c r="BN1" s="2" t="s">
        <v>255</v>
      </c>
      <c r="BO1" s="58" t="s">
        <v>264</v>
      </c>
      <c r="BP1" s="58" t="s">
        <v>275</v>
      </c>
      <c r="BQ1" s="58" t="s">
        <v>281</v>
      </c>
      <c r="BR1" s="46" t="s">
        <v>212</v>
      </c>
      <c r="BS1" s="46" t="s">
        <v>24</v>
      </c>
      <c r="BT1" s="46" t="s">
        <v>25</v>
      </c>
      <c r="BU1" s="46" t="s">
        <v>26</v>
      </c>
      <c r="BV1" s="46" t="s">
        <v>259</v>
      </c>
      <c r="BW1" s="46" t="s">
        <v>24</v>
      </c>
      <c r="BX1" s="46" t="s">
        <v>254</v>
      </c>
      <c r="BY1" s="46" t="s">
        <v>255</v>
      </c>
      <c r="BZ1" s="58" t="s">
        <v>265</v>
      </c>
      <c r="CA1" s="58" t="s">
        <v>276</v>
      </c>
      <c r="CB1" s="58" t="s">
        <v>277</v>
      </c>
      <c r="CC1" s="2" t="s">
        <v>215</v>
      </c>
      <c r="CD1" s="2" t="s">
        <v>216</v>
      </c>
      <c r="CE1" s="2" t="s">
        <v>231</v>
      </c>
      <c r="CF1" s="2" t="s">
        <v>232</v>
      </c>
      <c r="CG1" s="2" t="s">
        <v>229</v>
      </c>
      <c r="CH1" s="2" t="s">
        <v>230</v>
      </c>
      <c r="CI1" s="2" t="s">
        <v>231</v>
      </c>
      <c r="CJ1" s="2" t="s">
        <v>232</v>
      </c>
      <c r="CK1" s="2" t="s">
        <v>251</v>
      </c>
      <c r="CL1" s="2" t="s">
        <v>229</v>
      </c>
      <c r="CM1" s="2" t="s">
        <v>230</v>
      </c>
      <c r="CN1" s="2" t="s">
        <v>252</v>
      </c>
      <c r="CO1" s="2" t="s">
        <v>246</v>
      </c>
      <c r="CP1" s="2" t="s">
        <v>245</v>
      </c>
      <c r="CQ1" s="2" t="s">
        <v>244</v>
      </c>
      <c r="CR1" s="2" t="s">
        <v>247</v>
      </c>
    </row>
    <row r="2" spans="1:96" s="42" customFormat="1" hidden="1" x14ac:dyDescent="0.3">
      <c r="A2" s="31">
        <v>1</v>
      </c>
      <c r="B2" s="31"/>
      <c r="C2" s="32">
        <v>14</v>
      </c>
      <c r="D2" s="33" t="s">
        <v>28</v>
      </c>
      <c r="E2" s="34" t="s">
        <v>29</v>
      </c>
      <c r="F2" s="34" t="str">
        <f t="shared" ref="F2:F65" si="0">D2&amp;K2&amp;L2&amp;M2</f>
        <v>2012-118yangmai1852004OTC</v>
      </c>
      <c r="G2" s="32" t="s">
        <v>30</v>
      </c>
      <c r="H2" s="32" t="s">
        <v>31</v>
      </c>
      <c r="I2" s="32" t="s">
        <v>31</v>
      </c>
      <c r="J2" s="32" t="s">
        <v>32</v>
      </c>
      <c r="K2" s="32" t="s">
        <v>33</v>
      </c>
      <c r="L2" s="32">
        <v>2004</v>
      </c>
      <c r="M2" s="32" t="s">
        <v>34</v>
      </c>
      <c r="N2" s="32" t="s">
        <v>35</v>
      </c>
      <c r="O2" s="32" t="s">
        <v>36</v>
      </c>
      <c r="P2" s="32" t="s">
        <v>267</v>
      </c>
      <c r="Q2" s="32"/>
      <c r="R2" s="32">
        <v>0</v>
      </c>
      <c r="S2" s="32"/>
      <c r="T2" s="32">
        <v>8</v>
      </c>
      <c r="U2" s="32">
        <f t="shared" ref="U2:U16" si="1">Y2-X2+1</f>
        <v>65</v>
      </c>
      <c r="V2" s="32">
        <v>3</v>
      </c>
      <c r="W2" s="31">
        <f t="shared" ref="W2:W33" si="2">IF(U2&lt;=90,R2,R2/U2*90)</f>
        <v>0</v>
      </c>
      <c r="X2" s="35">
        <v>38061</v>
      </c>
      <c r="Y2" s="35">
        <v>38125</v>
      </c>
      <c r="Z2" s="32">
        <f>1.29*400</f>
        <v>516</v>
      </c>
      <c r="AA2" s="31" t="s">
        <v>51</v>
      </c>
      <c r="AB2" s="31" t="s">
        <v>214</v>
      </c>
      <c r="AC2" s="31"/>
      <c r="AD2" s="32">
        <f t="shared" ref="AD2:AD4" si="3">1.29*400</f>
        <v>516</v>
      </c>
      <c r="AE2" s="31" t="s">
        <v>51</v>
      </c>
      <c r="AF2" s="31" t="s">
        <v>214</v>
      </c>
      <c r="AG2" s="31"/>
      <c r="AH2" s="8">
        <f>(Z2-AD2)/AD2</f>
        <v>0</v>
      </c>
      <c r="AI2" s="8">
        <f>VLOOKUP(F2,'[1]Sheet 2'!$B:$W,18,0)/VLOOKUP(F2,'[1]Sheet 2'!$B:$W,20,0)</f>
        <v>543.13760469372494</v>
      </c>
      <c r="AJ2" s="8">
        <f>(Z2-AI2)/AI2</f>
        <v>-4.9964510759714052E-2</v>
      </c>
      <c r="AK2" s="32">
        <v>45.75</v>
      </c>
      <c r="AL2" s="32" t="s">
        <v>37</v>
      </c>
      <c r="AM2" s="31"/>
      <c r="AN2" s="31"/>
      <c r="AO2" s="32">
        <v>45.75</v>
      </c>
      <c r="AP2" s="32" t="s">
        <v>37</v>
      </c>
      <c r="AQ2" s="31"/>
      <c r="AR2" s="31"/>
      <c r="AS2" s="8">
        <f>(AK2-AO2)/AO2</f>
        <v>0</v>
      </c>
      <c r="AT2" s="8">
        <f>VLOOKUP(F2,'[2]Sheet 2'!$B:$T,18,0)/VLOOKUP(F2,'[2]Sheet 2'!$B:$U,20,0)</f>
        <v>48.015525346087912</v>
      </c>
      <c r="AU2" s="8">
        <f>(AK2-AT2)/AT2</f>
        <v>-4.7183183559033934E-2</v>
      </c>
      <c r="AV2" s="57">
        <v>25.81</v>
      </c>
      <c r="AW2" s="32" t="s">
        <v>38</v>
      </c>
      <c r="AX2" s="31"/>
      <c r="AY2" s="31"/>
      <c r="AZ2" s="31">
        <v>25.81</v>
      </c>
      <c r="BA2" s="32" t="s">
        <v>38</v>
      </c>
      <c r="BB2" s="31"/>
      <c r="BC2" s="31"/>
      <c r="BD2" s="8">
        <f>(AV2-AZ2)/AZ2</f>
        <v>0</v>
      </c>
      <c r="BE2" s="8">
        <f>VLOOKUP(F2,'[3]Sheet 2'!$B:$T,18,0)/VLOOKUP(F2,'[3]Sheet 2'!$B:$U,20,0)</f>
        <v>29.948071509991856</v>
      </c>
      <c r="BF2" s="8">
        <f>(AV2-BE2)/BE2</f>
        <v>-0.13817489078090497</v>
      </c>
      <c r="BG2" s="31">
        <v>436.9890943273989</v>
      </c>
      <c r="BH2" s="32" t="s">
        <v>39</v>
      </c>
      <c r="BI2" s="31"/>
      <c r="BJ2" s="31"/>
      <c r="BK2" s="31">
        <f t="shared" ref="BK2:BK16" si="4">AD2/AO2*1000/AZ2</f>
        <v>436.9890943273989</v>
      </c>
      <c r="BL2" s="32" t="s">
        <v>39</v>
      </c>
      <c r="BM2" s="31"/>
      <c r="BN2" s="31"/>
      <c r="BO2" s="8">
        <f>(BG2-BK2)/BK2</f>
        <v>0</v>
      </c>
      <c r="BP2" s="8">
        <f>VLOOKUP(F2,'[4]Sheet 2'!$B:$T,18,0)/VLOOKUP(F2,'[4]Sheet 2'!$B:$U,20,0)</f>
        <v>382.4336925737685</v>
      </c>
      <c r="BQ2" s="8">
        <f>(BG2-BP2)/BP2</f>
        <v>0.14265323064626972</v>
      </c>
      <c r="BR2" s="31">
        <f t="shared" ref="BR2:BR48" si="5">Z2/AK2*1000</f>
        <v>11278.688524590165</v>
      </c>
      <c r="BS2" s="32" t="s">
        <v>39</v>
      </c>
      <c r="BT2" s="31"/>
      <c r="BU2" s="31"/>
      <c r="BV2" s="31">
        <f t="shared" ref="BV2:BV48" si="6">AD2/AO2*1000</f>
        <v>11278.688524590165</v>
      </c>
      <c r="BW2" s="32" t="s">
        <v>39</v>
      </c>
      <c r="BX2" s="31"/>
      <c r="BY2" s="31"/>
      <c r="BZ2" s="8">
        <f>(BR2-BV2)/BV2</f>
        <v>0</v>
      </c>
      <c r="CA2" s="8">
        <f>VLOOKUP(F2,'[5]Sheet 2'!$B:$T,18,0)/VLOOKUP(F2,'[5]Sheet 2'!$B:$U,20,0)</f>
        <v>11284.035234197339</v>
      </c>
      <c r="CB2" s="8">
        <f>(BR2-CA2)/CA2</f>
        <v>-4.7382957392500674E-4</v>
      </c>
      <c r="CC2" s="37">
        <f t="shared" ref="CC2:CC16" si="7">31+53/60</f>
        <v>31.883333333333333</v>
      </c>
      <c r="CD2" s="37">
        <f t="shared" ref="CD2:CD16" si="8">121+18/60</f>
        <v>121.3</v>
      </c>
      <c r="CE2" s="38">
        <v>37909</v>
      </c>
      <c r="CF2" s="38">
        <v>38130</v>
      </c>
      <c r="CG2" s="39">
        <v>38061</v>
      </c>
      <c r="CH2" s="39">
        <v>38125</v>
      </c>
      <c r="CI2" s="40">
        <f t="shared" ref="CI2:CI40" si="9">CE2-INT(YEAR(CF2)&amp;"/1/1")+1</f>
        <v>-77</v>
      </c>
      <c r="CJ2" s="40">
        <f t="shared" ref="CJ2:CJ40" si="10">CF2-INT(YEAR(CF2)&amp;"/1/1")+1</f>
        <v>144</v>
      </c>
      <c r="CK2" s="41">
        <f t="shared" ref="CK2:CK40" si="11">CJ2-CI2+1</f>
        <v>222</v>
      </c>
      <c r="CL2" s="40">
        <f t="shared" ref="CL2:CL40" si="12">CG2-INT(YEAR(CG2)&amp;"/1/1")+1</f>
        <v>75</v>
      </c>
      <c r="CM2" s="40">
        <f t="shared" ref="CM2:CM40" si="13">CH2-INT(YEAR(CH2)&amp;"/1/1")+1</f>
        <v>139</v>
      </c>
      <c r="CN2" s="42">
        <f t="shared" ref="CN2:CN40" si="14">CM2-CL2+1</f>
        <v>65</v>
      </c>
    </row>
    <row r="3" spans="1:96" s="42" customFormat="1" hidden="1" x14ac:dyDescent="0.3">
      <c r="A3" s="31">
        <v>1</v>
      </c>
      <c r="B3" s="31"/>
      <c r="C3" s="32">
        <v>14</v>
      </c>
      <c r="D3" s="33" t="s">
        <v>28</v>
      </c>
      <c r="E3" s="34" t="s">
        <v>29</v>
      </c>
      <c r="F3" s="34" t="str">
        <f t="shared" si="0"/>
        <v>2012-118yangmai1852004OTC</v>
      </c>
      <c r="G3" s="32" t="s">
        <v>30</v>
      </c>
      <c r="H3" s="32" t="s">
        <v>31</v>
      </c>
      <c r="I3" s="32" t="s">
        <v>31</v>
      </c>
      <c r="J3" s="32" t="s">
        <v>32</v>
      </c>
      <c r="K3" s="32" t="s">
        <v>33</v>
      </c>
      <c r="L3" s="32">
        <v>2004</v>
      </c>
      <c r="M3" s="32" t="s">
        <v>34</v>
      </c>
      <c r="N3" s="32" t="s">
        <v>35</v>
      </c>
      <c r="O3" s="32" t="s">
        <v>40</v>
      </c>
      <c r="P3" s="32"/>
      <c r="Q3" s="32"/>
      <c r="R3" s="32">
        <v>3.82</v>
      </c>
      <c r="S3" s="32"/>
      <c r="T3" s="32">
        <v>8</v>
      </c>
      <c r="U3" s="32">
        <f t="shared" si="1"/>
        <v>65</v>
      </c>
      <c r="V3" s="32">
        <v>3</v>
      </c>
      <c r="W3" s="31">
        <f t="shared" si="2"/>
        <v>3.82</v>
      </c>
      <c r="X3" s="35">
        <v>38061</v>
      </c>
      <c r="Y3" s="35">
        <v>38125</v>
      </c>
      <c r="Z3" s="32">
        <f>1.41*400</f>
        <v>564</v>
      </c>
      <c r="AA3" s="31" t="s">
        <v>51</v>
      </c>
      <c r="AB3" s="31" t="s">
        <v>214</v>
      </c>
      <c r="AC3" s="31"/>
      <c r="AD3" s="32">
        <f t="shared" si="3"/>
        <v>516</v>
      </c>
      <c r="AE3" s="31" t="s">
        <v>51</v>
      </c>
      <c r="AF3" s="31" t="s">
        <v>214</v>
      </c>
      <c r="AG3" s="31"/>
      <c r="AH3" s="8">
        <f t="shared" ref="AH3:AH66" si="15">(Z3-AD3)/AD3</f>
        <v>9.3023255813953487E-2</v>
      </c>
      <c r="AI3" s="8">
        <f>VLOOKUP(F3,'[1]Sheet 2'!$B:$W,18,0)/VLOOKUP(F3,'[1]Sheet 2'!$B:$W,20,0)</f>
        <v>543.13760469372494</v>
      </c>
      <c r="AJ3" s="8">
        <f t="shared" ref="AJ3:AJ66" si="16">(Z3-AI3)/AI3</f>
        <v>3.8410883588219522E-2</v>
      </c>
      <c r="AK3" s="32">
        <v>46.5</v>
      </c>
      <c r="AL3" s="32" t="s">
        <v>37</v>
      </c>
      <c r="AM3" s="31"/>
      <c r="AN3" s="31"/>
      <c r="AO3" s="32">
        <v>45.75</v>
      </c>
      <c r="AP3" s="32" t="s">
        <v>37</v>
      </c>
      <c r="AQ3" s="31"/>
      <c r="AR3" s="31"/>
      <c r="AS3" s="8">
        <f t="shared" ref="AS3:AS66" si="17">(AK3-AO3)/AO3</f>
        <v>1.6393442622950821E-2</v>
      </c>
      <c r="AT3" s="8">
        <f>VLOOKUP(F3,'[2]Sheet 2'!$B:$T,18,0)/VLOOKUP(F3,'[2]Sheet 2'!$B:$U,20,0)</f>
        <v>48.015525346087912</v>
      </c>
      <c r="AU3" s="8">
        <f t="shared" ref="AU3:AU66" si="18">(AK3-AT3)/AT3</f>
        <v>-3.1563235748526292E-2</v>
      </c>
      <c r="AV3" s="57">
        <v>27.82</v>
      </c>
      <c r="AW3" s="32" t="s">
        <v>38</v>
      </c>
      <c r="AX3" s="31"/>
      <c r="AY3" s="31"/>
      <c r="AZ3" s="31">
        <v>25.81</v>
      </c>
      <c r="BA3" s="32" t="s">
        <v>38</v>
      </c>
      <c r="BB3" s="31"/>
      <c r="BC3" s="31"/>
      <c r="BD3" s="8">
        <f t="shared" ref="BD3:BD66" si="19">(AV3-AZ3)/AZ3</f>
        <v>7.7876791941108164E-2</v>
      </c>
      <c r="BE3" s="8">
        <f>VLOOKUP(F3,'[3]Sheet 2'!$B:$T,18,0)/VLOOKUP(F3,'[3]Sheet 2'!$B:$U,20,0)</f>
        <v>29.948071509991856</v>
      </c>
      <c r="BF3" s="8">
        <f t="shared" ref="BF3:BF66" si="20">(AV3-BE3)/BE3</f>
        <v>-7.1058716060626706E-2</v>
      </c>
      <c r="BG3" s="31">
        <v>435.9824679390552</v>
      </c>
      <c r="BH3" s="32" t="s">
        <v>39</v>
      </c>
      <c r="BI3" s="31"/>
      <c r="BJ3" s="31"/>
      <c r="BK3" s="31">
        <f t="shared" si="4"/>
        <v>436.9890943273989</v>
      </c>
      <c r="BL3" s="32" t="s">
        <v>39</v>
      </c>
      <c r="BM3" s="31"/>
      <c r="BN3" s="31"/>
      <c r="BO3" s="8">
        <f t="shared" ref="BO3:BO66" si="21">(BG3-BK3)/BK3</f>
        <v>-2.3035503663840287E-3</v>
      </c>
      <c r="BP3" s="8">
        <f>VLOOKUP(F3,'[4]Sheet 2'!$B:$T,18,0)/VLOOKUP(F3,'[4]Sheet 2'!$B:$U,20,0)</f>
        <v>382.4336925737685</v>
      </c>
      <c r="BQ3" s="8">
        <f t="shared" ref="BQ3:BQ66" si="22">(BG3-BP3)/BP3</f>
        <v>0.14002107137816461</v>
      </c>
      <c r="BR3" s="31">
        <f t="shared" si="5"/>
        <v>12129.032258064515</v>
      </c>
      <c r="BS3" s="32" t="s">
        <v>39</v>
      </c>
      <c r="BT3" s="31"/>
      <c r="BU3" s="31"/>
      <c r="BV3" s="31">
        <f t="shared" si="6"/>
        <v>11278.688524590165</v>
      </c>
      <c r="BW3" s="32" t="s">
        <v>39</v>
      </c>
      <c r="BX3" s="31"/>
      <c r="BY3" s="31"/>
      <c r="BZ3" s="8">
        <f t="shared" ref="BZ3:BZ66" si="23">(BR3-BV3)/BV3</f>
        <v>7.5393848462115359E-2</v>
      </c>
      <c r="CA3" s="8">
        <f>VLOOKUP(F3,'[5]Sheet 2'!$B:$T,18,0)/VLOOKUP(F3,'[5]Sheet 2'!$B:$U,20,0)</f>
        <v>11284.035234197339</v>
      </c>
      <c r="CB3" s="8">
        <f t="shared" ref="CB3:CB66" si="24">(BR3-CA3)/CA3</f>
        <v>7.4884295053096975E-2</v>
      </c>
      <c r="CC3" s="37">
        <f t="shared" si="7"/>
        <v>31.883333333333333</v>
      </c>
      <c r="CD3" s="37">
        <f t="shared" si="8"/>
        <v>121.3</v>
      </c>
      <c r="CE3" s="38">
        <v>37909</v>
      </c>
      <c r="CF3" s="38">
        <v>38130</v>
      </c>
      <c r="CG3" s="39">
        <v>38061</v>
      </c>
      <c r="CH3" s="39">
        <v>38125</v>
      </c>
      <c r="CI3" s="40">
        <f t="shared" si="9"/>
        <v>-77</v>
      </c>
      <c r="CJ3" s="40">
        <f t="shared" si="10"/>
        <v>144</v>
      </c>
      <c r="CK3" s="41">
        <f t="shared" si="11"/>
        <v>222</v>
      </c>
      <c r="CL3" s="40">
        <f t="shared" si="12"/>
        <v>75</v>
      </c>
      <c r="CM3" s="40">
        <f t="shared" si="13"/>
        <v>139</v>
      </c>
      <c r="CN3" s="42">
        <f t="shared" si="14"/>
        <v>65</v>
      </c>
    </row>
    <row r="4" spans="1:96" s="42" customFormat="1" hidden="1" x14ac:dyDescent="0.3">
      <c r="A4" s="31">
        <v>1</v>
      </c>
      <c r="B4" s="31"/>
      <c r="C4" s="32">
        <v>14</v>
      </c>
      <c r="D4" s="33" t="s">
        <v>28</v>
      </c>
      <c r="E4" s="34" t="s">
        <v>29</v>
      </c>
      <c r="F4" s="34" t="str">
        <f t="shared" si="0"/>
        <v>2012-118yangmai1852004OTC</v>
      </c>
      <c r="G4" s="32" t="s">
        <v>30</v>
      </c>
      <c r="H4" s="32" t="s">
        <v>31</v>
      </c>
      <c r="I4" s="32" t="s">
        <v>31</v>
      </c>
      <c r="J4" s="32" t="s">
        <v>32</v>
      </c>
      <c r="K4" s="32" t="s">
        <v>33</v>
      </c>
      <c r="L4" s="32">
        <v>2004</v>
      </c>
      <c r="M4" s="32" t="s">
        <v>34</v>
      </c>
      <c r="N4" s="32" t="s">
        <v>35</v>
      </c>
      <c r="O4" s="32" t="s">
        <v>41</v>
      </c>
      <c r="P4" s="32"/>
      <c r="Q4" s="32"/>
      <c r="R4" s="32">
        <v>22.61</v>
      </c>
      <c r="S4" s="32"/>
      <c r="T4" s="32">
        <v>8</v>
      </c>
      <c r="U4" s="32">
        <f t="shared" si="1"/>
        <v>65</v>
      </c>
      <c r="V4" s="32">
        <v>3</v>
      </c>
      <c r="W4" s="31">
        <f t="shared" si="2"/>
        <v>22.61</v>
      </c>
      <c r="X4" s="35">
        <v>38061</v>
      </c>
      <c r="Y4" s="35">
        <v>38125</v>
      </c>
      <c r="Z4" s="32">
        <f>0.54*400</f>
        <v>216</v>
      </c>
      <c r="AA4" s="31" t="s">
        <v>51</v>
      </c>
      <c r="AB4" s="31" t="s">
        <v>214</v>
      </c>
      <c r="AC4" s="31"/>
      <c r="AD4" s="32">
        <f t="shared" si="3"/>
        <v>516</v>
      </c>
      <c r="AE4" s="31" t="s">
        <v>51</v>
      </c>
      <c r="AF4" s="31" t="s">
        <v>214</v>
      </c>
      <c r="AG4" s="31"/>
      <c r="AH4" s="8">
        <f>(Z4-AD4)/AD4</f>
        <v>-0.58139534883720934</v>
      </c>
      <c r="AI4" s="8">
        <f>VLOOKUP(F4,'[1]Sheet 2'!$B:$W,18,0)/VLOOKUP(F4,'[1]Sheet 2'!$B:$W,20,0)</f>
        <v>543.13760469372494</v>
      </c>
      <c r="AJ4" s="8">
        <f t="shared" si="16"/>
        <v>-0.60231072543429887</v>
      </c>
      <c r="AK4" s="32">
        <v>27.18</v>
      </c>
      <c r="AL4" s="32" t="s">
        <v>37</v>
      </c>
      <c r="AM4" s="31"/>
      <c r="AN4" s="31"/>
      <c r="AO4" s="32">
        <v>45.75</v>
      </c>
      <c r="AP4" s="32" t="s">
        <v>37</v>
      </c>
      <c r="AQ4" s="31"/>
      <c r="AR4" s="31"/>
      <c r="AS4" s="8">
        <f t="shared" si="17"/>
        <v>-0.40590163934426232</v>
      </c>
      <c r="AT4" s="8">
        <f>VLOOKUP(F4,'[2]Sheet 2'!$B:$T,18,0)/VLOOKUP(F4,'[2]Sheet 2'!$B:$U,20,0)</f>
        <v>48.015525346087912</v>
      </c>
      <c r="AU4" s="8">
        <f t="shared" si="18"/>
        <v>-0.43393309134720309</v>
      </c>
      <c r="AV4" s="57">
        <v>23.37</v>
      </c>
      <c r="AW4" s="32" t="s">
        <v>38</v>
      </c>
      <c r="AX4" s="31"/>
      <c r="AY4" s="31"/>
      <c r="AZ4" s="31">
        <v>25.81</v>
      </c>
      <c r="BA4" s="32" t="s">
        <v>38</v>
      </c>
      <c r="BB4" s="31"/>
      <c r="BC4" s="31"/>
      <c r="BD4" s="8">
        <f t="shared" si="19"/>
        <v>-9.4537001162340095E-2</v>
      </c>
      <c r="BE4" s="8">
        <f>VLOOKUP(F4,'[3]Sheet 2'!$B:$T,18,0)/VLOOKUP(F4,'[3]Sheet 2'!$B:$U,20,0)</f>
        <v>29.948071509991856</v>
      </c>
      <c r="BF4" s="8">
        <f t="shared" si="20"/>
        <v>-0.21964925213288444</v>
      </c>
      <c r="BG4" s="31">
        <v>340.05219801239485</v>
      </c>
      <c r="BH4" s="32" t="s">
        <v>39</v>
      </c>
      <c r="BI4" s="31"/>
      <c r="BJ4" s="31"/>
      <c r="BK4" s="31">
        <f t="shared" si="4"/>
        <v>436.9890943273989</v>
      </c>
      <c r="BL4" s="32" t="s">
        <v>39</v>
      </c>
      <c r="BM4" s="31"/>
      <c r="BN4" s="31"/>
      <c r="BO4" s="8">
        <f t="shared" si="21"/>
        <v>-0.22182909727806033</v>
      </c>
      <c r="BP4" s="8">
        <f>VLOOKUP(F4,'[4]Sheet 2'!$B:$T,18,0)/VLOOKUP(F4,'[4]Sheet 2'!$B:$U,20,0)</f>
        <v>382.4336925737685</v>
      </c>
      <c r="BQ4" s="8">
        <f t="shared" si="22"/>
        <v>-0.11082050400985154</v>
      </c>
      <c r="BR4" s="31">
        <f t="shared" si="5"/>
        <v>7947.0198675496686</v>
      </c>
      <c r="BS4" s="32" t="s">
        <v>39</v>
      </c>
      <c r="BT4" s="31"/>
      <c r="BU4" s="31"/>
      <c r="BV4" s="31">
        <f t="shared" si="6"/>
        <v>11278.688524590165</v>
      </c>
      <c r="BW4" s="32" t="s">
        <v>39</v>
      </c>
      <c r="BX4" s="31"/>
      <c r="BY4" s="31"/>
      <c r="BZ4" s="8">
        <f>(BR4-BV4)/BV4</f>
        <v>-0.29539504081318352</v>
      </c>
      <c r="CA4" s="8">
        <f>VLOOKUP(F4,'[5]Sheet 2'!$B:$T,18,0)/VLOOKUP(F4,'[5]Sheet 2'!$B:$U,20,0)</f>
        <v>11284.035234197339</v>
      </c>
      <c r="CB4" s="8">
        <f t="shared" si="24"/>
        <v>-0.29572890348078046</v>
      </c>
      <c r="CC4" s="37">
        <f t="shared" si="7"/>
        <v>31.883333333333333</v>
      </c>
      <c r="CD4" s="37">
        <f t="shared" si="8"/>
        <v>121.3</v>
      </c>
      <c r="CE4" s="38">
        <v>37909</v>
      </c>
      <c r="CF4" s="38">
        <v>38130</v>
      </c>
      <c r="CG4" s="39">
        <v>38061</v>
      </c>
      <c r="CH4" s="39">
        <v>38125</v>
      </c>
      <c r="CI4" s="40">
        <f t="shared" si="9"/>
        <v>-77</v>
      </c>
      <c r="CJ4" s="40">
        <f t="shared" si="10"/>
        <v>144</v>
      </c>
      <c r="CK4" s="41">
        <f t="shared" si="11"/>
        <v>222</v>
      </c>
      <c r="CL4" s="40">
        <f t="shared" si="12"/>
        <v>75</v>
      </c>
      <c r="CM4" s="40">
        <f t="shared" si="13"/>
        <v>139</v>
      </c>
      <c r="CN4" s="42">
        <f t="shared" si="14"/>
        <v>65</v>
      </c>
    </row>
    <row r="5" spans="1:96" s="19" customFormat="1" hidden="1" x14ac:dyDescent="0.3">
      <c r="A5" s="3">
        <v>1</v>
      </c>
      <c r="B5" s="3"/>
      <c r="C5" s="4">
        <v>14</v>
      </c>
      <c r="D5" s="5" t="s">
        <v>28</v>
      </c>
      <c r="E5" s="6" t="s">
        <v>29</v>
      </c>
      <c r="F5" s="6" t="str">
        <f t="shared" si="0"/>
        <v>2012-118jia0022006OTC</v>
      </c>
      <c r="G5" s="4" t="s">
        <v>30</v>
      </c>
      <c r="H5" s="4" t="s">
        <v>31</v>
      </c>
      <c r="I5" s="4" t="s">
        <v>31</v>
      </c>
      <c r="J5" s="4" t="s">
        <v>32</v>
      </c>
      <c r="K5" s="4" t="s">
        <v>43</v>
      </c>
      <c r="L5" s="4">
        <v>2006</v>
      </c>
      <c r="M5" s="4" t="s">
        <v>34</v>
      </c>
      <c r="N5" s="4" t="s">
        <v>35</v>
      </c>
      <c r="O5" s="4" t="s">
        <v>36</v>
      </c>
      <c r="P5" s="32" t="s">
        <v>267</v>
      </c>
      <c r="Q5" s="4"/>
      <c r="R5" s="4">
        <v>0</v>
      </c>
      <c r="S5" s="3"/>
      <c r="T5" s="4">
        <v>8</v>
      </c>
      <c r="U5" s="4">
        <f t="shared" si="1"/>
        <v>47</v>
      </c>
      <c r="V5" s="4">
        <v>3</v>
      </c>
      <c r="W5" s="3">
        <f t="shared" si="2"/>
        <v>0</v>
      </c>
      <c r="X5" s="7">
        <v>38789</v>
      </c>
      <c r="Y5" s="7">
        <v>38835</v>
      </c>
      <c r="Z5" s="4">
        <f>1.52*400</f>
        <v>608</v>
      </c>
      <c r="AA5" s="3" t="s">
        <v>51</v>
      </c>
      <c r="AB5" s="3" t="s">
        <v>214</v>
      </c>
      <c r="AC5" s="4">
        <v>7.0000000000000007E-2</v>
      </c>
      <c r="AD5" s="4">
        <f t="shared" ref="AD5:AD8" si="25">1.52*400</f>
        <v>608</v>
      </c>
      <c r="AE5" s="3" t="s">
        <v>51</v>
      </c>
      <c r="AF5" s="3" t="s">
        <v>214</v>
      </c>
      <c r="AG5" s="4">
        <v>7.0000000000000007E-2</v>
      </c>
      <c r="AH5" s="8">
        <f t="shared" si="15"/>
        <v>0</v>
      </c>
      <c r="AI5" s="8">
        <f>VLOOKUP(F5,'[1]Sheet 2'!$B:$W,18,0)/VLOOKUP(F5,'[1]Sheet 2'!$B:$W,20,0)</f>
        <v>685.74100148040566</v>
      </c>
      <c r="AJ5" s="8">
        <f t="shared" si="16"/>
        <v>-0.11336787695729905</v>
      </c>
      <c r="AK5" s="4">
        <v>37.43</v>
      </c>
      <c r="AL5" s="4" t="s">
        <v>37</v>
      </c>
      <c r="AM5" s="3"/>
      <c r="AN5" s="3">
        <v>1.37</v>
      </c>
      <c r="AO5" s="4">
        <v>37.43</v>
      </c>
      <c r="AP5" s="4" t="s">
        <v>37</v>
      </c>
      <c r="AQ5" s="3"/>
      <c r="AR5" s="3">
        <v>1.37</v>
      </c>
      <c r="AS5" s="8">
        <f t="shared" si="17"/>
        <v>0</v>
      </c>
      <c r="AT5" s="8">
        <f>VLOOKUP(F5,'[2]Sheet 2'!$B:$T,18,0)/VLOOKUP(F5,'[2]Sheet 2'!$B:$U,20,0)</f>
        <v>39.044869203823509</v>
      </c>
      <c r="AU5" s="8">
        <f t="shared" si="18"/>
        <v>-4.1359319079633951E-2</v>
      </c>
      <c r="AV5" s="66">
        <v>46.9</v>
      </c>
      <c r="AW5" s="4" t="s">
        <v>38</v>
      </c>
      <c r="AX5" s="3"/>
      <c r="AY5" s="3">
        <v>3.93</v>
      </c>
      <c r="AZ5" s="4">
        <v>46.9</v>
      </c>
      <c r="BA5" s="4" t="s">
        <v>38</v>
      </c>
      <c r="BB5" s="3"/>
      <c r="BC5" s="3">
        <v>3.93</v>
      </c>
      <c r="BD5" s="8">
        <f t="shared" si="19"/>
        <v>0</v>
      </c>
      <c r="BE5" s="8">
        <f>VLOOKUP(F5,'[3]Sheet 2'!$B:$T,18,0)/VLOOKUP(F5,'[3]Sheet 2'!$B:$U,20,0)</f>
        <v>43.60155259990772</v>
      </c>
      <c r="BF5" s="8">
        <f t="shared" si="20"/>
        <v>7.5649769409799866E-2</v>
      </c>
      <c r="BG5" s="3">
        <v>346.34658469797495</v>
      </c>
      <c r="BH5" s="4" t="s">
        <v>39</v>
      </c>
      <c r="BI5" s="3"/>
      <c r="BJ5" s="3"/>
      <c r="BK5" s="3">
        <f t="shared" si="4"/>
        <v>346.34658469797495</v>
      </c>
      <c r="BL5" s="4" t="s">
        <v>39</v>
      </c>
      <c r="BM5" s="3"/>
      <c r="BN5" s="3"/>
      <c r="BO5" s="8">
        <f t="shared" si="21"/>
        <v>0</v>
      </c>
      <c r="BP5" s="8">
        <f>VLOOKUP(F5,'[4]Sheet 2'!$B:$T,18,0)/VLOOKUP(F5,'[4]Sheet 2'!$B:$U,20,0)</f>
        <v>408.65890726636451</v>
      </c>
      <c r="BQ5" s="8">
        <f t="shared" si="22"/>
        <v>-0.15248003031480309</v>
      </c>
      <c r="BR5" s="3">
        <f t="shared" si="5"/>
        <v>16243.654822335024</v>
      </c>
      <c r="BS5" s="4" t="s">
        <v>39</v>
      </c>
      <c r="BT5" s="3"/>
      <c r="BU5" s="3"/>
      <c r="BV5" s="3">
        <f t="shared" si="6"/>
        <v>16243.654822335024</v>
      </c>
      <c r="BW5" s="4" t="s">
        <v>39</v>
      </c>
      <c r="BX5" s="3"/>
      <c r="BY5" s="3"/>
      <c r="BZ5" s="8">
        <f t="shared" si="23"/>
        <v>0</v>
      </c>
      <c r="CA5" s="8">
        <f>VLOOKUP(F5,'[5]Sheet 2'!$B:$T,18,0)/VLOOKUP(F5,'[5]Sheet 2'!$B:$U,20,0)</f>
        <v>17535.239255079628</v>
      </c>
      <c r="CB5" s="8">
        <f t="shared" si="24"/>
        <v>-7.3656504707824685E-2</v>
      </c>
      <c r="CC5" s="24">
        <f t="shared" si="7"/>
        <v>31.883333333333333</v>
      </c>
      <c r="CD5" s="24">
        <f t="shared" si="8"/>
        <v>121.3</v>
      </c>
      <c r="CE5" s="20">
        <v>38663</v>
      </c>
      <c r="CF5" s="20">
        <v>38853</v>
      </c>
      <c r="CG5" s="18">
        <v>38789</v>
      </c>
      <c r="CH5" s="18">
        <v>38835</v>
      </c>
      <c r="CI5" s="21">
        <f t="shared" si="9"/>
        <v>-54</v>
      </c>
      <c r="CJ5" s="21">
        <f t="shared" si="10"/>
        <v>136</v>
      </c>
      <c r="CK5" s="30">
        <f t="shared" si="11"/>
        <v>191</v>
      </c>
      <c r="CL5" s="21">
        <f t="shared" si="12"/>
        <v>72</v>
      </c>
      <c r="CM5" s="21">
        <f t="shared" si="13"/>
        <v>118</v>
      </c>
      <c r="CN5" s="19">
        <f t="shared" si="14"/>
        <v>47</v>
      </c>
      <c r="CP5" s="29">
        <v>38817</v>
      </c>
      <c r="CQ5" s="19">
        <f>CF5-CP5+1</f>
        <v>37</v>
      </c>
      <c r="CR5" s="19" t="s">
        <v>248</v>
      </c>
    </row>
    <row r="6" spans="1:96" s="19" customFormat="1" hidden="1" x14ac:dyDescent="0.3">
      <c r="A6" s="3">
        <v>1</v>
      </c>
      <c r="B6" s="3"/>
      <c r="C6" s="4">
        <v>14</v>
      </c>
      <c r="D6" s="5" t="s">
        <v>28</v>
      </c>
      <c r="E6" s="6" t="s">
        <v>29</v>
      </c>
      <c r="F6" s="6" t="str">
        <f t="shared" si="0"/>
        <v>2012-118jia0022006OTC</v>
      </c>
      <c r="G6" s="4" t="s">
        <v>30</v>
      </c>
      <c r="H6" s="4" t="s">
        <v>31</v>
      </c>
      <c r="I6" s="4" t="s">
        <v>31</v>
      </c>
      <c r="J6" s="4" t="s">
        <v>32</v>
      </c>
      <c r="K6" s="4" t="s">
        <v>43</v>
      </c>
      <c r="L6" s="4">
        <v>2006</v>
      </c>
      <c r="M6" s="4" t="s">
        <v>34</v>
      </c>
      <c r="N6" s="4" t="s">
        <v>35</v>
      </c>
      <c r="O6" s="4" t="s">
        <v>40</v>
      </c>
      <c r="P6" s="4"/>
      <c r="Q6" s="4"/>
      <c r="R6" s="4">
        <v>2.5</v>
      </c>
      <c r="S6" s="3"/>
      <c r="T6" s="4">
        <v>8</v>
      </c>
      <c r="U6" s="4">
        <f t="shared" si="1"/>
        <v>47</v>
      </c>
      <c r="V6" s="4">
        <v>3</v>
      </c>
      <c r="W6" s="3">
        <f t="shared" si="2"/>
        <v>2.5</v>
      </c>
      <c r="X6" s="7">
        <v>38789</v>
      </c>
      <c r="Y6" s="7">
        <v>38835</v>
      </c>
      <c r="Z6" s="4">
        <f>1.35*400</f>
        <v>540</v>
      </c>
      <c r="AA6" s="3" t="s">
        <v>51</v>
      </c>
      <c r="AB6" s="3" t="s">
        <v>214</v>
      </c>
      <c r="AC6" s="4">
        <v>0.17</v>
      </c>
      <c r="AD6" s="4">
        <f t="shared" si="25"/>
        <v>608</v>
      </c>
      <c r="AE6" s="3" t="s">
        <v>51</v>
      </c>
      <c r="AF6" s="3" t="s">
        <v>214</v>
      </c>
      <c r="AG6" s="4">
        <v>7.0000000000000007E-2</v>
      </c>
      <c r="AH6" s="8">
        <f t="shared" si="15"/>
        <v>-0.1118421052631579</v>
      </c>
      <c r="AI6" s="8">
        <f>VLOOKUP(F6,'[1]Sheet 2'!$B:$W,18,0)/VLOOKUP(F6,'[1]Sheet 2'!$B:$W,20,0)</f>
        <v>685.74100148040566</v>
      </c>
      <c r="AJ6" s="8">
        <f t="shared" si="16"/>
        <v>-0.21253068019233798</v>
      </c>
      <c r="AK6" s="4">
        <v>32.01</v>
      </c>
      <c r="AL6" s="4" t="s">
        <v>37</v>
      </c>
      <c r="AM6" s="3"/>
      <c r="AN6" s="3">
        <v>0.78</v>
      </c>
      <c r="AO6" s="4">
        <v>37.43</v>
      </c>
      <c r="AP6" s="4" t="s">
        <v>37</v>
      </c>
      <c r="AQ6" s="3"/>
      <c r="AR6" s="3">
        <v>1.37</v>
      </c>
      <c r="AS6" s="8">
        <f t="shared" si="17"/>
        <v>-0.14480363344910505</v>
      </c>
      <c r="AT6" s="8">
        <f>VLOOKUP(F6,'[2]Sheet 2'!$B:$T,18,0)/VLOOKUP(F6,'[2]Sheet 2'!$B:$U,20,0)</f>
        <v>39.044869203823509</v>
      </c>
      <c r="AU6" s="8">
        <f t="shared" si="18"/>
        <v>-0.18017397284902711</v>
      </c>
      <c r="AV6" s="66">
        <v>46.24</v>
      </c>
      <c r="AW6" s="4" t="s">
        <v>38</v>
      </c>
      <c r="AX6" s="3"/>
      <c r="AY6" s="3">
        <v>4.25</v>
      </c>
      <c r="AZ6" s="4">
        <v>46.9</v>
      </c>
      <c r="BA6" s="4" t="s">
        <v>38</v>
      </c>
      <c r="BB6" s="3"/>
      <c r="BC6" s="3">
        <v>3.93</v>
      </c>
      <c r="BD6" s="8">
        <f t="shared" si="19"/>
        <v>-1.4072494669509522E-2</v>
      </c>
      <c r="BE6" s="8">
        <f>VLOOKUP(F6,'[3]Sheet 2'!$B:$T,18,0)/VLOOKUP(F6,'[3]Sheet 2'!$B:$U,20,0)</f>
        <v>43.60155259990772</v>
      </c>
      <c r="BF6" s="8">
        <f t="shared" si="20"/>
        <v>6.0512693763521308E-2</v>
      </c>
      <c r="BG6" s="3">
        <v>364.82976232557087</v>
      </c>
      <c r="BH6" s="4" t="s">
        <v>39</v>
      </c>
      <c r="BI6" s="3"/>
      <c r="BJ6" s="3"/>
      <c r="BK6" s="3">
        <f t="shared" si="4"/>
        <v>346.34658469797495</v>
      </c>
      <c r="BL6" s="4" t="s">
        <v>39</v>
      </c>
      <c r="BM6" s="3"/>
      <c r="BN6" s="3"/>
      <c r="BO6" s="8">
        <f t="shared" si="21"/>
        <v>5.3366132204577185E-2</v>
      </c>
      <c r="BP6" s="8">
        <f>VLOOKUP(F6,'[4]Sheet 2'!$B:$T,18,0)/VLOOKUP(F6,'[4]Sheet 2'!$B:$U,20,0)</f>
        <v>408.65890726636451</v>
      </c>
      <c r="BQ6" s="8">
        <f t="shared" si="22"/>
        <v>-0.10725116756656361</v>
      </c>
      <c r="BR6" s="3">
        <f t="shared" si="5"/>
        <v>16869.728209934397</v>
      </c>
      <c r="BS6" s="4" t="s">
        <v>39</v>
      </c>
      <c r="BT6" s="3"/>
      <c r="BU6" s="3"/>
      <c r="BV6" s="3">
        <f t="shared" si="6"/>
        <v>16243.654822335024</v>
      </c>
      <c r="BW6" s="4" t="s">
        <v>39</v>
      </c>
      <c r="BX6" s="3"/>
      <c r="BY6" s="3"/>
      <c r="BZ6" s="8">
        <f t="shared" si="23"/>
        <v>3.8542642924086448E-2</v>
      </c>
      <c r="CA6" s="8">
        <f>VLOOKUP(F6,'[5]Sheet 2'!$B:$T,18,0)/VLOOKUP(F6,'[5]Sheet 2'!$B:$U,20,0)</f>
        <v>17535.239255079628</v>
      </c>
      <c r="CB6" s="8">
        <f t="shared" si="24"/>
        <v>-3.7952778143728209E-2</v>
      </c>
      <c r="CC6" s="24">
        <f t="shared" si="7"/>
        <v>31.883333333333333</v>
      </c>
      <c r="CD6" s="24">
        <f t="shared" si="8"/>
        <v>121.3</v>
      </c>
      <c r="CE6" s="20">
        <v>38663</v>
      </c>
      <c r="CF6" s="20">
        <v>38853</v>
      </c>
      <c r="CG6" s="18">
        <v>38789</v>
      </c>
      <c r="CH6" s="18">
        <v>38835</v>
      </c>
      <c r="CI6" s="21">
        <f t="shared" si="9"/>
        <v>-54</v>
      </c>
      <c r="CJ6" s="21">
        <f t="shared" si="10"/>
        <v>136</v>
      </c>
      <c r="CK6" s="30">
        <f t="shared" si="11"/>
        <v>191</v>
      </c>
      <c r="CL6" s="21">
        <f t="shared" si="12"/>
        <v>72</v>
      </c>
      <c r="CM6" s="21">
        <f t="shared" si="13"/>
        <v>118</v>
      </c>
      <c r="CN6" s="19">
        <f t="shared" si="14"/>
        <v>47</v>
      </c>
      <c r="CP6" s="29">
        <v>38817</v>
      </c>
      <c r="CQ6" s="19">
        <f>CF6-CP6+1</f>
        <v>37</v>
      </c>
      <c r="CR6" s="19" t="s">
        <v>248</v>
      </c>
    </row>
    <row r="7" spans="1:96" s="19" customFormat="1" hidden="1" x14ac:dyDescent="0.3">
      <c r="A7" s="3">
        <v>1</v>
      </c>
      <c r="B7" s="3"/>
      <c r="C7" s="4">
        <v>14</v>
      </c>
      <c r="D7" s="5" t="s">
        <v>28</v>
      </c>
      <c r="E7" s="6" t="s">
        <v>29</v>
      </c>
      <c r="F7" s="6" t="str">
        <f t="shared" si="0"/>
        <v>2012-118jia0022006OTC</v>
      </c>
      <c r="G7" s="4" t="s">
        <v>30</v>
      </c>
      <c r="H7" s="4" t="s">
        <v>31</v>
      </c>
      <c r="I7" s="4" t="s">
        <v>31</v>
      </c>
      <c r="J7" s="4" t="s">
        <v>32</v>
      </c>
      <c r="K7" s="4" t="s">
        <v>43</v>
      </c>
      <c r="L7" s="4">
        <v>2006</v>
      </c>
      <c r="M7" s="4" t="s">
        <v>34</v>
      </c>
      <c r="N7" s="4" t="s">
        <v>35</v>
      </c>
      <c r="O7" s="4" t="s">
        <v>41</v>
      </c>
      <c r="P7" s="4"/>
      <c r="Q7" s="4"/>
      <c r="R7" s="4">
        <v>14.27</v>
      </c>
      <c r="S7" s="3"/>
      <c r="T7" s="4">
        <v>8</v>
      </c>
      <c r="U7" s="4">
        <f t="shared" si="1"/>
        <v>47</v>
      </c>
      <c r="V7" s="4">
        <v>3</v>
      </c>
      <c r="W7" s="3">
        <f t="shared" si="2"/>
        <v>14.27</v>
      </c>
      <c r="X7" s="7">
        <v>38789</v>
      </c>
      <c r="Y7" s="7">
        <v>38835</v>
      </c>
      <c r="Z7" s="4">
        <f>1.1*400</f>
        <v>440.00000000000006</v>
      </c>
      <c r="AA7" s="3" t="s">
        <v>51</v>
      </c>
      <c r="AB7" s="3" t="s">
        <v>214</v>
      </c>
      <c r="AC7" s="4">
        <v>0.15</v>
      </c>
      <c r="AD7" s="4">
        <f t="shared" si="25"/>
        <v>608</v>
      </c>
      <c r="AE7" s="3" t="s">
        <v>51</v>
      </c>
      <c r="AF7" s="3" t="s">
        <v>214</v>
      </c>
      <c r="AG7" s="4">
        <v>7.0000000000000007E-2</v>
      </c>
      <c r="AH7" s="8">
        <f t="shared" si="15"/>
        <v>-0.27631578947368413</v>
      </c>
      <c r="AI7" s="8">
        <f>VLOOKUP(F7,'[1]Sheet 2'!$B:$W,18,0)/VLOOKUP(F7,'[1]Sheet 2'!$B:$W,20,0)</f>
        <v>685.74100148040566</v>
      </c>
      <c r="AJ7" s="8">
        <f t="shared" si="16"/>
        <v>-0.35835833200857159</v>
      </c>
      <c r="AK7" s="4">
        <v>29.71</v>
      </c>
      <c r="AL7" s="4" t="s">
        <v>37</v>
      </c>
      <c r="AM7" s="3"/>
      <c r="AN7" s="3">
        <v>1.2</v>
      </c>
      <c r="AO7" s="4">
        <v>37.43</v>
      </c>
      <c r="AP7" s="4" t="s">
        <v>37</v>
      </c>
      <c r="AQ7" s="3"/>
      <c r="AR7" s="3">
        <v>1.37</v>
      </c>
      <c r="AS7" s="8">
        <f t="shared" si="17"/>
        <v>-0.20625166978359602</v>
      </c>
      <c r="AT7" s="8">
        <f>VLOOKUP(F7,'[2]Sheet 2'!$B:$T,18,0)/VLOOKUP(F7,'[2]Sheet 2'!$B:$U,20,0)</f>
        <v>39.044869203823509</v>
      </c>
      <c r="AU7" s="8">
        <f t="shared" si="18"/>
        <v>-0.23908056024194294</v>
      </c>
      <c r="AV7" s="66">
        <v>33.5</v>
      </c>
      <c r="AW7" s="4" t="s">
        <v>38</v>
      </c>
      <c r="AX7" s="3"/>
      <c r="AY7" s="3">
        <v>3.29</v>
      </c>
      <c r="AZ7" s="4">
        <v>46.9</v>
      </c>
      <c r="BA7" s="4" t="s">
        <v>38</v>
      </c>
      <c r="BB7" s="3"/>
      <c r="BC7" s="3">
        <v>3.93</v>
      </c>
      <c r="BD7" s="8">
        <f t="shared" si="19"/>
        <v>-0.2857142857142857</v>
      </c>
      <c r="BE7" s="8">
        <f>VLOOKUP(F7,'[3]Sheet 2'!$B:$T,18,0)/VLOOKUP(F7,'[3]Sheet 2'!$B:$U,20,0)</f>
        <v>43.60155259990772</v>
      </c>
      <c r="BF7" s="8">
        <f t="shared" si="20"/>
        <v>-0.23167873613585721</v>
      </c>
      <c r="BG7" s="3">
        <v>442.08442807838964</v>
      </c>
      <c r="BH7" s="4" t="s">
        <v>39</v>
      </c>
      <c r="BI7" s="3"/>
      <c r="BJ7" s="3"/>
      <c r="BK7" s="3">
        <f t="shared" si="4"/>
        <v>346.34658469797495</v>
      </c>
      <c r="BL7" s="4" t="s">
        <v>39</v>
      </c>
      <c r="BM7" s="3"/>
      <c r="BN7" s="3"/>
      <c r="BO7" s="8">
        <f t="shared" si="21"/>
        <v>0.27642208010770797</v>
      </c>
      <c r="BP7" s="8">
        <f>VLOOKUP(F7,'[4]Sheet 2'!$B:$T,18,0)/VLOOKUP(F7,'[4]Sheet 2'!$B:$U,20,0)</f>
        <v>408.65890726636451</v>
      </c>
      <c r="BQ7" s="8">
        <f t="shared" si="22"/>
        <v>8.1793202638400633E-2</v>
      </c>
      <c r="BR7" s="3">
        <f t="shared" si="5"/>
        <v>14809.828340626053</v>
      </c>
      <c r="BS7" s="4" t="s">
        <v>39</v>
      </c>
      <c r="BT7" s="3"/>
      <c r="BU7" s="3"/>
      <c r="BV7" s="3">
        <f t="shared" si="6"/>
        <v>16243.654822335024</v>
      </c>
      <c r="BW7" s="4" t="s">
        <v>39</v>
      </c>
      <c r="BX7" s="3"/>
      <c r="BY7" s="3"/>
      <c r="BZ7" s="8">
        <f t="shared" si="23"/>
        <v>-8.8269942780208555E-2</v>
      </c>
      <c r="CA7" s="8">
        <f>VLOOKUP(F7,'[5]Sheet 2'!$B:$T,18,0)/VLOOKUP(F7,'[5]Sheet 2'!$B:$U,20,0)</f>
        <v>17535.239255079628</v>
      </c>
      <c r="CB7" s="8">
        <f t="shared" si="24"/>
        <v>-0.15542479203208337</v>
      </c>
      <c r="CC7" s="24">
        <f t="shared" si="7"/>
        <v>31.883333333333333</v>
      </c>
      <c r="CD7" s="24">
        <f t="shared" si="8"/>
        <v>121.3</v>
      </c>
      <c r="CE7" s="20">
        <v>38663</v>
      </c>
      <c r="CF7" s="20">
        <v>38853</v>
      </c>
      <c r="CG7" s="18">
        <v>38789</v>
      </c>
      <c r="CH7" s="18">
        <v>38835</v>
      </c>
      <c r="CI7" s="21">
        <f t="shared" si="9"/>
        <v>-54</v>
      </c>
      <c r="CJ7" s="21">
        <f t="shared" si="10"/>
        <v>136</v>
      </c>
      <c r="CK7" s="30">
        <f t="shared" si="11"/>
        <v>191</v>
      </c>
      <c r="CL7" s="21">
        <f t="shared" si="12"/>
        <v>72</v>
      </c>
      <c r="CM7" s="21">
        <f t="shared" si="13"/>
        <v>118</v>
      </c>
      <c r="CN7" s="19">
        <f t="shared" si="14"/>
        <v>47</v>
      </c>
      <c r="CP7" s="29">
        <v>38817</v>
      </c>
      <c r="CQ7" s="19">
        <f>CF7-CP7+1</f>
        <v>37</v>
      </c>
      <c r="CR7" s="19" t="s">
        <v>248</v>
      </c>
    </row>
    <row r="8" spans="1:96" s="19" customFormat="1" hidden="1" x14ac:dyDescent="0.3">
      <c r="A8" s="3">
        <v>1</v>
      </c>
      <c r="B8" s="3"/>
      <c r="C8" s="4">
        <v>14</v>
      </c>
      <c r="D8" s="5" t="s">
        <v>28</v>
      </c>
      <c r="E8" s="6" t="s">
        <v>29</v>
      </c>
      <c r="F8" s="6" t="str">
        <f t="shared" si="0"/>
        <v>2012-118jia0022006OTC</v>
      </c>
      <c r="G8" s="4" t="s">
        <v>30</v>
      </c>
      <c r="H8" s="4" t="s">
        <v>31</v>
      </c>
      <c r="I8" s="4" t="s">
        <v>31</v>
      </c>
      <c r="J8" s="4" t="s">
        <v>32</v>
      </c>
      <c r="K8" s="4" t="s">
        <v>43</v>
      </c>
      <c r="L8" s="4">
        <v>2006</v>
      </c>
      <c r="M8" s="4" t="s">
        <v>34</v>
      </c>
      <c r="N8" s="4" t="s">
        <v>35</v>
      </c>
      <c r="O8" s="4" t="s">
        <v>42</v>
      </c>
      <c r="P8" s="4"/>
      <c r="Q8" s="4"/>
      <c r="R8" s="4">
        <v>24.22</v>
      </c>
      <c r="S8" s="3"/>
      <c r="T8" s="4">
        <v>8</v>
      </c>
      <c r="U8" s="4">
        <f t="shared" si="1"/>
        <v>47</v>
      </c>
      <c r="V8" s="4">
        <v>3</v>
      </c>
      <c r="W8" s="3">
        <f t="shared" si="2"/>
        <v>24.22</v>
      </c>
      <c r="X8" s="7">
        <v>38789</v>
      </c>
      <c r="Y8" s="7">
        <v>38835</v>
      </c>
      <c r="Z8" s="4">
        <f>0.91*400</f>
        <v>364</v>
      </c>
      <c r="AA8" s="3" t="s">
        <v>51</v>
      </c>
      <c r="AB8" s="3" t="s">
        <v>214</v>
      </c>
      <c r="AC8" s="4">
        <v>0.05</v>
      </c>
      <c r="AD8" s="4">
        <f t="shared" si="25"/>
        <v>608</v>
      </c>
      <c r="AE8" s="3" t="s">
        <v>51</v>
      </c>
      <c r="AF8" s="3" t="s">
        <v>214</v>
      </c>
      <c r="AG8" s="4">
        <v>7.0000000000000007E-2</v>
      </c>
      <c r="AH8" s="8">
        <f t="shared" si="15"/>
        <v>-0.40131578947368424</v>
      </c>
      <c r="AI8" s="8">
        <f>VLOOKUP(F8,'[1]Sheet 2'!$B:$W,18,0)/VLOOKUP(F8,'[1]Sheet 2'!$B:$W,20,0)</f>
        <v>685.74100148040566</v>
      </c>
      <c r="AJ8" s="8">
        <f t="shared" si="16"/>
        <v>-0.46918734738890933</v>
      </c>
      <c r="AK8" s="4">
        <v>24.05</v>
      </c>
      <c r="AL8" s="4" t="s">
        <v>37</v>
      </c>
      <c r="AM8" s="3"/>
      <c r="AN8" s="3">
        <v>0.75</v>
      </c>
      <c r="AO8" s="4">
        <v>37.43</v>
      </c>
      <c r="AP8" s="4" t="s">
        <v>37</v>
      </c>
      <c r="AQ8" s="3"/>
      <c r="AR8" s="3">
        <v>1.37</v>
      </c>
      <c r="AS8" s="8">
        <f t="shared" si="17"/>
        <v>-0.35746727224151748</v>
      </c>
      <c r="AT8" s="8">
        <f>VLOOKUP(F8,'[2]Sheet 2'!$B:$T,18,0)/VLOOKUP(F8,'[2]Sheet 2'!$B:$U,20,0)</f>
        <v>39.044869203823509</v>
      </c>
      <c r="AU8" s="8">
        <f t="shared" si="18"/>
        <v>-0.38404198834798814</v>
      </c>
      <c r="AV8" s="66">
        <v>24.13</v>
      </c>
      <c r="AW8" s="4" t="s">
        <v>38</v>
      </c>
      <c r="AX8" s="3"/>
      <c r="AY8" s="3">
        <v>3.75</v>
      </c>
      <c r="AZ8" s="4">
        <v>46.9</v>
      </c>
      <c r="BA8" s="4" t="s">
        <v>38</v>
      </c>
      <c r="BB8" s="3"/>
      <c r="BC8" s="3">
        <v>3.93</v>
      </c>
      <c r="BD8" s="8">
        <f t="shared" si="19"/>
        <v>-0.48550106609808102</v>
      </c>
      <c r="BE8" s="8">
        <f>VLOOKUP(F8,'[3]Sheet 2'!$B:$T,18,0)/VLOOKUP(F8,'[3]Sheet 2'!$B:$U,20,0)</f>
        <v>43.60155259990772</v>
      </c>
      <c r="BF8" s="8">
        <f t="shared" si="20"/>
        <v>-0.44657934038681302</v>
      </c>
      <c r="BG8" s="3">
        <v>627.23311790862556</v>
      </c>
      <c r="BH8" s="4" t="s">
        <v>39</v>
      </c>
      <c r="BI8" s="3"/>
      <c r="BJ8" s="3"/>
      <c r="BK8" s="3">
        <f t="shared" si="4"/>
        <v>346.34658469797495</v>
      </c>
      <c r="BL8" s="4" t="s">
        <v>39</v>
      </c>
      <c r="BM8" s="3"/>
      <c r="BN8" s="3"/>
      <c r="BO8" s="8">
        <f t="shared" si="21"/>
        <v>0.81099842071661388</v>
      </c>
      <c r="BP8" s="8">
        <f>VLOOKUP(F8,'[4]Sheet 2'!$B:$T,18,0)/VLOOKUP(F8,'[4]Sheet 2'!$B:$U,20,0)</f>
        <v>408.65890726636451</v>
      </c>
      <c r="BQ8" s="8">
        <f t="shared" si="22"/>
        <v>0.53485732662568408</v>
      </c>
      <c r="BR8" s="3">
        <f t="shared" si="5"/>
        <v>15135.135135135135</v>
      </c>
      <c r="BS8" s="4" t="s">
        <v>39</v>
      </c>
      <c r="BT8" s="3"/>
      <c r="BU8" s="3"/>
      <c r="BV8" s="3">
        <f t="shared" si="6"/>
        <v>16243.654822335024</v>
      </c>
      <c r="BW8" s="4" t="s">
        <v>39</v>
      </c>
      <c r="BX8" s="3"/>
      <c r="BY8" s="3"/>
      <c r="BZ8" s="8">
        <f t="shared" si="23"/>
        <v>-6.8243243243243157E-2</v>
      </c>
      <c r="CA8" s="8">
        <f>VLOOKUP(F8,'[5]Sheet 2'!$B:$T,18,0)/VLOOKUP(F8,'[5]Sheet 2'!$B:$U,20,0)</f>
        <v>17535.239255079628</v>
      </c>
      <c r="CB8" s="8">
        <f t="shared" si="24"/>
        <v>-0.13687318918384467</v>
      </c>
      <c r="CC8" s="24">
        <f t="shared" si="7"/>
        <v>31.883333333333333</v>
      </c>
      <c r="CD8" s="24">
        <f t="shared" si="8"/>
        <v>121.3</v>
      </c>
      <c r="CE8" s="20">
        <v>38663</v>
      </c>
      <c r="CF8" s="20">
        <v>38853</v>
      </c>
      <c r="CG8" s="18">
        <v>38789</v>
      </c>
      <c r="CH8" s="18">
        <v>38835</v>
      </c>
      <c r="CI8" s="21">
        <f t="shared" si="9"/>
        <v>-54</v>
      </c>
      <c r="CJ8" s="21">
        <f t="shared" si="10"/>
        <v>136</v>
      </c>
      <c r="CK8" s="30">
        <f t="shared" si="11"/>
        <v>191</v>
      </c>
      <c r="CL8" s="21">
        <f t="shared" si="12"/>
        <v>72</v>
      </c>
      <c r="CM8" s="21">
        <f t="shared" si="13"/>
        <v>118</v>
      </c>
      <c r="CN8" s="19">
        <f t="shared" si="14"/>
        <v>47</v>
      </c>
      <c r="CP8" s="29">
        <v>38817</v>
      </c>
      <c r="CQ8" s="19">
        <f>CF8-CP8+1</f>
        <v>37</v>
      </c>
      <c r="CR8" s="19" t="s">
        <v>248</v>
      </c>
    </row>
    <row r="9" spans="1:96" s="42" customFormat="1" hidden="1" x14ac:dyDescent="0.3">
      <c r="A9" s="31">
        <v>1</v>
      </c>
      <c r="B9" s="31"/>
      <c r="C9" s="32">
        <v>14</v>
      </c>
      <c r="D9" s="33" t="s">
        <v>28</v>
      </c>
      <c r="E9" s="34" t="s">
        <v>29</v>
      </c>
      <c r="F9" s="34" t="str">
        <f t="shared" si="0"/>
        <v>2012-118jia0022007OTC</v>
      </c>
      <c r="G9" s="32" t="s">
        <v>30</v>
      </c>
      <c r="H9" s="32" t="s">
        <v>31</v>
      </c>
      <c r="I9" s="32" t="s">
        <v>31</v>
      </c>
      <c r="J9" s="32" t="s">
        <v>32</v>
      </c>
      <c r="K9" s="32" t="s">
        <v>43</v>
      </c>
      <c r="L9" s="31">
        <v>2007</v>
      </c>
      <c r="M9" s="32" t="s">
        <v>34</v>
      </c>
      <c r="N9" s="32" t="s">
        <v>35</v>
      </c>
      <c r="O9" s="32" t="s">
        <v>36</v>
      </c>
      <c r="P9" s="32" t="s">
        <v>267</v>
      </c>
      <c r="Q9" s="32"/>
      <c r="R9" s="32">
        <v>0</v>
      </c>
      <c r="S9" s="31"/>
      <c r="T9" s="32">
        <v>8</v>
      </c>
      <c r="U9" s="32">
        <f t="shared" si="1"/>
        <v>55</v>
      </c>
      <c r="V9" s="32">
        <v>3</v>
      </c>
      <c r="W9" s="31">
        <f t="shared" si="2"/>
        <v>0</v>
      </c>
      <c r="X9" s="35">
        <v>39167</v>
      </c>
      <c r="Y9" s="35">
        <v>39221</v>
      </c>
      <c r="Z9" s="32">
        <f>1.65*400</f>
        <v>660</v>
      </c>
      <c r="AA9" s="31" t="s">
        <v>51</v>
      </c>
      <c r="AB9" s="31" t="s">
        <v>214</v>
      </c>
      <c r="AC9" s="32">
        <v>0.37</v>
      </c>
      <c r="AD9" s="32">
        <f t="shared" ref="AD9:AD12" si="26">1.65*400</f>
        <v>660</v>
      </c>
      <c r="AE9" s="31" t="s">
        <v>51</v>
      </c>
      <c r="AF9" s="31" t="s">
        <v>214</v>
      </c>
      <c r="AG9" s="32">
        <v>0.37</v>
      </c>
      <c r="AH9" s="8">
        <f t="shared" si="15"/>
        <v>0</v>
      </c>
      <c r="AI9" s="8">
        <f>VLOOKUP(F9,'[1]Sheet 2'!$B:$W,18,0)/VLOOKUP(F9,'[1]Sheet 2'!$B:$W,20,0)</f>
        <v>634.0957749025132</v>
      </c>
      <c r="AJ9" s="8">
        <f t="shared" si="16"/>
        <v>4.085222788540005E-2</v>
      </c>
      <c r="AK9" s="32">
        <v>43.62</v>
      </c>
      <c r="AL9" s="32" t="s">
        <v>37</v>
      </c>
      <c r="AM9" s="31"/>
      <c r="AN9" s="31">
        <v>1.9</v>
      </c>
      <c r="AO9" s="32">
        <v>43.62</v>
      </c>
      <c r="AP9" s="32" t="s">
        <v>37</v>
      </c>
      <c r="AQ9" s="31"/>
      <c r="AR9" s="31">
        <v>1.9</v>
      </c>
      <c r="AS9" s="8">
        <f t="shared" si="17"/>
        <v>0</v>
      </c>
      <c r="AT9" s="8">
        <f>VLOOKUP(F9,'[2]Sheet 2'!$B:$T,18,0)/VLOOKUP(F9,'[2]Sheet 2'!$B:$U,20,0)</f>
        <v>40.630678229492851</v>
      </c>
      <c r="AU9" s="8">
        <f t="shared" si="18"/>
        <v>7.3573021686289944E-2</v>
      </c>
      <c r="AV9" s="66">
        <v>39.409999999999997</v>
      </c>
      <c r="AW9" s="32" t="s">
        <v>38</v>
      </c>
      <c r="AX9" s="31"/>
      <c r="AY9" s="31">
        <v>4.03</v>
      </c>
      <c r="AZ9" s="32">
        <v>39.409999999999997</v>
      </c>
      <c r="BA9" s="32" t="s">
        <v>38</v>
      </c>
      <c r="BB9" s="31"/>
      <c r="BC9" s="31">
        <v>4.03</v>
      </c>
      <c r="BD9" s="8">
        <f t="shared" si="19"/>
        <v>0</v>
      </c>
      <c r="BE9" s="8">
        <f>VLOOKUP(F9,'[3]Sheet 2'!$B:$T,18,0)/VLOOKUP(F9,'[3]Sheet 2'!$B:$U,20,0)</f>
        <v>39.444168251922534</v>
      </c>
      <c r="BF9" s="8">
        <f t="shared" si="20"/>
        <v>-8.6624343817598101E-4</v>
      </c>
      <c r="BG9" s="31">
        <v>383.92981483763089</v>
      </c>
      <c r="BH9" s="32" t="s">
        <v>39</v>
      </c>
      <c r="BI9" s="31"/>
      <c r="BJ9" s="31"/>
      <c r="BK9" s="31">
        <f t="shared" si="4"/>
        <v>383.92981483763089</v>
      </c>
      <c r="BL9" s="32" t="s">
        <v>39</v>
      </c>
      <c r="BM9" s="31"/>
      <c r="BN9" s="31"/>
      <c r="BO9" s="8">
        <f t="shared" si="21"/>
        <v>0</v>
      </c>
      <c r="BP9" s="8">
        <f>VLOOKUP(F9,'[4]Sheet 2'!$B:$T,18,0)/VLOOKUP(F9,'[4]Sheet 2'!$B:$U,20,0)</f>
        <v>400.00019113776233</v>
      </c>
      <c r="BQ9" s="8">
        <f t="shared" si="22"/>
        <v>-4.0175921552489245E-2</v>
      </c>
      <c r="BR9" s="31">
        <f t="shared" si="5"/>
        <v>15130.674002751031</v>
      </c>
      <c r="BS9" s="32" t="s">
        <v>39</v>
      </c>
      <c r="BT9" s="31"/>
      <c r="BU9" s="31"/>
      <c r="BV9" s="31">
        <f t="shared" si="6"/>
        <v>15130.674002751031</v>
      </c>
      <c r="BW9" s="32" t="s">
        <v>39</v>
      </c>
      <c r="BX9" s="31"/>
      <c r="BY9" s="31"/>
      <c r="BZ9" s="8">
        <f t="shared" si="23"/>
        <v>0</v>
      </c>
      <c r="CA9" s="8">
        <f>VLOOKUP(F9,'[5]Sheet 2'!$B:$T,18,0)/VLOOKUP(F9,'[5]Sheet 2'!$B:$U,20,0)</f>
        <v>15490.894835964902</v>
      </c>
      <c r="CB9" s="8">
        <f t="shared" si="24"/>
        <v>-2.3253713683315001E-2</v>
      </c>
      <c r="CC9" s="37">
        <f t="shared" si="7"/>
        <v>31.883333333333333</v>
      </c>
      <c r="CD9" s="37">
        <f t="shared" si="8"/>
        <v>121.3</v>
      </c>
      <c r="CE9" s="38">
        <v>39036</v>
      </c>
      <c r="CF9" s="38">
        <v>39230</v>
      </c>
      <c r="CG9" s="39">
        <v>39167</v>
      </c>
      <c r="CH9" s="39">
        <v>39221</v>
      </c>
      <c r="CI9" s="40">
        <f t="shared" si="9"/>
        <v>-46</v>
      </c>
      <c r="CJ9" s="40">
        <f t="shared" si="10"/>
        <v>148</v>
      </c>
      <c r="CK9" s="41">
        <f t="shared" si="11"/>
        <v>195</v>
      </c>
      <c r="CL9" s="40">
        <f t="shared" si="12"/>
        <v>85</v>
      </c>
      <c r="CM9" s="40">
        <f t="shared" si="13"/>
        <v>139</v>
      </c>
      <c r="CN9" s="42">
        <f t="shared" si="14"/>
        <v>55</v>
      </c>
    </row>
    <row r="10" spans="1:96" s="42" customFormat="1" hidden="1" x14ac:dyDescent="0.3">
      <c r="A10" s="31">
        <v>1</v>
      </c>
      <c r="B10" s="31"/>
      <c r="C10" s="32">
        <v>14</v>
      </c>
      <c r="D10" s="33" t="s">
        <v>28</v>
      </c>
      <c r="E10" s="34" t="s">
        <v>29</v>
      </c>
      <c r="F10" s="34" t="str">
        <f t="shared" si="0"/>
        <v>2012-118jia0022007OTC</v>
      </c>
      <c r="G10" s="32" t="s">
        <v>30</v>
      </c>
      <c r="H10" s="32" t="s">
        <v>31</v>
      </c>
      <c r="I10" s="32" t="s">
        <v>31</v>
      </c>
      <c r="J10" s="32" t="s">
        <v>32</v>
      </c>
      <c r="K10" s="32" t="s">
        <v>43</v>
      </c>
      <c r="L10" s="31">
        <v>2007</v>
      </c>
      <c r="M10" s="32" t="s">
        <v>34</v>
      </c>
      <c r="N10" s="32" t="s">
        <v>35</v>
      </c>
      <c r="O10" s="32" t="s">
        <v>40</v>
      </c>
      <c r="P10" s="32"/>
      <c r="Q10" s="32"/>
      <c r="R10" s="32">
        <v>0.21</v>
      </c>
      <c r="S10" s="31"/>
      <c r="T10" s="32">
        <v>8</v>
      </c>
      <c r="U10" s="32">
        <f t="shared" si="1"/>
        <v>55</v>
      </c>
      <c r="V10" s="32">
        <v>3</v>
      </c>
      <c r="W10" s="31">
        <f t="shared" si="2"/>
        <v>0.21</v>
      </c>
      <c r="X10" s="35">
        <v>39167</v>
      </c>
      <c r="Y10" s="35">
        <v>39221</v>
      </c>
      <c r="Z10" s="32">
        <f>1.61*400</f>
        <v>644</v>
      </c>
      <c r="AA10" s="31" t="s">
        <v>51</v>
      </c>
      <c r="AB10" s="31" t="s">
        <v>214</v>
      </c>
      <c r="AC10" s="32">
        <v>0.4</v>
      </c>
      <c r="AD10" s="32">
        <f t="shared" si="26"/>
        <v>660</v>
      </c>
      <c r="AE10" s="31" t="s">
        <v>51</v>
      </c>
      <c r="AF10" s="31" t="s">
        <v>214</v>
      </c>
      <c r="AG10" s="32">
        <v>0.37</v>
      </c>
      <c r="AH10" s="8">
        <f t="shared" si="15"/>
        <v>-2.4242424242424242E-2</v>
      </c>
      <c r="AI10" s="8">
        <f>VLOOKUP(F10,'[1]Sheet 2'!$B:$W,18,0)/VLOOKUP(F10,'[1]Sheet 2'!$B:$W,20,0)</f>
        <v>634.0957749025132</v>
      </c>
      <c r="AJ10" s="8">
        <f t="shared" si="16"/>
        <v>1.5619446603329742E-2</v>
      </c>
      <c r="AK10" s="32">
        <v>42.16</v>
      </c>
      <c r="AL10" s="32" t="s">
        <v>37</v>
      </c>
      <c r="AM10" s="31"/>
      <c r="AN10" s="31">
        <v>0.73</v>
      </c>
      <c r="AO10" s="32">
        <v>43.62</v>
      </c>
      <c r="AP10" s="32" t="s">
        <v>37</v>
      </c>
      <c r="AQ10" s="31"/>
      <c r="AR10" s="31">
        <v>1.9</v>
      </c>
      <c r="AS10" s="8">
        <f t="shared" si="17"/>
        <v>-3.3470884915176545E-2</v>
      </c>
      <c r="AT10" s="8">
        <f>VLOOKUP(F10,'[2]Sheet 2'!$B:$T,18,0)/VLOOKUP(F10,'[2]Sheet 2'!$B:$U,20,0)</f>
        <v>40.630678229492851</v>
      </c>
      <c r="AU10" s="8">
        <f t="shared" si="18"/>
        <v>3.7639582629389802E-2</v>
      </c>
      <c r="AV10" s="66">
        <v>40.58</v>
      </c>
      <c r="AW10" s="32" t="s">
        <v>38</v>
      </c>
      <c r="AX10" s="31"/>
      <c r="AY10" s="31">
        <v>7.5</v>
      </c>
      <c r="AZ10" s="32">
        <v>39.409999999999997</v>
      </c>
      <c r="BA10" s="32" t="s">
        <v>38</v>
      </c>
      <c r="BB10" s="31"/>
      <c r="BC10" s="31">
        <v>4.03</v>
      </c>
      <c r="BD10" s="8">
        <f t="shared" si="19"/>
        <v>2.9687896472976448E-2</v>
      </c>
      <c r="BE10" s="8">
        <f>VLOOKUP(F10,'[3]Sheet 2'!$B:$T,18,0)/VLOOKUP(F10,'[3]Sheet 2'!$B:$U,20,0)</f>
        <v>39.444168251922534</v>
      </c>
      <c r="BF10" s="8">
        <f t="shared" si="20"/>
        <v>2.8795936089287502E-2</v>
      </c>
      <c r="BG10" s="31">
        <v>376.42046118754348</v>
      </c>
      <c r="BH10" s="32" t="s">
        <v>39</v>
      </c>
      <c r="BI10" s="31"/>
      <c r="BJ10" s="31"/>
      <c r="BK10" s="31">
        <f t="shared" si="4"/>
        <v>383.92981483763089</v>
      </c>
      <c r="BL10" s="32" t="s">
        <v>39</v>
      </c>
      <c r="BM10" s="31"/>
      <c r="BN10" s="31"/>
      <c r="BO10" s="8">
        <f t="shared" si="21"/>
        <v>-1.9559183371219067E-2</v>
      </c>
      <c r="BP10" s="8">
        <f>VLOOKUP(F10,'[4]Sheet 2'!$B:$T,18,0)/VLOOKUP(F10,'[4]Sheet 2'!$B:$U,20,0)</f>
        <v>400.00019113776233</v>
      </c>
      <c r="BQ10" s="8">
        <f t="shared" si="22"/>
        <v>-5.8949296706955465E-2</v>
      </c>
      <c r="BR10" s="31">
        <f t="shared" si="5"/>
        <v>15275.142314990515</v>
      </c>
      <c r="BS10" s="32" t="s">
        <v>39</v>
      </c>
      <c r="BT10" s="31"/>
      <c r="BU10" s="31"/>
      <c r="BV10" s="31">
        <f t="shared" si="6"/>
        <v>15130.674002751031</v>
      </c>
      <c r="BW10" s="32" t="s">
        <v>39</v>
      </c>
      <c r="BX10" s="31"/>
      <c r="BY10" s="31"/>
      <c r="BZ10" s="8">
        <f t="shared" si="23"/>
        <v>9.5480420907367771E-3</v>
      </c>
      <c r="CA10" s="8">
        <f>VLOOKUP(F10,'[5]Sheet 2'!$B:$T,18,0)/VLOOKUP(F10,'[5]Sheet 2'!$B:$U,20,0)</f>
        <v>15490.894835964902</v>
      </c>
      <c r="CB10" s="8">
        <f t="shared" si="24"/>
        <v>-1.3927699029592455E-2</v>
      </c>
      <c r="CC10" s="37">
        <f t="shared" si="7"/>
        <v>31.883333333333333</v>
      </c>
      <c r="CD10" s="37">
        <f t="shared" si="8"/>
        <v>121.3</v>
      </c>
      <c r="CE10" s="38">
        <v>39036</v>
      </c>
      <c r="CF10" s="38">
        <v>39230</v>
      </c>
      <c r="CG10" s="39">
        <v>39167</v>
      </c>
      <c r="CH10" s="39">
        <v>39221</v>
      </c>
      <c r="CI10" s="40">
        <f t="shared" si="9"/>
        <v>-46</v>
      </c>
      <c r="CJ10" s="40">
        <f t="shared" si="10"/>
        <v>148</v>
      </c>
      <c r="CK10" s="41">
        <f t="shared" si="11"/>
        <v>195</v>
      </c>
      <c r="CL10" s="40">
        <f t="shared" si="12"/>
        <v>85</v>
      </c>
      <c r="CM10" s="40">
        <f t="shared" si="13"/>
        <v>139</v>
      </c>
      <c r="CN10" s="42">
        <f t="shared" si="14"/>
        <v>55</v>
      </c>
    </row>
    <row r="11" spans="1:96" s="42" customFormat="1" hidden="1" x14ac:dyDescent="0.3">
      <c r="A11" s="31">
        <v>1</v>
      </c>
      <c r="B11" s="31"/>
      <c r="C11" s="32">
        <v>14</v>
      </c>
      <c r="D11" s="33" t="s">
        <v>28</v>
      </c>
      <c r="E11" s="34" t="s">
        <v>29</v>
      </c>
      <c r="F11" s="34" t="str">
        <f t="shared" si="0"/>
        <v>2012-118jia0022007OTC</v>
      </c>
      <c r="G11" s="32" t="s">
        <v>30</v>
      </c>
      <c r="H11" s="32" t="s">
        <v>31</v>
      </c>
      <c r="I11" s="32" t="s">
        <v>31</v>
      </c>
      <c r="J11" s="32" t="s">
        <v>32</v>
      </c>
      <c r="K11" s="32" t="s">
        <v>43</v>
      </c>
      <c r="L11" s="31">
        <v>2007</v>
      </c>
      <c r="M11" s="32" t="s">
        <v>34</v>
      </c>
      <c r="N11" s="32" t="s">
        <v>35</v>
      </c>
      <c r="O11" s="32" t="s">
        <v>41</v>
      </c>
      <c r="P11" s="32"/>
      <c r="Q11" s="32"/>
      <c r="R11" s="32">
        <v>1.58</v>
      </c>
      <c r="S11" s="31"/>
      <c r="T11" s="32">
        <v>8</v>
      </c>
      <c r="U11" s="32">
        <f t="shared" si="1"/>
        <v>55</v>
      </c>
      <c r="V11" s="32">
        <v>3</v>
      </c>
      <c r="W11" s="31">
        <f t="shared" si="2"/>
        <v>1.58</v>
      </c>
      <c r="X11" s="35">
        <v>39167</v>
      </c>
      <c r="Y11" s="35">
        <v>39221</v>
      </c>
      <c r="Z11" s="32">
        <f>1.51*400</f>
        <v>604</v>
      </c>
      <c r="AA11" s="31" t="s">
        <v>51</v>
      </c>
      <c r="AB11" s="31" t="s">
        <v>214</v>
      </c>
      <c r="AC11" s="32">
        <v>0.33</v>
      </c>
      <c r="AD11" s="32">
        <f t="shared" si="26"/>
        <v>660</v>
      </c>
      <c r="AE11" s="31" t="s">
        <v>51</v>
      </c>
      <c r="AF11" s="31" t="s">
        <v>214</v>
      </c>
      <c r="AG11" s="32">
        <v>0.37</v>
      </c>
      <c r="AH11" s="8">
        <f t="shared" si="15"/>
        <v>-8.4848484848484854E-2</v>
      </c>
      <c r="AI11" s="8">
        <f>VLOOKUP(F11,'[1]Sheet 2'!$B:$W,18,0)/VLOOKUP(F11,'[1]Sheet 2'!$B:$W,20,0)</f>
        <v>634.0957749025132</v>
      </c>
      <c r="AJ11" s="8">
        <f t="shared" si="16"/>
        <v>-4.7462506601846019E-2</v>
      </c>
      <c r="AK11" s="32">
        <v>41.74</v>
      </c>
      <c r="AL11" s="32" t="s">
        <v>37</v>
      </c>
      <c r="AM11" s="31"/>
      <c r="AN11" s="31">
        <v>0.49</v>
      </c>
      <c r="AO11" s="32">
        <v>43.62</v>
      </c>
      <c r="AP11" s="32" t="s">
        <v>37</v>
      </c>
      <c r="AQ11" s="31"/>
      <c r="AR11" s="31">
        <v>1.9</v>
      </c>
      <c r="AS11" s="8">
        <f t="shared" si="17"/>
        <v>-4.3099495644199806E-2</v>
      </c>
      <c r="AT11" s="8">
        <f>VLOOKUP(F11,'[2]Sheet 2'!$B:$T,18,0)/VLOOKUP(F11,'[2]Sheet 2'!$B:$U,20,0)</f>
        <v>40.630678229492851</v>
      </c>
      <c r="AU11" s="8">
        <f t="shared" si="18"/>
        <v>2.7302565914391272E-2</v>
      </c>
      <c r="AV11" s="66">
        <v>36.590000000000003</v>
      </c>
      <c r="AW11" s="32" t="s">
        <v>38</v>
      </c>
      <c r="AX11" s="31"/>
      <c r="AY11" s="31">
        <v>4.03</v>
      </c>
      <c r="AZ11" s="32">
        <v>39.409999999999997</v>
      </c>
      <c r="BA11" s="32" t="s">
        <v>38</v>
      </c>
      <c r="BB11" s="31"/>
      <c r="BC11" s="31">
        <v>4.03</v>
      </c>
      <c r="BD11" s="8">
        <f t="shared" si="19"/>
        <v>-7.1555442781019885E-2</v>
      </c>
      <c r="BE11" s="8">
        <f>VLOOKUP(F11,'[3]Sheet 2'!$B:$T,18,0)/VLOOKUP(F11,'[3]Sheet 2'!$B:$U,20,0)</f>
        <v>39.444168251922534</v>
      </c>
      <c r="BF11" s="8">
        <f t="shared" si="20"/>
        <v>-7.2359701786421024E-2</v>
      </c>
      <c r="BG11" s="31">
        <v>395.47777709536757</v>
      </c>
      <c r="BH11" s="32" t="s">
        <v>39</v>
      </c>
      <c r="BI11" s="31"/>
      <c r="BJ11" s="31"/>
      <c r="BK11" s="31">
        <f t="shared" si="4"/>
        <v>383.92981483763089</v>
      </c>
      <c r="BL11" s="32" t="s">
        <v>39</v>
      </c>
      <c r="BM11" s="31"/>
      <c r="BN11" s="31"/>
      <c r="BO11" s="8">
        <f t="shared" si="21"/>
        <v>3.0078315909433797E-2</v>
      </c>
      <c r="BP11" s="8">
        <f>VLOOKUP(F11,'[4]Sheet 2'!$B:$T,18,0)/VLOOKUP(F11,'[4]Sheet 2'!$B:$U,20,0)</f>
        <v>400.00019113776233</v>
      </c>
      <c r="BQ11" s="8">
        <f t="shared" si="22"/>
        <v>-1.1306029703463848E-2</v>
      </c>
      <c r="BR11" s="31">
        <f t="shared" si="5"/>
        <v>14470.531863919501</v>
      </c>
      <c r="BS11" s="32" t="s">
        <v>39</v>
      </c>
      <c r="BT11" s="31"/>
      <c r="BU11" s="31"/>
      <c r="BV11" s="31">
        <f t="shared" si="6"/>
        <v>15130.674002751031</v>
      </c>
      <c r="BW11" s="32" t="s">
        <v>39</v>
      </c>
      <c r="BX11" s="31"/>
      <c r="BY11" s="31"/>
      <c r="BZ11" s="8">
        <f t="shared" si="23"/>
        <v>-4.3629394084592953E-2</v>
      </c>
      <c r="CA11" s="8">
        <f>VLOOKUP(F11,'[5]Sheet 2'!$B:$T,18,0)/VLOOKUP(F11,'[5]Sheet 2'!$B:$U,20,0)</f>
        <v>15490.894835964902</v>
      </c>
      <c r="CB11" s="8">
        <f t="shared" si="24"/>
        <v>-6.586856232968831E-2</v>
      </c>
      <c r="CC11" s="37">
        <f t="shared" si="7"/>
        <v>31.883333333333333</v>
      </c>
      <c r="CD11" s="37">
        <f t="shared" si="8"/>
        <v>121.3</v>
      </c>
      <c r="CE11" s="38">
        <v>39036</v>
      </c>
      <c r="CF11" s="38">
        <v>39230</v>
      </c>
      <c r="CG11" s="39">
        <v>39167</v>
      </c>
      <c r="CH11" s="39">
        <v>39221</v>
      </c>
      <c r="CI11" s="40">
        <f t="shared" si="9"/>
        <v>-46</v>
      </c>
      <c r="CJ11" s="40">
        <f t="shared" si="10"/>
        <v>148</v>
      </c>
      <c r="CK11" s="41">
        <f t="shared" si="11"/>
        <v>195</v>
      </c>
      <c r="CL11" s="40">
        <f t="shared" si="12"/>
        <v>85</v>
      </c>
      <c r="CM11" s="40">
        <f t="shared" si="13"/>
        <v>139</v>
      </c>
      <c r="CN11" s="42">
        <f t="shared" si="14"/>
        <v>55</v>
      </c>
    </row>
    <row r="12" spans="1:96" s="42" customFormat="1" hidden="1" x14ac:dyDescent="0.3">
      <c r="A12" s="31">
        <v>1</v>
      </c>
      <c r="B12" s="31"/>
      <c r="C12" s="32">
        <v>14</v>
      </c>
      <c r="D12" s="33" t="s">
        <v>28</v>
      </c>
      <c r="E12" s="34" t="s">
        <v>29</v>
      </c>
      <c r="F12" s="34" t="str">
        <f t="shared" si="0"/>
        <v>2012-118jia0022007OTC</v>
      </c>
      <c r="G12" s="32" t="s">
        <v>30</v>
      </c>
      <c r="H12" s="32" t="s">
        <v>31</v>
      </c>
      <c r="I12" s="32" t="s">
        <v>31</v>
      </c>
      <c r="J12" s="32" t="s">
        <v>32</v>
      </c>
      <c r="K12" s="32" t="s">
        <v>43</v>
      </c>
      <c r="L12" s="31">
        <v>2007</v>
      </c>
      <c r="M12" s="32" t="s">
        <v>34</v>
      </c>
      <c r="N12" s="32" t="s">
        <v>35</v>
      </c>
      <c r="O12" s="32" t="s">
        <v>42</v>
      </c>
      <c r="P12" s="32"/>
      <c r="Q12" s="32"/>
      <c r="R12" s="32">
        <v>9.17</v>
      </c>
      <c r="S12" s="31"/>
      <c r="T12" s="32">
        <v>8</v>
      </c>
      <c r="U12" s="32">
        <f t="shared" si="1"/>
        <v>55</v>
      </c>
      <c r="V12" s="32">
        <v>3</v>
      </c>
      <c r="W12" s="31">
        <f t="shared" si="2"/>
        <v>9.17</v>
      </c>
      <c r="X12" s="35">
        <v>39167</v>
      </c>
      <c r="Y12" s="35">
        <v>39221</v>
      </c>
      <c r="Z12" s="32">
        <f>0.99*400</f>
        <v>396</v>
      </c>
      <c r="AA12" s="31" t="s">
        <v>51</v>
      </c>
      <c r="AB12" s="31" t="s">
        <v>214</v>
      </c>
      <c r="AC12" s="32">
        <v>0.26</v>
      </c>
      <c r="AD12" s="32">
        <f t="shared" si="26"/>
        <v>660</v>
      </c>
      <c r="AE12" s="31" t="s">
        <v>51</v>
      </c>
      <c r="AF12" s="31" t="s">
        <v>214</v>
      </c>
      <c r="AG12" s="32">
        <v>0.37</v>
      </c>
      <c r="AH12" s="8">
        <f t="shared" si="15"/>
        <v>-0.4</v>
      </c>
      <c r="AI12" s="8">
        <f>VLOOKUP(F12,'[1]Sheet 2'!$B:$W,18,0)/VLOOKUP(F12,'[1]Sheet 2'!$B:$W,20,0)</f>
        <v>634.0957749025132</v>
      </c>
      <c r="AJ12" s="8">
        <f t="shared" si="16"/>
        <v>-0.37548866326875996</v>
      </c>
      <c r="AK12" s="32">
        <v>25.63</v>
      </c>
      <c r="AL12" s="32" t="s">
        <v>37</v>
      </c>
      <c r="AM12" s="31"/>
      <c r="AN12" s="31">
        <v>1.03</v>
      </c>
      <c r="AO12" s="32">
        <v>43.62</v>
      </c>
      <c r="AP12" s="32" t="s">
        <v>37</v>
      </c>
      <c r="AQ12" s="31"/>
      <c r="AR12" s="31">
        <v>1.9</v>
      </c>
      <c r="AS12" s="8">
        <f t="shared" si="17"/>
        <v>-0.41242549289316827</v>
      </c>
      <c r="AT12" s="8">
        <f>VLOOKUP(F12,'[2]Sheet 2'!$B:$T,18,0)/VLOOKUP(F12,'[2]Sheet 2'!$B:$U,20,0)</f>
        <v>40.630678229492851</v>
      </c>
      <c r="AU12" s="8">
        <f t="shared" si="18"/>
        <v>-0.3691958609394862</v>
      </c>
      <c r="AV12" s="66">
        <v>32.39</v>
      </c>
      <c r="AW12" s="32" t="s">
        <v>38</v>
      </c>
      <c r="AX12" s="31"/>
      <c r="AY12" s="31">
        <v>5.22</v>
      </c>
      <c r="AZ12" s="32">
        <v>39.409999999999997</v>
      </c>
      <c r="BA12" s="32" t="s">
        <v>38</v>
      </c>
      <c r="BB12" s="31"/>
      <c r="BC12" s="31">
        <v>4.03</v>
      </c>
      <c r="BD12" s="8">
        <f t="shared" si="19"/>
        <v>-0.17812737883785831</v>
      </c>
      <c r="BE12" s="8">
        <f>VLOOKUP(F12,'[3]Sheet 2'!$B:$T,18,0)/VLOOKUP(F12,'[3]Sheet 2'!$B:$U,20,0)</f>
        <v>39.444168251922534</v>
      </c>
      <c r="BF12" s="8">
        <f t="shared" si="20"/>
        <v>-0.17883932060295651</v>
      </c>
      <c r="BG12" s="31">
        <v>477.01894957777199</v>
      </c>
      <c r="BH12" s="32" t="s">
        <v>39</v>
      </c>
      <c r="BI12" s="31"/>
      <c r="BJ12" s="31"/>
      <c r="BK12" s="31">
        <f t="shared" si="4"/>
        <v>383.92981483763089</v>
      </c>
      <c r="BL12" s="32" t="s">
        <v>39</v>
      </c>
      <c r="BM12" s="31"/>
      <c r="BN12" s="31"/>
      <c r="BO12" s="8">
        <f t="shared" si="21"/>
        <v>0.24246393778901948</v>
      </c>
      <c r="BP12" s="8">
        <f>VLOOKUP(F12,'[4]Sheet 2'!$B:$T,18,0)/VLOOKUP(F12,'[4]Sheet 2'!$B:$U,20,0)</f>
        <v>400.00019113776233</v>
      </c>
      <c r="BQ12" s="8">
        <f t="shared" si="22"/>
        <v>0.19254680409261096</v>
      </c>
      <c r="BR12" s="31">
        <f t="shared" si="5"/>
        <v>15450.643776824036</v>
      </c>
      <c r="BS12" s="32" t="s">
        <v>39</v>
      </c>
      <c r="BT12" s="31"/>
      <c r="BU12" s="31"/>
      <c r="BV12" s="31">
        <f t="shared" si="6"/>
        <v>15130.674002751031</v>
      </c>
      <c r="BW12" s="32" t="s">
        <v>39</v>
      </c>
      <c r="BX12" s="31"/>
      <c r="BY12" s="31"/>
      <c r="BZ12" s="8">
        <f t="shared" si="23"/>
        <v>2.1147093250097653E-2</v>
      </c>
      <c r="CA12" s="8">
        <f>VLOOKUP(F12,'[5]Sheet 2'!$B:$T,18,0)/VLOOKUP(F12,'[5]Sheet 2'!$B:$U,20,0)</f>
        <v>15490.894835964902</v>
      </c>
      <c r="CB12" s="8">
        <f t="shared" si="24"/>
        <v>-2.5983688848894813E-3</v>
      </c>
      <c r="CC12" s="37">
        <f t="shared" si="7"/>
        <v>31.883333333333333</v>
      </c>
      <c r="CD12" s="37">
        <f t="shared" si="8"/>
        <v>121.3</v>
      </c>
      <c r="CE12" s="38">
        <v>39036</v>
      </c>
      <c r="CF12" s="38">
        <v>39230</v>
      </c>
      <c r="CG12" s="39">
        <v>39167</v>
      </c>
      <c r="CH12" s="39">
        <v>39221</v>
      </c>
      <c r="CI12" s="40">
        <f t="shared" si="9"/>
        <v>-46</v>
      </c>
      <c r="CJ12" s="40">
        <f t="shared" si="10"/>
        <v>148</v>
      </c>
      <c r="CK12" s="41">
        <f t="shared" si="11"/>
        <v>195</v>
      </c>
      <c r="CL12" s="40">
        <f t="shared" si="12"/>
        <v>85</v>
      </c>
      <c r="CM12" s="40">
        <f t="shared" si="13"/>
        <v>139</v>
      </c>
      <c r="CN12" s="42">
        <f t="shared" si="14"/>
        <v>55</v>
      </c>
    </row>
    <row r="13" spans="1:96" s="19" customFormat="1" hidden="1" x14ac:dyDescent="0.3">
      <c r="A13" s="3">
        <v>1</v>
      </c>
      <c r="B13" s="3"/>
      <c r="C13" s="4">
        <v>14</v>
      </c>
      <c r="D13" s="5" t="s">
        <v>28</v>
      </c>
      <c r="E13" s="6" t="s">
        <v>29</v>
      </c>
      <c r="F13" s="6" t="str">
        <f t="shared" si="0"/>
        <v>2012-118jia0022008OTC</v>
      </c>
      <c r="G13" s="4" t="s">
        <v>30</v>
      </c>
      <c r="H13" s="4" t="s">
        <v>31</v>
      </c>
      <c r="I13" s="4" t="s">
        <v>31</v>
      </c>
      <c r="J13" s="4" t="s">
        <v>32</v>
      </c>
      <c r="K13" s="4" t="s">
        <v>43</v>
      </c>
      <c r="L13" s="3">
        <v>2008</v>
      </c>
      <c r="M13" s="4" t="s">
        <v>34</v>
      </c>
      <c r="N13" s="4" t="s">
        <v>35</v>
      </c>
      <c r="O13" s="4" t="s">
        <v>36</v>
      </c>
      <c r="P13" s="32" t="s">
        <v>267</v>
      </c>
      <c r="Q13" s="4"/>
      <c r="R13" s="4">
        <v>0.1</v>
      </c>
      <c r="S13" s="3"/>
      <c r="T13" s="4">
        <v>8</v>
      </c>
      <c r="U13" s="4">
        <f t="shared" si="1"/>
        <v>55</v>
      </c>
      <c r="V13" s="4">
        <v>3</v>
      </c>
      <c r="W13" s="3">
        <f t="shared" si="2"/>
        <v>0.1</v>
      </c>
      <c r="X13" s="7">
        <v>39527</v>
      </c>
      <c r="Y13" s="7">
        <v>39581</v>
      </c>
      <c r="Z13" s="4">
        <f>1.57*400</f>
        <v>628</v>
      </c>
      <c r="AA13" s="3" t="s">
        <v>51</v>
      </c>
      <c r="AB13" s="3" t="s">
        <v>214</v>
      </c>
      <c r="AC13" s="4">
        <v>0.11</v>
      </c>
      <c r="AD13" s="4">
        <f t="shared" ref="AD13:AD16" si="27">1.57*400</f>
        <v>628</v>
      </c>
      <c r="AE13" s="3" t="s">
        <v>51</v>
      </c>
      <c r="AF13" s="3" t="s">
        <v>214</v>
      </c>
      <c r="AG13" s="4">
        <v>0.11</v>
      </c>
      <c r="AH13" s="8">
        <f t="shared" si="15"/>
        <v>0</v>
      </c>
      <c r="AI13" s="8">
        <f>VLOOKUP(F13,'[1]Sheet 2'!$B:$W,18,0)/VLOOKUP(F13,'[1]Sheet 2'!$B:$W,20,0)</f>
        <v>606.18445159384999</v>
      </c>
      <c r="AJ13" s="8">
        <f t="shared" si="16"/>
        <v>3.5988300836139991E-2</v>
      </c>
      <c r="AK13" s="4">
        <v>43.05</v>
      </c>
      <c r="AL13" s="4" t="s">
        <v>37</v>
      </c>
      <c r="AM13" s="3"/>
      <c r="AN13" s="3">
        <v>2.98</v>
      </c>
      <c r="AO13" s="4">
        <v>43.05</v>
      </c>
      <c r="AP13" s="4" t="s">
        <v>37</v>
      </c>
      <c r="AQ13" s="3"/>
      <c r="AR13" s="3">
        <v>2.98</v>
      </c>
      <c r="AS13" s="8">
        <f t="shared" si="17"/>
        <v>0</v>
      </c>
      <c r="AT13" s="8">
        <f>VLOOKUP(F13,'[2]Sheet 2'!$B:$T,18,0)/VLOOKUP(F13,'[2]Sheet 2'!$B:$U,20,0)</f>
        <v>46.071695663509722</v>
      </c>
      <c r="AU13" s="8">
        <f t="shared" si="18"/>
        <v>-6.5586812466791961E-2</v>
      </c>
      <c r="AV13" s="66">
        <v>36.549999999999997</v>
      </c>
      <c r="AW13" s="4" t="s">
        <v>38</v>
      </c>
      <c r="AX13" s="3"/>
      <c r="AY13" s="3">
        <v>1.33</v>
      </c>
      <c r="AZ13" s="4">
        <v>36.549999999999997</v>
      </c>
      <c r="BA13" s="4" t="s">
        <v>38</v>
      </c>
      <c r="BB13" s="3"/>
      <c r="BC13" s="3">
        <v>1.33</v>
      </c>
      <c r="BD13" s="8">
        <f t="shared" si="19"/>
        <v>0</v>
      </c>
      <c r="BE13" s="8">
        <f>VLOOKUP(F13,'[3]Sheet 2'!$B:$T,18,0)/VLOOKUP(F13,'[3]Sheet 2'!$B:$U,20,0)</f>
        <v>35.429235864564873</v>
      </c>
      <c r="BF13" s="8">
        <f t="shared" si="20"/>
        <v>3.1633878295300025E-2</v>
      </c>
      <c r="BG13" s="3">
        <v>399.11597083529955</v>
      </c>
      <c r="BH13" s="4" t="s">
        <v>39</v>
      </c>
      <c r="BI13" s="3"/>
      <c r="BJ13" s="3"/>
      <c r="BK13" s="3">
        <f t="shared" si="4"/>
        <v>399.11597083529955</v>
      </c>
      <c r="BL13" s="4" t="s">
        <v>39</v>
      </c>
      <c r="BM13" s="3"/>
      <c r="BN13" s="3"/>
      <c r="BO13" s="8">
        <f t="shared" si="21"/>
        <v>0</v>
      </c>
      <c r="BP13" s="8">
        <f>VLOOKUP(F13,'[4]Sheet 2'!$B:$T,18,0)/VLOOKUP(F13,'[4]Sheet 2'!$B:$U,20,0)</f>
        <v>373.89135526391101</v>
      </c>
      <c r="BQ13" s="8">
        <f t="shared" si="22"/>
        <v>6.7465094381718882E-2</v>
      </c>
      <c r="BR13" s="3">
        <f t="shared" si="5"/>
        <v>14587.688734030198</v>
      </c>
      <c r="BS13" s="4" t="s">
        <v>39</v>
      </c>
      <c r="BT13" s="3"/>
      <c r="BU13" s="3"/>
      <c r="BV13" s="3">
        <f t="shared" si="6"/>
        <v>14587.688734030198</v>
      </c>
      <c r="BW13" s="4" t="s">
        <v>39</v>
      </c>
      <c r="BX13" s="3"/>
      <c r="BY13" s="3"/>
      <c r="BZ13" s="8">
        <f t="shared" si="23"/>
        <v>0</v>
      </c>
      <c r="CA13" s="8">
        <f>VLOOKUP(F13,'[5]Sheet 2'!$B:$T,18,0)/VLOOKUP(F13,'[5]Sheet 2'!$B:$U,20,0)</f>
        <v>13181.416792657261</v>
      </c>
      <c r="CB13" s="8">
        <f t="shared" si="24"/>
        <v>0.10668594761044992</v>
      </c>
      <c r="CC13" s="24">
        <f t="shared" si="7"/>
        <v>31.883333333333333</v>
      </c>
      <c r="CD13" s="24">
        <f t="shared" si="8"/>
        <v>121.3</v>
      </c>
      <c r="CE13" s="20">
        <v>39404</v>
      </c>
      <c r="CF13" s="20">
        <v>39599</v>
      </c>
      <c r="CG13" s="18">
        <v>39527</v>
      </c>
      <c r="CH13" s="18">
        <v>39581</v>
      </c>
      <c r="CI13" s="21">
        <f t="shared" si="9"/>
        <v>-43</v>
      </c>
      <c r="CJ13" s="21">
        <f t="shared" si="10"/>
        <v>152</v>
      </c>
      <c r="CK13" s="30">
        <f t="shared" si="11"/>
        <v>196</v>
      </c>
      <c r="CL13" s="21">
        <f t="shared" si="12"/>
        <v>80</v>
      </c>
      <c r="CM13" s="21">
        <f t="shared" si="13"/>
        <v>134</v>
      </c>
      <c r="CN13" s="19">
        <f t="shared" si="14"/>
        <v>55</v>
      </c>
    </row>
    <row r="14" spans="1:96" s="19" customFormat="1" hidden="1" x14ac:dyDescent="0.3">
      <c r="A14" s="3">
        <v>1</v>
      </c>
      <c r="B14" s="3"/>
      <c r="C14" s="4">
        <v>14</v>
      </c>
      <c r="D14" s="5" t="s">
        <v>28</v>
      </c>
      <c r="E14" s="6" t="s">
        <v>29</v>
      </c>
      <c r="F14" s="6" t="str">
        <f t="shared" si="0"/>
        <v>2012-118jia0022008OTC</v>
      </c>
      <c r="G14" s="4" t="s">
        <v>30</v>
      </c>
      <c r="H14" s="4" t="s">
        <v>31</v>
      </c>
      <c r="I14" s="4" t="s">
        <v>31</v>
      </c>
      <c r="J14" s="4" t="s">
        <v>32</v>
      </c>
      <c r="K14" s="4" t="s">
        <v>43</v>
      </c>
      <c r="L14" s="3">
        <v>2008</v>
      </c>
      <c r="M14" s="4" t="s">
        <v>34</v>
      </c>
      <c r="N14" s="4" t="s">
        <v>35</v>
      </c>
      <c r="O14" s="4" t="s">
        <v>40</v>
      </c>
      <c r="P14" s="4"/>
      <c r="Q14" s="4"/>
      <c r="R14" s="4">
        <v>0.15</v>
      </c>
      <c r="S14" s="3"/>
      <c r="T14" s="4">
        <v>8</v>
      </c>
      <c r="U14" s="4">
        <f t="shared" si="1"/>
        <v>55</v>
      </c>
      <c r="V14" s="4">
        <v>3</v>
      </c>
      <c r="W14" s="3">
        <f t="shared" si="2"/>
        <v>0.15</v>
      </c>
      <c r="X14" s="7">
        <v>39527</v>
      </c>
      <c r="Y14" s="7">
        <v>39581</v>
      </c>
      <c r="Z14" s="4">
        <f>1.55*400</f>
        <v>620</v>
      </c>
      <c r="AA14" s="3" t="s">
        <v>51</v>
      </c>
      <c r="AB14" s="3" t="s">
        <v>214</v>
      </c>
      <c r="AC14" s="4">
        <v>0.04</v>
      </c>
      <c r="AD14" s="4">
        <f t="shared" si="27"/>
        <v>628</v>
      </c>
      <c r="AE14" s="3" t="s">
        <v>51</v>
      </c>
      <c r="AF14" s="3" t="s">
        <v>214</v>
      </c>
      <c r="AG14" s="4">
        <v>0.11</v>
      </c>
      <c r="AH14" s="8">
        <f t="shared" si="15"/>
        <v>-1.2738853503184714E-2</v>
      </c>
      <c r="AI14" s="8">
        <f>VLOOKUP(F14,'[1]Sheet 2'!$B:$W,18,0)/VLOOKUP(F14,'[1]Sheet 2'!$B:$W,20,0)</f>
        <v>606.18445159384999</v>
      </c>
      <c r="AJ14" s="8">
        <f t="shared" si="16"/>
        <v>2.2790997640775152E-2</v>
      </c>
      <c r="AK14" s="4">
        <v>44.69</v>
      </c>
      <c r="AL14" s="4" t="s">
        <v>37</v>
      </c>
      <c r="AM14" s="3"/>
      <c r="AN14" s="3">
        <v>1.67</v>
      </c>
      <c r="AO14" s="4">
        <v>43.05</v>
      </c>
      <c r="AP14" s="4" t="s">
        <v>37</v>
      </c>
      <c r="AQ14" s="3"/>
      <c r="AR14" s="3">
        <v>2.98</v>
      </c>
      <c r="AS14" s="8">
        <f t="shared" si="17"/>
        <v>3.8095238095238113E-2</v>
      </c>
      <c r="AT14" s="8">
        <f>VLOOKUP(F14,'[2]Sheet 2'!$B:$T,18,0)/VLOOKUP(F14,'[2]Sheet 2'!$B:$U,20,0)</f>
        <v>46.071695663509722</v>
      </c>
      <c r="AU14" s="8">
        <f t="shared" si="18"/>
        <v>-2.9990119608384026E-2</v>
      </c>
      <c r="AV14" s="66">
        <v>35.5</v>
      </c>
      <c r="AW14" s="4" t="s">
        <v>38</v>
      </c>
      <c r="AX14" s="3"/>
      <c r="AY14" s="3">
        <v>1.59</v>
      </c>
      <c r="AZ14" s="4">
        <v>36.549999999999997</v>
      </c>
      <c r="BA14" s="4" t="s">
        <v>38</v>
      </c>
      <c r="BB14" s="3"/>
      <c r="BC14" s="3">
        <v>1.33</v>
      </c>
      <c r="BD14" s="8">
        <f t="shared" si="19"/>
        <v>-2.8727770177838501E-2</v>
      </c>
      <c r="BE14" s="8">
        <f>VLOOKUP(F14,'[3]Sheet 2'!$B:$T,18,0)/VLOOKUP(F14,'[3]Sheet 2'!$B:$U,20,0)</f>
        <v>35.429235864564873</v>
      </c>
      <c r="BF14" s="8">
        <f t="shared" si="20"/>
        <v>1.9973373319604284E-3</v>
      </c>
      <c r="BG14" s="3">
        <v>390.79858430061233</v>
      </c>
      <c r="BH14" s="4" t="s">
        <v>39</v>
      </c>
      <c r="BI14" s="3"/>
      <c r="BJ14" s="3"/>
      <c r="BK14" s="3">
        <f t="shared" si="4"/>
        <v>399.11597083529955</v>
      </c>
      <c r="BL14" s="4" t="s">
        <v>39</v>
      </c>
      <c r="BM14" s="3"/>
      <c r="BN14" s="3"/>
      <c r="BO14" s="8">
        <f t="shared" si="21"/>
        <v>-2.0839523202441566E-2</v>
      </c>
      <c r="BP14" s="8">
        <f>VLOOKUP(F14,'[4]Sheet 2'!$B:$T,18,0)/VLOOKUP(F14,'[4]Sheet 2'!$B:$U,20,0)</f>
        <v>373.89135526391101</v>
      </c>
      <c r="BQ14" s="8">
        <f t="shared" si="22"/>
        <v>4.521963077955457E-2</v>
      </c>
      <c r="BR14" s="3">
        <f t="shared" si="5"/>
        <v>13873.349742671739</v>
      </c>
      <c r="BS14" s="4" t="s">
        <v>39</v>
      </c>
      <c r="BT14" s="3"/>
      <c r="BU14" s="3"/>
      <c r="BV14" s="3">
        <f t="shared" si="6"/>
        <v>14587.688734030198</v>
      </c>
      <c r="BW14" s="4" t="s">
        <v>39</v>
      </c>
      <c r="BX14" s="3"/>
      <c r="BY14" s="3"/>
      <c r="BZ14" s="8">
        <f t="shared" si="23"/>
        <v>-4.8968620347104599E-2</v>
      </c>
      <c r="CA14" s="8">
        <f>VLOOKUP(F14,'[5]Sheet 2'!$B:$T,18,0)/VLOOKUP(F14,'[5]Sheet 2'!$B:$U,20,0)</f>
        <v>13181.416792657261</v>
      </c>
      <c r="CB14" s="8">
        <f t="shared" si="24"/>
        <v>5.2493063598438111E-2</v>
      </c>
      <c r="CC14" s="24">
        <f t="shared" si="7"/>
        <v>31.883333333333333</v>
      </c>
      <c r="CD14" s="24">
        <f t="shared" si="8"/>
        <v>121.3</v>
      </c>
      <c r="CE14" s="20">
        <v>39404</v>
      </c>
      <c r="CF14" s="20">
        <v>39599</v>
      </c>
      <c r="CG14" s="18">
        <v>39527</v>
      </c>
      <c r="CH14" s="18">
        <v>39581</v>
      </c>
      <c r="CI14" s="21">
        <f t="shared" si="9"/>
        <v>-43</v>
      </c>
      <c r="CJ14" s="21">
        <f t="shared" si="10"/>
        <v>152</v>
      </c>
      <c r="CK14" s="30">
        <f t="shared" si="11"/>
        <v>196</v>
      </c>
      <c r="CL14" s="21">
        <f t="shared" si="12"/>
        <v>80</v>
      </c>
      <c r="CM14" s="21">
        <f t="shared" si="13"/>
        <v>134</v>
      </c>
      <c r="CN14" s="19">
        <f t="shared" si="14"/>
        <v>55</v>
      </c>
    </row>
    <row r="15" spans="1:96" s="19" customFormat="1" hidden="1" x14ac:dyDescent="0.3">
      <c r="A15" s="3">
        <v>1</v>
      </c>
      <c r="B15" s="3"/>
      <c r="C15" s="4">
        <v>14</v>
      </c>
      <c r="D15" s="5" t="s">
        <v>28</v>
      </c>
      <c r="E15" s="6" t="s">
        <v>29</v>
      </c>
      <c r="F15" s="6" t="str">
        <f t="shared" si="0"/>
        <v>2012-118jia0022008OTC</v>
      </c>
      <c r="G15" s="4" t="s">
        <v>30</v>
      </c>
      <c r="H15" s="4" t="s">
        <v>31</v>
      </c>
      <c r="I15" s="4" t="s">
        <v>31</v>
      </c>
      <c r="J15" s="4" t="s">
        <v>32</v>
      </c>
      <c r="K15" s="4" t="s">
        <v>43</v>
      </c>
      <c r="L15" s="3">
        <v>2008</v>
      </c>
      <c r="M15" s="4" t="s">
        <v>34</v>
      </c>
      <c r="N15" s="4" t="s">
        <v>35</v>
      </c>
      <c r="O15" s="4" t="s">
        <v>41</v>
      </c>
      <c r="P15" s="4"/>
      <c r="Q15" s="4"/>
      <c r="R15" s="4">
        <v>15.32</v>
      </c>
      <c r="S15" s="3"/>
      <c r="T15" s="4">
        <v>8</v>
      </c>
      <c r="U15" s="4">
        <f t="shared" si="1"/>
        <v>55</v>
      </c>
      <c r="V15" s="4">
        <v>3</v>
      </c>
      <c r="W15" s="3">
        <f t="shared" si="2"/>
        <v>15.32</v>
      </c>
      <c r="X15" s="7">
        <v>39527</v>
      </c>
      <c r="Y15" s="7">
        <v>39581</v>
      </c>
      <c r="Z15" s="4">
        <f>0.86*400</f>
        <v>344</v>
      </c>
      <c r="AA15" s="3" t="s">
        <v>51</v>
      </c>
      <c r="AB15" s="3" t="s">
        <v>214</v>
      </c>
      <c r="AC15" s="4">
        <v>0.15</v>
      </c>
      <c r="AD15" s="4">
        <f t="shared" si="27"/>
        <v>628</v>
      </c>
      <c r="AE15" s="3" t="s">
        <v>51</v>
      </c>
      <c r="AF15" s="3" t="s">
        <v>214</v>
      </c>
      <c r="AG15" s="4">
        <v>0.11</v>
      </c>
      <c r="AH15" s="8">
        <f t="shared" si="15"/>
        <v>-0.45222929936305734</v>
      </c>
      <c r="AI15" s="8">
        <f>VLOOKUP(F15,'[1]Sheet 2'!$B:$W,18,0)/VLOOKUP(F15,'[1]Sheet 2'!$B:$W,20,0)</f>
        <v>606.18445159384999</v>
      </c>
      <c r="AJ15" s="8">
        <f t="shared" si="16"/>
        <v>-0.43251596259931185</v>
      </c>
      <c r="AK15" s="4">
        <v>31.25</v>
      </c>
      <c r="AL15" s="4" t="s">
        <v>37</v>
      </c>
      <c r="AM15" s="3"/>
      <c r="AN15" s="3">
        <v>2.74</v>
      </c>
      <c r="AO15" s="4">
        <v>43.05</v>
      </c>
      <c r="AP15" s="4" t="s">
        <v>37</v>
      </c>
      <c r="AQ15" s="3"/>
      <c r="AR15" s="3">
        <v>2.98</v>
      </c>
      <c r="AS15" s="8">
        <f t="shared" si="17"/>
        <v>-0.27409988385598139</v>
      </c>
      <c r="AT15" s="8">
        <f>VLOOKUP(F15,'[2]Sheet 2'!$B:$T,18,0)/VLOOKUP(F15,'[2]Sheet 2'!$B:$U,20,0)</f>
        <v>46.071695663509722</v>
      </c>
      <c r="AU15" s="8">
        <f t="shared" si="18"/>
        <v>-0.32170935864314165</v>
      </c>
      <c r="AV15" s="66">
        <v>27.49</v>
      </c>
      <c r="AW15" s="4" t="s">
        <v>38</v>
      </c>
      <c r="AX15" s="3"/>
      <c r="AY15" s="3">
        <v>4.55</v>
      </c>
      <c r="AZ15" s="4">
        <v>36.549999999999997</v>
      </c>
      <c r="BA15" s="4" t="s">
        <v>38</v>
      </c>
      <c r="BB15" s="3"/>
      <c r="BC15" s="3">
        <v>1.33</v>
      </c>
      <c r="BD15" s="8">
        <f t="shared" si="19"/>
        <v>-0.24787961696306429</v>
      </c>
      <c r="BE15" s="8">
        <f>VLOOKUP(F15,'[3]Sheet 2'!$B:$T,18,0)/VLOOKUP(F15,'[3]Sheet 2'!$B:$U,20,0)</f>
        <v>35.429235864564873</v>
      </c>
      <c r="BF15" s="8">
        <f t="shared" si="20"/>
        <v>-0.22408713230265942</v>
      </c>
      <c r="BG15" s="3">
        <v>400.43652237177156</v>
      </c>
      <c r="BH15" s="4" t="s">
        <v>39</v>
      </c>
      <c r="BI15" s="3"/>
      <c r="BJ15" s="3"/>
      <c r="BK15" s="3">
        <f t="shared" si="4"/>
        <v>399.11597083529955</v>
      </c>
      <c r="BL15" s="4" t="s">
        <v>39</v>
      </c>
      <c r="BM15" s="3"/>
      <c r="BN15" s="3"/>
      <c r="BO15" s="8">
        <f t="shared" si="21"/>
        <v>3.3086912901737851E-3</v>
      </c>
      <c r="BP15" s="8">
        <f>VLOOKUP(F15,'[4]Sheet 2'!$B:$T,18,0)/VLOOKUP(F15,'[4]Sheet 2'!$B:$U,20,0)</f>
        <v>373.89135526391101</v>
      </c>
      <c r="BQ15" s="8">
        <f t="shared" si="22"/>
        <v>7.0997006842064211E-2</v>
      </c>
      <c r="BR15" s="3">
        <f t="shared" si="5"/>
        <v>11008</v>
      </c>
      <c r="BS15" s="4" t="s">
        <v>39</v>
      </c>
      <c r="BT15" s="3"/>
      <c r="BU15" s="3"/>
      <c r="BV15" s="3">
        <f t="shared" si="6"/>
        <v>14587.688734030198</v>
      </c>
      <c r="BW15" s="4" t="s">
        <v>39</v>
      </c>
      <c r="BX15" s="3"/>
      <c r="BY15" s="3"/>
      <c r="BZ15" s="8">
        <f t="shared" si="23"/>
        <v>-0.24539108280254782</v>
      </c>
      <c r="CA15" s="8">
        <f>VLOOKUP(F15,'[5]Sheet 2'!$B:$T,18,0)/VLOOKUP(F15,'[5]Sheet 2'!$B:$U,20,0)</f>
        <v>13181.416792657261</v>
      </c>
      <c r="CB15" s="8">
        <f t="shared" si="24"/>
        <v>-0.16488491539604208</v>
      </c>
      <c r="CC15" s="24">
        <f t="shared" si="7"/>
        <v>31.883333333333333</v>
      </c>
      <c r="CD15" s="24">
        <f t="shared" si="8"/>
        <v>121.3</v>
      </c>
      <c r="CE15" s="20">
        <v>39404</v>
      </c>
      <c r="CF15" s="20">
        <v>39599</v>
      </c>
      <c r="CG15" s="18">
        <v>39527</v>
      </c>
      <c r="CH15" s="18">
        <v>39581</v>
      </c>
      <c r="CI15" s="21">
        <f t="shared" si="9"/>
        <v>-43</v>
      </c>
      <c r="CJ15" s="21">
        <f t="shared" si="10"/>
        <v>152</v>
      </c>
      <c r="CK15" s="30">
        <f t="shared" si="11"/>
        <v>196</v>
      </c>
      <c r="CL15" s="21">
        <f t="shared" si="12"/>
        <v>80</v>
      </c>
      <c r="CM15" s="21">
        <f t="shared" si="13"/>
        <v>134</v>
      </c>
      <c r="CN15" s="19">
        <f t="shared" si="14"/>
        <v>55</v>
      </c>
    </row>
    <row r="16" spans="1:96" s="19" customFormat="1" hidden="1" x14ac:dyDescent="0.3">
      <c r="A16" s="3">
        <v>1</v>
      </c>
      <c r="B16" s="3"/>
      <c r="C16" s="4">
        <v>14</v>
      </c>
      <c r="D16" s="5" t="s">
        <v>28</v>
      </c>
      <c r="E16" s="6" t="s">
        <v>29</v>
      </c>
      <c r="F16" s="6" t="str">
        <f t="shared" si="0"/>
        <v>2012-118jia0022008OTC</v>
      </c>
      <c r="G16" s="4" t="s">
        <v>30</v>
      </c>
      <c r="H16" s="4" t="s">
        <v>31</v>
      </c>
      <c r="I16" s="4" t="s">
        <v>31</v>
      </c>
      <c r="J16" s="4" t="s">
        <v>32</v>
      </c>
      <c r="K16" s="4" t="s">
        <v>43</v>
      </c>
      <c r="L16" s="3">
        <v>2008</v>
      </c>
      <c r="M16" s="4" t="s">
        <v>34</v>
      </c>
      <c r="N16" s="4" t="s">
        <v>35</v>
      </c>
      <c r="O16" s="4" t="s">
        <v>42</v>
      </c>
      <c r="P16" s="4"/>
      <c r="Q16" s="4"/>
      <c r="R16" s="4">
        <v>27.67</v>
      </c>
      <c r="S16" s="3"/>
      <c r="T16" s="4">
        <v>8</v>
      </c>
      <c r="U16" s="4">
        <f t="shared" si="1"/>
        <v>55</v>
      </c>
      <c r="V16" s="4">
        <v>3</v>
      </c>
      <c r="W16" s="3">
        <f t="shared" si="2"/>
        <v>27.67</v>
      </c>
      <c r="X16" s="7">
        <v>39527</v>
      </c>
      <c r="Y16" s="7">
        <v>39581</v>
      </c>
      <c r="Z16" s="4">
        <f>0.58*400</f>
        <v>231.99999999999997</v>
      </c>
      <c r="AA16" s="3" t="s">
        <v>51</v>
      </c>
      <c r="AB16" s="3" t="s">
        <v>214</v>
      </c>
      <c r="AC16" s="4">
        <v>0.02</v>
      </c>
      <c r="AD16" s="4">
        <f t="shared" si="27"/>
        <v>628</v>
      </c>
      <c r="AE16" s="3" t="s">
        <v>51</v>
      </c>
      <c r="AF16" s="3" t="s">
        <v>214</v>
      </c>
      <c r="AG16" s="4">
        <v>0.11</v>
      </c>
      <c r="AH16" s="8">
        <f t="shared" si="15"/>
        <v>-0.63057324840764328</v>
      </c>
      <c r="AI16" s="8">
        <f>VLOOKUP(F16,'[1]Sheet 2'!$B:$W,18,0)/VLOOKUP(F16,'[1]Sheet 2'!$B:$W,20,0)</f>
        <v>606.18445159384999</v>
      </c>
      <c r="AJ16" s="8">
        <f t="shared" si="16"/>
        <v>-0.61727820733441963</v>
      </c>
      <c r="AK16" s="4">
        <v>27.25</v>
      </c>
      <c r="AL16" s="4" t="s">
        <v>37</v>
      </c>
      <c r="AM16" s="3"/>
      <c r="AN16" s="3">
        <v>2.34</v>
      </c>
      <c r="AO16" s="4">
        <v>43.05</v>
      </c>
      <c r="AP16" s="4" t="s">
        <v>37</v>
      </c>
      <c r="AQ16" s="3"/>
      <c r="AR16" s="3">
        <v>2.98</v>
      </c>
      <c r="AS16" s="8">
        <f t="shared" si="17"/>
        <v>-0.36701509872241578</v>
      </c>
      <c r="AT16" s="8">
        <f>VLOOKUP(F16,'[2]Sheet 2'!$B:$T,18,0)/VLOOKUP(F16,'[2]Sheet 2'!$B:$U,20,0)</f>
        <v>46.071695663509722</v>
      </c>
      <c r="AU16" s="8">
        <f t="shared" si="18"/>
        <v>-0.40853056073681948</v>
      </c>
      <c r="AV16" s="66">
        <v>21.44</v>
      </c>
      <c r="AW16" s="4" t="s">
        <v>38</v>
      </c>
      <c r="AX16" s="3"/>
      <c r="AY16" s="3">
        <v>2.21</v>
      </c>
      <c r="AZ16" s="4">
        <v>36.549999999999997</v>
      </c>
      <c r="BA16" s="4" t="s">
        <v>38</v>
      </c>
      <c r="BB16" s="3"/>
      <c r="BC16" s="3">
        <v>1.33</v>
      </c>
      <c r="BD16" s="8">
        <f t="shared" si="19"/>
        <v>-0.4134062927496579</v>
      </c>
      <c r="BE16" s="8">
        <f>VLOOKUP(F16,'[3]Sheet 2'!$B:$T,18,0)/VLOOKUP(F16,'[3]Sheet 2'!$B:$U,20,0)</f>
        <v>35.429235864564873</v>
      </c>
      <c r="BF16" s="8">
        <f t="shared" si="20"/>
        <v>-0.39485005880571172</v>
      </c>
      <c r="BG16" s="3">
        <v>397.09708339038741</v>
      </c>
      <c r="BH16" s="4" t="s">
        <v>39</v>
      </c>
      <c r="BI16" s="3"/>
      <c r="BJ16" s="3"/>
      <c r="BK16" s="3">
        <f t="shared" si="4"/>
        <v>399.11597083529955</v>
      </c>
      <c r="BL16" s="4" t="s">
        <v>39</v>
      </c>
      <c r="BM16" s="3"/>
      <c r="BN16" s="3"/>
      <c r="BO16" s="8">
        <f t="shared" si="21"/>
        <v>-5.058398040767101E-3</v>
      </c>
      <c r="BP16" s="8">
        <f>VLOOKUP(F16,'[4]Sheet 2'!$B:$T,18,0)/VLOOKUP(F16,'[4]Sheet 2'!$B:$U,20,0)</f>
        <v>373.89135526391101</v>
      </c>
      <c r="BQ16" s="8">
        <f t="shared" si="22"/>
        <v>6.2065431039711121E-2</v>
      </c>
      <c r="BR16" s="3">
        <f t="shared" si="5"/>
        <v>8513.7614678899063</v>
      </c>
      <c r="BS16" s="4" t="s">
        <v>39</v>
      </c>
      <c r="BT16" s="3"/>
      <c r="BU16" s="3"/>
      <c r="BV16" s="3">
        <f t="shared" si="6"/>
        <v>14587.688734030198</v>
      </c>
      <c r="BW16" s="4" t="s">
        <v>39</v>
      </c>
      <c r="BX16" s="3"/>
      <c r="BY16" s="3"/>
      <c r="BZ16" s="8">
        <f t="shared" si="23"/>
        <v>-0.4163735172091394</v>
      </c>
      <c r="CA16" s="8">
        <f>VLOOKUP(F16,'[5]Sheet 2'!$B:$T,18,0)/VLOOKUP(F16,'[5]Sheet 2'!$B:$U,20,0)</f>
        <v>13181.416792657261</v>
      </c>
      <c r="CB16" s="8">
        <f t="shared" si="24"/>
        <v>-0.35410877284204251</v>
      </c>
      <c r="CC16" s="24">
        <f t="shared" si="7"/>
        <v>31.883333333333333</v>
      </c>
      <c r="CD16" s="24">
        <f t="shared" si="8"/>
        <v>121.3</v>
      </c>
      <c r="CE16" s="20">
        <v>39404</v>
      </c>
      <c r="CF16" s="20">
        <v>39599</v>
      </c>
      <c r="CG16" s="18">
        <v>39527</v>
      </c>
      <c r="CH16" s="18">
        <v>39581</v>
      </c>
      <c r="CI16" s="21">
        <f t="shared" si="9"/>
        <v>-43</v>
      </c>
      <c r="CJ16" s="21">
        <f t="shared" si="10"/>
        <v>152</v>
      </c>
      <c r="CK16" s="30">
        <f t="shared" si="11"/>
        <v>196</v>
      </c>
      <c r="CL16" s="21">
        <f t="shared" si="12"/>
        <v>80</v>
      </c>
      <c r="CM16" s="21">
        <f t="shared" si="13"/>
        <v>134</v>
      </c>
      <c r="CN16" s="19">
        <f t="shared" si="14"/>
        <v>55</v>
      </c>
    </row>
    <row r="17" spans="1:96" s="42" customFormat="1" hidden="1" x14ac:dyDescent="0.3">
      <c r="A17" s="31">
        <v>1</v>
      </c>
      <c r="B17" s="31"/>
      <c r="C17" s="32">
        <v>52</v>
      </c>
      <c r="D17" s="32" t="s">
        <v>44</v>
      </c>
      <c r="E17" s="43" t="s">
        <v>45</v>
      </c>
      <c r="F17" s="34" t="str">
        <f t="shared" si="0"/>
        <v>2011-133Y152007FACE</v>
      </c>
      <c r="G17" s="32" t="s">
        <v>46</v>
      </c>
      <c r="H17" s="32" t="s">
        <v>31</v>
      </c>
      <c r="I17" s="32" t="s">
        <v>31</v>
      </c>
      <c r="J17" s="32" t="s">
        <v>32</v>
      </c>
      <c r="K17" s="32" t="s">
        <v>47</v>
      </c>
      <c r="L17" s="32">
        <v>2007</v>
      </c>
      <c r="M17" s="32" t="s">
        <v>48</v>
      </c>
      <c r="N17" s="32" t="s">
        <v>49</v>
      </c>
      <c r="O17" s="32" t="s">
        <v>40</v>
      </c>
      <c r="P17" s="32" t="s">
        <v>267</v>
      </c>
      <c r="Q17" s="32">
        <f>S17/1.01*1.08</f>
        <v>49.615841584158417</v>
      </c>
      <c r="R17" s="44">
        <v>7.27</v>
      </c>
      <c r="S17" s="31">
        <v>46.4</v>
      </c>
      <c r="T17" s="31">
        <v>7</v>
      </c>
      <c r="U17" s="31">
        <v>75</v>
      </c>
      <c r="V17" s="31">
        <v>3</v>
      </c>
      <c r="W17" s="31">
        <f t="shared" si="2"/>
        <v>7.27</v>
      </c>
      <c r="X17" s="31" t="s">
        <v>50</v>
      </c>
      <c r="Y17" s="31"/>
      <c r="Z17" s="31">
        <v>863.55140186915901</v>
      </c>
      <c r="AA17" s="31" t="s">
        <v>51</v>
      </c>
      <c r="AB17" s="31">
        <v>32.710280373831949</v>
      </c>
      <c r="AC17" s="31"/>
      <c r="AD17" s="31">
        <v>863.55140186915901</v>
      </c>
      <c r="AE17" s="31" t="s">
        <v>51</v>
      </c>
      <c r="AF17" s="31">
        <v>32.710280373831949</v>
      </c>
      <c r="AG17" s="31"/>
      <c r="AH17" s="8">
        <f t="shared" si="15"/>
        <v>0</v>
      </c>
      <c r="AI17" s="8">
        <f>VLOOKUP(F17,'[1]Sheet 2'!$B:$W,18,0)/VLOOKUP(F17,'[1]Sheet 2'!$B:$W,20,0)</f>
        <v>1181.8318169431795</v>
      </c>
      <c r="AJ17" s="8">
        <f t="shared" si="16"/>
        <v>-0.26931109021692795</v>
      </c>
      <c r="AK17" s="31">
        <v>47.772511848341203</v>
      </c>
      <c r="AL17" s="32" t="s">
        <v>37</v>
      </c>
      <c r="AM17" s="31">
        <v>0.99526066350709641</v>
      </c>
      <c r="AN17" s="31"/>
      <c r="AO17" s="31">
        <v>47.772511848341203</v>
      </c>
      <c r="AP17" s="32" t="s">
        <v>37</v>
      </c>
      <c r="AQ17" s="31">
        <v>0.99526066350709641</v>
      </c>
      <c r="AR17" s="31"/>
      <c r="AS17" s="8">
        <f t="shared" si="17"/>
        <v>0</v>
      </c>
      <c r="AT17" s="8">
        <f>VLOOKUP(F17,'[2]Sheet 2'!$B:$T,18,0)/VLOOKUP(F17,'[2]Sheet 2'!$B:$U,20,0)</f>
        <v>57.905241133653682</v>
      </c>
      <c r="AU17" s="8">
        <f t="shared" si="18"/>
        <v>-0.17498812002051201</v>
      </c>
      <c r="AV17" s="57">
        <v>32.535211267605597</v>
      </c>
      <c r="AW17" s="32" t="s">
        <v>38</v>
      </c>
      <c r="AX17" s="31">
        <v>0.98591549295780112</v>
      </c>
      <c r="AY17" s="31"/>
      <c r="AZ17" s="31">
        <v>32.535211267605597</v>
      </c>
      <c r="BA17" s="32" t="s">
        <v>38</v>
      </c>
      <c r="BB17" s="31">
        <v>0.98591549295780112</v>
      </c>
      <c r="BC17" s="31"/>
      <c r="BD17" s="8">
        <f t="shared" si="19"/>
        <v>0</v>
      </c>
      <c r="BE17" s="8">
        <f>VLOOKUP(F17,'[3]Sheet 2'!$B:$T,18,0)/VLOOKUP(F17,'[3]Sheet 2'!$B:$U,20,0)</f>
        <v>39.606497322899884</v>
      </c>
      <c r="BF17" s="8">
        <f t="shared" si="20"/>
        <v>-0.1785385361811779</v>
      </c>
      <c r="BG17" s="31">
        <v>593.30143540669906</v>
      </c>
      <c r="BH17" s="31" t="s">
        <v>52</v>
      </c>
      <c r="BI17" s="31">
        <v>34.449760765549968</v>
      </c>
      <c r="BJ17" s="31"/>
      <c r="BK17" s="31">
        <v>593.30143540669906</v>
      </c>
      <c r="BL17" s="31" t="s">
        <v>52</v>
      </c>
      <c r="BM17" s="31">
        <v>34.449760765549968</v>
      </c>
      <c r="BN17" s="31"/>
      <c r="BO17" s="8">
        <f t="shared" si="21"/>
        <v>0</v>
      </c>
      <c r="BP17" s="8">
        <f>VLOOKUP(F17,'[4]Sheet 2'!$B:$T,18,0)/VLOOKUP(F17,'[4]Sheet 2'!$B:$U,20,0)</f>
        <v>572.91008681871256</v>
      </c>
      <c r="BQ17" s="8">
        <f t="shared" si="22"/>
        <v>3.5592580855430087E-2</v>
      </c>
      <c r="BR17" s="31">
        <f t="shared" si="5"/>
        <v>18076.323987538955</v>
      </c>
      <c r="BS17" s="32" t="s">
        <v>213</v>
      </c>
      <c r="BT17" s="31"/>
      <c r="BU17" s="31"/>
      <c r="BV17" s="31">
        <f t="shared" si="6"/>
        <v>18076.323987538955</v>
      </c>
      <c r="BW17" s="32" t="s">
        <v>213</v>
      </c>
      <c r="BX17" s="31"/>
      <c r="BY17" s="31"/>
      <c r="BZ17" s="8">
        <f t="shared" si="23"/>
        <v>0</v>
      </c>
      <c r="CA17" s="8">
        <f>VLOOKUP(F17,'[5]Sheet 2'!$B:$T,18,0)/VLOOKUP(F17,'[5]Sheet 2'!$B:$U,20,0)</f>
        <v>20206.627970437785</v>
      </c>
      <c r="CB17" s="8">
        <f t="shared" si="24"/>
        <v>-0.10542600111287521</v>
      </c>
      <c r="CC17" s="45">
        <f t="shared" ref="CC17:CC40" si="28">32+35/60</f>
        <v>32.583333333333336</v>
      </c>
      <c r="CD17" s="45">
        <f t="shared" ref="CD17:CD40" si="29">119+42/60</f>
        <v>119.7</v>
      </c>
      <c r="CE17" s="38">
        <v>39026</v>
      </c>
      <c r="CF17" s="38">
        <v>39234</v>
      </c>
      <c r="CG17" s="38">
        <v>39186</v>
      </c>
      <c r="CH17" s="38">
        <v>39224</v>
      </c>
      <c r="CI17" s="40">
        <f t="shared" si="9"/>
        <v>-56</v>
      </c>
      <c r="CJ17" s="40">
        <f t="shared" si="10"/>
        <v>152</v>
      </c>
      <c r="CK17" s="41">
        <f t="shared" si="11"/>
        <v>209</v>
      </c>
      <c r="CL17" s="40">
        <f t="shared" si="12"/>
        <v>104</v>
      </c>
      <c r="CM17" s="40">
        <f t="shared" si="13"/>
        <v>142</v>
      </c>
      <c r="CN17" s="42">
        <f t="shared" si="14"/>
        <v>39</v>
      </c>
    </row>
    <row r="18" spans="1:96" s="42" customFormat="1" hidden="1" x14ac:dyDescent="0.3">
      <c r="A18" s="31">
        <v>1</v>
      </c>
      <c r="B18" s="31"/>
      <c r="C18" s="32">
        <v>52</v>
      </c>
      <c r="D18" s="32" t="s">
        <v>44</v>
      </c>
      <c r="E18" s="43" t="s">
        <v>45</v>
      </c>
      <c r="F18" s="34" t="str">
        <f t="shared" si="0"/>
        <v>2011-133Y152007FACE</v>
      </c>
      <c r="G18" s="32" t="s">
        <v>46</v>
      </c>
      <c r="H18" s="32" t="s">
        <v>31</v>
      </c>
      <c r="I18" s="32" t="s">
        <v>31</v>
      </c>
      <c r="J18" s="32" t="s">
        <v>32</v>
      </c>
      <c r="K18" s="32" t="s">
        <v>47</v>
      </c>
      <c r="L18" s="32">
        <v>2007</v>
      </c>
      <c r="M18" s="32" t="s">
        <v>48</v>
      </c>
      <c r="N18" s="32" t="s">
        <v>49</v>
      </c>
      <c r="O18" s="32" t="s">
        <v>54</v>
      </c>
      <c r="P18" s="32"/>
      <c r="Q18" s="31">
        <f>(7*S18+5*0.976*S17)/12*U18*12/1000+S17/1.01*(90-U18)*12/1000</f>
        <v>55.124206930693063</v>
      </c>
      <c r="R18" s="44">
        <v>13.8865</v>
      </c>
      <c r="S18" s="31">
        <v>56.9</v>
      </c>
      <c r="T18" s="31">
        <v>7</v>
      </c>
      <c r="U18" s="31">
        <v>75</v>
      </c>
      <c r="V18" s="31">
        <v>3</v>
      </c>
      <c r="W18" s="31">
        <f t="shared" si="2"/>
        <v>13.8865</v>
      </c>
      <c r="X18" s="31" t="s">
        <v>50</v>
      </c>
      <c r="Y18" s="31"/>
      <c r="Z18" s="31">
        <v>732.71028037383201</v>
      </c>
      <c r="AA18" s="31" t="s">
        <v>51</v>
      </c>
      <c r="AB18" s="31">
        <v>19.626168224298969</v>
      </c>
      <c r="AC18" s="31"/>
      <c r="AD18" s="31">
        <v>863.55140186915901</v>
      </c>
      <c r="AE18" s="31" t="s">
        <v>51</v>
      </c>
      <c r="AF18" s="31">
        <v>32.710280373831949</v>
      </c>
      <c r="AG18" s="31"/>
      <c r="AH18" s="8">
        <f t="shared" si="15"/>
        <v>-0.15151515151515138</v>
      </c>
      <c r="AI18" s="8">
        <f>VLOOKUP(F18,'[1]Sheet 2'!$B:$W,18,0)/VLOOKUP(F18,'[1]Sheet 2'!$B:$W,20,0)</f>
        <v>1181.8318169431795</v>
      </c>
      <c r="AJ18" s="8">
        <f t="shared" si="16"/>
        <v>-0.3800215310931509</v>
      </c>
      <c r="AK18" s="31">
        <v>40.142180094786703</v>
      </c>
      <c r="AL18" s="32" t="s">
        <v>37</v>
      </c>
      <c r="AM18" s="31">
        <v>2.3222748815165986</v>
      </c>
      <c r="AN18" s="31"/>
      <c r="AO18" s="31">
        <v>47.772511848341203</v>
      </c>
      <c r="AP18" s="32" t="s">
        <v>37</v>
      </c>
      <c r="AQ18" s="31">
        <v>0.99526066350709641</v>
      </c>
      <c r="AR18" s="31"/>
      <c r="AS18" s="8">
        <f t="shared" si="17"/>
        <v>-0.15972222222222229</v>
      </c>
      <c r="AT18" s="8">
        <f>VLOOKUP(F18,'[2]Sheet 2'!$B:$T,18,0)/VLOOKUP(F18,'[2]Sheet 2'!$B:$U,20,0)</f>
        <v>57.905241133653682</v>
      </c>
      <c r="AU18" s="8">
        <f t="shared" si="18"/>
        <v>-0.30676085085056914</v>
      </c>
      <c r="AV18" s="57">
        <v>31.8779342723005</v>
      </c>
      <c r="AW18" s="32" t="s">
        <v>38</v>
      </c>
      <c r="AX18" s="31">
        <v>1.3145539906102996</v>
      </c>
      <c r="AY18" s="31"/>
      <c r="AZ18" s="31">
        <v>32.535211267605597</v>
      </c>
      <c r="BA18" s="32" t="s">
        <v>38</v>
      </c>
      <c r="BB18" s="31">
        <v>0.98591549295780112</v>
      </c>
      <c r="BC18" s="31"/>
      <c r="BD18" s="8">
        <f t="shared" si="19"/>
        <v>-2.0202020202018143E-2</v>
      </c>
      <c r="BE18" s="8">
        <f>VLOOKUP(F18,'[3]Sheet 2'!$B:$T,18,0)/VLOOKUP(F18,'[3]Sheet 2'!$B:$U,20,0)</f>
        <v>39.606497322899884</v>
      </c>
      <c r="BF18" s="8">
        <f t="shared" si="20"/>
        <v>-0.19513371726842516</v>
      </c>
      <c r="BG18" s="31">
        <v>623.92344497607701</v>
      </c>
      <c r="BH18" s="31" t="s">
        <v>52</v>
      </c>
      <c r="BI18" s="31">
        <v>68.899521531099936</v>
      </c>
      <c r="BJ18" s="31"/>
      <c r="BK18" s="31">
        <v>593.30143540669906</v>
      </c>
      <c r="BL18" s="31" t="s">
        <v>52</v>
      </c>
      <c r="BM18" s="31">
        <v>34.449760765549968</v>
      </c>
      <c r="BN18" s="31"/>
      <c r="BO18" s="8">
        <f t="shared" si="21"/>
        <v>5.1612903225806341E-2</v>
      </c>
      <c r="BP18" s="8">
        <f>VLOOKUP(F18,'[4]Sheet 2'!$B:$T,18,0)/VLOOKUP(F18,'[4]Sheet 2'!$B:$U,20,0)</f>
        <v>572.91008681871256</v>
      </c>
      <c r="BQ18" s="8">
        <f t="shared" si="22"/>
        <v>8.904252051248443E-2</v>
      </c>
      <c r="BR18" s="31">
        <f t="shared" si="5"/>
        <v>18252.877114389452</v>
      </c>
      <c r="BS18" s="32" t="s">
        <v>213</v>
      </c>
      <c r="BT18" s="31"/>
      <c r="BU18" s="31"/>
      <c r="BV18" s="31">
        <f t="shared" si="6"/>
        <v>18076.323987538955</v>
      </c>
      <c r="BW18" s="32" t="s">
        <v>213</v>
      </c>
      <c r="BX18" s="31"/>
      <c r="BY18" s="31"/>
      <c r="BZ18" s="8">
        <f t="shared" si="23"/>
        <v>9.7670924117206938E-3</v>
      </c>
      <c r="CA18" s="8">
        <f>VLOOKUP(F18,'[5]Sheet 2'!$B:$T,18,0)/VLOOKUP(F18,'[5]Sheet 2'!$B:$U,20,0)</f>
        <v>20206.627970437785</v>
      </c>
      <c r="CB18" s="8">
        <f t="shared" si="24"/>
        <v>-9.6688614196622141E-2</v>
      </c>
      <c r="CC18" s="45">
        <f t="shared" si="28"/>
        <v>32.583333333333336</v>
      </c>
      <c r="CD18" s="45">
        <f t="shared" si="29"/>
        <v>119.7</v>
      </c>
      <c r="CE18" s="38">
        <v>39026</v>
      </c>
      <c r="CF18" s="38">
        <v>39234</v>
      </c>
      <c r="CG18" s="38">
        <v>39186</v>
      </c>
      <c r="CH18" s="38">
        <v>39224</v>
      </c>
      <c r="CI18" s="40">
        <f t="shared" si="9"/>
        <v>-56</v>
      </c>
      <c r="CJ18" s="40">
        <f t="shared" si="10"/>
        <v>152</v>
      </c>
      <c r="CK18" s="41">
        <f t="shared" si="11"/>
        <v>209</v>
      </c>
      <c r="CL18" s="40">
        <f t="shared" si="12"/>
        <v>104</v>
      </c>
      <c r="CM18" s="40">
        <f t="shared" si="13"/>
        <v>142</v>
      </c>
      <c r="CN18" s="42">
        <f t="shared" si="14"/>
        <v>39</v>
      </c>
    </row>
    <row r="19" spans="1:96" s="19" customFormat="1" hidden="1" x14ac:dyDescent="0.3">
      <c r="A19" s="3">
        <v>1</v>
      </c>
      <c r="B19" s="3"/>
      <c r="C19" s="4">
        <v>52</v>
      </c>
      <c r="D19" s="4" t="s">
        <v>44</v>
      </c>
      <c r="E19" s="9" t="s">
        <v>45</v>
      </c>
      <c r="F19" s="6" t="str">
        <f t="shared" si="0"/>
        <v>2011-133Y162007FACE</v>
      </c>
      <c r="G19" s="4" t="s">
        <v>46</v>
      </c>
      <c r="H19" s="4" t="s">
        <v>31</v>
      </c>
      <c r="I19" s="4" t="s">
        <v>31</v>
      </c>
      <c r="J19" s="4" t="s">
        <v>32</v>
      </c>
      <c r="K19" s="4" t="s">
        <v>55</v>
      </c>
      <c r="L19" s="4">
        <v>2007</v>
      </c>
      <c r="M19" s="4" t="s">
        <v>48</v>
      </c>
      <c r="N19" s="4" t="s">
        <v>49</v>
      </c>
      <c r="O19" s="4" t="s">
        <v>40</v>
      </c>
      <c r="P19" s="32" t="s">
        <v>267</v>
      </c>
      <c r="Q19" s="4">
        <f>S19/1.01*1.08</f>
        <v>49.615841584158417</v>
      </c>
      <c r="R19" s="14">
        <v>7.75</v>
      </c>
      <c r="S19" s="3">
        <v>46.4</v>
      </c>
      <c r="T19" s="3">
        <v>7</v>
      </c>
      <c r="U19" s="3">
        <v>75</v>
      </c>
      <c r="V19" s="3">
        <v>3</v>
      </c>
      <c r="W19" s="3">
        <f t="shared" si="2"/>
        <v>7.75</v>
      </c>
      <c r="X19" s="3" t="s">
        <v>50</v>
      </c>
      <c r="Y19" s="3"/>
      <c r="Z19" s="3">
        <v>843.9252336448601</v>
      </c>
      <c r="AA19" s="3" t="s">
        <v>51</v>
      </c>
      <c r="AB19" s="3">
        <v>65.420560747663004</v>
      </c>
      <c r="AC19" s="3"/>
      <c r="AD19" s="3">
        <v>843.9252336448601</v>
      </c>
      <c r="AE19" s="3" t="s">
        <v>51</v>
      </c>
      <c r="AF19" s="3">
        <v>65.420560747663004</v>
      </c>
      <c r="AG19" s="3"/>
      <c r="AH19" s="8">
        <f t="shared" si="15"/>
        <v>0</v>
      </c>
      <c r="AI19" s="8">
        <f>VLOOKUP(F19,'[1]Sheet 2'!$B:$W,18,0)/VLOOKUP(F19,'[1]Sheet 2'!$B:$W,20,0)</f>
        <v>1146.3963037399192</v>
      </c>
      <c r="AJ19" s="8">
        <f t="shared" si="16"/>
        <v>-0.26384511979696695</v>
      </c>
      <c r="AK19" s="3">
        <v>43.791469194312803</v>
      </c>
      <c r="AL19" s="4" t="s">
        <v>37</v>
      </c>
      <c r="AM19" s="3">
        <v>1.6587677725117942</v>
      </c>
      <c r="AN19" s="3"/>
      <c r="AO19" s="3">
        <v>43.791469194312803</v>
      </c>
      <c r="AP19" s="4" t="s">
        <v>37</v>
      </c>
      <c r="AQ19" s="3">
        <v>1.6587677725117942</v>
      </c>
      <c r="AR19" s="3"/>
      <c r="AS19" s="8">
        <f t="shared" si="17"/>
        <v>0</v>
      </c>
      <c r="AT19" s="8">
        <f>VLOOKUP(F19,'[2]Sheet 2'!$B:$T,18,0)/VLOOKUP(F19,'[2]Sheet 2'!$B:$U,20,0)</f>
        <v>54.738270553059237</v>
      </c>
      <c r="AU19" s="8">
        <f t="shared" si="18"/>
        <v>-0.19998442128593399</v>
      </c>
      <c r="AV19" s="57">
        <v>44.037558685446001</v>
      </c>
      <c r="AW19" s="4" t="s">
        <v>38</v>
      </c>
      <c r="AX19" s="3">
        <v>0.98591549295780112</v>
      </c>
      <c r="AY19" s="3"/>
      <c r="AZ19" s="3">
        <v>44.037558685446001</v>
      </c>
      <c r="BA19" s="4" t="s">
        <v>38</v>
      </c>
      <c r="BB19" s="3">
        <v>0.98591549295780112</v>
      </c>
      <c r="BC19" s="3"/>
      <c r="BD19" s="8">
        <f t="shared" si="19"/>
        <v>0</v>
      </c>
      <c r="BE19" s="8">
        <f>VLOOKUP(F19,'[3]Sheet 2'!$B:$T,18,0)/VLOOKUP(F19,'[3]Sheet 2'!$B:$U,20,0)</f>
        <v>54.646139550834064</v>
      </c>
      <c r="BF19" s="8">
        <f t="shared" si="20"/>
        <v>-0.19413230198117709</v>
      </c>
      <c r="BG19" s="3">
        <v>459.33014354067001</v>
      </c>
      <c r="BH19" s="3" t="s">
        <v>52</v>
      </c>
      <c r="BI19" s="3">
        <v>15.311004784688976</v>
      </c>
      <c r="BJ19" s="3"/>
      <c r="BK19" s="3">
        <v>459.33014354067001</v>
      </c>
      <c r="BL19" s="3" t="s">
        <v>52</v>
      </c>
      <c r="BM19" s="3">
        <v>15.311004784688976</v>
      </c>
      <c r="BN19" s="3"/>
      <c r="BO19" s="8">
        <f t="shared" si="21"/>
        <v>0</v>
      </c>
      <c r="BP19" s="8">
        <f>VLOOKUP(F19,'[4]Sheet 2'!$B:$T,18,0)/VLOOKUP(F19,'[4]Sheet 2'!$B:$U,20,0)</f>
        <v>432.82126225713415</v>
      </c>
      <c r="BQ19" s="8">
        <f t="shared" si="22"/>
        <v>6.1246716820920026E-2</v>
      </c>
      <c r="BR19" s="3">
        <f t="shared" si="5"/>
        <v>19271.452846219207</v>
      </c>
      <c r="BS19" s="4" t="s">
        <v>213</v>
      </c>
      <c r="BT19" s="3"/>
      <c r="BU19" s="3"/>
      <c r="BV19" s="3">
        <f t="shared" si="6"/>
        <v>19271.452846219207</v>
      </c>
      <c r="BW19" s="4" t="s">
        <v>213</v>
      </c>
      <c r="BX19" s="3"/>
      <c r="BY19" s="3"/>
      <c r="BZ19" s="8">
        <f t="shared" si="23"/>
        <v>0</v>
      </c>
      <c r="CA19" s="8">
        <f>VLOOKUP(F19,'[5]Sheet 2'!$B:$T,18,0)/VLOOKUP(F19,'[5]Sheet 2'!$B:$U,20,0)</f>
        <v>20762.00853499569</v>
      </c>
      <c r="CB19" s="8">
        <f t="shared" si="24"/>
        <v>-7.1792461035937657E-2</v>
      </c>
      <c r="CC19" s="25">
        <f t="shared" si="28"/>
        <v>32.583333333333336</v>
      </c>
      <c r="CD19" s="25">
        <f t="shared" si="29"/>
        <v>119.7</v>
      </c>
      <c r="CE19" s="20">
        <v>39026</v>
      </c>
      <c r="CF19" s="20">
        <v>39234</v>
      </c>
      <c r="CG19" s="20">
        <v>39186</v>
      </c>
      <c r="CH19" s="20">
        <v>39224</v>
      </c>
      <c r="CI19" s="21">
        <f t="shared" si="9"/>
        <v>-56</v>
      </c>
      <c r="CJ19" s="21">
        <f t="shared" si="10"/>
        <v>152</v>
      </c>
      <c r="CK19" s="30">
        <f t="shared" si="11"/>
        <v>209</v>
      </c>
      <c r="CL19" s="21">
        <f t="shared" si="12"/>
        <v>104</v>
      </c>
      <c r="CM19" s="21">
        <f t="shared" si="13"/>
        <v>142</v>
      </c>
      <c r="CN19" s="19">
        <f t="shared" si="14"/>
        <v>39</v>
      </c>
    </row>
    <row r="20" spans="1:96" s="19" customFormat="1" hidden="1" x14ac:dyDescent="0.3">
      <c r="A20" s="3">
        <v>1</v>
      </c>
      <c r="B20" s="3"/>
      <c r="C20" s="4">
        <v>52</v>
      </c>
      <c r="D20" s="4" t="s">
        <v>44</v>
      </c>
      <c r="E20" s="9" t="s">
        <v>45</v>
      </c>
      <c r="F20" s="6" t="str">
        <f t="shared" si="0"/>
        <v>2011-133Y162007FACE</v>
      </c>
      <c r="G20" s="4" t="s">
        <v>46</v>
      </c>
      <c r="H20" s="4" t="s">
        <v>31</v>
      </c>
      <c r="I20" s="4" t="s">
        <v>31</v>
      </c>
      <c r="J20" s="4" t="s">
        <v>32</v>
      </c>
      <c r="K20" s="4" t="s">
        <v>55</v>
      </c>
      <c r="L20" s="4">
        <v>2007</v>
      </c>
      <c r="M20" s="4" t="s">
        <v>48</v>
      </c>
      <c r="N20" s="4" t="s">
        <v>49</v>
      </c>
      <c r="O20" s="4" t="s">
        <v>54</v>
      </c>
      <c r="P20" s="4"/>
      <c r="Q20" s="3">
        <f>(7*S20+5*0.976*S19)/12*U20*12/1000+S19/1.01*(90-U20)*12/1000</f>
        <v>55.124206930693063</v>
      </c>
      <c r="R20" s="14">
        <v>14.6637</v>
      </c>
      <c r="S20" s="3">
        <v>56.9</v>
      </c>
      <c r="T20" s="3">
        <v>7</v>
      </c>
      <c r="U20" s="3">
        <v>75</v>
      </c>
      <c r="V20" s="3">
        <v>3</v>
      </c>
      <c r="W20" s="3">
        <f t="shared" si="2"/>
        <v>14.6637</v>
      </c>
      <c r="X20" s="3" t="s">
        <v>50</v>
      </c>
      <c r="Y20" s="3"/>
      <c r="Z20" s="3">
        <v>680.37383177570098</v>
      </c>
      <c r="AA20" s="3" t="s">
        <v>51</v>
      </c>
      <c r="AB20" s="3">
        <v>78.504672897195988</v>
      </c>
      <c r="AC20" s="3"/>
      <c r="AD20" s="3">
        <v>843.9252336448601</v>
      </c>
      <c r="AE20" s="3" t="s">
        <v>51</v>
      </c>
      <c r="AF20" s="3">
        <v>65.420560747663004</v>
      </c>
      <c r="AG20" s="3"/>
      <c r="AH20" s="8">
        <f t="shared" si="15"/>
        <v>-0.19379844961240333</v>
      </c>
      <c r="AI20" s="8">
        <f>VLOOKUP(F20,'[1]Sheet 2'!$B:$W,18,0)/VLOOKUP(F20,'[1]Sheet 2'!$B:$W,20,0)</f>
        <v>1146.3963037399192</v>
      </c>
      <c r="AJ20" s="8">
        <f t="shared" si="16"/>
        <v>-0.40651079425491926</v>
      </c>
      <c r="AK20" s="3">
        <v>38.151658767772503</v>
      </c>
      <c r="AL20" s="4" t="s">
        <v>37</v>
      </c>
      <c r="AM20" s="3">
        <v>0.66350710900479726</v>
      </c>
      <c r="AN20" s="3"/>
      <c r="AO20" s="3">
        <v>43.791469194312803</v>
      </c>
      <c r="AP20" s="4" t="s">
        <v>37</v>
      </c>
      <c r="AQ20" s="3">
        <v>1.6587677725117942</v>
      </c>
      <c r="AR20" s="3"/>
      <c r="AS20" s="8">
        <f t="shared" si="17"/>
        <v>-0.12878787878787915</v>
      </c>
      <c r="AT20" s="8">
        <f>VLOOKUP(F20,'[2]Sheet 2'!$B:$T,18,0)/VLOOKUP(F20,'[2]Sheet 2'!$B:$U,20,0)</f>
        <v>54.738270553059237</v>
      </c>
      <c r="AU20" s="8">
        <f t="shared" si="18"/>
        <v>-0.30301673066577611</v>
      </c>
      <c r="AV20" s="57">
        <v>44.037558685446001</v>
      </c>
      <c r="AW20" s="4" t="s">
        <v>38</v>
      </c>
      <c r="AX20" s="3">
        <v>2.3004694835681008</v>
      </c>
      <c r="AY20" s="3"/>
      <c r="AZ20" s="3">
        <v>44.037558685446001</v>
      </c>
      <c r="BA20" s="4" t="s">
        <v>38</v>
      </c>
      <c r="BB20" s="3">
        <v>0.98591549295780112</v>
      </c>
      <c r="BC20" s="3"/>
      <c r="BD20" s="8">
        <f t="shared" si="19"/>
        <v>0</v>
      </c>
      <c r="BE20" s="8">
        <f>VLOOKUP(F20,'[3]Sheet 2'!$B:$T,18,0)/VLOOKUP(F20,'[3]Sheet 2'!$B:$U,20,0)</f>
        <v>54.646139550834064</v>
      </c>
      <c r="BF20" s="8">
        <f t="shared" si="20"/>
        <v>-0.19413230198117709</v>
      </c>
      <c r="BG20" s="3">
        <v>463.15789473684202</v>
      </c>
      <c r="BH20" s="3" t="s">
        <v>52</v>
      </c>
      <c r="BI20" s="3">
        <v>45.933014354066984</v>
      </c>
      <c r="BJ20" s="3"/>
      <c r="BK20" s="3">
        <v>459.33014354067001</v>
      </c>
      <c r="BL20" s="3" t="s">
        <v>52</v>
      </c>
      <c r="BM20" s="3">
        <v>15.311004784688976</v>
      </c>
      <c r="BN20" s="3"/>
      <c r="BO20" s="8">
        <f t="shared" si="21"/>
        <v>8.3333333333328249E-3</v>
      </c>
      <c r="BP20" s="8">
        <f>VLOOKUP(F20,'[4]Sheet 2'!$B:$T,18,0)/VLOOKUP(F20,'[4]Sheet 2'!$B:$U,20,0)</f>
        <v>432.82126225713415</v>
      </c>
      <c r="BQ20" s="8">
        <f t="shared" si="22"/>
        <v>7.009043946109382E-2</v>
      </c>
      <c r="BR20" s="3">
        <f t="shared" si="5"/>
        <v>17833.401056481111</v>
      </c>
      <c r="BS20" s="4" t="s">
        <v>213</v>
      </c>
      <c r="BT20" s="3"/>
      <c r="BU20" s="3"/>
      <c r="BV20" s="3">
        <f t="shared" si="6"/>
        <v>19271.452846219207</v>
      </c>
      <c r="BW20" s="4" t="s">
        <v>213</v>
      </c>
      <c r="BX20" s="3"/>
      <c r="BY20" s="3"/>
      <c r="BZ20" s="8">
        <f t="shared" si="23"/>
        <v>-7.4620829120323529E-2</v>
      </c>
      <c r="CA20" s="8">
        <f>VLOOKUP(F20,'[5]Sheet 2'!$B:$T,18,0)/VLOOKUP(F20,'[5]Sheet 2'!$B:$U,20,0)</f>
        <v>20762.00853499569</v>
      </c>
      <c r="CB20" s="8">
        <f t="shared" si="24"/>
        <v>-0.14105607718917101</v>
      </c>
      <c r="CC20" s="25">
        <f t="shared" si="28"/>
        <v>32.583333333333336</v>
      </c>
      <c r="CD20" s="25">
        <f t="shared" si="29"/>
        <v>119.7</v>
      </c>
      <c r="CE20" s="20">
        <v>39026</v>
      </c>
      <c r="CF20" s="20">
        <v>39234</v>
      </c>
      <c r="CG20" s="20">
        <v>39186</v>
      </c>
      <c r="CH20" s="20">
        <v>39224</v>
      </c>
      <c r="CI20" s="21">
        <f t="shared" si="9"/>
        <v>-56</v>
      </c>
      <c r="CJ20" s="21">
        <f t="shared" si="10"/>
        <v>152</v>
      </c>
      <c r="CK20" s="30">
        <f t="shared" si="11"/>
        <v>209</v>
      </c>
      <c r="CL20" s="21">
        <f t="shared" si="12"/>
        <v>104</v>
      </c>
      <c r="CM20" s="21">
        <f t="shared" si="13"/>
        <v>142</v>
      </c>
      <c r="CN20" s="19">
        <f t="shared" si="14"/>
        <v>39</v>
      </c>
    </row>
    <row r="21" spans="1:96" s="42" customFormat="1" hidden="1" x14ac:dyDescent="0.3">
      <c r="A21" s="31">
        <v>1</v>
      </c>
      <c r="B21" s="31"/>
      <c r="C21" s="32">
        <v>52</v>
      </c>
      <c r="D21" s="32" t="s">
        <v>44</v>
      </c>
      <c r="E21" s="43" t="s">
        <v>45</v>
      </c>
      <c r="F21" s="34" t="str">
        <f t="shared" si="0"/>
        <v>2011-133Y192007FACE</v>
      </c>
      <c r="G21" s="32" t="s">
        <v>46</v>
      </c>
      <c r="H21" s="32" t="s">
        <v>31</v>
      </c>
      <c r="I21" s="32" t="s">
        <v>31</v>
      </c>
      <c r="J21" s="32" t="s">
        <v>32</v>
      </c>
      <c r="K21" s="32" t="s">
        <v>56</v>
      </c>
      <c r="L21" s="32">
        <v>2007</v>
      </c>
      <c r="M21" s="32" t="s">
        <v>48</v>
      </c>
      <c r="N21" s="32" t="s">
        <v>49</v>
      </c>
      <c r="O21" s="32" t="s">
        <v>40</v>
      </c>
      <c r="P21" s="32" t="s">
        <v>267</v>
      </c>
      <c r="Q21" s="32">
        <f>S21/1.01*1.08</f>
        <v>49.615841584158417</v>
      </c>
      <c r="R21" s="44">
        <v>8.4130000000000003</v>
      </c>
      <c r="S21" s="31">
        <v>46.4</v>
      </c>
      <c r="T21" s="31">
        <v>7</v>
      </c>
      <c r="U21" s="31">
        <v>75</v>
      </c>
      <c r="V21" s="31">
        <v>3</v>
      </c>
      <c r="W21" s="31">
        <f t="shared" si="2"/>
        <v>8.4130000000000003</v>
      </c>
      <c r="X21" s="31" t="s">
        <v>50</v>
      </c>
      <c r="Y21" s="31"/>
      <c r="Z21" s="31">
        <v>713.0841121495331</v>
      </c>
      <c r="AA21" s="31" t="s">
        <v>51</v>
      </c>
      <c r="AB21" s="31">
        <v>26.168224299064956</v>
      </c>
      <c r="AC21" s="31"/>
      <c r="AD21" s="31">
        <v>713.0841121495331</v>
      </c>
      <c r="AE21" s="31" t="s">
        <v>51</v>
      </c>
      <c r="AF21" s="31">
        <v>26.168224299064956</v>
      </c>
      <c r="AG21" s="31"/>
      <c r="AH21" s="8">
        <f t="shared" si="15"/>
        <v>0</v>
      </c>
      <c r="AI21" s="8">
        <f>VLOOKUP(F21,'[1]Sheet 2'!$B:$W,18,0)/VLOOKUP(F21,'[1]Sheet 2'!$B:$W,20,0)</f>
        <v>987.87721219290563</v>
      </c>
      <c r="AJ21" s="8">
        <f t="shared" si="16"/>
        <v>-0.27816523820139794</v>
      </c>
      <c r="AK21" s="31">
        <v>38.8151658767773</v>
      </c>
      <c r="AL21" s="32" t="s">
        <v>37</v>
      </c>
      <c r="AM21" s="31">
        <v>2.3222748815164991</v>
      </c>
      <c r="AN21" s="31"/>
      <c r="AO21" s="31">
        <v>38.8151658767773</v>
      </c>
      <c r="AP21" s="32" t="s">
        <v>37</v>
      </c>
      <c r="AQ21" s="31">
        <v>2.3222748815164991</v>
      </c>
      <c r="AR21" s="31"/>
      <c r="AS21" s="8">
        <f t="shared" si="17"/>
        <v>0</v>
      </c>
      <c r="AT21" s="8">
        <f>VLOOKUP(F21,'[2]Sheet 2'!$B:$T,18,0)/VLOOKUP(F21,'[2]Sheet 2'!$B:$U,20,0)</f>
        <v>45.683435920888691</v>
      </c>
      <c r="AU21" s="8">
        <f t="shared" si="18"/>
        <v>-0.150344865828511</v>
      </c>
      <c r="AV21" s="57">
        <v>36.478873239436602</v>
      </c>
      <c r="AW21" s="32" t="s">
        <v>38</v>
      </c>
      <c r="AX21" s="31">
        <v>0.65727699530519601</v>
      </c>
      <c r="AY21" s="31"/>
      <c r="AZ21" s="31">
        <v>36.478873239436602</v>
      </c>
      <c r="BA21" s="32" t="s">
        <v>38</v>
      </c>
      <c r="BB21" s="31">
        <v>0.65727699530519601</v>
      </c>
      <c r="BC21" s="31"/>
      <c r="BD21" s="8">
        <f t="shared" si="19"/>
        <v>0</v>
      </c>
      <c r="BE21" s="8">
        <f>VLOOKUP(F21,'[3]Sheet 2'!$B:$T,18,0)/VLOOKUP(F21,'[3]Sheet 2'!$B:$U,20,0)</f>
        <v>46.306994188496844</v>
      </c>
      <c r="BF21" s="8">
        <f t="shared" si="20"/>
        <v>-0.21223836963060005</v>
      </c>
      <c r="BG21" s="31">
        <v>524.40191387559798</v>
      </c>
      <c r="BH21" s="31" t="s">
        <v>52</v>
      </c>
      <c r="BI21" s="31">
        <v>42.105263157895024</v>
      </c>
      <c r="BJ21" s="31"/>
      <c r="BK21" s="31">
        <v>524.40191387559798</v>
      </c>
      <c r="BL21" s="31" t="s">
        <v>52</v>
      </c>
      <c r="BM21" s="31">
        <v>42.105263157895024</v>
      </c>
      <c r="BN21" s="31"/>
      <c r="BO21" s="8">
        <f t="shared" si="21"/>
        <v>0</v>
      </c>
      <c r="BP21" s="8">
        <f>VLOOKUP(F21,'[4]Sheet 2'!$B:$T,18,0)/VLOOKUP(F21,'[4]Sheet 2'!$B:$U,20,0)</f>
        <v>528.21941281806767</v>
      </c>
      <c r="BQ21" s="8">
        <f t="shared" si="22"/>
        <v>-7.2271083754820798E-3</v>
      </c>
      <c r="BR21" s="31">
        <f t="shared" si="5"/>
        <v>18371.275660995274</v>
      </c>
      <c r="BS21" s="32" t="s">
        <v>213</v>
      </c>
      <c r="BT21" s="31"/>
      <c r="BU21" s="31"/>
      <c r="BV21" s="31">
        <f t="shared" si="6"/>
        <v>18371.275660995274</v>
      </c>
      <c r="BW21" s="32" t="s">
        <v>213</v>
      </c>
      <c r="BX21" s="31"/>
      <c r="BY21" s="31"/>
      <c r="BZ21" s="8">
        <f t="shared" si="23"/>
        <v>0</v>
      </c>
      <c r="CA21" s="8">
        <f>VLOOKUP(F21,'[5]Sheet 2'!$B:$T,18,0)/VLOOKUP(F21,'[5]Sheet 2'!$B:$U,20,0)</f>
        <v>21466.420359336342</v>
      </c>
      <c r="CB21" s="8">
        <f t="shared" si="24"/>
        <v>-0.1441854136148463</v>
      </c>
      <c r="CC21" s="45">
        <f t="shared" si="28"/>
        <v>32.583333333333336</v>
      </c>
      <c r="CD21" s="45">
        <f t="shared" si="29"/>
        <v>119.7</v>
      </c>
      <c r="CE21" s="38">
        <v>39026</v>
      </c>
      <c r="CF21" s="38">
        <v>39234</v>
      </c>
      <c r="CG21" s="38">
        <v>39186</v>
      </c>
      <c r="CH21" s="38">
        <v>39224</v>
      </c>
      <c r="CI21" s="40">
        <f t="shared" si="9"/>
        <v>-56</v>
      </c>
      <c r="CJ21" s="40">
        <f t="shared" si="10"/>
        <v>152</v>
      </c>
      <c r="CK21" s="41">
        <f t="shared" si="11"/>
        <v>209</v>
      </c>
      <c r="CL21" s="40">
        <f t="shared" si="12"/>
        <v>104</v>
      </c>
      <c r="CM21" s="40">
        <f t="shared" si="13"/>
        <v>142</v>
      </c>
      <c r="CN21" s="42">
        <f t="shared" si="14"/>
        <v>39</v>
      </c>
    </row>
    <row r="22" spans="1:96" s="42" customFormat="1" hidden="1" x14ac:dyDescent="0.3">
      <c r="A22" s="31">
        <v>1</v>
      </c>
      <c r="B22" s="31"/>
      <c r="C22" s="32">
        <v>52</v>
      </c>
      <c r="D22" s="32" t="s">
        <v>44</v>
      </c>
      <c r="E22" s="43" t="s">
        <v>45</v>
      </c>
      <c r="F22" s="34" t="str">
        <f t="shared" si="0"/>
        <v>2011-133Y192007FACE</v>
      </c>
      <c r="G22" s="32" t="s">
        <v>46</v>
      </c>
      <c r="H22" s="32" t="s">
        <v>31</v>
      </c>
      <c r="I22" s="32" t="s">
        <v>31</v>
      </c>
      <c r="J22" s="32" t="s">
        <v>32</v>
      </c>
      <c r="K22" s="32" t="s">
        <v>56</v>
      </c>
      <c r="L22" s="32">
        <v>2007</v>
      </c>
      <c r="M22" s="32" t="s">
        <v>48</v>
      </c>
      <c r="N22" s="32" t="s">
        <v>49</v>
      </c>
      <c r="O22" s="32" t="s">
        <v>54</v>
      </c>
      <c r="P22" s="32"/>
      <c r="Q22" s="31">
        <f>(7*S22+5*0.976*S21)/12*U22*12/1000+S21/1.01*(90-U22)*12/1000</f>
        <v>55.124206930693063</v>
      </c>
      <c r="R22" s="44">
        <v>15.313599999999999</v>
      </c>
      <c r="S22" s="31">
        <v>56.9</v>
      </c>
      <c r="T22" s="31">
        <v>7</v>
      </c>
      <c r="U22" s="31">
        <v>75</v>
      </c>
      <c r="V22" s="31">
        <v>3</v>
      </c>
      <c r="W22" s="31">
        <f t="shared" si="2"/>
        <v>15.313599999999999</v>
      </c>
      <c r="X22" s="31" t="s">
        <v>50</v>
      </c>
      <c r="Y22" s="31"/>
      <c r="Z22" s="31">
        <v>575.70093457943904</v>
      </c>
      <c r="AA22" s="31" t="s">
        <v>51</v>
      </c>
      <c r="AB22" s="31">
        <v>26.168224299065955</v>
      </c>
      <c r="AC22" s="31"/>
      <c r="AD22" s="31">
        <v>713.0841121495331</v>
      </c>
      <c r="AE22" s="31" t="s">
        <v>51</v>
      </c>
      <c r="AF22" s="31">
        <v>26.168224299064956</v>
      </c>
      <c r="AG22" s="31"/>
      <c r="AH22" s="8">
        <f t="shared" si="15"/>
        <v>-0.19266055045871633</v>
      </c>
      <c r="AI22" s="8">
        <f>VLOOKUP(F22,'[1]Sheet 2'!$B:$W,18,0)/VLOOKUP(F22,'[1]Sheet 2'!$B:$W,20,0)</f>
        <v>987.87721219290563</v>
      </c>
      <c r="AJ22" s="8">
        <f t="shared" si="16"/>
        <v>-0.41723432074975303</v>
      </c>
      <c r="AK22" s="31">
        <v>29.1943127962085</v>
      </c>
      <c r="AL22" s="32" t="s">
        <v>37</v>
      </c>
      <c r="AM22" s="31">
        <v>0.66350710900480081</v>
      </c>
      <c r="AN22" s="31"/>
      <c r="AO22" s="31">
        <v>38.8151658767773</v>
      </c>
      <c r="AP22" s="32" t="s">
        <v>37</v>
      </c>
      <c r="AQ22" s="31">
        <v>2.3222748815164991</v>
      </c>
      <c r="AR22" s="31"/>
      <c r="AS22" s="8">
        <f t="shared" si="17"/>
        <v>-0.24786324786324959</v>
      </c>
      <c r="AT22" s="8">
        <f>VLOOKUP(F22,'[2]Sheet 2'!$B:$T,18,0)/VLOOKUP(F22,'[2]Sheet 2'!$B:$U,20,0)</f>
        <v>45.683435920888691</v>
      </c>
      <c r="AU22" s="8">
        <f t="shared" si="18"/>
        <v>-0.36094314694794138</v>
      </c>
      <c r="AV22" s="57">
        <v>37.464788732394403</v>
      </c>
      <c r="AW22" s="32" t="s">
        <v>38</v>
      </c>
      <c r="AX22" s="31">
        <v>0.32863849765259801</v>
      </c>
      <c r="AY22" s="31"/>
      <c r="AZ22" s="31">
        <v>36.478873239436602</v>
      </c>
      <c r="BA22" s="32" t="s">
        <v>38</v>
      </c>
      <c r="BB22" s="31">
        <v>0.65727699530519601</v>
      </c>
      <c r="BC22" s="31"/>
      <c r="BD22" s="8">
        <f t="shared" si="19"/>
        <v>2.7027027027028538E-2</v>
      </c>
      <c r="BE22" s="8">
        <f>VLOOKUP(F22,'[3]Sheet 2'!$B:$T,18,0)/VLOOKUP(F22,'[3]Sheet 2'!$B:$U,20,0)</f>
        <v>46.306994188496844</v>
      </c>
      <c r="BF22" s="8">
        <f t="shared" si="20"/>
        <v>-0.19094751475575023</v>
      </c>
      <c r="BG22" s="31">
        <v>608.61244019138803</v>
      </c>
      <c r="BH22" s="31" t="s">
        <v>52</v>
      </c>
      <c r="BI22" s="31">
        <v>7.6555023923439194</v>
      </c>
      <c r="BJ22" s="31"/>
      <c r="BK22" s="31">
        <v>524.40191387559798</v>
      </c>
      <c r="BL22" s="31" t="s">
        <v>52</v>
      </c>
      <c r="BM22" s="31">
        <v>42.105263157895024</v>
      </c>
      <c r="BN22" s="31"/>
      <c r="BO22" s="8">
        <f t="shared" si="21"/>
        <v>0.16058394160584055</v>
      </c>
      <c r="BP22" s="8">
        <f>VLOOKUP(F22,'[4]Sheet 2'!$B:$T,18,0)/VLOOKUP(F22,'[4]Sheet 2'!$B:$U,20,0)</f>
        <v>528.21941281806767</v>
      </c>
      <c r="BQ22" s="8">
        <f t="shared" si="22"/>
        <v>0.15219627568101096</v>
      </c>
      <c r="BR22" s="31">
        <f t="shared" si="5"/>
        <v>19719.626168224313</v>
      </c>
      <c r="BS22" s="32" t="s">
        <v>213</v>
      </c>
      <c r="BT22" s="31"/>
      <c r="BU22" s="31"/>
      <c r="BV22" s="31">
        <f t="shared" si="6"/>
        <v>18371.275660995274</v>
      </c>
      <c r="BW22" s="32" t="s">
        <v>213</v>
      </c>
      <c r="BX22" s="31"/>
      <c r="BY22" s="31"/>
      <c r="BZ22" s="8">
        <f t="shared" si="23"/>
        <v>7.3394495412845567E-2</v>
      </c>
      <c r="CA22" s="8">
        <f>VLOOKUP(F22,'[5]Sheet 2'!$B:$T,18,0)/VLOOKUP(F22,'[5]Sheet 2'!$B:$U,20,0)</f>
        <v>21466.420359336342</v>
      </c>
      <c r="CB22" s="8">
        <f t="shared" si="24"/>
        <v>-8.1373333880154802E-2</v>
      </c>
      <c r="CC22" s="45">
        <f t="shared" si="28"/>
        <v>32.583333333333336</v>
      </c>
      <c r="CD22" s="45">
        <f t="shared" si="29"/>
        <v>119.7</v>
      </c>
      <c r="CE22" s="38">
        <v>39026</v>
      </c>
      <c r="CF22" s="38">
        <v>39234</v>
      </c>
      <c r="CG22" s="38">
        <v>39186</v>
      </c>
      <c r="CH22" s="38">
        <v>39224</v>
      </c>
      <c r="CI22" s="40">
        <f t="shared" si="9"/>
        <v>-56</v>
      </c>
      <c r="CJ22" s="40">
        <f t="shared" si="10"/>
        <v>152</v>
      </c>
      <c r="CK22" s="41">
        <f t="shared" si="11"/>
        <v>209</v>
      </c>
      <c r="CL22" s="40">
        <f t="shared" si="12"/>
        <v>104</v>
      </c>
      <c r="CM22" s="40">
        <f t="shared" si="13"/>
        <v>142</v>
      </c>
      <c r="CN22" s="42">
        <f t="shared" si="14"/>
        <v>39</v>
      </c>
    </row>
    <row r="23" spans="1:96" s="19" customFormat="1" hidden="1" x14ac:dyDescent="0.3">
      <c r="A23" s="3">
        <v>1</v>
      </c>
      <c r="B23" s="3"/>
      <c r="C23" s="4">
        <v>52</v>
      </c>
      <c r="D23" s="4" t="s">
        <v>44</v>
      </c>
      <c r="E23" s="9" t="s">
        <v>45</v>
      </c>
      <c r="F23" s="6" t="str">
        <f t="shared" si="0"/>
        <v>2011-133Y22007FACE</v>
      </c>
      <c r="G23" s="4" t="s">
        <v>46</v>
      </c>
      <c r="H23" s="4" t="s">
        <v>31</v>
      </c>
      <c r="I23" s="4" t="s">
        <v>31</v>
      </c>
      <c r="J23" s="4" t="s">
        <v>32</v>
      </c>
      <c r="K23" s="4" t="s">
        <v>57</v>
      </c>
      <c r="L23" s="4">
        <v>2007</v>
      </c>
      <c r="M23" s="4" t="s">
        <v>48</v>
      </c>
      <c r="N23" s="4" t="s">
        <v>49</v>
      </c>
      <c r="O23" s="4" t="s">
        <v>40</v>
      </c>
      <c r="P23" s="32" t="s">
        <v>267</v>
      </c>
      <c r="Q23" s="4">
        <f>S23/1.01*1.08</f>
        <v>49.615841584158417</v>
      </c>
      <c r="R23" s="14">
        <v>7.7503000000000002</v>
      </c>
      <c r="S23" s="3">
        <v>46.4</v>
      </c>
      <c r="T23" s="3">
        <v>7</v>
      </c>
      <c r="U23" s="3">
        <v>75</v>
      </c>
      <c r="V23" s="3">
        <v>3</v>
      </c>
      <c r="W23" s="3">
        <f t="shared" si="2"/>
        <v>7.7503000000000002</v>
      </c>
      <c r="X23" s="3" t="s">
        <v>50</v>
      </c>
      <c r="Y23" s="3"/>
      <c r="Z23" s="3">
        <v>765.42056074766401</v>
      </c>
      <c r="AA23" s="3" t="s">
        <v>51</v>
      </c>
      <c r="AB23" s="3">
        <v>65.420560747663004</v>
      </c>
      <c r="AC23" s="3"/>
      <c r="AD23" s="3">
        <v>765.42056074766401</v>
      </c>
      <c r="AE23" s="3" t="s">
        <v>51</v>
      </c>
      <c r="AF23" s="3">
        <v>65.420560747663004</v>
      </c>
      <c r="AG23" s="3"/>
      <c r="AH23" s="8">
        <f t="shared" si="15"/>
        <v>0</v>
      </c>
      <c r="AI23" s="8">
        <f>VLOOKUP(F23,'[1]Sheet 2'!$B:$W,18,0)/VLOOKUP(F23,'[1]Sheet 2'!$B:$W,20,0)</f>
        <v>998.56823817270265</v>
      </c>
      <c r="AJ23" s="8">
        <f t="shared" si="16"/>
        <v>-0.23348196799417495</v>
      </c>
      <c r="AK23" s="3">
        <v>43.459715639810398</v>
      </c>
      <c r="AL23" s="4" t="s">
        <v>37</v>
      </c>
      <c r="AM23" s="3">
        <v>1.9905213270141999</v>
      </c>
      <c r="AN23" s="3"/>
      <c r="AO23" s="3">
        <v>43.459715639810398</v>
      </c>
      <c r="AP23" s="4" t="s">
        <v>37</v>
      </c>
      <c r="AQ23" s="3">
        <v>1.9905213270141999</v>
      </c>
      <c r="AR23" s="3"/>
      <c r="AS23" s="8">
        <f t="shared" si="17"/>
        <v>0</v>
      </c>
      <c r="AT23" s="8">
        <f>VLOOKUP(F23,'[2]Sheet 2'!$B:$T,18,0)/VLOOKUP(F23,'[2]Sheet 2'!$B:$U,20,0)</f>
        <v>51.356131906336472</v>
      </c>
      <c r="AU23" s="8">
        <f t="shared" si="18"/>
        <v>-0.15375800266514603</v>
      </c>
      <c r="AV23" s="57">
        <v>40.751173708920199</v>
      </c>
      <c r="AW23" s="4" t="s">
        <v>38</v>
      </c>
      <c r="AX23" s="3">
        <v>1.9718309859155028</v>
      </c>
      <c r="AY23" s="3"/>
      <c r="AZ23" s="3">
        <v>40.751173708920199</v>
      </c>
      <c r="BA23" s="4" t="s">
        <v>38</v>
      </c>
      <c r="BB23" s="3">
        <v>1.9718309859155028</v>
      </c>
      <c r="BC23" s="3"/>
      <c r="BD23" s="8">
        <f t="shared" si="19"/>
        <v>0</v>
      </c>
      <c r="BE23" s="8">
        <f>VLOOKUP(F23,'[3]Sheet 2'!$B:$T,18,0)/VLOOKUP(F23,'[3]Sheet 2'!$B:$U,20,0)</f>
        <v>46.9740949659843</v>
      </c>
      <c r="BF23" s="8">
        <f t="shared" si="20"/>
        <v>-0.13247559663619599</v>
      </c>
      <c r="BG23" s="3">
        <v>501.43540669856498</v>
      </c>
      <c r="BH23" s="3" t="s">
        <v>52</v>
      </c>
      <c r="BI23" s="3">
        <v>22.966507177033009</v>
      </c>
      <c r="BJ23" s="3"/>
      <c r="BK23" s="3">
        <v>501.43540669856498</v>
      </c>
      <c r="BL23" s="3" t="s">
        <v>52</v>
      </c>
      <c r="BM23" s="3">
        <v>22.966507177033009</v>
      </c>
      <c r="BN23" s="3"/>
      <c r="BO23" s="8">
        <f t="shared" si="21"/>
        <v>0</v>
      </c>
      <c r="BP23" s="8">
        <f>VLOOKUP(F23,'[4]Sheet 2'!$B:$T,18,0)/VLOOKUP(F23,'[4]Sheet 2'!$B:$U,20,0)</f>
        <v>474.11793180750334</v>
      </c>
      <c r="BQ23" s="8">
        <f t="shared" si="22"/>
        <v>5.761746826769E-2</v>
      </c>
      <c r="BR23" s="3">
        <f t="shared" si="5"/>
        <v>17612.185203681267</v>
      </c>
      <c r="BS23" s="4" t="s">
        <v>213</v>
      </c>
      <c r="BT23" s="3"/>
      <c r="BU23" s="3"/>
      <c r="BV23" s="3">
        <f t="shared" si="6"/>
        <v>17612.185203681267</v>
      </c>
      <c r="BW23" s="4" t="s">
        <v>213</v>
      </c>
      <c r="BX23" s="3"/>
      <c r="BY23" s="3"/>
      <c r="BZ23" s="8">
        <f t="shared" si="23"/>
        <v>0</v>
      </c>
      <c r="CA23" s="8">
        <f>VLOOKUP(F23,'[5]Sheet 2'!$B:$T,18,0)/VLOOKUP(F23,'[5]Sheet 2'!$B:$U,20,0)</f>
        <v>19275.747022602802</v>
      </c>
      <c r="CB23" s="8">
        <f t="shared" si="24"/>
        <v>-8.6303364376531647E-2</v>
      </c>
      <c r="CC23" s="25">
        <f t="shared" si="28"/>
        <v>32.583333333333336</v>
      </c>
      <c r="CD23" s="25">
        <f t="shared" si="29"/>
        <v>119.7</v>
      </c>
      <c r="CE23" s="20">
        <v>39026</v>
      </c>
      <c r="CF23" s="20">
        <v>39234</v>
      </c>
      <c r="CG23" s="20">
        <v>39186</v>
      </c>
      <c r="CH23" s="20">
        <v>39224</v>
      </c>
      <c r="CI23" s="21">
        <f t="shared" si="9"/>
        <v>-56</v>
      </c>
      <c r="CJ23" s="21">
        <f t="shared" si="10"/>
        <v>152</v>
      </c>
      <c r="CK23" s="30">
        <f t="shared" si="11"/>
        <v>209</v>
      </c>
      <c r="CL23" s="21">
        <f t="shared" si="12"/>
        <v>104</v>
      </c>
      <c r="CM23" s="21">
        <f t="shared" si="13"/>
        <v>142</v>
      </c>
      <c r="CN23" s="19">
        <f t="shared" si="14"/>
        <v>39</v>
      </c>
    </row>
    <row r="24" spans="1:96" s="19" customFormat="1" hidden="1" x14ac:dyDescent="0.3">
      <c r="A24" s="3">
        <v>1</v>
      </c>
      <c r="B24" s="3"/>
      <c r="C24" s="4">
        <v>52</v>
      </c>
      <c r="D24" s="4" t="s">
        <v>44</v>
      </c>
      <c r="E24" s="9" t="s">
        <v>45</v>
      </c>
      <c r="F24" s="6" t="str">
        <f t="shared" si="0"/>
        <v>2011-133Y22007FACE</v>
      </c>
      <c r="G24" s="4" t="s">
        <v>46</v>
      </c>
      <c r="H24" s="4" t="s">
        <v>31</v>
      </c>
      <c r="I24" s="4" t="s">
        <v>31</v>
      </c>
      <c r="J24" s="4" t="s">
        <v>32</v>
      </c>
      <c r="K24" s="4" t="s">
        <v>57</v>
      </c>
      <c r="L24" s="4">
        <v>2007</v>
      </c>
      <c r="M24" s="4" t="s">
        <v>48</v>
      </c>
      <c r="N24" s="4" t="s">
        <v>49</v>
      </c>
      <c r="O24" s="4" t="s">
        <v>54</v>
      </c>
      <c r="P24" s="4"/>
      <c r="Q24" s="3">
        <f>(7*S24+5*0.976*S23)/12*U24*12/1000+S23/1.01*(90-U24)*12/1000</f>
        <v>55.124206930693063</v>
      </c>
      <c r="R24" s="14">
        <v>14.6637</v>
      </c>
      <c r="S24" s="3">
        <v>56.9</v>
      </c>
      <c r="T24" s="3">
        <v>7</v>
      </c>
      <c r="U24" s="3">
        <v>75</v>
      </c>
      <c r="V24" s="3">
        <v>3</v>
      </c>
      <c r="W24" s="3">
        <f t="shared" si="2"/>
        <v>14.6637</v>
      </c>
      <c r="X24" s="3" t="s">
        <v>50</v>
      </c>
      <c r="Y24" s="3"/>
      <c r="Z24" s="3">
        <v>569.158878504673</v>
      </c>
      <c r="AA24" s="3" t="s">
        <v>51</v>
      </c>
      <c r="AB24" s="3">
        <v>52.336448598131028</v>
      </c>
      <c r="AC24" s="3"/>
      <c r="AD24" s="3">
        <v>765.42056074766401</v>
      </c>
      <c r="AE24" s="3" t="s">
        <v>51</v>
      </c>
      <c r="AF24" s="3">
        <v>65.420560747663004</v>
      </c>
      <c r="AG24" s="3"/>
      <c r="AH24" s="8">
        <f t="shared" si="15"/>
        <v>-0.25641025641025672</v>
      </c>
      <c r="AI24" s="8">
        <f>VLOOKUP(F24,'[1]Sheet 2'!$B:$W,18,0)/VLOOKUP(F24,'[1]Sheet 2'!$B:$W,20,0)</f>
        <v>998.56823817270265</v>
      </c>
      <c r="AJ24" s="8">
        <f t="shared" si="16"/>
        <v>-0.43002505312387396</v>
      </c>
      <c r="AK24" s="3">
        <v>33.838862559241697</v>
      </c>
      <c r="AL24" s="4" t="s">
        <v>37</v>
      </c>
      <c r="AM24" s="3">
        <v>3.9810426540283999</v>
      </c>
      <c r="AN24" s="3"/>
      <c r="AO24" s="3">
        <v>43.459715639810398</v>
      </c>
      <c r="AP24" s="4" t="s">
        <v>37</v>
      </c>
      <c r="AQ24" s="3">
        <v>1.9905213270141999</v>
      </c>
      <c r="AR24" s="3"/>
      <c r="AS24" s="8">
        <f t="shared" si="17"/>
        <v>-0.22137404580152642</v>
      </c>
      <c r="AT24" s="8">
        <f>VLOOKUP(F24,'[2]Sheet 2'!$B:$T,18,0)/VLOOKUP(F24,'[2]Sheet 2'!$B:$U,20,0)</f>
        <v>51.356131906336472</v>
      </c>
      <c r="AU24" s="8">
        <f t="shared" si="18"/>
        <v>-0.34109401734232719</v>
      </c>
      <c r="AV24" s="57">
        <v>35.164319248826303</v>
      </c>
      <c r="AW24" s="4" t="s">
        <v>38</v>
      </c>
      <c r="AX24" s="3">
        <v>1.9718309859154957</v>
      </c>
      <c r="AY24" s="3"/>
      <c r="AZ24" s="3">
        <v>40.751173708920199</v>
      </c>
      <c r="BA24" s="4" t="s">
        <v>38</v>
      </c>
      <c r="BB24" s="3">
        <v>1.9718309859155028</v>
      </c>
      <c r="BC24" s="3"/>
      <c r="BD24" s="8">
        <f t="shared" si="19"/>
        <v>-0.13709677419354835</v>
      </c>
      <c r="BE24" s="8">
        <f>VLOOKUP(F24,'[3]Sheet 2'!$B:$T,18,0)/VLOOKUP(F24,'[3]Sheet 2'!$B:$U,20,0)</f>
        <v>46.9740949659843</v>
      </c>
      <c r="BF24" s="8">
        <f t="shared" si="20"/>
        <v>-0.25141039387155617</v>
      </c>
      <c r="BG24" s="3">
        <v>509.09090909090901</v>
      </c>
      <c r="BH24" s="3" t="s">
        <v>52</v>
      </c>
      <c r="BI24" s="3">
        <v>49.760765550238943</v>
      </c>
      <c r="BJ24" s="3"/>
      <c r="BK24" s="3">
        <v>501.43540669856498</v>
      </c>
      <c r="BL24" s="3" t="s">
        <v>52</v>
      </c>
      <c r="BM24" s="3">
        <v>22.966507177033009</v>
      </c>
      <c r="BN24" s="3"/>
      <c r="BO24" s="8">
        <f t="shared" si="21"/>
        <v>1.5267175572518147E-2</v>
      </c>
      <c r="BP24" s="8">
        <f>VLOOKUP(F24,'[4]Sheet 2'!$B:$T,18,0)/VLOOKUP(F24,'[4]Sheet 2'!$B:$U,20,0)</f>
        <v>474.11793180750334</v>
      </c>
      <c r="BQ24" s="8">
        <f t="shared" si="22"/>
        <v>7.3764299844294959E-2</v>
      </c>
      <c r="BR24" s="3">
        <f t="shared" si="5"/>
        <v>16819.681143485439</v>
      </c>
      <c r="BS24" s="4" t="s">
        <v>213</v>
      </c>
      <c r="BT24" s="3"/>
      <c r="BU24" s="3"/>
      <c r="BV24" s="3">
        <f t="shared" si="6"/>
        <v>17612.185203681267</v>
      </c>
      <c r="BW24" s="4" t="s">
        <v>213</v>
      </c>
      <c r="BX24" s="3"/>
      <c r="BY24" s="3"/>
      <c r="BZ24" s="8">
        <f t="shared" si="23"/>
        <v>-4.4997486173957581E-2</v>
      </c>
      <c r="CA24" s="8">
        <f>VLOOKUP(F24,'[5]Sheet 2'!$B:$T,18,0)/VLOOKUP(F24,'[5]Sheet 2'!$B:$U,20,0)</f>
        <v>19275.747022602802</v>
      </c>
      <c r="CB24" s="8">
        <f t="shared" si="24"/>
        <v>-0.12741741610519022</v>
      </c>
      <c r="CC24" s="25">
        <f t="shared" si="28"/>
        <v>32.583333333333336</v>
      </c>
      <c r="CD24" s="25">
        <f t="shared" si="29"/>
        <v>119.7</v>
      </c>
      <c r="CE24" s="20">
        <v>39026</v>
      </c>
      <c r="CF24" s="20">
        <v>39234</v>
      </c>
      <c r="CG24" s="20">
        <v>39186</v>
      </c>
      <c r="CH24" s="20">
        <v>39224</v>
      </c>
      <c r="CI24" s="21">
        <f t="shared" si="9"/>
        <v>-56</v>
      </c>
      <c r="CJ24" s="21">
        <f t="shared" si="10"/>
        <v>152</v>
      </c>
      <c r="CK24" s="30">
        <f t="shared" si="11"/>
        <v>209</v>
      </c>
      <c r="CL24" s="21">
        <f t="shared" si="12"/>
        <v>104</v>
      </c>
      <c r="CM24" s="21">
        <f t="shared" si="13"/>
        <v>142</v>
      </c>
      <c r="CN24" s="19">
        <f t="shared" si="14"/>
        <v>39</v>
      </c>
    </row>
    <row r="25" spans="1:96" s="42" customFormat="1" hidden="1" x14ac:dyDescent="0.3">
      <c r="A25" s="31">
        <v>1</v>
      </c>
      <c r="B25" s="31"/>
      <c r="C25" s="32">
        <v>52</v>
      </c>
      <c r="D25" s="32" t="s">
        <v>44</v>
      </c>
      <c r="E25" s="43" t="s">
        <v>45</v>
      </c>
      <c r="F25" s="34" t="str">
        <f t="shared" si="0"/>
        <v>2011-133Y152008FACE</v>
      </c>
      <c r="G25" s="32" t="s">
        <v>46</v>
      </c>
      <c r="H25" s="32" t="s">
        <v>31</v>
      </c>
      <c r="I25" s="32" t="s">
        <v>31</v>
      </c>
      <c r="J25" s="32" t="s">
        <v>32</v>
      </c>
      <c r="K25" s="32" t="s">
        <v>47</v>
      </c>
      <c r="L25" s="32">
        <v>2008</v>
      </c>
      <c r="M25" s="32" t="s">
        <v>48</v>
      </c>
      <c r="N25" s="32" t="s">
        <v>49</v>
      </c>
      <c r="O25" s="32" t="s">
        <v>40</v>
      </c>
      <c r="P25" s="32" t="s">
        <v>267</v>
      </c>
      <c r="Q25" s="32">
        <f>S25/1.01*1.08</f>
        <v>49.188118811881189</v>
      </c>
      <c r="R25" s="32">
        <v>8.2789999999999999</v>
      </c>
      <c r="S25" s="32">
        <v>46</v>
      </c>
      <c r="T25" s="32">
        <v>7</v>
      </c>
      <c r="U25" s="32">
        <v>75</v>
      </c>
      <c r="V25" s="31">
        <v>3</v>
      </c>
      <c r="W25" s="31">
        <f t="shared" si="2"/>
        <v>8.2789999999999999</v>
      </c>
      <c r="X25" s="31" t="s">
        <v>50</v>
      </c>
      <c r="Y25" s="31"/>
      <c r="Z25" s="31">
        <v>985.9154929577461</v>
      </c>
      <c r="AA25" s="31" t="s">
        <v>51</v>
      </c>
      <c r="AB25" s="31">
        <v>26.291079812204021</v>
      </c>
      <c r="AC25" s="31"/>
      <c r="AD25" s="31">
        <v>985.9154929577461</v>
      </c>
      <c r="AE25" s="31" t="s">
        <v>51</v>
      </c>
      <c r="AF25" s="31">
        <v>26.291079812204021</v>
      </c>
      <c r="AG25" s="31"/>
      <c r="AH25" s="8">
        <f t="shared" si="15"/>
        <v>0</v>
      </c>
      <c r="AI25" s="8">
        <f>VLOOKUP(F25,'[1]Sheet 2'!$B:$W,18,0)/VLOOKUP(F25,'[1]Sheet 2'!$B:$W,20,0)</f>
        <v>1391.4211821481065</v>
      </c>
      <c r="AJ25" s="8">
        <f t="shared" si="16"/>
        <v>-0.29143274113761286</v>
      </c>
      <c r="AK25" s="31">
        <v>44</v>
      </c>
      <c r="AL25" s="32" t="s">
        <v>37</v>
      </c>
      <c r="AM25" s="31">
        <v>0.66666666666669983</v>
      </c>
      <c r="AN25" s="31"/>
      <c r="AO25" s="31">
        <v>44</v>
      </c>
      <c r="AP25" s="32" t="s">
        <v>37</v>
      </c>
      <c r="AQ25" s="31">
        <v>0.66666666666669983</v>
      </c>
      <c r="AR25" s="31"/>
      <c r="AS25" s="8">
        <f t="shared" si="17"/>
        <v>0</v>
      </c>
      <c r="AT25" s="8">
        <f>VLOOKUP(F25,'[2]Sheet 2'!$B:$T,18,0)/VLOOKUP(F25,'[2]Sheet 2'!$B:$U,20,0)</f>
        <v>54.711693757243332</v>
      </c>
      <c r="AU25" s="8">
        <f t="shared" si="18"/>
        <v>-0.19578435653575796</v>
      </c>
      <c r="AV25" s="57">
        <v>40.751173708920199</v>
      </c>
      <c r="AW25" s="32" t="s">
        <v>38</v>
      </c>
      <c r="AX25" s="31">
        <v>0.32863849765259801</v>
      </c>
      <c r="AY25" s="31"/>
      <c r="AZ25" s="31">
        <v>40.751173708920199</v>
      </c>
      <c r="BA25" s="32" t="s">
        <v>38</v>
      </c>
      <c r="BB25" s="31">
        <v>0.32863849765259801</v>
      </c>
      <c r="BC25" s="31"/>
      <c r="BD25" s="8">
        <f t="shared" si="19"/>
        <v>0</v>
      </c>
      <c r="BE25" s="8">
        <f>VLOOKUP(F25,'[3]Sheet 2'!$B:$T,18,0)/VLOOKUP(F25,'[3]Sheet 2'!$B:$U,20,0)</f>
        <v>50.234772588809903</v>
      </c>
      <c r="BF25" s="8">
        <f t="shared" si="20"/>
        <v>-0.18878554417905802</v>
      </c>
      <c r="BG25" s="31">
        <v>547.36842105263202</v>
      </c>
      <c r="BH25" s="31" t="s">
        <v>52</v>
      </c>
      <c r="BI25" s="31">
        <v>11.483253588515936</v>
      </c>
      <c r="BJ25" s="31"/>
      <c r="BK25" s="31">
        <v>547.36842105263202</v>
      </c>
      <c r="BL25" s="31" t="s">
        <v>52</v>
      </c>
      <c r="BM25" s="31">
        <v>11.483253588515936</v>
      </c>
      <c r="BN25" s="31"/>
      <c r="BO25" s="8">
        <f t="shared" si="21"/>
        <v>0</v>
      </c>
      <c r="BP25" s="8">
        <f>VLOOKUP(F25,'[4]Sheet 2'!$B:$T,18,0)/VLOOKUP(F25,'[4]Sheet 2'!$B:$U,20,0)</f>
        <v>520.55584703277134</v>
      </c>
      <c r="BQ25" s="8">
        <f t="shared" si="22"/>
        <v>5.1507584004089967E-2</v>
      </c>
      <c r="BR25" s="31">
        <f t="shared" si="5"/>
        <v>22407.17029449423</v>
      </c>
      <c r="BS25" s="32" t="s">
        <v>213</v>
      </c>
      <c r="BT25" s="31"/>
      <c r="BU25" s="31"/>
      <c r="BV25" s="31">
        <f t="shared" si="6"/>
        <v>22407.17029449423</v>
      </c>
      <c r="BW25" s="32" t="s">
        <v>213</v>
      </c>
      <c r="BX25" s="31"/>
      <c r="BY25" s="31"/>
      <c r="BZ25" s="8">
        <f t="shared" si="23"/>
        <v>0</v>
      </c>
      <c r="CA25" s="8">
        <f>VLOOKUP(F25,'[5]Sheet 2'!$B:$T,18,0)/VLOOKUP(F25,'[5]Sheet 2'!$B:$U,20,0)</f>
        <v>25282.784145587342</v>
      </c>
      <c r="CB25" s="8">
        <f t="shared" si="24"/>
        <v>-0.11373802167254587</v>
      </c>
      <c r="CC25" s="45">
        <f t="shared" si="28"/>
        <v>32.583333333333336</v>
      </c>
      <c r="CD25" s="45">
        <f t="shared" si="29"/>
        <v>119.7</v>
      </c>
      <c r="CE25" s="38">
        <v>39401</v>
      </c>
      <c r="CF25" s="38">
        <v>39603</v>
      </c>
      <c r="CG25" s="38">
        <v>39512</v>
      </c>
      <c r="CH25" s="38">
        <v>39594</v>
      </c>
      <c r="CI25" s="40">
        <f t="shared" si="9"/>
        <v>-46</v>
      </c>
      <c r="CJ25" s="40">
        <f t="shared" si="10"/>
        <v>156</v>
      </c>
      <c r="CK25" s="41">
        <f t="shared" si="11"/>
        <v>203</v>
      </c>
      <c r="CL25" s="40">
        <f t="shared" si="12"/>
        <v>65</v>
      </c>
      <c r="CM25" s="40">
        <f t="shared" si="13"/>
        <v>147</v>
      </c>
      <c r="CN25" s="42">
        <f t="shared" si="14"/>
        <v>83</v>
      </c>
      <c r="CP25" s="47">
        <v>39567</v>
      </c>
      <c r="CQ25" s="42">
        <f t="shared" ref="CQ25:CQ32" si="30">CF25-CP25+1</f>
        <v>37</v>
      </c>
      <c r="CR25" s="42" t="s">
        <v>250</v>
      </c>
    </row>
    <row r="26" spans="1:96" s="42" customFormat="1" hidden="1" x14ac:dyDescent="0.3">
      <c r="A26" s="31">
        <v>1</v>
      </c>
      <c r="B26" s="31"/>
      <c r="C26" s="32">
        <v>52</v>
      </c>
      <c r="D26" s="32" t="s">
        <v>44</v>
      </c>
      <c r="E26" s="43" t="s">
        <v>45</v>
      </c>
      <c r="F26" s="34" t="str">
        <f t="shared" si="0"/>
        <v>2011-133Y152008FACE</v>
      </c>
      <c r="G26" s="32" t="s">
        <v>46</v>
      </c>
      <c r="H26" s="32" t="s">
        <v>31</v>
      </c>
      <c r="I26" s="32" t="s">
        <v>31</v>
      </c>
      <c r="J26" s="32" t="s">
        <v>32</v>
      </c>
      <c r="K26" s="32" t="s">
        <v>47</v>
      </c>
      <c r="L26" s="32">
        <v>2008</v>
      </c>
      <c r="M26" s="32" t="s">
        <v>48</v>
      </c>
      <c r="N26" s="32" t="s">
        <v>49</v>
      </c>
      <c r="O26" s="32" t="s">
        <v>54</v>
      </c>
      <c r="P26" s="32"/>
      <c r="Q26" s="31">
        <f>(7*S26+5*0.976*S25)/12*U26*12/1000+S25/1.01*(90-U26)*12/1000</f>
        <v>55.274019801980202</v>
      </c>
      <c r="R26" s="32">
        <v>16.7821</v>
      </c>
      <c r="S26" s="32">
        <v>57.6</v>
      </c>
      <c r="T26" s="32">
        <v>7</v>
      </c>
      <c r="U26" s="32">
        <v>75</v>
      </c>
      <c r="V26" s="31">
        <v>3</v>
      </c>
      <c r="W26" s="31">
        <f t="shared" si="2"/>
        <v>16.7821</v>
      </c>
      <c r="X26" s="31" t="s">
        <v>50</v>
      </c>
      <c r="Y26" s="31"/>
      <c r="Z26" s="31">
        <v>795.305164319249</v>
      </c>
      <c r="AA26" s="31" t="s">
        <v>51</v>
      </c>
      <c r="AB26" s="31">
        <v>72.300469483567937</v>
      </c>
      <c r="AC26" s="31"/>
      <c r="AD26" s="31">
        <v>985.9154929577461</v>
      </c>
      <c r="AE26" s="31" t="s">
        <v>51</v>
      </c>
      <c r="AF26" s="31">
        <v>26.291079812204021</v>
      </c>
      <c r="AG26" s="31"/>
      <c r="AH26" s="8">
        <f t="shared" si="15"/>
        <v>-0.19333333333333283</v>
      </c>
      <c r="AI26" s="8">
        <f>VLOOKUP(F26,'[1]Sheet 2'!$B:$W,18,0)/VLOOKUP(F26,'[1]Sheet 2'!$B:$W,20,0)</f>
        <v>1391.4211821481065</v>
      </c>
      <c r="AJ26" s="8">
        <f t="shared" si="16"/>
        <v>-0.42842241118434071</v>
      </c>
      <c r="AK26" s="31">
        <v>36</v>
      </c>
      <c r="AL26" s="32" t="s">
        <v>37</v>
      </c>
      <c r="AM26" s="31">
        <v>4.3333333333333002</v>
      </c>
      <c r="AN26" s="31"/>
      <c r="AO26" s="31">
        <v>44</v>
      </c>
      <c r="AP26" s="32" t="s">
        <v>37</v>
      </c>
      <c r="AQ26" s="31">
        <v>0.66666666666669983</v>
      </c>
      <c r="AR26" s="31"/>
      <c r="AS26" s="8">
        <f t="shared" si="17"/>
        <v>-0.18181818181818182</v>
      </c>
      <c r="AT26" s="8">
        <f>VLOOKUP(F26,'[2]Sheet 2'!$B:$T,18,0)/VLOOKUP(F26,'[2]Sheet 2'!$B:$U,20,0)</f>
        <v>54.711693757243332</v>
      </c>
      <c r="AU26" s="8">
        <f t="shared" si="18"/>
        <v>-0.34200538262016561</v>
      </c>
      <c r="AV26" s="57">
        <v>38.779342723004703</v>
      </c>
      <c r="AW26" s="32" t="s">
        <v>38</v>
      </c>
      <c r="AX26" s="31">
        <v>0.65727699530519601</v>
      </c>
      <c r="AY26" s="31"/>
      <c r="AZ26" s="31">
        <v>40.751173708920199</v>
      </c>
      <c r="BA26" s="32" t="s">
        <v>38</v>
      </c>
      <c r="BB26" s="31">
        <v>0.32863849765259801</v>
      </c>
      <c r="BC26" s="31"/>
      <c r="BD26" s="8">
        <f t="shared" si="19"/>
        <v>-4.8387096774193603E-2</v>
      </c>
      <c r="BE26" s="8">
        <f>VLOOKUP(F26,'[3]Sheet 2'!$B:$T,18,0)/VLOOKUP(F26,'[3]Sheet 2'!$B:$U,20,0)</f>
        <v>50.234772588809903</v>
      </c>
      <c r="BF26" s="8">
        <f t="shared" si="20"/>
        <v>-0.22803785655749073</v>
      </c>
      <c r="BG26" s="31">
        <v>570.33492822966502</v>
      </c>
      <c r="BH26" s="31" t="s">
        <v>52</v>
      </c>
      <c r="BI26" s="31">
        <v>22.966507177034032</v>
      </c>
      <c r="BJ26" s="31"/>
      <c r="BK26" s="31">
        <v>547.36842105263202</v>
      </c>
      <c r="BL26" s="31" t="s">
        <v>52</v>
      </c>
      <c r="BM26" s="31">
        <v>11.483253588515936</v>
      </c>
      <c r="BN26" s="31"/>
      <c r="BO26" s="8">
        <f t="shared" si="21"/>
        <v>4.1958041958041037E-2</v>
      </c>
      <c r="BP26" s="8">
        <f>VLOOKUP(F26,'[4]Sheet 2'!$B:$T,18,0)/VLOOKUP(F26,'[4]Sheet 2'!$B:$U,20,0)</f>
        <v>520.55584703277134</v>
      </c>
      <c r="BQ26" s="8">
        <f t="shared" si="22"/>
        <v>9.5626783332931939E-2</v>
      </c>
      <c r="BR26" s="31">
        <f t="shared" si="5"/>
        <v>22091.810119979142</v>
      </c>
      <c r="BS26" s="32" t="s">
        <v>213</v>
      </c>
      <c r="BT26" s="31"/>
      <c r="BU26" s="31"/>
      <c r="BV26" s="31">
        <f t="shared" si="6"/>
        <v>22407.17029449423</v>
      </c>
      <c r="BW26" s="32" t="s">
        <v>213</v>
      </c>
      <c r="BX26" s="31"/>
      <c r="BY26" s="31"/>
      <c r="BZ26" s="8">
        <f t="shared" si="23"/>
        <v>-1.4074074074073368E-2</v>
      </c>
      <c r="CA26" s="8">
        <f>VLOOKUP(F26,'[5]Sheet 2'!$B:$T,18,0)/VLOOKUP(F26,'[5]Sheet 2'!$B:$U,20,0)</f>
        <v>25282.784145587342</v>
      </c>
      <c r="CB26" s="8">
        <f t="shared" si="24"/>
        <v>-0.12621133840456128</v>
      </c>
      <c r="CC26" s="45">
        <f t="shared" si="28"/>
        <v>32.583333333333336</v>
      </c>
      <c r="CD26" s="45">
        <f t="shared" si="29"/>
        <v>119.7</v>
      </c>
      <c r="CE26" s="38">
        <v>39401</v>
      </c>
      <c r="CF26" s="38">
        <v>39603</v>
      </c>
      <c r="CG26" s="38">
        <v>39512</v>
      </c>
      <c r="CH26" s="38">
        <v>39594</v>
      </c>
      <c r="CI26" s="40">
        <f t="shared" si="9"/>
        <v>-46</v>
      </c>
      <c r="CJ26" s="40">
        <f t="shared" si="10"/>
        <v>156</v>
      </c>
      <c r="CK26" s="41">
        <f t="shared" si="11"/>
        <v>203</v>
      </c>
      <c r="CL26" s="40">
        <f t="shared" si="12"/>
        <v>65</v>
      </c>
      <c r="CM26" s="40">
        <f t="shared" si="13"/>
        <v>147</v>
      </c>
      <c r="CN26" s="42">
        <f t="shared" si="14"/>
        <v>83</v>
      </c>
      <c r="CP26" s="47">
        <v>39567</v>
      </c>
      <c r="CQ26" s="42">
        <f t="shared" si="30"/>
        <v>37</v>
      </c>
      <c r="CR26" s="42" t="s">
        <v>250</v>
      </c>
    </row>
    <row r="27" spans="1:96" s="19" customFormat="1" hidden="1" x14ac:dyDescent="0.3">
      <c r="A27" s="3">
        <v>1</v>
      </c>
      <c r="B27" s="3"/>
      <c r="C27" s="4">
        <v>52</v>
      </c>
      <c r="D27" s="4" t="s">
        <v>44</v>
      </c>
      <c r="E27" s="9" t="s">
        <v>45</v>
      </c>
      <c r="F27" s="6" t="str">
        <f t="shared" si="0"/>
        <v>2011-133Y162008FACE</v>
      </c>
      <c r="G27" s="4" t="s">
        <v>46</v>
      </c>
      <c r="H27" s="4" t="s">
        <v>31</v>
      </c>
      <c r="I27" s="4" t="s">
        <v>31</v>
      </c>
      <c r="J27" s="4" t="s">
        <v>32</v>
      </c>
      <c r="K27" s="4" t="s">
        <v>55</v>
      </c>
      <c r="L27" s="4">
        <v>2008</v>
      </c>
      <c r="M27" s="4" t="s">
        <v>48</v>
      </c>
      <c r="N27" s="4" t="s">
        <v>49</v>
      </c>
      <c r="O27" s="4" t="s">
        <v>40</v>
      </c>
      <c r="P27" s="32" t="s">
        <v>267</v>
      </c>
      <c r="Q27" s="4">
        <f>S27/1.01*1.08</f>
        <v>49.188118811881189</v>
      </c>
      <c r="R27" s="4">
        <v>8.4710000000000001</v>
      </c>
      <c r="S27" s="4">
        <v>46</v>
      </c>
      <c r="T27" s="4">
        <v>7</v>
      </c>
      <c r="U27" s="4">
        <v>75</v>
      </c>
      <c r="V27" s="3">
        <v>3</v>
      </c>
      <c r="W27" s="3">
        <f t="shared" si="2"/>
        <v>8.4710000000000001</v>
      </c>
      <c r="X27" s="3" t="s">
        <v>50</v>
      </c>
      <c r="Y27" s="3"/>
      <c r="Z27" s="3">
        <v>887.32394366197195</v>
      </c>
      <c r="AA27" s="3" t="s">
        <v>51</v>
      </c>
      <c r="AB27" s="3">
        <v>52.582159624413038</v>
      </c>
      <c r="AC27" s="3"/>
      <c r="AD27" s="3">
        <v>887.32394366197195</v>
      </c>
      <c r="AE27" s="3" t="s">
        <v>51</v>
      </c>
      <c r="AF27" s="3">
        <v>52.582159624413038</v>
      </c>
      <c r="AG27" s="3"/>
      <c r="AH27" s="8">
        <f t="shared" si="15"/>
        <v>0</v>
      </c>
      <c r="AI27" s="8">
        <f>VLOOKUP(F27,'[1]Sheet 2'!$B:$W,18,0)/VLOOKUP(F27,'[1]Sheet 2'!$B:$W,20,0)</f>
        <v>1272.8331439234109</v>
      </c>
      <c r="AJ27" s="8">
        <f t="shared" si="16"/>
        <v>-0.30287489141988894</v>
      </c>
      <c r="AK27" s="3">
        <v>44</v>
      </c>
      <c r="AL27" s="4" t="s">
        <v>37</v>
      </c>
      <c r="AM27" s="3">
        <v>0.66666666666669983</v>
      </c>
      <c r="AN27" s="3"/>
      <c r="AO27" s="3">
        <v>44</v>
      </c>
      <c r="AP27" s="4" t="s">
        <v>37</v>
      </c>
      <c r="AQ27" s="3">
        <v>0.66666666666669983</v>
      </c>
      <c r="AR27" s="3"/>
      <c r="AS27" s="8">
        <f t="shared" si="17"/>
        <v>0</v>
      </c>
      <c r="AT27" s="8">
        <f>VLOOKUP(F27,'[2]Sheet 2'!$B:$T,18,0)/VLOOKUP(F27,'[2]Sheet 2'!$B:$U,20,0)</f>
        <v>56.302179622491693</v>
      </c>
      <c r="AU27" s="8">
        <f t="shared" si="18"/>
        <v>-0.21850272413924801</v>
      </c>
      <c r="AV27" s="57">
        <v>45.680751173708899</v>
      </c>
      <c r="AW27" s="4" t="s">
        <v>38</v>
      </c>
      <c r="AX27" s="3">
        <v>1.9718309859155028</v>
      </c>
      <c r="AY27" s="3"/>
      <c r="AZ27" s="3">
        <v>45.680751173708899</v>
      </c>
      <c r="BA27" s="4" t="s">
        <v>38</v>
      </c>
      <c r="BB27" s="3">
        <v>1.9718309859155028</v>
      </c>
      <c r="BC27" s="3"/>
      <c r="BD27" s="8">
        <f t="shared" si="19"/>
        <v>0</v>
      </c>
      <c r="BE27" s="8">
        <f>VLOOKUP(F27,'[3]Sheet 2'!$B:$T,18,0)/VLOOKUP(F27,'[3]Sheet 2'!$B:$U,20,0)</f>
        <v>56.956060564210404</v>
      </c>
      <c r="BF27" s="8">
        <f t="shared" si="20"/>
        <v>-0.19796505023008198</v>
      </c>
      <c r="BG27" s="3">
        <v>440.19138755980902</v>
      </c>
      <c r="BH27" s="3" t="s">
        <v>52</v>
      </c>
      <c r="BI27" s="3">
        <v>7.6555023923439762</v>
      </c>
      <c r="BJ27" s="3"/>
      <c r="BK27" s="3">
        <v>440.19138755980902</v>
      </c>
      <c r="BL27" s="3" t="s">
        <v>52</v>
      </c>
      <c r="BM27" s="3">
        <v>7.6555023923439762</v>
      </c>
      <c r="BN27" s="3"/>
      <c r="BO27" s="8">
        <f t="shared" si="21"/>
        <v>0</v>
      </c>
      <c r="BP27" s="8">
        <f>VLOOKUP(F27,'[4]Sheet 2'!$B:$T,18,0)/VLOOKUP(F27,'[4]Sheet 2'!$B:$U,20,0)</f>
        <v>408.14966177594619</v>
      </c>
      <c r="BQ27" s="8">
        <f t="shared" si="22"/>
        <v>7.8504844630870083E-2</v>
      </c>
      <c r="BR27" s="3">
        <f t="shared" si="5"/>
        <v>20166.45326504482</v>
      </c>
      <c r="BS27" s="4" t="s">
        <v>213</v>
      </c>
      <c r="BT27" s="3"/>
      <c r="BU27" s="3"/>
      <c r="BV27" s="3">
        <f t="shared" si="6"/>
        <v>20166.45326504482</v>
      </c>
      <c r="BW27" s="4" t="s">
        <v>213</v>
      </c>
      <c r="BX27" s="3"/>
      <c r="BY27" s="3"/>
      <c r="BZ27" s="8">
        <f t="shared" si="23"/>
        <v>0</v>
      </c>
      <c r="CA27" s="8">
        <f>VLOOKUP(F27,'[5]Sheet 2'!$B:$T,18,0)/VLOOKUP(F27,'[5]Sheet 2'!$B:$U,20,0)</f>
        <v>22477.934177153027</v>
      </c>
      <c r="CB27" s="8">
        <f t="shared" si="24"/>
        <v>-0.10283333396614523</v>
      </c>
      <c r="CC27" s="25">
        <f t="shared" si="28"/>
        <v>32.583333333333336</v>
      </c>
      <c r="CD27" s="25">
        <f t="shared" si="29"/>
        <v>119.7</v>
      </c>
      <c r="CE27" s="20">
        <v>39401</v>
      </c>
      <c r="CF27" s="20">
        <v>39603</v>
      </c>
      <c r="CG27" s="20">
        <v>39512</v>
      </c>
      <c r="CH27" s="20">
        <v>39594</v>
      </c>
      <c r="CI27" s="21">
        <f t="shared" si="9"/>
        <v>-46</v>
      </c>
      <c r="CJ27" s="21">
        <f t="shared" si="10"/>
        <v>156</v>
      </c>
      <c r="CK27" s="30">
        <f t="shared" si="11"/>
        <v>203</v>
      </c>
      <c r="CL27" s="21">
        <f t="shared" si="12"/>
        <v>65</v>
      </c>
      <c r="CM27" s="21">
        <f t="shared" si="13"/>
        <v>147</v>
      </c>
      <c r="CN27" s="19">
        <f t="shared" si="14"/>
        <v>83</v>
      </c>
      <c r="CP27" s="29">
        <v>39567</v>
      </c>
      <c r="CQ27" s="19">
        <f t="shared" si="30"/>
        <v>37</v>
      </c>
      <c r="CR27" s="19" t="s">
        <v>250</v>
      </c>
    </row>
    <row r="28" spans="1:96" s="19" customFormat="1" hidden="1" x14ac:dyDescent="0.3">
      <c r="A28" s="3">
        <v>1</v>
      </c>
      <c r="B28" s="3"/>
      <c r="C28" s="4">
        <v>52</v>
      </c>
      <c r="D28" s="4" t="s">
        <v>44</v>
      </c>
      <c r="E28" s="9" t="s">
        <v>45</v>
      </c>
      <c r="F28" s="6" t="str">
        <f t="shared" si="0"/>
        <v>2011-133Y162008FACE</v>
      </c>
      <c r="G28" s="4" t="s">
        <v>46</v>
      </c>
      <c r="H28" s="4" t="s">
        <v>31</v>
      </c>
      <c r="I28" s="4" t="s">
        <v>31</v>
      </c>
      <c r="J28" s="4" t="s">
        <v>32</v>
      </c>
      <c r="K28" s="4" t="s">
        <v>55</v>
      </c>
      <c r="L28" s="4">
        <v>2008</v>
      </c>
      <c r="M28" s="4" t="s">
        <v>48</v>
      </c>
      <c r="N28" s="4" t="s">
        <v>49</v>
      </c>
      <c r="O28" s="4" t="s">
        <v>54</v>
      </c>
      <c r="P28" s="4"/>
      <c r="Q28" s="3">
        <f>(7*S28+5*0.976*S27)/12*U28*12/1000+S27/1.01*(90-U28)*12/1000</f>
        <v>55.274019801980202</v>
      </c>
      <c r="R28" s="4">
        <v>16.742999999999999</v>
      </c>
      <c r="S28" s="4">
        <v>57.6</v>
      </c>
      <c r="T28" s="4">
        <v>7</v>
      </c>
      <c r="U28" s="4">
        <v>75</v>
      </c>
      <c r="V28" s="3">
        <v>3</v>
      </c>
      <c r="W28" s="3">
        <f t="shared" si="2"/>
        <v>16.742999999999999</v>
      </c>
      <c r="X28" s="3" t="s">
        <v>50</v>
      </c>
      <c r="Y28" s="3"/>
      <c r="Z28" s="3">
        <v>736.15023474178395</v>
      </c>
      <c r="AA28" s="3" t="s">
        <v>51</v>
      </c>
      <c r="AB28" s="3">
        <v>26.29107981220702</v>
      </c>
      <c r="AC28" s="3"/>
      <c r="AD28" s="3">
        <v>887.32394366197195</v>
      </c>
      <c r="AE28" s="3" t="s">
        <v>51</v>
      </c>
      <c r="AF28" s="3">
        <v>52.582159624413038</v>
      </c>
      <c r="AG28" s="3"/>
      <c r="AH28" s="8">
        <f t="shared" si="15"/>
        <v>-0.17037037037037059</v>
      </c>
      <c r="AI28" s="8">
        <f>VLOOKUP(F28,'[1]Sheet 2'!$B:$W,18,0)/VLOOKUP(F28,'[1]Sheet 2'!$B:$W,20,0)</f>
        <v>1272.8331439234109</v>
      </c>
      <c r="AJ28" s="8">
        <f t="shared" si="16"/>
        <v>-0.42164435436316727</v>
      </c>
      <c r="AK28" s="3">
        <v>38</v>
      </c>
      <c r="AL28" s="4" t="s">
        <v>37</v>
      </c>
      <c r="AM28" s="3">
        <v>1.6666666666666998</v>
      </c>
      <c r="AN28" s="3"/>
      <c r="AO28" s="3">
        <v>44</v>
      </c>
      <c r="AP28" s="4" t="s">
        <v>37</v>
      </c>
      <c r="AQ28" s="3">
        <v>0.66666666666669983</v>
      </c>
      <c r="AR28" s="3"/>
      <c r="AS28" s="8">
        <f t="shared" si="17"/>
        <v>-0.13636363636363635</v>
      </c>
      <c r="AT28" s="8">
        <f>VLOOKUP(F28,'[2]Sheet 2'!$B:$T,18,0)/VLOOKUP(F28,'[2]Sheet 2'!$B:$U,20,0)</f>
        <v>56.302179622491693</v>
      </c>
      <c r="AU28" s="8">
        <f t="shared" si="18"/>
        <v>-0.325070534483896</v>
      </c>
      <c r="AV28" s="57">
        <v>44.366197183098599</v>
      </c>
      <c r="AW28" s="4" t="s">
        <v>38</v>
      </c>
      <c r="AX28" s="3">
        <v>1.6431924882628977</v>
      </c>
      <c r="AY28" s="3"/>
      <c r="AZ28" s="3">
        <v>45.680751173708899</v>
      </c>
      <c r="BA28" s="4" t="s">
        <v>38</v>
      </c>
      <c r="BB28" s="3">
        <v>1.9718309859155028</v>
      </c>
      <c r="BC28" s="3"/>
      <c r="BD28" s="8">
        <f t="shared" si="19"/>
        <v>-2.8776978417265568E-2</v>
      </c>
      <c r="BE28" s="8">
        <f>VLOOKUP(F28,'[3]Sheet 2'!$B:$T,18,0)/VLOOKUP(F28,'[3]Sheet 2'!$B:$U,20,0)</f>
        <v>56.956060564210404</v>
      </c>
      <c r="BF28" s="8">
        <f t="shared" si="20"/>
        <v>-0.22104519266950359</v>
      </c>
      <c r="BG28" s="3">
        <v>436.36363636363598</v>
      </c>
      <c r="BH28" s="3" t="s">
        <v>52</v>
      </c>
      <c r="BI28" s="3">
        <v>3.8277511961730397</v>
      </c>
      <c r="BJ28" s="3"/>
      <c r="BK28" s="3">
        <v>440.19138755980902</v>
      </c>
      <c r="BL28" s="3" t="s">
        <v>52</v>
      </c>
      <c r="BM28" s="3">
        <v>7.6555023923439762</v>
      </c>
      <c r="BN28" s="3"/>
      <c r="BO28" s="8">
        <f t="shared" si="21"/>
        <v>-8.6956521739148321E-3</v>
      </c>
      <c r="BP28" s="8">
        <f>VLOOKUP(F28,'[4]Sheet 2'!$B:$T,18,0)/VLOOKUP(F28,'[4]Sheet 2'!$B:$U,20,0)</f>
        <v>408.14966177594619</v>
      </c>
      <c r="BQ28" s="8">
        <f t="shared" si="22"/>
        <v>6.9126541634077984E-2</v>
      </c>
      <c r="BR28" s="3">
        <f t="shared" si="5"/>
        <v>19372.374598467999</v>
      </c>
      <c r="BS28" s="4" t="s">
        <v>213</v>
      </c>
      <c r="BT28" s="3"/>
      <c r="BU28" s="3"/>
      <c r="BV28" s="3">
        <f t="shared" si="6"/>
        <v>20166.45326504482</v>
      </c>
      <c r="BW28" s="4" t="s">
        <v>213</v>
      </c>
      <c r="BX28" s="3"/>
      <c r="BY28" s="3"/>
      <c r="BZ28" s="8">
        <f t="shared" si="23"/>
        <v>-3.9376218323587113E-2</v>
      </c>
      <c r="CA28" s="8">
        <f>VLOOKUP(F28,'[5]Sheet 2'!$B:$T,18,0)/VLOOKUP(F28,'[5]Sheet 2'!$B:$U,20,0)</f>
        <v>22477.934177153027</v>
      </c>
      <c r="CB28" s="8">
        <f t="shared" si="24"/>
        <v>-0.13816036448053906</v>
      </c>
      <c r="CC28" s="25">
        <f t="shared" si="28"/>
        <v>32.583333333333336</v>
      </c>
      <c r="CD28" s="25">
        <f t="shared" si="29"/>
        <v>119.7</v>
      </c>
      <c r="CE28" s="20">
        <v>39401</v>
      </c>
      <c r="CF28" s="20">
        <v>39603</v>
      </c>
      <c r="CG28" s="20">
        <v>39512</v>
      </c>
      <c r="CH28" s="20">
        <v>39594</v>
      </c>
      <c r="CI28" s="21">
        <f t="shared" si="9"/>
        <v>-46</v>
      </c>
      <c r="CJ28" s="21">
        <f t="shared" si="10"/>
        <v>156</v>
      </c>
      <c r="CK28" s="30">
        <f t="shared" si="11"/>
        <v>203</v>
      </c>
      <c r="CL28" s="21">
        <f t="shared" si="12"/>
        <v>65</v>
      </c>
      <c r="CM28" s="21">
        <f t="shared" si="13"/>
        <v>147</v>
      </c>
      <c r="CN28" s="19">
        <f t="shared" si="14"/>
        <v>83</v>
      </c>
      <c r="CP28" s="29">
        <v>39567</v>
      </c>
      <c r="CQ28" s="19">
        <f t="shared" si="30"/>
        <v>37</v>
      </c>
      <c r="CR28" s="19" t="s">
        <v>250</v>
      </c>
    </row>
    <row r="29" spans="1:96" s="42" customFormat="1" hidden="1" x14ac:dyDescent="0.3">
      <c r="A29" s="31">
        <v>1</v>
      </c>
      <c r="B29" s="31"/>
      <c r="C29" s="32">
        <v>52</v>
      </c>
      <c r="D29" s="32" t="s">
        <v>44</v>
      </c>
      <c r="E29" s="43" t="s">
        <v>45</v>
      </c>
      <c r="F29" s="34" t="str">
        <f t="shared" si="0"/>
        <v>2011-133Y192008FACE</v>
      </c>
      <c r="G29" s="32" t="s">
        <v>46</v>
      </c>
      <c r="H29" s="32" t="s">
        <v>31</v>
      </c>
      <c r="I29" s="32" t="s">
        <v>31</v>
      </c>
      <c r="J29" s="32" t="s">
        <v>32</v>
      </c>
      <c r="K29" s="32" t="s">
        <v>56</v>
      </c>
      <c r="L29" s="32">
        <v>2008</v>
      </c>
      <c r="M29" s="32" t="s">
        <v>48</v>
      </c>
      <c r="N29" s="32" t="s">
        <v>49</v>
      </c>
      <c r="O29" s="32" t="s">
        <v>40</v>
      </c>
      <c r="P29" s="32" t="s">
        <v>267</v>
      </c>
      <c r="Q29" s="32">
        <f>S29/1.01*1.08</f>
        <v>49.188118811881189</v>
      </c>
      <c r="R29" s="32">
        <v>9.1110000000000007</v>
      </c>
      <c r="S29" s="32">
        <v>46</v>
      </c>
      <c r="T29" s="32">
        <v>7</v>
      </c>
      <c r="U29" s="32">
        <v>75</v>
      </c>
      <c r="V29" s="31">
        <v>3</v>
      </c>
      <c r="W29" s="31">
        <f t="shared" si="2"/>
        <v>9.1110000000000007</v>
      </c>
      <c r="X29" s="31" t="s">
        <v>50</v>
      </c>
      <c r="Y29" s="31"/>
      <c r="Z29" s="31">
        <v>841.31455399060997</v>
      </c>
      <c r="AA29" s="31" t="s">
        <v>51</v>
      </c>
      <c r="AB29" s="31">
        <v>19.718309859155013</v>
      </c>
      <c r="AC29" s="31"/>
      <c r="AD29" s="31">
        <v>841.31455399060997</v>
      </c>
      <c r="AE29" s="31" t="s">
        <v>51</v>
      </c>
      <c r="AF29" s="31">
        <v>19.718309859155013</v>
      </c>
      <c r="AG29" s="31"/>
      <c r="AH29" s="8">
        <f t="shared" si="15"/>
        <v>0</v>
      </c>
      <c r="AI29" s="8">
        <f>VLOOKUP(F29,'[1]Sheet 2'!$B:$W,18,0)/VLOOKUP(F29,'[1]Sheet 2'!$B:$W,20,0)</f>
        <v>1085.1213131390168</v>
      </c>
      <c r="AJ29" s="8">
        <f t="shared" si="16"/>
        <v>-0.22468156896036595</v>
      </c>
      <c r="AK29" s="31">
        <v>41.3333333333333</v>
      </c>
      <c r="AL29" s="32" t="s">
        <v>37</v>
      </c>
      <c r="AM29" s="31">
        <v>2</v>
      </c>
      <c r="AN29" s="31"/>
      <c r="AO29" s="31">
        <v>41.3333333333333</v>
      </c>
      <c r="AP29" s="32" t="s">
        <v>37</v>
      </c>
      <c r="AQ29" s="31">
        <v>2</v>
      </c>
      <c r="AR29" s="31"/>
      <c r="AS29" s="8">
        <f t="shared" si="17"/>
        <v>0</v>
      </c>
      <c r="AT29" s="8">
        <f>VLOOKUP(F29,'[2]Sheet 2'!$B:$T,18,0)/VLOOKUP(F29,'[2]Sheet 2'!$B:$U,20,0)</f>
        <v>48.51203542770061</v>
      </c>
      <c r="AU29" s="8">
        <f t="shared" si="18"/>
        <v>-0.14797775502670901</v>
      </c>
      <c r="AV29" s="57">
        <v>41.7370892018779</v>
      </c>
      <c r="AW29" s="32" t="s">
        <v>38</v>
      </c>
      <c r="AX29" s="31">
        <v>2.3004694835681008</v>
      </c>
      <c r="AY29" s="31"/>
      <c r="AZ29" s="31">
        <v>41.7370892018779</v>
      </c>
      <c r="BA29" s="32" t="s">
        <v>38</v>
      </c>
      <c r="BB29" s="31">
        <v>2.3004694835681008</v>
      </c>
      <c r="BC29" s="31"/>
      <c r="BD29" s="8">
        <f t="shared" si="19"/>
        <v>0</v>
      </c>
      <c r="BE29" s="8">
        <f>VLOOKUP(F29,'[3]Sheet 2'!$B:$T,18,0)/VLOOKUP(F29,'[3]Sheet 2'!$B:$U,20,0)</f>
        <v>50.22228955974208</v>
      </c>
      <c r="BF29" s="8">
        <f t="shared" si="20"/>
        <v>-0.16895287794019392</v>
      </c>
      <c r="BG29" s="31">
        <v>489.95215311004802</v>
      </c>
      <c r="BH29" s="31" t="s">
        <v>52</v>
      </c>
      <c r="BI29" s="31">
        <v>38.277511961721984</v>
      </c>
      <c r="BJ29" s="31"/>
      <c r="BK29" s="31">
        <v>489.95215311004802</v>
      </c>
      <c r="BL29" s="31" t="s">
        <v>52</v>
      </c>
      <c r="BM29" s="31">
        <v>38.277511961721984</v>
      </c>
      <c r="BN29" s="31"/>
      <c r="BO29" s="8">
        <f t="shared" si="21"/>
        <v>0</v>
      </c>
      <c r="BP29" s="8">
        <f>VLOOKUP(F29,'[4]Sheet 2'!$B:$T,18,0)/VLOOKUP(F29,'[4]Sheet 2'!$B:$U,20,0)</f>
        <v>465.35572297390752</v>
      </c>
      <c r="BQ29" s="8">
        <f t="shared" si="22"/>
        <v>5.2855114747389964E-2</v>
      </c>
      <c r="BR29" s="31">
        <f t="shared" si="5"/>
        <v>20354.384370740579</v>
      </c>
      <c r="BS29" s="32" t="s">
        <v>213</v>
      </c>
      <c r="BT29" s="31"/>
      <c r="BU29" s="31"/>
      <c r="BV29" s="31">
        <f t="shared" si="6"/>
        <v>20354.384370740579</v>
      </c>
      <c r="BW29" s="32" t="s">
        <v>213</v>
      </c>
      <c r="BX29" s="31"/>
      <c r="BY29" s="31"/>
      <c r="BZ29" s="8">
        <f t="shared" si="23"/>
        <v>0</v>
      </c>
      <c r="CA29" s="8">
        <f>VLOOKUP(F29,'[5]Sheet 2'!$B:$T,18,0)/VLOOKUP(F29,'[5]Sheet 2'!$B:$U,20,0)</f>
        <v>22266.66428288355</v>
      </c>
      <c r="CB29" s="8">
        <f t="shared" si="24"/>
        <v>-8.588084357174891E-2</v>
      </c>
      <c r="CC29" s="45">
        <f t="shared" si="28"/>
        <v>32.583333333333336</v>
      </c>
      <c r="CD29" s="45">
        <f t="shared" si="29"/>
        <v>119.7</v>
      </c>
      <c r="CE29" s="38">
        <v>39401</v>
      </c>
      <c r="CF29" s="38">
        <v>39603</v>
      </c>
      <c r="CG29" s="38">
        <v>39512</v>
      </c>
      <c r="CH29" s="38">
        <v>39594</v>
      </c>
      <c r="CI29" s="40">
        <f t="shared" si="9"/>
        <v>-46</v>
      </c>
      <c r="CJ29" s="40">
        <f t="shared" si="10"/>
        <v>156</v>
      </c>
      <c r="CK29" s="41">
        <f t="shared" si="11"/>
        <v>203</v>
      </c>
      <c r="CL29" s="40">
        <f t="shared" si="12"/>
        <v>65</v>
      </c>
      <c r="CM29" s="40">
        <f t="shared" si="13"/>
        <v>147</v>
      </c>
      <c r="CN29" s="42">
        <f t="shared" si="14"/>
        <v>83</v>
      </c>
      <c r="CP29" s="47">
        <v>39567</v>
      </c>
      <c r="CQ29" s="42">
        <f t="shared" si="30"/>
        <v>37</v>
      </c>
      <c r="CR29" s="42" t="s">
        <v>250</v>
      </c>
    </row>
    <row r="30" spans="1:96" s="42" customFormat="1" hidden="1" x14ac:dyDescent="0.3">
      <c r="A30" s="31">
        <v>1</v>
      </c>
      <c r="B30" s="31"/>
      <c r="C30" s="32">
        <v>52</v>
      </c>
      <c r="D30" s="32" t="s">
        <v>44</v>
      </c>
      <c r="E30" s="43" t="s">
        <v>45</v>
      </c>
      <c r="F30" s="34" t="str">
        <f t="shared" si="0"/>
        <v>2011-133Y192008FACE</v>
      </c>
      <c r="G30" s="32" t="s">
        <v>46</v>
      </c>
      <c r="H30" s="32" t="s">
        <v>31</v>
      </c>
      <c r="I30" s="32" t="s">
        <v>31</v>
      </c>
      <c r="J30" s="32" t="s">
        <v>32</v>
      </c>
      <c r="K30" s="32" t="s">
        <v>56</v>
      </c>
      <c r="L30" s="32">
        <v>2008</v>
      </c>
      <c r="M30" s="32" t="s">
        <v>48</v>
      </c>
      <c r="N30" s="32" t="s">
        <v>49</v>
      </c>
      <c r="O30" s="32" t="s">
        <v>54</v>
      </c>
      <c r="P30" s="32"/>
      <c r="Q30" s="31">
        <f>(7*S30+5*0.976*S29)/12*U30*12/1000+S29/1.01*(90-U30)*12/1000</f>
        <v>55.274019801980202</v>
      </c>
      <c r="R30" s="32">
        <v>17.272200000000002</v>
      </c>
      <c r="S30" s="32">
        <v>57.6</v>
      </c>
      <c r="T30" s="32">
        <v>7</v>
      </c>
      <c r="U30" s="32">
        <v>75</v>
      </c>
      <c r="V30" s="31">
        <v>3</v>
      </c>
      <c r="W30" s="31">
        <f t="shared" si="2"/>
        <v>17.272200000000002</v>
      </c>
      <c r="X30" s="31" t="s">
        <v>50</v>
      </c>
      <c r="Y30" s="31"/>
      <c r="Z30" s="31">
        <v>545.53990610328594</v>
      </c>
      <c r="AA30" s="31" t="s">
        <v>51</v>
      </c>
      <c r="AB30" s="31">
        <v>46.00938967136203</v>
      </c>
      <c r="AC30" s="31"/>
      <c r="AD30" s="31">
        <v>841.31455399060997</v>
      </c>
      <c r="AE30" s="31" t="s">
        <v>51</v>
      </c>
      <c r="AF30" s="31">
        <v>19.718309859155013</v>
      </c>
      <c r="AG30" s="31"/>
      <c r="AH30" s="8">
        <f t="shared" si="15"/>
        <v>-0.35156250000000022</v>
      </c>
      <c r="AI30" s="8">
        <f>VLOOKUP(F30,'[1]Sheet 2'!$B:$W,18,0)/VLOOKUP(F30,'[1]Sheet 2'!$B:$W,20,0)</f>
        <v>1085.1213131390168</v>
      </c>
      <c r="AJ30" s="8">
        <f t="shared" si="16"/>
        <v>-0.49725445487273751</v>
      </c>
      <c r="AK30" s="31">
        <v>29.3333333333333</v>
      </c>
      <c r="AL30" s="32" t="s">
        <v>37</v>
      </c>
      <c r="AM30" s="31">
        <v>2.3333333333333997</v>
      </c>
      <c r="AN30" s="31"/>
      <c r="AO30" s="31">
        <v>41.3333333333333</v>
      </c>
      <c r="AP30" s="32" t="s">
        <v>37</v>
      </c>
      <c r="AQ30" s="31">
        <v>2</v>
      </c>
      <c r="AR30" s="31"/>
      <c r="AS30" s="8">
        <f t="shared" si="17"/>
        <v>-0.29032258064516153</v>
      </c>
      <c r="AT30" s="8">
        <f>VLOOKUP(F30,'[2]Sheet 2'!$B:$T,18,0)/VLOOKUP(F30,'[2]Sheet 2'!$B:$U,20,0)</f>
        <v>48.51203542770061</v>
      </c>
      <c r="AU30" s="8">
        <f t="shared" si="18"/>
        <v>-0.39533905195443886</v>
      </c>
      <c r="AV30" s="57">
        <v>37.136150234741798</v>
      </c>
      <c r="AW30" s="32" t="s">
        <v>38</v>
      </c>
      <c r="AX30" s="31">
        <v>0.65727699530520312</v>
      </c>
      <c r="AY30" s="31"/>
      <c r="AZ30" s="31">
        <v>41.7370892018779</v>
      </c>
      <c r="BA30" s="32" t="s">
        <v>38</v>
      </c>
      <c r="BB30" s="31">
        <v>2.3004694835681008</v>
      </c>
      <c r="BC30" s="31"/>
      <c r="BD30" s="8">
        <f t="shared" si="19"/>
        <v>-0.11023622047243987</v>
      </c>
      <c r="BE30" s="8">
        <f>VLOOKUP(F30,'[3]Sheet 2'!$B:$T,18,0)/VLOOKUP(F30,'[3]Sheet 2'!$B:$U,20,0)</f>
        <v>50.22228955974208</v>
      </c>
      <c r="BF30" s="8">
        <f t="shared" si="20"/>
        <v>-0.2605643717105654</v>
      </c>
      <c r="BG30" s="31">
        <v>512.91866028708102</v>
      </c>
      <c r="BH30" s="31" t="s">
        <v>52</v>
      </c>
      <c r="BI30" s="31">
        <v>42.105263157895024</v>
      </c>
      <c r="BJ30" s="31"/>
      <c r="BK30" s="31">
        <v>489.95215311004802</v>
      </c>
      <c r="BL30" s="31" t="s">
        <v>52</v>
      </c>
      <c r="BM30" s="31">
        <v>38.277511961721984</v>
      </c>
      <c r="BN30" s="31"/>
      <c r="BO30" s="8">
        <f t="shared" si="21"/>
        <v>4.6874999999998994E-2</v>
      </c>
      <c r="BP30" s="8">
        <f>VLOOKUP(F30,'[4]Sheet 2'!$B:$T,18,0)/VLOOKUP(F30,'[4]Sheet 2'!$B:$U,20,0)</f>
        <v>465.35572297390752</v>
      </c>
      <c r="BQ30" s="8">
        <f t="shared" si="22"/>
        <v>0.1022076982511728</v>
      </c>
      <c r="BR30" s="31">
        <f t="shared" si="5"/>
        <v>18597.951344430225</v>
      </c>
      <c r="BS30" s="32" t="s">
        <v>213</v>
      </c>
      <c r="BT30" s="31"/>
      <c r="BU30" s="31"/>
      <c r="BV30" s="31">
        <f t="shared" si="6"/>
        <v>20354.384370740579</v>
      </c>
      <c r="BW30" s="32" t="s">
        <v>213</v>
      </c>
      <c r="BX30" s="31"/>
      <c r="BY30" s="31"/>
      <c r="BZ30" s="8">
        <f t="shared" si="23"/>
        <v>-8.6292613636363605E-2</v>
      </c>
      <c r="CA30" s="8">
        <f>VLOOKUP(F30,'[5]Sheet 2'!$B:$T,18,0)/VLOOKUP(F30,'[5]Sheet 2'!$B:$U,20,0)</f>
        <v>22266.66428288355</v>
      </c>
      <c r="CB30" s="8">
        <f t="shared" si="24"/>
        <v>-0.1647625747550106</v>
      </c>
      <c r="CC30" s="45">
        <f t="shared" si="28"/>
        <v>32.583333333333336</v>
      </c>
      <c r="CD30" s="45">
        <f t="shared" si="29"/>
        <v>119.7</v>
      </c>
      <c r="CE30" s="38">
        <v>39401</v>
      </c>
      <c r="CF30" s="38">
        <v>39603</v>
      </c>
      <c r="CG30" s="38">
        <v>39512</v>
      </c>
      <c r="CH30" s="38">
        <v>39594</v>
      </c>
      <c r="CI30" s="40">
        <f t="shared" si="9"/>
        <v>-46</v>
      </c>
      <c r="CJ30" s="40">
        <f t="shared" si="10"/>
        <v>156</v>
      </c>
      <c r="CK30" s="41">
        <f t="shared" si="11"/>
        <v>203</v>
      </c>
      <c r="CL30" s="40">
        <f t="shared" si="12"/>
        <v>65</v>
      </c>
      <c r="CM30" s="40">
        <f t="shared" si="13"/>
        <v>147</v>
      </c>
      <c r="CN30" s="42">
        <f t="shared" si="14"/>
        <v>83</v>
      </c>
      <c r="CP30" s="47">
        <v>39567</v>
      </c>
      <c r="CQ30" s="42">
        <f t="shared" si="30"/>
        <v>37</v>
      </c>
      <c r="CR30" s="42" t="s">
        <v>250</v>
      </c>
    </row>
    <row r="31" spans="1:96" s="19" customFormat="1" hidden="1" x14ac:dyDescent="0.3">
      <c r="A31" s="3">
        <v>1</v>
      </c>
      <c r="B31" s="3"/>
      <c r="C31" s="4">
        <v>52</v>
      </c>
      <c r="D31" s="4" t="s">
        <v>44</v>
      </c>
      <c r="E31" s="9" t="s">
        <v>45</v>
      </c>
      <c r="F31" s="6" t="str">
        <f t="shared" si="0"/>
        <v>2011-133Y22008FACE</v>
      </c>
      <c r="G31" s="4" t="s">
        <v>46</v>
      </c>
      <c r="H31" s="4" t="s">
        <v>31</v>
      </c>
      <c r="I31" s="4" t="s">
        <v>31</v>
      </c>
      <c r="J31" s="4" t="s">
        <v>32</v>
      </c>
      <c r="K31" s="4" t="s">
        <v>57</v>
      </c>
      <c r="L31" s="4">
        <v>2008</v>
      </c>
      <c r="M31" s="4" t="s">
        <v>48</v>
      </c>
      <c r="N31" s="4" t="s">
        <v>49</v>
      </c>
      <c r="O31" s="4" t="s">
        <v>40</v>
      </c>
      <c r="P31" s="32" t="s">
        <v>267</v>
      </c>
      <c r="Q31" s="4">
        <f>S31/1.01*1.08</f>
        <v>49.188118811881189</v>
      </c>
      <c r="R31" s="4">
        <v>8.4710000000000001</v>
      </c>
      <c r="S31" s="4">
        <v>46</v>
      </c>
      <c r="T31" s="4">
        <v>7</v>
      </c>
      <c r="U31" s="4">
        <v>75</v>
      </c>
      <c r="V31" s="3">
        <v>3</v>
      </c>
      <c r="W31" s="3">
        <f t="shared" si="2"/>
        <v>8.4710000000000001</v>
      </c>
      <c r="X31" s="3" t="s">
        <v>50</v>
      </c>
      <c r="Y31" s="3"/>
      <c r="Z31" s="3">
        <v>874.178403755869</v>
      </c>
      <c r="AA31" s="3" t="s">
        <v>51</v>
      </c>
      <c r="AB31" s="3">
        <v>46.009389671361035</v>
      </c>
      <c r="AC31" s="3"/>
      <c r="AD31" s="3">
        <v>874.178403755869</v>
      </c>
      <c r="AE31" s="3" t="s">
        <v>51</v>
      </c>
      <c r="AF31" s="3">
        <v>46.009389671361035</v>
      </c>
      <c r="AG31" s="3"/>
      <c r="AH31" s="8">
        <f t="shared" si="15"/>
        <v>0</v>
      </c>
      <c r="AI31" s="8">
        <f>VLOOKUP(F31,'[1]Sheet 2'!$B:$W,18,0)/VLOOKUP(F31,'[1]Sheet 2'!$B:$W,20,0)</f>
        <v>1199.7260457631519</v>
      </c>
      <c r="AJ31" s="8">
        <f t="shared" si="16"/>
        <v>-0.27135164995121897</v>
      </c>
      <c r="AK31" s="3">
        <v>43.6666666666667</v>
      </c>
      <c r="AL31" s="4" t="s">
        <v>37</v>
      </c>
      <c r="AM31" s="3">
        <v>0.66666666666660035</v>
      </c>
      <c r="AN31" s="3"/>
      <c r="AO31" s="3">
        <v>43.6666666666667</v>
      </c>
      <c r="AP31" s="4" t="s">
        <v>37</v>
      </c>
      <c r="AQ31" s="3">
        <v>0.66666666666660035</v>
      </c>
      <c r="AR31" s="3"/>
      <c r="AS31" s="8">
        <f t="shared" si="17"/>
        <v>0</v>
      </c>
      <c r="AT31" s="8">
        <f>VLOOKUP(F31,'[2]Sheet 2'!$B:$T,18,0)/VLOOKUP(F31,'[2]Sheet 2'!$B:$U,20,0)</f>
        <v>52.793706226842765</v>
      </c>
      <c r="AU31" s="8">
        <f t="shared" si="18"/>
        <v>-0.17288120521334902</v>
      </c>
      <c r="AV31" s="57">
        <v>41.408450704225402</v>
      </c>
      <c r="AW31" s="4" t="s">
        <v>38</v>
      </c>
      <c r="AX31" s="3">
        <v>1.9718309859153962</v>
      </c>
      <c r="AY31" s="3"/>
      <c r="AZ31" s="3">
        <v>41.408450704225402</v>
      </c>
      <c r="BA31" s="4" t="s">
        <v>38</v>
      </c>
      <c r="BB31" s="3">
        <v>1.9718309859153962</v>
      </c>
      <c r="BC31" s="3"/>
      <c r="BD31" s="8">
        <f t="shared" si="19"/>
        <v>0</v>
      </c>
      <c r="BE31" s="8">
        <f>VLOOKUP(F31,'[3]Sheet 2'!$B:$T,18,0)/VLOOKUP(F31,'[3]Sheet 2'!$B:$U,20,0)</f>
        <v>51.971083832259374</v>
      </c>
      <c r="BF31" s="8">
        <f t="shared" si="20"/>
        <v>-0.203240578205482</v>
      </c>
      <c r="BG31" s="3">
        <v>486.124401913876</v>
      </c>
      <c r="BH31" s="3" t="s">
        <v>52</v>
      </c>
      <c r="BI31" s="3">
        <v>11.483253588515993</v>
      </c>
      <c r="BJ31" s="3"/>
      <c r="BK31" s="3">
        <v>486.124401913876</v>
      </c>
      <c r="BL31" s="3" t="s">
        <v>52</v>
      </c>
      <c r="BM31" s="3">
        <v>11.483253588515993</v>
      </c>
      <c r="BN31" s="3"/>
      <c r="BO31" s="8">
        <f t="shared" si="21"/>
        <v>0</v>
      </c>
      <c r="BP31" s="8">
        <f>VLOOKUP(F31,'[4]Sheet 2'!$B:$T,18,0)/VLOOKUP(F31,'[4]Sheet 2'!$B:$U,20,0)</f>
        <v>452.71180152627687</v>
      </c>
      <c r="BQ31" s="8">
        <f t="shared" si="22"/>
        <v>7.3805454761620023E-2</v>
      </c>
      <c r="BR31" s="3">
        <f t="shared" si="5"/>
        <v>20019.352757767974</v>
      </c>
      <c r="BS31" s="4" t="s">
        <v>213</v>
      </c>
      <c r="BT31" s="3"/>
      <c r="BU31" s="3"/>
      <c r="BV31" s="3">
        <f t="shared" si="6"/>
        <v>20019.352757767974</v>
      </c>
      <c r="BW31" s="4" t="s">
        <v>213</v>
      </c>
      <c r="BX31" s="3"/>
      <c r="BY31" s="3"/>
      <c r="BZ31" s="8">
        <f t="shared" si="23"/>
        <v>0</v>
      </c>
      <c r="CA31" s="8">
        <f>VLOOKUP(F31,'[5]Sheet 2'!$B:$T,18,0)/VLOOKUP(F31,'[5]Sheet 2'!$B:$U,20,0)</f>
        <v>22594.881264477106</v>
      </c>
      <c r="CB31" s="8">
        <f t="shared" si="24"/>
        <v>-0.11398725563379211</v>
      </c>
      <c r="CC31" s="25">
        <f t="shared" si="28"/>
        <v>32.583333333333336</v>
      </c>
      <c r="CD31" s="25">
        <f t="shared" si="29"/>
        <v>119.7</v>
      </c>
      <c r="CE31" s="20">
        <v>39401</v>
      </c>
      <c r="CF31" s="20">
        <v>39603</v>
      </c>
      <c r="CG31" s="20">
        <v>39512</v>
      </c>
      <c r="CH31" s="20">
        <v>39594</v>
      </c>
      <c r="CI31" s="21">
        <f t="shared" si="9"/>
        <v>-46</v>
      </c>
      <c r="CJ31" s="21">
        <f t="shared" si="10"/>
        <v>156</v>
      </c>
      <c r="CK31" s="30">
        <f t="shared" si="11"/>
        <v>203</v>
      </c>
      <c r="CL31" s="21">
        <f t="shared" si="12"/>
        <v>65</v>
      </c>
      <c r="CM31" s="21">
        <f t="shared" si="13"/>
        <v>147</v>
      </c>
      <c r="CN31" s="19">
        <f t="shared" si="14"/>
        <v>83</v>
      </c>
      <c r="CP31" s="29">
        <v>39567</v>
      </c>
      <c r="CQ31" s="19">
        <f t="shared" si="30"/>
        <v>37</v>
      </c>
      <c r="CR31" s="19" t="s">
        <v>250</v>
      </c>
    </row>
    <row r="32" spans="1:96" s="19" customFormat="1" hidden="1" x14ac:dyDescent="0.3">
      <c r="A32" s="3">
        <v>1</v>
      </c>
      <c r="B32" s="3"/>
      <c r="C32" s="4">
        <v>52</v>
      </c>
      <c r="D32" s="4" t="s">
        <v>44</v>
      </c>
      <c r="E32" s="9" t="s">
        <v>45</v>
      </c>
      <c r="F32" s="6" t="str">
        <f t="shared" si="0"/>
        <v>2011-133Y22008FACE</v>
      </c>
      <c r="G32" s="4" t="s">
        <v>46</v>
      </c>
      <c r="H32" s="4" t="s">
        <v>31</v>
      </c>
      <c r="I32" s="4" t="s">
        <v>31</v>
      </c>
      <c r="J32" s="4" t="s">
        <v>32</v>
      </c>
      <c r="K32" s="4" t="s">
        <v>57</v>
      </c>
      <c r="L32" s="4">
        <v>2008</v>
      </c>
      <c r="M32" s="4" t="s">
        <v>48</v>
      </c>
      <c r="N32" s="4" t="s">
        <v>49</v>
      </c>
      <c r="O32" s="4" t="s">
        <v>54</v>
      </c>
      <c r="P32" s="4"/>
      <c r="Q32" s="3">
        <f>(7*S32+5*0.976*S31)/12*U32*12/1000+S31/1.01*(90-U32)*12/1000</f>
        <v>55.274019801980202</v>
      </c>
      <c r="R32" s="4">
        <v>16.742999999999999</v>
      </c>
      <c r="S32" s="4">
        <v>57.6</v>
      </c>
      <c r="T32" s="4">
        <v>7</v>
      </c>
      <c r="U32" s="4">
        <v>75</v>
      </c>
      <c r="V32" s="3">
        <v>3</v>
      </c>
      <c r="W32" s="3">
        <f t="shared" si="2"/>
        <v>16.742999999999999</v>
      </c>
      <c r="X32" s="3" t="s">
        <v>50</v>
      </c>
      <c r="Y32" s="3"/>
      <c r="Z32" s="3">
        <v>663.84976525821605</v>
      </c>
      <c r="AA32" s="3" t="s">
        <v>51</v>
      </c>
      <c r="AB32" s="3">
        <v>72.300469483567937</v>
      </c>
      <c r="AC32" s="3"/>
      <c r="AD32" s="3">
        <v>874.178403755869</v>
      </c>
      <c r="AE32" s="3" t="s">
        <v>51</v>
      </c>
      <c r="AF32" s="3">
        <v>46.009389671361035</v>
      </c>
      <c r="AG32" s="3"/>
      <c r="AH32" s="8">
        <f t="shared" si="15"/>
        <v>-0.24060150375939879</v>
      </c>
      <c r="AI32" s="8">
        <f>VLOOKUP(F32,'[1]Sheet 2'!$B:$W,18,0)/VLOOKUP(F32,'[1]Sheet 2'!$B:$W,20,0)</f>
        <v>1199.7260457631519</v>
      </c>
      <c r="AJ32" s="8">
        <f t="shared" si="16"/>
        <v>-0.4466655386847605</v>
      </c>
      <c r="AK32" s="3">
        <v>33.6666666666667</v>
      </c>
      <c r="AL32" s="4" t="s">
        <v>37</v>
      </c>
      <c r="AM32" s="3">
        <v>5</v>
      </c>
      <c r="AN32" s="3"/>
      <c r="AO32" s="3">
        <v>43.6666666666667</v>
      </c>
      <c r="AP32" s="4" t="s">
        <v>37</v>
      </c>
      <c r="AQ32" s="3">
        <v>0.66666666666660035</v>
      </c>
      <c r="AR32" s="3"/>
      <c r="AS32" s="8">
        <f t="shared" si="17"/>
        <v>-0.22900763358778609</v>
      </c>
      <c r="AT32" s="8">
        <f>VLOOKUP(F32,'[2]Sheet 2'!$B:$T,18,0)/VLOOKUP(F32,'[2]Sheet 2'!$B:$U,20,0)</f>
        <v>52.793706226842765</v>
      </c>
      <c r="AU32" s="8">
        <f t="shared" si="18"/>
        <v>-0.36229772310342162</v>
      </c>
      <c r="AV32" s="57">
        <v>40.751173708920199</v>
      </c>
      <c r="AW32" s="4" t="s">
        <v>38</v>
      </c>
      <c r="AX32" s="3">
        <v>0.98591549295770164</v>
      </c>
      <c r="AY32" s="3"/>
      <c r="AZ32" s="3">
        <v>41.408450704225402</v>
      </c>
      <c r="BA32" s="4" t="s">
        <v>38</v>
      </c>
      <c r="BB32" s="3">
        <v>1.9718309859153962</v>
      </c>
      <c r="BC32" s="3"/>
      <c r="BD32" s="8">
        <f t="shared" si="19"/>
        <v>-1.5873015873016792E-2</v>
      </c>
      <c r="BE32" s="8">
        <f>VLOOKUP(F32,'[3]Sheet 2'!$B:$T,18,0)/VLOOKUP(F32,'[3]Sheet 2'!$B:$U,20,0)</f>
        <v>51.971083832259374</v>
      </c>
      <c r="BF32" s="8">
        <f t="shared" si="20"/>
        <v>-0.21588755315460206</v>
      </c>
      <c r="BG32" s="3">
        <v>486.124401913876</v>
      </c>
      <c r="BH32" s="3" t="s">
        <v>52</v>
      </c>
      <c r="BI32" s="3">
        <v>19.138755980860992</v>
      </c>
      <c r="BJ32" s="3"/>
      <c r="BK32" s="3">
        <v>486.124401913876</v>
      </c>
      <c r="BL32" s="3" t="s">
        <v>52</v>
      </c>
      <c r="BM32" s="3">
        <v>11.483253588515993</v>
      </c>
      <c r="BN32" s="3"/>
      <c r="BO32" s="8">
        <f t="shared" si="21"/>
        <v>0</v>
      </c>
      <c r="BP32" s="8">
        <f>VLOOKUP(F32,'[4]Sheet 2'!$B:$T,18,0)/VLOOKUP(F32,'[4]Sheet 2'!$B:$U,20,0)</f>
        <v>452.71180152627687</v>
      </c>
      <c r="BQ32" s="8">
        <f t="shared" si="22"/>
        <v>7.3805454761620023E-2</v>
      </c>
      <c r="BR32" s="3">
        <f t="shared" si="5"/>
        <v>19718.309859154913</v>
      </c>
      <c r="BS32" s="4" t="s">
        <v>213</v>
      </c>
      <c r="BT32" s="3"/>
      <c r="BU32" s="3"/>
      <c r="BV32" s="3">
        <f t="shared" si="6"/>
        <v>20019.352757767974</v>
      </c>
      <c r="BW32" s="4" t="s">
        <v>213</v>
      </c>
      <c r="BX32" s="3"/>
      <c r="BY32" s="3"/>
      <c r="BZ32" s="8">
        <f t="shared" si="23"/>
        <v>-1.5037593984962842E-2</v>
      </c>
      <c r="CA32" s="8">
        <f>VLOOKUP(F32,'[5]Sheet 2'!$B:$T,18,0)/VLOOKUP(F32,'[5]Sheet 2'!$B:$U,20,0)</f>
        <v>22594.881264477106</v>
      </c>
      <c r="CB32" s="8">
        <f t="shared" si="24"/>
        <v>-0.12731075554907381</v>
      </c>
      <c r="CC32" s="25">
        <f t="shared" si="28"/>
        <v>32.583333333333336</v>
      </c>
      <c r="CD32" s="25">
        <f t="shared" si="29"/>
        <v>119.7</v>
      </c>
      <c r="CE32" s="20">
        <v>39401</v>
      </c>
      <c r="CF32" s="20">
        <v>39603</v>
      </c>
      <c r="CG32" s="20">
        <v>39512</v>
      </c>
      <c r="CH32" s="20">
        <v>39594</v>
      </c>
      <c r="CI32" s="21">
        <f t="shared" si="9"/>
        <v>-46</v>
      </c>
      <c r="CJ32" s="21">
        <f t="shared" si="10"/>
        <v>156</v>
      </c>
      <c r="CK32" s="30">
        <f t="shared" si="11"/>
        <v>203</v>
      </c>
      <c r="CL32" s="21">
        <f t="shared" si="12"/>
        <v>65</v>
      </c>
      <c r="CM32" s="21">
        <f t="shared" si="13"/>
        <v>147</v>
      </c>
      <c r="CN32" s="19">
        <f t="shared" si="14"/>
        <v>83</v>
      </c>
      <c r="CP32" s="29">
        <v>39567</v>
      </c>
      <c r="CQ32" s="19">
        <f t="shared" si="30"/>
        <v>37</v>
      </c>
      <c r="CR32" s="19" t="s">
        <v>250</v>
      </c>
    </row>
    <row r="33" spans="1:92" s="42" customFormat="1" hidden="1" x14ac:dyDescent="0.3">
      <c r="A33" s="31">
        <v>1</v>
      </c>
      <c r="B33" s="31"/>
      <c r="C33" s="32">
        <v>52</v>
      </c>
      <c r="D33" s="32" t="s">
        <v>44</v>
      </c>
      <c r="E33" s="43" t="s">
        <v>45</v>
      </c>
      <c r="F33" s="34" t="str">
        <f t="shared" si="0"/>
        <v>2011-133Y152009FACE</v>
      </c>
      <c r="G33" s="32" t="s">
        <v>46</v>
      </c>
      <c r="H33" s="32" t="s">
        <v>31</v>
      </c>
      <c r="I33" s="32" t="s">
        <v>31</v>
      </c>
      <c r="J33" s="32" t="s">
        <v>32</v>
      </c>
      <c r="K33" s="32" t="s">
        <v>47</v>
      </c>
      <c r="L33" s="32">
        <v>2009</v>
      </c>
      <c r="M33" s="32" t="s">
        <v>48</v>
      </c>
      <c r="N33" s="32" t="s">
        <v>49</v>
      </c>
      <c r="O33" s="32" t="s">
        <v>40</v>
      </c>
      <c r="P33" s="32" t="s">
        <v>267</v>
      </c>
      <c r="Q33" s="32">
        <f>S33/1.01*1.08</f>
        <v>47.691089108910894</v>
      </c>
      <c r="R33" s="32">
        <v>6.6849999999999996</v>
      </c>
      <c r="S33" s="32">
        <v>44.6</v>
      </c>
      <c r="T33" s="32">
        <v>7</v>
      </c>
      <c r="U33" s="32">
        <v>75</v>
      </c>
      <c r="V33" s="31">
        <v>3</v>
      </c>
      <c r="W33" s="31">
        <f t="shared" si="2"/>
        <v>6.6849999999999996</v>
      </c>
      <c r="X33" s="31" t="s">
        <v>50</v>
      </c>
      <c r="Y33" s="31"/>
      <c r="Z33" s="31">
        <v>644.131455399061</v>
      </c>
      <c r="AA33" s="31" t="s">
        <v>51</v>
      </c>
      <c r="AB33" s="31">
        <v>26.291079812206021</v>
      </c>
      <c r="AC33" s="31"/>
      <c r="AD33" s="31">
        <v>644.131455399061</v>
      </c>
      <c r="AE33" s="31" t="s">
        <v>51</v>
      </c>
      <c r="AF33" s="31">
        <v>26.291079812206021</v>
      </c>
      <c r="AG33" s="31"/>
      <c r="AH33" s="8">
        <f t="shared" si="15"/>
        <v>0</v>
      </c>
      <c r="AI33" s="8">
        <f>VLOOKUP(F33,'[1]Sheet 2'!$B:$W,18,0)/VLOOKUP(F33,'[1]Sheet 2'!$B:$W,20,0)</f>
        <v>894.81961049463189</v>
      </c>
      <c r="AJ33" s="8">
        <f t="shared" si="16"/>
        <v>-0.28015496325231104</v>
      </c>
      <c r="AK33" s="31">
        <v>43.6666666666667</v>
      </c>
      <c r="AL33" s="32" t="s">
        <v>37</v>
      </c>
      <c r="AM33" s="31">
        <v>0.66666666666660035</v>
      </c>
      <c r="AN33" s="31"/>
      <c r="AO33" s="31">
        <v>43.6666666666667</v>
      </c>
      <c r="AP33" s="32" t="s">
        <v>37</v>
      </c>
      <c r="AQ33" s="31">
        <v>0.66666666666660035</v>
      </c>
      <c r="AR33" s="31"/>
      <c r="AS33" s="8">
        <f t="shared" si="17"/>
        <v>0</v>
      </c>
      <c r="AT33" s="8">
        <f>VLOOKUP(F33,'[2]Sheet 2'!$B:$T,18,0)/VLOOKUP(F33,'[2]Sheet 2'!$B:$U,20,0)</f>
        <v>53.523224715088652</v>
      </c>
      <c r="AU33" s="8">
        <f t="shared" si="18"/>
        <v>-0.184154787027309</v>
      </c>
      <c r="AV33" s="57">
        <v>37.641509433962298</v>
      </c>
      <c r="AW33" s="32" t="s">
        <v>38</v>
      </c>
      <c r="AX33" s="31">
        <v>0.99056603773580321</v>
      </c>
      <c r="AY33" s="31"/>
      <c r="AZ33" s="31">
        <v>37.641509433962298</v>
      </c>
      <c r="BA33" s="32" t="s">
        <v>38</v>
      </c>
      <c r="BB33" s="31">
        <v>0.99056603773580321</v>
      </c>
      <c r="BC33" s="31"/>
      <c r="BD33" s="8">
        <f t="shared" si="19"/>
        <v>0</v>
      </c>
      <c r="BE33" s="8">
        <f>VLOOKUP(F33,'[3]Sheet 2'!$B:$T,18,0)/VLOOKUP(F33,'[3]Sheet 2'!$B:$U,20,0)</f>
        <v>46.363630181679333</v>
      </c>
      <c r="BF33" s="8">
        <f t="shared" si="20"/>
        <v>-0.18812419807376507</v>
      </c>
      <c r="BG33" s="31">
        <v>432.53588516746402</v>
      </c>
      <c r="BH33" s="31" t="s">
        <v>52</v>
      </c>
      <c r="BI33" s="31">
        <v>15.311004784688976</v>
      </c>
      <c r="BJ33" s="31"/>
      <c r="BK33" s="31">
        <v>432.53588516746402</v>
      </c>
      <c r="BL33" s="31" t="s">
        <v>52</v>
      </c>
      <c r="BM33" s="31">
        <v>15.311004784688976</v>
      </c>
      <c r="BN33" s="31"/>
      <c r="BO33" s="8">
        <f t="shared" si="21"/>
        <v>0</v>
      </c>
      <c r="BP33" s="8">
        <f>VLOOKUP(F33,'[4]Sheet 2'!$B:$T,18,0)/VLOOKUP(F33,'[4]Sheet 2'!$B:$U,20,0)</f>
        <v>405.14525178076167</v>
      </c>
      <c r="BQ33" s="8">
        <f t="shared" si="22"/>
        <v>6.7606946561290029E-2</v>
      </c>
      <c r="BR33" s="31">
        <f t="shared" si="5"/>
        <v>14751.102032039553</v>
      </c>
      <c r="BS33" s="32" t="s">
        <v>213</v>
      </c>
      <c r="BT33" s="31"/>
      <c r="BU33" s="31"/>
      <c r="BV33" s="31">
        <f t="shared" si="6"/>
        <v>14751.102032039553</v>
      </c>
      <c r="BW33" s="32" t="s">
        <v>213</v>
      </c>
      <c r="BX33" s="31"/>
      <c r="BY33" s="31"/>
      <c r="BZ33" s="8">
        <f t="shared" si="23"/>
        <v>0</v>
      </c>
      <c r="CA33" s="8">
        <f>VLOOKUP(F33,'[5]Sheet 2'!$B:$T,18,0)/VLOOKUP(F33,'[5]Sheet 2'!$B:$U,20,0)</f>
        <v>16562.397107868666</v>
      </c>
      <c r="CB33" s="8">
        <f t="shared" si="24"/>
        <v>-0.10936189152043585</v>
      </c>
      <c r="CC33" s="45">
        <f t="shared" si="28"/>
        <v>32.583333333333336</v>
      </c>
      <c r="CD33" s="45">
        <f t="shared" si="29"/>
        <v>119.7</v>
      </c>
      <c r="CE33" s="38">
        <v>39771</v>
      </c>
      <c r="CF33" s="38">
        <v>39966</v>
      </c>
      <c r="CG33" s="38">
        <v>39873</v>
      </c>
      <c r="CH33" s="38">
        <v>39957</v>
      </c>
      <c r="CI33" s="40">
        <f t="shared" si="9"/>
        <v>-42</v>
      </c>
      <c r="CJ33" s="40">
        <f t="shared" si="10"/>
        <v>153</v>
      </c>
      <c r="CK33" s="41">
        <f t="shared" si="11"/>
        <v>196</v>
      </c>
      <c r="CL33" s="40">
        <f t="shared" si="12"/>
        <v>60</v>
      </c>
      <c r="CM33" s="40">
        <f t="shared" si="13"/>
        <v>144</v>
      </c>
      <c r="CN33" s="42">
        <f t="shared" si="14"/>
        <v>85</v>
      </c>
    </row>
    <row r="34" spans="1:92" s="42" customFormat="1" hidden="1" x14ac:dyDescent="0.3">
      <c r="A34" s="31">
        <v>1</v>
      </c>
      <c r="B34" s="31"/>
      <c r="C34" s="32">
        <v>52</v>
      </c>
      <c r="D34" s="32" t="s">
        <v>44</v>
      </c>
      <c r="E34" s="43" t="s">
        <v>45</v>
      </c>
      <c r="F34" s="34" t="str">
        <f t="shared" si="0"/>
        <v>2011-133Y152009FACE</v>
      </c>
      <c r="G34" s="32" t="s">
        <v>46</v>
      </c>
      <c r="H34" s="32" t="s">
        <v>31</v>
      </c>
      <c r="I34" s="32" t="s">
        <v>31</v>
      </c>
      <c r="J34" s="32" t="s">
        <v>32</v>
      </c>
      <c r="K34" s="32" t="s">
        <v>47</v>
      </c>
      <c r="L34" s="32">
        <v>2009</v>
      </c>
      <c r="M34" s="32" t="s">
        <v>48</v>
      </c>
      <c r="N34" s="32" t="s">
        <v>49</v>
      </c>
      <c r="O34" s="32" t="s">
        <v>54</v>
      </c>
      <c r="P34" s="32"/>
      <c r="Q34" s="31">
        <f>(7*S34+5*0.976*S33)/12*U34*12/1000+S33/1.01*(90-U34)*12/1000</f>
        <v>54.354614851485145</v>
      </c>
      <c r="R34" s="32">
        <v>14.805400000000001</v>
      </c>
      <c r="S34" s="32">
        <v>57.3</v>
      </c>
      <c r="T34" s="32">
        <v>7</v>
      </c>
      <c r="U34" s="32">
        <v>75</v>
      </c>
      <c r="V34" s="31">
        <v>3</v>
      </c>
      <c r="W34" s="31">
        <f t="shared" ref="W34:W68" si="31">IF(U34&lt;=90,R34,R34/U34*90)</f>
        <v>14.805400000000001</v>
      </c>
      <c r="X34" s="31" t="s">
        <v>50</v>
      </c>
      <c r="Y34" s="31"/>
      <c r="Z34" s="31">
        <v>558.68544600938992</v>
      </c>
      <c r="AA34" s="31" t="s">
        <v>51</v>
      </c>
      <c r="AB34" s="31">
        <v>19.718309859155013</v>
      </c>
      <c r="AC34" s="31"/>
      <c r="AD34" s="31">
        <v>644.131455399061</v>
      </c>
      <c r="AE34" s="31" t="s">
        <v>51</v>
      </c>
      <c r="AF34" s="31">
        <v>26.291079812206021</v>
      </c>
      <c r="AG34" s="31"/>
      <c r="AH34" s="8">
        <f t="shared" si="15"/>
        <v>-0.13265306122448936</v>
      </c>
      <c r="AI34" s="8">
        <f>VLOOKUP(F34,'[1]Sheet 2'!$B:$W,18,0)/VLOOKUP(F34,'[1]Sheet 2'!$B:$W,20,0)</f>
        <v>894.81961049463189</v>
      </c>
      <c r="AJ34" s="8">
        <f t="shared" si="16"/>
        <v>-0.37564461098414703</v>
      </c>
      <c r="AK34" s="31">
        <v>37.3333333333333</v>
      </c>
      <c r="AL34" s="32" t="s">
        <v>37</v>
      </c>
      <c r="AM34" s="31">
        <v>2.6666666666666998</v>
      </c>
      <c r="AN34" s="31"/>
      <c r="AO34" s="31">
        <v>43.6666666666667</v>
      </c>
      <c r="AP34" s="32" t="s">
        <v>37</v>
      </c>
      <c r="AQ34" s="31">
        <v>0.66666666666660035</v>
      </c>
      <c r="AR34" s="31"/>
      <c r="AS34" s="8">
        <f t="shared" si="17"/>
        <v>-0.1450381679389327</v>
      </c>
      <c r="AT34" s="8">
        <f>VLOOKUP(F34,'[2]Sheet 2'!$B:$T,18,0)/VLOOKUP(F34,'[2]Sheet 2'!$B:$U,20,0)</f>
        <v>53.523224715088652</v>
      </c>
      <c r="AU34" s="8">
        <f t="shared" si="18"/>
        <v>-0.30248348203861647</v>
      </c>
      <c r="AV34" s="57">
        <v>37.641509433962298</v>
      </c>
      <c r="AW34" s="32" t="s">
        <v>38</v>
      </c>
      <c r="AX34" s="31">
        <v>0.99056603773580321</v>
      </c>
      <c r="AY34" s="31"/>
      <c r="AZ34" s="31">
        <v>37.641509433962298</v>
      </c>
      <c r="BA34" s="32" t="s">
        <v>38</v>
      </c>
      <c r="BB34" s="31">
        <v>0.99056603773580321</v>
      </c>
      <c r="BC34" s="31"/>
      <c r="BD34" s="8">
        <f t="shared" si="19"/>
        <v>0</v>
      </c>
      <c r="BE34" s="8">
        <f>VLOOKUP(F34,'[3]Sheet 2'!$B:$T,18,0)/VLOOKUP(F34,'[3]Sheet 2'!$B:$U,20,0)</f>
        <v>46.363630181679333</v>
      </c>
      <c r="BF34" s="8">
        <f t="shared" si="20"/>
        <v>-0.18812419807376507</v>
      </c>
      <c r="BG34" s="31">
        <v>428.708133971292</v>
      </c>
      <c r="BH34" s="31" t="s">
        <v>52</v>
      </c>
      <c r="BI34" s="31">
        <v>3.8277511961720165</v>
      </c>
      <c r="BJ34" s="31"/>
      <c r="BK34" s="31">
        <v>432.53588516746402</v>
      </c>
      <c r="BL34" s="31" t="s">
        <v>52</v>
      </c>
      <c r="BM34" s="31">
        <v>15.311004784688976</v>
      </c>
      <c r="BN34" s="31"/>
      <c r="BO34" s="8">
        <f t="shared" si="21"/>
        <v>-8.8495575221233594E-3</v>
      </c>
      <c r="BP34" s="8">
        <f>VLOOKUP(F34,'[4]Sheet 2'!$B:$T,18,0)/VLOOKUP(F34,'[4]Sheet 2'!$B:$U,20,0)</f>
        <v>405.14525178076167</v>
      </c>
      <c r="BQ34" s="8">
        <f t="shared" si="22"/>
        <v>5.8159097476677413E-2</v>
      </c>
      <c r="BR34" s="31">
        <f t="shared" si="5"/>
        <v>14964.788732394385</v>
      </c>
      <c r="BS34" s="32" t="s">
        <v>213</v>
      </c>
      <c r="BT34" s="31"/>
      <c r="BU34" s="31"/>
      <c r="BV34" s="31">
        <f t="shared" si="6"/>
        <v>14751.102032039553</v>
      </c>
      <c r="BW34" s="32" t="s">
        <v>213</v>
      </c>
      <c r="BX34" s="31"/>
      <c r="BY34" s="31"/>
      <c r="BZ34" s="8">
        <f t="shared" si="23"/>
        <v>1.4486151603500705E-2</v>
      </c>
      <c r="CA34" s="8">
        <f>VLOOKUP(F34,'[5]Sheet 2'!$B:$T,18,0)/VLOOKUP(F34,'[5]Sheet 2'!$B:$U,20,0)</f>
        <v>16562.397107868666</v>
      </c>
      <c r="CB34" s="8">
        <f t="shared" si="24"/>
        <v>-9.6459972857145776E-2</v>
      </c>
      <c r="CC34" s="45">
        <f t="shared" si="28"/>
        <v>32.583333333333336</v>
      </c>
      <c r="CD34" s="45">
        <f t="shared" si="29"/>
        <v>119.7</v>
      </c>
      <c r="CE34" s="38">
        <v>39771</v>
      </c>
      <c r="CF34" s="38">
        <v>39966</v>
      </c>
      <c r="CG34" s="38">
        <v>39873</v>
      </c>
      <c r="CH34" s="38">
        <v>39957</v>
      </c>
      <c r="CI34" s="40">
        <f t="shared" si="9"/>
        <v>-42</v>
      </c>
      <c r="CJ34" s="40">
        <f t="shared" si="10"/>
        <v>153</v>
      </c>
      <c r="CK34" s="41">
        <f t="shared" si="11"/>
        <v>196</v>
      </c>
      <c r="CL34" s="40">
        <f t="shared" si="12"/>
        <v>60</v>
      </c>
      <c r="CM34" s="40">
        <f t="shared" si="13"/>
        <v>144</v>
      </c>
      <c r="CN34" s="42">
        <f t="shared" si="14"/>
        <v>85</v>
      </c>
    </row>
    <row r="35" spans="1:92" s="19" customFormat="1" hidden="1" x14ac:dyDescent="0.3">
      <c r="A35" s="3">
        <v>1</v>
      </c>
      <c r="B35" s="3"/>
      <c r="C35" s="4">
        <v>52</v>
      </c>
      <c r="D35" s="4" t="s">
        <v>44</v>
      </c>
      <c r="E35" s="9" t="s">
        <v>45</v>
      </c>
      <c r="F35" s="6" t="str">
        <f t="shared" si="0"/>
        <v>2011-133Y162009FACE</v>
      </c>
      <c r="G35" s="4" t="s">
        <v>46</v>
      </c>
      <c r="H35" s="4" t="s">
        <v>31</v>
      </c>
      <c r="I35" s="4" t="s">
        <v>31</v>
      </c>
      <c r="J35" s="4" t="s">
        <v>32</v>
      </c>
      <c r="K35" s="4" t="s">
        <v>55</v>
      </c>
      <c r="L35" s="4">
        <v>2009</v>
      </c>
      <c r="M35" s="4" t="s">
        <v>48</v>
      </c>
      <c r="N35" s="4" t="s">
        <v>49</v>
      </c>
      <c r="O35" s="4" t="s">
        <v>40</v>
      </c>
      <c r="P35" s="32" t="s">
        <v>267</v>
      </c>
      <c r="Q35" s="4">
        <f>S35/1.01*1.08</f>
        <v>47.691089108910894</v>
      </c>
      <c r="R35" s="4">
        <v>6.9059999999999997</v>
      </c>
      <c r="S35" s="4">
        <v>44.6</v>
      </c>
      <c r="T35" s="4">
        <v>7</v>
      </c>
      <c r="U35" s="4">
        <v>75</v>
      </c>
      <c r="V35" s="3">
        <v>3</v>
      </c>
      <c r="W35" s="3">
        <f t="shared" si="31"/>
        <v>6.9059999999999997</v>
      </c>
      <c r="X35" s="3" t="s">
        <v>50</v>
      </c>
      <c r="Y35" s="3"/>
      <c r="Z35" s="3">
        <v>637.55868544600901</v>
      </c>
      <c r="AA35" s="3" t="s">
        <v>51</v>
      </c>
      <c r="AB35" s="3">
        <v>26.29107981220702</v>
      </c>
      <c r="AC35" s="3"/>
      <c r="AD35" s="3">
        <v>637.55868544600901</v>
      </c>
      <c r="AE35" s="3" t="s">
        <v>51</v>
      </c>
      <c r="AF35" s="3">
        <v>26.29107981220702</v>
      </c>
      <c r="AG35" s="3"/>
      <c r="AH35" s="8">
        <f t="shared" si="15"/>
        <v>0</v>
      </c>
      <c r="AI35" s="8">
        <f>VLOOKUP(F35,'[1]Sheet 2'!$B:$W,18,0)/VLOOKUP(F35,'[1]Sheet 2'!$B:$W,20,0)</f>
        <v>859.62777750440387</v>
      </c>
      <c r="AJ35" s="8">
        <f t="shared" si="16"/>
        <v>-0.25833168479395396</v>
      </c>
      <c r="AK35" s="3">
        <v>42.6666666666667</v>
      </c>
      <c r="AL35" s="4" t="s">
        <v>37</v>
      </c>
      <c r="AM35" s="3">
        <v>0.33333333333330017</v>
      </c>
      <c r="AN35" s="3"/>
      <c r="AO35" s="3">
        <v>42.6666666666667</v>
      </c>
      <c r="AP35" s="4" t="s">
        <v>37</v>
      </c>
      <c r="AQ35" s="3">
        <v>0.33333333333330017</v>
      </c>
      <c r="AR35" s="3"/>
      <c r="AS35" s="8">
        <f t="shared" si="17"/>
        <v>0</v>
      </c>
      <c r="AT35" s="8">
        <f>VLOOKUP(F35,'[2]Sheet 2'!$B:$T,18,0)/VLOOKUP(F35,'[2]Sheet 2'!$B:$U,20,0)</f>
        <v>52.244372535299632</v>
      </c>
      <c r="AU35" s="8">
        <f t="shared" si="18"/>
        <v>-0.18332512008181595</v>
      </c>
      <c r="AV35" s="57">
        <v>39.292452830188701</v>
      </c>
      <c r="AW35" s="4" t="s">
        <v>38</v>
      </c>
      <c r="AX35" s="3">
        <v>1.6509433962264026</v>
      </c>
      <c r="AY35" s="3"/>
      <c r="AZ35" s="3">
        <v>39.292452830188701</v>
      </c>
      <c r="BA35" s="4" t="s">
        <v>38</v>
      </c>
      <c r="BB35" s="3">
        <v>1.6509433962264026</v>
      </c>
      <c r="BC35" s="3"/>
      <c r="BD35" s="8">
        <f t="shared" si="19"/>
        <v>0</v>
      </c>
      <c r="BE35" s="8">
        <f>VLOOKUP(F35,'[3]Sheet 2'!$B:$T,18,0)/VLOOKUP(F35,'[3]Sheet 2'!$B:$U,20,0)</f>
        <v>48.995144774982819</v>
      </c>
      <c r="BF35" s="8">
        <f t="shared" si="20"/>
        <v>-0.198033743738387</v>
      </c>
      <c r="BG35" s="3">
        <v>394.25837320574198</v>
      </c>
      <c r="BH35" s="3" t="s">
        <v>52</v>
      </c>
      <c r="BI35" s="3">
        <v>19.138755980861049</v>
      </c>
      <c r="BJ35" s="3"/>
      <c r="BK35" s="3">
        <v>394.25837320574198</v>
      </c>
      <c r="BL35" s="3" t="s">
        <v>52</v>
      </c>
      <c r="BM35" s="3">
        <v>19.138755980861049</v>
      </c>
      <c r="BN35" s="3"/>
      <c r="BO35" s="8">
        <f t="shared" si="21"/>
        <v>0</v>
      </c>
      <c r="BP35" s="8">
        <f>VLOOKUP(F35,'[4]Sheet 2'!$B:$T,18,0)/VLOOKUP(F35,'[4]Sheet 2'!$B:$U,20,0)</f>
        <v>361.27894753424175</v>
      </c>
      <c r="BQ35" s="8">
        <f t="shared" si="22"/>
        <v>9.1285212981790084E-2</v>
      </c>
      <c r="BR35" s="3">
        <f t="shared" si="5"/>
        <v>14942.781690140824</v>
      </c>
      <c r="BS35" s="4" t="s">
        <v>213</v>
      </c>
      <c r="BT35" s="3"/>
      <c r="BU35" s="3"/>
      <c r="BV35" s="3">
        <f t="shared" si="6"/>
        <v>14942.781690140824</v>
      </c>
      <c r="BW35" s="4" t="s">
        <v>213</v>
      </c>
      <c r="BX35" s="3"/>
      <c r="BY35" s="3"/>
      <c r="BZ35" s="8">
        <f t="shared" si="23"/>
        <v>0</v>
      </c>
      <c r="CA35" s="8">
        <f>VLOOKUP(F35,'[5]Sheet 2'!$B:$T,18,0)/VLOOKUP(F35,'[5]Sheet 2'!$B:$U,20,0)</f>
        <v>16309.0728487013</v>
      </c>
      <c r="CB35" s="8">
        <f t="shared" si="24"/>
        <v>-8.3774912972399571E-2</v>
      </c>
      <c r="CC35" s="25">
        <f t="shared" si="28"/>
        <v>32.583333333333336</v>
      </c>
      <c r="CD35" s="25">
        <f t="shared" si="29"/>
        <v>119.7</v>
      </c>
      <c r="CE35" s="20">
        <v>39771</v>
      </c>
      <c r="CF35" s="20">
        <v>39966</v>
      </c>
      <c r="CG35" s="20">
        <v>39873</v>
      </c>
      <c r="CH35" s="20">
        <v>39957</v>
      </c>
      <c r="CI35" s="21">
        <f t="shared" si="9"/>
        <v>-42</v>
      </c>
      <c r="CJ35" s="21">
        <f t="shared" si="10"/>
        <v>153</v>
      </c>
      <c r="CK35" s="30">
        <f t="shared" si="11"/>
        <v>196</v>
      </c>
      <c r="CL35" s="21">
        <f t="shared" si="12"/>
        <v>60</v>
      </c>
      <c r="CM35" s="21">
        <f t="shared" si="13"/>
        <v>144</v>
      </c>
      <c r="CN35" s="19">
        <f t="shared" si="14"/>
        <v>85</v>
      </c>
    </row>
    <row r="36" spans="1:92" s="19" customFormat="1" hidden="1" x14ac:dyDescent="0.3">
      <c r="A36" s="3">
        <v>1</v>
      </c>
      <c r="B36" s="3"/>
      <c r="C36" s="4">
        <v>52</v>
      </c>
      <c r="D36" s="4" t="s">
        <v>44</v>
      </c>
      <c r="E36" s="9" t="s">
        <v>45</v>
      </c>
      <c r="F36" s="6" t="str">
        <f t="shared" si="0"/>
        <v>2011-133Y162009FACE</v>
      </c>
      <c r="G36" s="4" t="s">
        <v>46</v>
      </c>
      <c r="H36" s="4" t="s">
        <v>31</v>
      </c>
      <c r="I36" s="4" t="s">
        <v>31</v>
      </c>
      <c r="J36" s="4" t="s">
        <v>32</v>
      </c>
      <c r="K36" s="4" t="s">
        <v>55</v>
      </c>
      <c r="L36" s="4">
        <v>2009</v>
      </c>
      <c r="M36" s="4" t="s">
        <v>48</v>
      </c>
      <c r="N36" s="4" t="s">
        <v>49</v>
      </c>
      <c r="O36" s="4" t="s">
        <v>54</v>
      </c>
      <c r="P36" s="4"/>
      <c r="Q36" s="3">
        <f>(7*S36+5*0.976*S35)/12*U36*12/1000+S35/1.01*(90-U36)*12/1000</f>
        <v>54.354614851485145</v>
      </c>
      <c r="R36" s="4">
        <v>15.1297</v>
      </c>
      <c r="S36" s="4">
        <v>57.3</v>
      </c>
      <c r="T36" s="4">
        <v>7</v>
      </c>
      <c r="U36" s="4">
        <v>75</v>
      </c>
      <c r="V36" s="3">
        <v>3</v>
      </c>
      <c r="W36" s="3">
        <f t="shared" si="31"/>
        <v>15.1297</v>
      </c>
      <c r="X36" s="3" t="s">
        <v>50</v>
      </c>
      <c r="Y36" s="3"/>
      <c r="Z36" s="3">
        <v>512.67605633802805</v>
      </c>
      <c r="AA36" s="3" t="s">
        <v>51</v>
      </c>
      <c r="AB36" s="3">
        <v>13.145539906103011</v>
      </c>
      <c r="AC36" s="3"/>
      <c r="AD36" s="3">
        <v>637.55868544600901</v>
      </c>
      <c r="AE36" s="3" t="s">
        <v>51</v>
      </c>
      <c r="AF36" s="3">
        <v>26.29107981220702</v>
      </c>
      <c r="AG36" s="3"/>
      <c r="AH36" s="8">
        <f t="shared" si="15"/>
        <v>-0.19587628865979353</v>
      </c>
      <c r="AI36" s="8">
        <f>VLOOKUP(F36,'[1]Sheet 2'!$B:$W,18,0)/VLOOKUP(F36,'[1]Sheet 2'!$B:$W,20,0)</f>
        <v>859.62777750440387</v>
      </c>
      <c r="AJ36" s="8">
        <f t="shared" si="16"/>
        <v>-0.40360692179307617</v>
      </c>
      <c r="AK36" s="3">
        <v>36</v>
      </c>
      <c r="AL36" s="4" t="s">
        <v>37</v>
      </c>
      <c r="AM36" s="3">
        <v>2.3333333333333002</v>
      </c>
      <c r="AN36" s="3"/>
      <c r="AO36" s="3">
        <v>42.6666666666667</v>
      </c>
      <c r="AP36" s="4" t="s">
        <v>37</v>
      </c>
      <c r="AQ36" s="3">
        <v>0.33333333333330017</v>
      </c>
      <c r="AR36" s="3"/>
      <c r="AS36" s="8">
        <f t="shared" si="17"/>
        <v>-0.15625000000000067</v>
      </c>
      <c r="AT36" s="8">
        <f>VLOOKUP(F36,'[2]Sheet 2'!$B:$T,18,0)/VLOOKUP(F36,'[2]Sheet 2'!$B:$U,20,0)</f>
        <v>52.244372535299632</v>
      </c>
      <c r="AU36" s="8">
        <f t="shared" si="18"/>
        <v>-0.31093057006903274</v>
      </c>
      <c r="AV36" s="57">
        <v>39.9528301886793</v>
      </c>
      <c r="AW36" s="4" t="s">
        <v>38</v>
      </c>
      <c r="AX36" s="3">
        <v>1.9811320754715993</v>
      </c>
      <c r="AY36" s="3"/>
      <c r="AZ36" s="3">
        <v>39.292452830188701</v>
      </c>
      <c r="BA36" s="4" t="s">
        <v>38</v>
      </c>
      <c r="BB36" s="3">
        <v>1.6509433962264026</v>
      </c>
      <c r="BC36" s="3"/>
      <c r="BD36" s="8">
        <f t="shared" si="19"/>
        <v>1.6806722689076469E-2</v>
      </c>
      <c r="BE36" s="8">
        <f>VLOOKUP(F36,'[3]Sheet 2'!$B:$T,18,0)/VLOOKUP(F36,'[3]Sheet 2'!$B:$U,20,0)</f>
        <v>48.995144774982819</v>
      </c>
      <c r="BF36" s="8">
        <f t="shared" si="20"/>
        <v>-0.18455531926340124</v>
      </c>
      <c r="BG36" s="3">
        <v>375.11961722488002</v>
      </c>
      <c r="BH36" s="3" t="s">
        <v>52</v>
      </c>
      <c r="BI36" s="3">
        <v>22.966507177033975</v>
      </c>
      <c r="BJ36" s="3"/>
      <c r="BK36" s="3">
        <v>394.25837320574198</v>
      </c>
      <c r="BL36" s="3" t="s">
        <v>52</v>
      </c>
      <c r="BM36" s="3">
        <v>19.138755980861049</v>
      </c>
      <c r="BN36" s="3"/>
      <c r="BO36" s="8">
        <f t="shared" si="21"/>
        <v>-4.8543689320390118E-2</v>
      </c>
      <c r="BP36" s="8">
        <f>VLOOKUP(F36,'[4]Sheet 2'!$B:$T,18,0)/VLOOKUP(F36,'[4]Sheet 2'!$B:$U,20,0)</f>
        <v>361.27894753424175</v>
      </c>
      <c r="BQ36" s="8">
        <f t="shared" si="22"/>
        <v>3.8310202642866303E-2</v>
      </c>
      <c r="BR36" s="3">
        <f t="shared" si="5"/>
        <v>14241.001564945223</v>
      </c>
      <c r="BS36" s="4" t="s">
        <v>213</v>
      </c>
      <c r="BT36" s="3"/>
      <c r="BU36" s="3"/>
      <c r="BV36" s="3">
        <f t="shared" si="6"/>
        <v>14942.781690140824</v>
      </c>
      <c r="BW36" s="4" t="s">
        <v>213</v>
      </c>
      <c r="BX36" s="3"/>
      <c r="BY36" s="3"/>
      <c r="BZ36" s="8">
        <f t="shared" si="23"/>
        <v>-4.6964490263458232E-2</v>
      </c>
      <c r="CA36" s="8">
        <f>VLOOKUP(F36,'[5]Sheet 2'!$B:$T,18,0)/VLOOKUP(F36,'[5]Sheet 2'!$B:$U,20,0)</f>
        <v>16309.0728487013</v>
      </c>
      <c r="CB36" s="8">
        <f t="shared" si="24"/>
        <v>-0.12680495715124349</v>
      </c>
      <c r="CC36" s="25">
        <f t="shared" si="28"/>
        <v>32.583333333333336</v>
      </c>
      <c r="CD36" s="25">
        <f t="shared" si="29"/>
        <v>119.7</v>
      </c>
      <c r="CE36" s="20">
        <v>39771</v>
      </c>
      <c r="CF36" s="20">
        <v>39966</v>
      </c>
      <c r="CG36" s="20">
        <v>39873</v>
      </c>
      <c r="CH36" s="20">
        <v>39957</v>
      </c>
      <c r="CI36" s="21">
        <f t="shared" si="9"/>
        <v>-42</v>
      </c>
      <c r="CJ36" s="21">
        <f t="shared" si="10"/>
        <v>153</v>
      </c>
      <c r="CK36" s="30">
        <f t="shared" si="11"/>
        <v>196</v>
      </c>
      <c r="CL36" s="21">
        <f t="shared" si="12"/>
        <v>60</v>
      </c>
      <c r="CM36" s="21">
        <f t="shared" si="13"/>
        <v>144</v>
      </c>
      <c r="CN36" s="19">
        <f t="shared" si="14"/>
        <v>85</v>
      </c>
    </row>
    <row r="37" spans="1:92" s="42" customFormat="1" hidden="1" x14ac:dyDescent="0.3">
      <c r="A37" s="31">
        <v>1</v>
      </c>
      <c r="B37" s="31"/>
      <c r="C37" s="32">
        <v>52</v>
      </c>
      <c r="D37" s="32" t="s">
        <v>44</v>
      </c>
      <c r="E37" s="43" t="s">
        <v>45</v>
      </c>
      <c r="F37" s="34" t="str">
        <f t="shared" si="0"/>
        <v>2011-133Y192009FACE</v>
      </c>
      <c r="G37" s="32" t="s">
        <v>46</v>
      </c>
      <c r="H37" s="32" t="s">
        <v>31</v>
      </c>
      <c r="I37" s="32" t="s">
        <v>31</v>
      </c>
      <c r="J37" s="32" t="s">
        <v>32</v>
      </c>
      <c r="K37" s="32" t="s">
        <v>56</v>
      </c>
      <c r="L37" s="32">
        <v>2009</v>
      </c>
      <c r="M37" s="32" t="s">
        <v>48</v>
      </c>
      <c r="N37" s="32" t="s">
        <v>49</v>
      </c>
      <c r="O37" s="32" t="s">
        <v>40</v>
      </c>
      <c r="P37" s="32" t="s">
        <v>267</v>
      </c>
      <c r="Q37" s="32">
        <f>S37/1.01*1.08</f>
        <v>47.691089108910894</v>
      </c>
      <c r="R37" s="32">
        <v>7.8869999999999996</v>
      </c>
      <c r="S37" s="32">
        <v>44.6</v>
      </c>
      <c r="T37" s="32">
        <v>7</v>
      </c>
      <c r="U37" s="32">
        <v>75</v>
      </c>
      <c r="V37" s="31">
        <v>3</v>
      </c>
      <c r="W37" s="31">
        <f t="shared" si="31"/>
        <v>7.8869999999999996</v>
      </c>
      <c r="X37" s="31" t="s">
        <v>50</v>
      </c>
      <c r="Y37" s="31"/>
      <c r="Z37" s="31">
        <v>532.3943661971831</v>
      </c>
      <c r="AA37" s="31" t="s">
        <v>51</v>
      </c>
      <c r="AB37" s="31">
        <v>26.29107981220691</v>
      </c>
      <c r="AC37" s="31"/>
      <c r="AD37" s="31">
        <v>532.3943661971831</v>
      </c>
      <c r="AE37" s="31" t="s">
        <v>51</v>
      </c>
      <c r="AF37" s="31">
        <v>26.29107981220691</v>
      </c>
      <c r="AG37" s="31"/>
      <c r="AH37" s="8">
        <f t="shared" si="15"/>
        <v>0</v>
      </c>
      <c r="AI37" s="8">
        <f>VLOOKUP(F37,'[1]Sheet 2'!$B:$W,18,0)/VLOOKUP(F37,'[1]Sheet 2'!$B:$W,20,0)</f>
        <v>775.39974970663729</v>
      </c>
      <c r="AJ37" s="8">
        <f t="shared" si="16"/>
        <v>-0.31339368319552879</v>
      </c>
      <c r="AK37" s="31">
        <v>44.6666666666667</v>
      </c>
      <c r="AL37" s="32" t="s">
        <v>37</v>
      </c>
      <c r="AM37" s="31">
        <v>0.33333333333330017</v>
      </c>
      <c r="AN37" s="31"/>
      <c r="AO37" s="31">
        <v>44.6666666666667</v>
      </c>
      <c r="AP37" s="32" t="s">
        <v>37</v>
      </c>
      <c r="AQ37" s="31">
        <v>0.33333333333330017</v>
      </c>
      <c r="AR37" s="31"/>
      <c r="AS37" s="8">
        <f t="shared" si="17"/>
        <v>0</v>
      </c>
      <c r="AT37" s="8">
        <f>VLOOKUP(F37,'[2]Sheet 2'!$B:$T,18,0)/VLOOKUP(F37,'[2]Sheet 2'!$B:$U,20,0)</f>
        <v>53.46353340730272</v>
      </c>
      <c r="AU37" s="8">
        <f t="shared" si="18"/>
        <v>-0.16453956893605601</v>
      </c>
      <c r="AV37" s="57">
        <v>38.632075471698101</v>
      </c>
      <c r="AW37" s="32" t="s">
        <v>38</v>
      </c>
      <c r="AX37" s="31">
        <v>0.99056603773589558</v>
      </c>
      <c r="AY37" s="31"/>
      <c r="AZ37" s="31">
        <v>38.632075471698101</v>
      </c>
      <c r="BA37" s="32" t="s">
        <v>38</v>
      </c>
      <c r="BB37" s="31">
        <v>0.99056603773589558</v>
      </c>
      <c r="BC37" s="31"/>
      <c r="BD37" s="8">
        <f t="shared" si="19"/>
        <v>0</v>
      </c>
      <c r="BE37" s="8">
        <f>VLOOKUP(F37,'[3]Sheet 2'!$B:$T,18,0)/VLOOKUP(F37,'[3]Sheet 2'!$B:$U,20,0)</f>
        <v>47.21888219218382</v>
      </c>
      <c r="BF37" s="8">
        <f t="shared" si="20"/>
        <v>-0.18185112230181297</v>
      </c>
      <c r="BG37" s="31">
        <v>325.35885167464102</v>
      </c>
      <c r="BH37" s="31" t="s">
        <v>52</v>
      </c>
      <c r="BI37" s="31">
        <v>11.483253588516959</v>
      </c>
      <c r="BJ37" s="31"/>
      <c r="BK37" s="31">
        <v>325.35885167464102</v>
      </c>
      <c r="BL37" s="31" t="s">
        <v>52</v>
      </c>
      <c r="BM37" s="31">
        <v>11.483253588516959</v>
      </c>
      <c r="BN37" s="31"/>
      <c r="BO37" s="8">
        <f t="shared" si="21"/>
        <v>0</v>
      </c>
      <c r="BP37" s="8">
        <f>VLOOKUP(F37,'[4]Sheet 2'!$B:$T,18,0)/VLOOKUP(F37,'[4]Sheet 2'!$B:$U,20,0)</f>
        <v>340.04009642669661</v>
      </c>
      <c r="BQ37" s="8">
        <f t="shared" si="22"/>
        <v>-4.3175039962442978E-2</v>
      </c>
      <c r="BR37" s="31">
        <f t="shared" si="5"/>
        <v>11919.276855160806</v>
      </c>
      <c r="BS37" s="32" t="s">
        <v>213</v>
      </c>
      <c r="BT37" s="31"/>
      <c r="BU37" s="31"/>
      <c r="BV37" s="31">
        <f t="shared" si="6"/>
        <v>11919.276855160806</v>
      </c>
      <c r="BW37" s="32" t="s">
        <v>213</v>
      </c>
      <c r="BX37" s="31"/>
      <c r="BY37" s="31"/>
      <c r="BZ37" s="8">
        <f t="shared" si="23"/>
        <v>0</v>
      </c>
      <c r="CA37" s="8">
        <f>VLOOKUP(F37,'[5]Sheet 2'!$B:$T,18,0)/VLOOKUP(F37,'[5]Sheet 2'!$B:$U,20,0)</f>
        <v>14393.366439741185</v>
      </c>
      <c r="CB37" s="8">
        <f t="shared" si="24"/>
        <v>-0.17189096066846657</v>
      </c>
      <c r="CC37" s="45">
        <f t="shared" si="28"/>
        <v>32.583333333333336</v>
      </c>
      <c r="CD37" s="45">
        <f t="shared" si="29"/>
        <v>119.7</v>
      </c>
      <c r="CE37" s="38">
        <v>39771</v>
      </c>
      <c r="CF37" s="38">
        <v>39966</v>
      </c>
      <c r="CG37" s="38">
        <v>39873</v>
      </c>
      <c r="CH37" s="38">
        <v>39957</v>
      </c>
      <c r="CI37" s="40">
        <f t="shared" si="9"/>
        <v>-42</v>
      </c>
      <c r="CJ37" s="40">
        <f t="shared" si="10"/>
        <v>153</v>
      </c>
      <c r="CK37" s="41">
        <f t="shared" si="11"/>
        <v>196</v>
      </c>
      <c r="CL37" s="40">
        <f t="shared" si="12"/>
        <v>60</v>
      </c>
      <c r="CM37" s="40">
        <f t="shared" si="13"/>
        <v>144</v>
      </c>
      <c r="CN37" s="42">
        <f t="shared" si="14"/>
        <v>85</v>
      </c>
    </row>
    <row r="38" spans="1:92" s="42" customFormat="1" hidden="1" x14ac:dyDescent="0.3">
      <c r="A38" s="31">
        <v>1</v>
      </c>
      <c r="B38" s="31"/>
      <c r="C38" s="32">
        <v>52</v>
      </c>
      <c r="D38" s="32" t="s">
        <v>44</v>
      </c>
      <c r="E38" s="43" t="s">
        <v>45</v>
      </c>
      <c r="F38" s="34" t="str">
        <f t="shared" si="0"/>
        <v>2011-133Y192009FACE</v>
      </c>
      <c r="G38" s="32" t="s">
        <v>46</v>
      </c>
      <c r="H38" s="32" t="s">
        <v>31</v>
      </c>
      <c r="I38" s="32" t="s">
        <v>31</v>
      </c>
      <c r="J38" s="32" t="s">
        <v>32</v>
      </c>
      <c r="K38" s="32" t="s">
        <v>56</v>
      </c>
      <c r="L38" s="32">
        <v>2009</v>
      </c>
      <c r="M38" s="32" t="s">
        <v>48</v>
      </c>
      <c r="N38" s="32" t="s">
        <v>49</v>
      </c>
      <c r="O38" s="32" t="s">
        <v>54</v>
      </c>
      <c r="P38" s="32"/>
      <c r="Q38" s="31">
        <f>(7*S38+5*0.976*S37)/12*U38*12/1000+S37/1.01*(90-U38)*12/1000</f>
        <v>54.354614851485145</v>
      </c>
      <c r="R38" s="32">
        <v>15.508699999999999</v>
      </c>
      <c r="S38" s="32">
        <v>57.3</v>
      </c>
      <c r="T38" s="32">
        <v>7</v>
      </c>
      <c r="U38" s="32">
        <v>75</v>
      </c>
      <c r="V38" s="31">
        <v>3</v>
      </c>
      <c r="W38" s="31">
        <f t="shared" si="31"/>
        <v>15.508699999999999</v>
      </c>
      <c r="X38" s="31" t="s">
        <v>50</v>
      </c>
      <c r="Y38" s="31"/>
      <c r="Z38" s="31">
        <v>479.81220657277004</v>
      </c>
      <c r="AA38" s="31" t="s">
        <v>51</v>
      </c>
      <c r="AB38" s="31">
        <v>19.71830985915496</v>
      </c>
      <c r="AC38" s="31"/>
      <c r="AD38" s="31">
        <v>532.3943661971831</v>
      </c>
      <c r="AE38" s="31" t="s">
        <v>51</v>
      </c>
      <c r="AF38" s="31">
        <v>26.29107981220691</v>
      </c>
      <c r="AG38" s="31"/>
      <c r="AH38" s="8">
        <f t="shared" si="15"/>
        <v>-9.8765432098765288E-2</v>
      </c>
      <c r="AI38" s="8">
        <f>VLOOKUP(F38,'[1]Sheet 2'!$B:$W,18,0)/VLOOKUP(F38,'[1]Sheet 2'!$B:$W,20,0)</f>
        <v>775.39974970663729</v>
      </c>
      <c r="AJ38" s="8">
        <f t="shared" si="16"/>
        <v>-0.38120665275646409</v>
      </c>
      <c r="AK38" s="31">
        <v>35</v>
      </c>
      <c r="AL38" s="32" t="s">
        <v>37</v>
      </c>
      <c r="AM38" s="31">
        <v>1.3333333333333002</v>
      </c>
      <c r="AN38" s="31"/>
      <c r="AO38" s="31">
        <v>44.6666666666667</v>
      </c>
      <c r="AP38" s="32" t="s">
        <v>37</v>
      </c>
      <c r="AQ38" s="31">
        <v>0.33333333333330017</v>
      </c>
      <c r="AR38" s="31"/>
      <c r="AS38" s="8">
        <f t="shared" si="17"/>
        <v>-0.21641791044776176</v>
      </c>
      <c r="AT38" s="8">
        <f>VLOOKUP(F38,'[2]Sheet 2'!$B:$T,18,0)/VLOOKUP(F38,'[2]Sheet 2'!$B:$U,20,0)</f>
        <v>53.46353340730272</v>
      </c>
      <c r="AU38" s="8">
        <f t="shared" si="18"/>
        <v>-0.34534816968870108</v>
      </c>
      <c r="AV38" s="57">
        <v>36.981132075471699</v>
      </c>
      <c r="AW38" s="32" t="s">
        <v>38</v>
      </c>
      <c r="AX38" s="31">
        <v>0.66037735849059942</v>
      </c>
      <c r="AY38" s="31"/>
      <c r="AZ38" s="31">
        <v>38.632075471698101</v>
      </c>
      <c r="BA38" s="32" t="s">
        <v>38</v>
      </c>
      <c r="BB38" s="31">
        <v>0.99056603773589558</v>
      </c>
      <c r="BC38" s="31"/>
      <c r="BD38" s="8">
        <f t="shared" si="19"/>
        <v>-4.2735042735042424E-2</v>
      </c>
      <c r="BE38" s="8">
        <f>VLOOKUP(F38,'[3]Sheet 2'!$B:$T,18,0)/VLOOKUP(F38,'[3]Sheet 2'!$B:$U,20,0)</f>
        <v>47.21888219218382</v>
      </c>
      <c r="BF38" s="8">
        <f t="shared" si="20"/>
        <v>-0.216814749553872</v>
      </c>
      <c r="BG38" s="31">
        <v>405.74162679425802</v>
      </c>
      <c r="BH38" s="31" t="s">
        <v>52</v>
      </c>
      <c r="BI38" s="31">
        <v>15.311004784688976</v>
      </c>
      <c r="BJ38" s="31"/>
      <c r="BK38" s="31">
        <v>325.35885167464102</v>
      </c>
      <c r="BL38" s="31" t="s">
        <v>52</v>
      </c>
      <c r="BM38" s="31">
        <v>11.483253588516959</v>
      </c>
      <c r="BN38" s="31"/>
      <c r="BO38" s="8">
        <f t="shared" si="21"/>
        <v>0.24705882352941119</v>
      </c>
      <c r="BP38" s="8">
        <f>VLOOKUP(F38,'[4]Sheet 2'!$B:$T,18,0)/VLOOKUP(F38,'[4]Sheet 2'!$B:$U,20,0)</f>
        <v>340.04009642669661</v>
      </c>
      <c r="BQ38" s="8">
        <f t="shared" si="22"/>
        <v>0.19321700898801175</v>
      </c>
      <c r="BR38" s="31">
        <f t="shared" si="5"/>
        <v>13708.92018779343</v>
      </c>
      <c r="BS38" s="32" t="s">
        <v>213</v>
      </c>
      <c r="BT38" s="31"/>
      <c r="BU38" s="31"/>
      <c r="BV38" s="31">
        <f t="shared" si="6"/>
        <v>11919.276855160806</v>
      </c>
      <c r="BW38" s="32" t="s">
        <v>213</v>
      </c>
      <c r="BX38" s="31"/>
      <c r="BY38" s="31"/>
      <c r="BZ38" s="8">
        <f t="shared" si="23"/>
        <v>0.15014697236919577</v>
      </c>
      <c r="CA38" s="8">
        <f>VLOOKUP(F38,'[5]Sheet 2'!$B:$T,18,0)/VLOOKUP(F38,'[5]Sheet 2'!$B:$U,20,0)</f>
        <v>14393.366439741185</v>
      </c>
      <c r="CB38" s="8">
        <f t="shared" si="24"/>
        <v>-4.7552895621273579E-2</v>
      </c>
      <c r="CC38" s="45">
        <f t="shared" si="28"/>
        <v>32.583333333333336</v>
      </c>
      <c r="CD38" s="45">
        <f t="shared" si="29"/>
        <v>119.7</v>
      </c>
      <c r="CE38" s="38">
        <v>39771</v>
      </c>
      <c r="CF38" s="38">
        <v>39966</v>
      </c>
      <c r="CG38" s="38">
        <v>39873</v>
      </c>
      <c r="CH38" s="38">
        <v>39957</v>
      </c>
      <c r="CI38" s="40">
        <f t="shared" si="9"/>
        <v>-42</v>
      </c>
      <c r="CJ38" s="40">
        <f t="shared" si="10"/>
        <v>153</v>
      </c>
      <c r="CK38" s="41">
        <f t="shared" si="11"/>
        <v>196</v>
      </c>
      <c r="CL38" s="40">
        <f t="shared" si="12"/>
        <v>60</v>
      </c>
      <c r="CM38" s="40">
        <f t="shared" si="13"/>
        <v>144</v>
      </c>
      <c r="CN38" s="42">
        <f t="shared" si="14"/>
        <v>85</v>
      </c>
    </row>
    <row r="39" spans="1:92" s="19" customFormat="1" hidden="1" x14ac:dyDescent="0.3">
      <c r="A39" s="3">
        <v>1</v>
      </c>
      <c r="B39" s="3"/>
      <c r="C39" s="4">
        <v>52</v>
      </c>
      <c r="D39" s="4" t="s">
        <v>44</v>
      </c>
      <c r="E39" s="9" t="s">
        <v>45</v>
      </c>
      <c r="F39" s="6" t="str">
        <f t="shared" si="0"/>
        <v>2011-133Y22009FACE</v>
      </c>
      <c r="G39" s="4" t="s">
        <v>46</v>
      </c>
      <c r="H39" s="4" t="s">
        <v>31</v>
      </c>
      <c r="I39" s="4" t="s">
        <v>31</v>
      </c>
      <c r="J39" s="4" t="s">
        <v>32</v>
      </c>
      <c r="K39" s="4" t="s">
        <v>57</v>
      </c>
      <c r="L39" s="4">
        <v>2009</v>
      </c>
      <c r="M39" s="4" t="s">
        <v>48</v>
      </c>
      <c r="N39" s="4" t="s">
        <v>49</v>
      </c>
      <c r="O39" s="4" t="s">
        <v>40</v>
      </c>
      <c r="P39" s="32" t="s">
        <v>267</v>
      </c>
      <c r="Q39" s="4">
        <f>S39/1.01*1.08</f>
        <v>47.691089108910894</v>
      </c>
      <c r="R39" s="4">
        <v>6.9059999999999997</v>
      </c>
      <c r="S39" s="4">
        <v>44.6</v>
      </c>
      <c r="T39" s="4">
        <v>7</v>
      </c>
      <c r="U39" s="4">
        <v>75</v>
      </c>
      <c r="V39" s="3">
        <v>3</v>
      </c>
      <c r="W39" s="3">
        <f t="shared" si="31"/>
        <v>6.9059999999999997</v>
      </c>
      <c r="X39" s="3" t="s">
        <v>50</v>
      </c>
      <c r="Y39" s="3"/>
      <c r="Z39" s="3">
        <v>729.57746478873196</v>
      </c>
      <c r="AA39" s="3" t="s">
        <v>51</v>
      </c>
      <c r="AB39" s="3">
        <v>13.145539906104009</v>
      </c>
      <c r="AC39" s="3"/>
      <c r="AD39" s="3">
        <v>729.57746478873196</v>
      </c>
      <c r="AE39" s="3" t="s">
        <v>51</v>
      </c>
      <c r="AF39" s="3">
        <v>13.145539906104009</v>
      </c>
      <c r="AG39" s="3"/>
      <c r="AH39" s="8">
        <f t="shared" si="15"/>
        <v>0</v>
      </c>
      <c r="AI39" s="8">
        <f>VLOOKUP(F39,'[1]Sheet 2'!$B:$W,18,0)/VLOOKUP(F39,'[1]Sheet 2'!$B:$W,20,0)</f>
        <v>937.08992994583718</v>
      </c>
      <c r="AJ39" s="8">
        <f t="shared" si="16"/>
        <v>-0.22144349066807198</v>
      </c>
      <c r="AK39" s="3">
        <v>45.6666666666667</v>
      </c>
      <c r="AL39" s="4" t="s">
        <v>37</v>
      </c>
      <c r="AM39" s="3">
        <v>1</v>
      </c>
      <c r="AN39" s="3"/>
      <c r="AO39" s="3">
        <v>45.6666666666667</v>
      </c>
      <c r="AP39" s="4" t="s">
        <v>37</v>
      </c>
      <c r="AQ39" s="3">
        <v>1</v>
      </c>
      <c r="AR39" s="3"/>
      <c r="AS39" s="8">
        <f t="shared" si="17"/>
        <v>0</v>
      </c>
      <c r="AT39" s="8">
        <f>VLOOKUP(F39,'[2]Sheet 2'!$B:$T,18,0)/VLOOKUP(F39,'[2]Sheet 2'!$B:$U,20,0)</f>
        <v>53.547089632623489</v>
      </c>
      <c r="AU39" s="8">
        <f t="shared" si="18"/>
        <v>-0.14716809111424897</v>
      </c>
      <c r="AV39" s="57">
        <v>37.971698113207601</v>
      </c>
      <c r="AW39" s="4" t="s">
        <v>38</v>
      </c>
      <c r="AX39" s="3">
        <v>1.6509433962263955</v>
      </c>
      <c r="AY39" s="3"/>
      <c r="AZ39" s="3">
        <v>37.971698113207601</v>
      </c>
      <c r="BA39" s="4" t="s">
        <v>38</v>
      </c>
      <c r="BB39" s="3">
        <v>1.6509433962263955</v>
      </c>
      <c r="BC39" s="3"/>
      <c r="BD39" s="8">
        <f t="shared" si="19"/>
        <v>0</v>
      </c>
      <c r="BE39" s="8">
        <f>VLOOKUP(F39,'[3]Sheet 2'!$B:$T,18,0)/VLOOKUP(F39,'[3]Sheet 2'!$B:$U,20,0)</f>
        <v>45.923199946889923</v>
      </c>
      <c r="BF39" s="8">
        <f t="shared" si="20"/>
        <v>-0.173147817287955</v>
      </c>
      <c r="BG39" s="3">
        <v>436.36363636363598</v>
      </c>
      <c r="BH39" s="3" t="s">
        <v>52</v>
      </c>
      <c r="BI39" s="3">
        <v>22.966507177034032</v>
      </c>
      <c r="BJ39" s="3"/>
      <c r="BK39" s="3">
        <v>436.36363636363598</v>
      </c>
      <c r="BL39" s="3" t="s">
        <v>52</v>
      </c>
      <c r="BM39" s="3">
        <v>22.966507177034032</v>
      </c>
      <c r="BN39" s="3"/>
      <c r="BO39" s="8">
        <f t="shared" si="21"/>
        <v>0</v>
      </c>
      <c r="BP39" s="8">
        <f>VLOOKUP(F39,'[4]Sheet 2'!$B:$T,18,0)/VLOOKUP(F39,'[4]Sheet 2'!$B:$U,20,0)</f>
        <v>417.06566139373689</v>
      </c>
      <c r="BQ39" s="8">
        <f t="shared" si="22"/>
        <v>4.6270831565009989E-2</v>
      </c>
      <c r="BR39" s="3">
        <f t="shared" si="5"/>
        <v>15976.14886398682</v>
      </c>
      <c r="BS39" s="4" t="s">
        <v>213</v>
      </c>
      <c r="BT39" s="3"/>
      <c r="BU39" s="3"/>
      <c r="BV39" s="3">
        <f t="shared" si="6"/>
        <v>15976.14886398682</v>
      </c>
      <c r="BW39" s="4" t="s">
        <v>213</v>
      </c>
      <c r="BX39" s="3"/>
      <c r="BY39" s="3"/>
      <c r="BZ39" s="8">
        <f t="shared" si="23"/>
        <v>0</v>
      </c>
      <c r="CA39" s="8">
        <f>VLOOKUP(F39,'[5]Sheet 2'!$B:$T,18,0)/VLOOKUP(F39,'[5]Sheet 2'!$B:$U,20,0)</f>
        <v>17346.176030346138</v>
      </c>
      <c r="CB39" s="8">
        <f t="shared" si="24"/>
        <v>-7.8981509467131769E-2</v>
      </c>
      <c r="CC39" s="25">
        <f t="shared" si="28"/>
        <v>32.583333333333336</v>
      </c>
      <c r="CD39" s="25">
        <f t="shared" si="29"/>
        <v>119.7</v>
      </c>
      <c r="CE39" s="20">
        <v>39771</v>
      </c>
      <c r="CF39" s="20">
        <v>39966</v>
      </c>
      <c r="CG39" s="20">
        <v>39873</v>
      </c>
      <c r="CH39" s="20">
        <v>39957</v>
      </c>
      <c r="CI39" s="21">
        <f t="shared" si="9"/>
        <v>-42</v>
      </c>
      <c r="CJ39" s="21">
        <f t="shared" si="10"/>
        <v>153</v>
      </c>
      <c r="CK39" s="30">
        <f t="shared" si="11"/>
        <v>196</v>
      </c>
      <c r="CL39" s="21">
        <f t="shared" si="12"/>
        <v>60</v>
      </c>
      <c r="CM39" s="21">
        <f t="shared" si="13"/>
        <v>144</v>
      </c>
      <c r="CN39" s="19">
        <f t="shared" si="14"/>
        <v>85</v>
      </c>
    </row>
    <row r="40" spans="1:92" s="19" customFormat="1" hidden="1" x14ac:dyDescent="0.3">
      <c r="A40" s="3">
        <v>1</v>
      </c>
      <c r="B40" s="3"/>
      <c r="C40" s="4">
        <v>52</v>
      </c>
      <c r="D40" s="4" t="s">
        <v>44</v>
      </c>
      <c r="E40" s="9" t="s">
        <v>45</v>
      </c>
      <c r="F40" s="6" t="str">
        <f t="shared" si="0"/>
        <v>2011-133Y22009FACE</v>
      </c>
      <c r="G40" s="4" t="s">
        <v>46</v>
      </c>
      <c r="H40" s="4" t="s">
        <v>31</v>
      </c>
      <c r="I40" s="4" t="s">
        <v>31</v>
      </c>
      <c r="J40" s="4" t="s">
        <v>32</v>
      </c>
      <c r="K40" s="4" t="s">
        <v>57</v>
      </c>
      <c r="L40" s="4">
        <v>2009</v>
      </c>
      <c r="M40" s="4" t="s">
        <v>48</v>
      </c>
      <c r="N40" s="4" t="s">
        <v>49</v>
      </c>
      <c r="O40" s="4" t="s">
        <v>54</v>
      </c>
      <c r="P40" s="4"/>
      <c r="Q40" s="3">
        <f>(7*S40+5*0.976*S39)/12*U40*12/1000+S39/1.01*(90-U40)*12/1000</f>
        <v>54.354614851485145</v>
      </c>
      <c r="R40" s="4">
        <v>15.1297</v>
      </c>
      <c r="S40" s="4">
        <v>57.3</v>
      </c>
      <c r="T40" s="4">
        <v>7</v>
      </c>
      <c r="U40" s="4">
        <v>75</v>
      </c>
      <c r="V40" s="3">
        <v>3</v>
      </c>
      <c r="W40" s="3">
        <f t="shared" si="31"/>
        <v>15.1297</v>
      </c>
      <c r="X40" s="3" t="s">
        <v>50</v>
      </c>
      <c r="Y40" s="3"/>
      <c r="Z40" s="3">
        <v>532.3943661971831</v>
      </c>
      <c r="AA40" s="3" t="s">
        <v>51</v>
      </c>
      <c r="AB40" s="3">
        <v>26.29107981220691</v>
      </c>
      <c r="AC40" s="3"/>
      <c r="AD40" s="3">
        <v>729.57746478873196</v>
      </c>
      <c r="AE40" s="3" t="s">
        <v>51</v>
      </c>
      <c r="AF40" s="3">
        <v>13.145539906104009</v>
      </c>
      <c r="AG40" s="3"/>
      <c r="AH40" s="8">
        <f t="shared" si="15"/>
        <v>-0.27027027027026984</v>
      </c>
      <c r="AI40" s="8">
        <f>VLOOKUP(F40,'[1]Sheet 2'!$B:$W,18,0)/VLOOKUP(F40,'[1]Sheet 2'!$B:$W,20,0)</f>
        <v>937.08992994583718</v>
      </c>
      <c r="AJ40" s="8">
        <f t="shared" si="16"/>
        <v>-0.43186416886589002</v>
      </c>
      <c r="AK40" s="3">
        <v>35.3333333333333</v>
      </c>
      <c r="AL40" s="4" t="s">
        <v>37</v>
      </c>
      <c r="AM40" s="3">
        <v>3</v>
      </c>
      <c r="AN40" s="3"/>
      <c r="AO40" s="3">
        <v>45.6666666666667</v>
      </c>
      <c r="AP40" s="4" t="s">
        <v>37</v>
      </c>
      <c r="AQ40" s="3">
        <v>1</v>
      </c>
      <c r="AR40" s="3"/>
      <c r="AS40" s="8">
        <f t="shared" si="17"/>
        <v>-0.226277372262775</v>
      </c>
      <c r="AT40" s="8">
        <f>VLOOKUP(F40,'[2]Sheet 2'!$B:$T,18,0)/VLOOKUP(F40,'[2]Sheet 2'!$B:$U,20,0)</f>
        <v>53.547089632623489</v>
      </c>
      <c r="AU40" s="8">
        <f t="shared" si="18"/>
        <v>-0.34014465443876307</v>
      </c>
      <c r="AV40" s="57">
        <v>36.320754716981099</v>
      </c>
      <c r="AW40" s="4" t="s">
        <v>38</v>
      </c>
      <c r="AX40" s="3">
        <v>0.99056603773590268</v>
      </c>
      <c r="AY40" s="3"/>
      <c r="AZ40" s="3">
        <v>37.971698113207601</v>
      </c>
      <c r="BA40" s="4" t="s">
        <v>38</v>
      </c>
      <c r="BB40" s="3">
        <v>1.6509433962263955</v>
      </c>
      <c r="BC40" s="3"/>
      <c r="BD40" s="8">
        <f t="shared" si="19"/>
        <v>-4.3478260869567444E-2</v>
      </c>
      <c r="BE40" s="8">
        <f>VLOOKUP(F40,'[3]Sheet 2'!$B:$T,18,0)/VLOOKUP(F40,'[3]Sheet 2'!$B:$U,20,0)</f>
        <v>45.923199946889923</v>
      </c>
      <c r="BF40" s="8">
        <f t="shared" si="20"/>
        <v>-0.20909791218848056</v>
      </c>
      <c r="BG40" s="3">
        <v>451.67464114832501</v>
      </c>
      <c r="BH40" s="3" t="s">
        <v>52</v>
      </c>
      <c r="BI40" s="3">
        <v>7.6555023923449994</v>
      </c>
      <c r="BJ40" s="3"/>
      <c r="BK40" s="3">
        <v>436.36363636363598</v>
      </c>
      <c r="BL40" s="3" t="s">
        <v>52</v>
      </c>
      <c r="BM40" s="3">
        <v>22.966507177034032</v>
      </c>
      <c r="BN40" s="3"/>
      <c r="BO40" s="8">
        <f t="shared" si="21"/>
        <v>3.508771929824573E-2</v>
      </c>
      <c r="BP40" s="8">
        <f>VLOOKUP(F40,'[4]Sheet 2'!$B:$T,18,0)/VLOOKUP(F40,'[4]Sheet 2'!$B:$U,20,0)</f>
        <v>417.06566139373689</v>
      </c>
      <c r="BQ40" s="8">
        <f t="shared" si="22"/>
        <v>8.2982088812905197E-2</v>
      </c>
      <c r="BR40" s="3">
        <f t="shared" si="5"/>
        <v>15067.765081052366</v>
      </c>
      <c r="BS40" s="4" t="s">
        <v>213</v>
      </c>
      <c r="BT40" s="3"/>
      <c r="BU40" s="3"/>
      <c r="BV40" s="3">
        <f t="shared" si="6"/>
        <v>15976.14886398682</v>
      </c>
      <c r="BW40" s="4" t="s">
        <v>213</v>
      </c>
      <c r="BX40" s="3"/>
      <c r="BY40" s="3"/>
      <c r="BZ40" s="8">
        <f t="shared" si="23"/>
        <v>-5.6858745537988697E-2</v>
      </c>
      <c r="CA40" s="8">
        <f>VLOOKUP(F40,'[5]Sheet 2'!$B:$T,18,0)/VLOOKUP(F40,'[5]Sheet 2'!$B:$U,20,0)</f>
        <v>17346.176030346138</v>
      </c>
      <c r="CB40" s="8">
        <f t="shared" si="24"/>
        <v>-0.13134946545612258</v>
      </c>
      <c r="CC40" s="25">
        <f t="shared" si="28"/>
        <v>32.583333333333336</v>
      </c>
      <c r="CD40" s="25">
        <f t="shared" si="29"/>
        <v>119.7</v>
      </c>
      <c r="CE40" s="20">
        <v>39771</v>
      </c>
      <c r="CF40" s="20">
        <v>39966</v>
      </c>
      <c r="CG40" s="20">
        <v>39873</v>
      </c>
      <c r="CH40" s="20">
        <v>39957</v>
      </c>
      <c r="CI40" s="21">
        <f t="shared" si="9"/>
        <v>-42</v>
      </c>
      <c r="CJ40" s="21">
        <f t="shared" si="10"/>
        <v>153</v>
      </c>
      <c r="CK40" s="30">
        <f t="shared" si="11"/>
        <v>196</v>
      </c>
      <c r="CL40" s="21">
        <f t="shared" si="12"/>
        <v>60</v>
      </c>
      <c r="CM40" s="21">
        <f t="shared" si="13"/>
        <v>144</v>
      </c>
      <c r="CN40" s="19">
        <f t="shared" si="14"/>
        <v>85</v>
      </c>
    </row>
    <row r="41" spans="1:92" s="42" customFormat="1" hidden="1" x14ac:dyDescent="0.3">
      <c r="A41" s="31">
        <v>1</v>
      </c>
      <c r="B41" s="31"/>
      <c r="C41" s="31">
        <v>16</v>
      </c>
      <c r="D41" s="34" t="s">
        <v>58</v>
      </c>
      <c r="E41" s="34" t="s">
        <v>59</v>
      </c>
      <c r="F41" s="34" t="str">
        <f t="shared" si="0"/>
        <v>2010-112HUW5102007OTC</v>
      </c>
      <c r="G41" s="31" t="s">
        <v>60</v>
      </c>
      <c r="H41" s="31" t="s">
        <v>93</v>
      </c>
      <c r="I41" s="31" t="s">
        <v>61</v>
      </c>
      <c r="J41" s="31" t="s">
        <v>32</v>
      </c>
      <c r="K41" s="32" t="s">
        <v>62</v>
      </c>
      <c r="L41" s="32">
        <v>2007</v>
      </c>
      <c r="M41" s="31" t="s">
        <v>34</v>
      </c>
      <c r="N41" s="31" t="s">
        <v>49</v>
      </c>
      <c r="O41" s="32" t="s">
        <v>36</v>
      </c>
      <c r="P41" s="32" t="s">
        <v>267</v>
      </c>
      <c r="Q41" s="32">
        <f t="shared" ref="Q41:Q54" si="32">S41*1.08</f>
        <v>5.0760000000000005</v>
      </c>
      <c r="R41" s="48">
        <v>0</v>
      </c>
      <c r="S41" s="31">
        <v>4.7</v>
      </c>
      <c r="T41" s="31">
        <v>12</v>
      </c>
      <c r="U41" s="31">
        <v>90</v>
      </c>
      <c r="V41" s="31">
        <v>3</v>
      </c>
      <c r="W41" s="31">
        <f t="shared" si="31"/>
        <v>0</v>
      </c>
      <c r="X41" s="48" t="s">
        <v>63</v>
      </c>
      <c r="Y41" s="48"/>
      <c r="Z41" s="31">
        <v>458.33330000000001</v>
      </c>
      <c r="AA41" s="32" t="s">
        <v>51</v>
      </c>
      <c r="AB41" s="31" t="s">
        <v>64</v>
      </c>
      <c r="AC41" s="31">
        <v>52.521008403361009</v>
      </c>
      <c r="AD41" s="31">
        <v>458.33330000000001</v>
      </c>
      <c r="AE41" s="32" t="s">
        <v>51</v>
      </c>
      <c r="AF41" s="31" t="s">
        <v>64</v>
      </c>
      <c r="AG41" s="31">
        <v>52.521008403361009</v>
      </c>
      <c r="AH41" s="8">
        <f t="shared" si="15"/>
        <v>0</v>
      </c>
      <c r="AI41" s="8">
        <f>VLOOKUP(F41,'[6]Sheet 2'!$B:$T,18,0)/VLOOKUP(F41,'[6]Sheet 2'!$B:$U,20,0)</f>
        <v>422.41663229288923</v>
      </c>
      <c r="AJ41" s="8">
        <f t="shared" si="16"/>
        <v>8.5026641853930093E-2</v>
      </c>
      <c r="AK41" s="31">
        <v>34.128677479927461</v>
      </c>
      <c r="AL41" s="32" t="s">
        <v>37</v>
      </c>
      <c r="AM41" s="31" t="s">
        <v>53</v>
      </c>
      <c r="AN41" s="31"/>
      <c r="AO41" s="31">
        <v>34.128677479927461</v>
      </c>
      <c r="AP41" s="32" t="s">
        <v>37</v>
      </c>
      <c r="AQ41" s="31" t="s">
        <v>53</v>
      </c>
      <c r="AR41" s="31"/>
      <c r="AS41" s="8">
        <f t="shared" si="17"/>
        <v>0</v>
      </c>
      <c r="AT41" s="8">
        <f>VLOOKUP(F41,'[7]Sheet 2'!$B:$T,18,0)/VLOOKUP(F41,'[7]Sheet 2'!$B:$U,20,0)</f>
        <v>33.059491231839921</v>
      </c>
      <c r="AU41" s="8">
        <f t="shared" si="18"/>
        <v>3.2341279561428828E-2</v>
      </c>
      <c r="AV41" s="57">
        <v>25.48936602989119</v>
      </c>
      <c r="AW41" s="31" t="s">
        <v>53</v>
      </c>
      <c r="AX41" s="31"/>
      <c r="AY41" s="31"/>
      <c r="AZ41" s="31">
        <v>25.48936602989119</v>
      </c>
      <c r="BA41" s="31" t="s">
        <v>53</v>
      </c>
      <c r="BB41" s="31"/>
      <c r="BC41" s="31"/>
      <c r="BD41" s="8">
        <f t="shared" si="19"/>
        <v>0</v>
      </c>
      <c r="BE41" s="8">
        <f>VLOOKUP(F41,'[8]Sheet 2'!$B:$T,18,0)/VLOOKUP(F41,'[8]Sheet 2'!$B:$U,20,0)</f>
        <v>31.291561139967349</v>
      </c>
      <c r="BF41" s="8">
        <f t="shared" si="20"/>
        <v>-0.18542363815352336</v>
      </c>
      <c r="BG41" s="31">
        <v>526.86933059231683</v>
      </c>
      <c r="BH41" s="31" t="s">
        <v>268</v>
      </c>
      <c r="BI41" s="31"/>
      <c r="BJ41" s="31"/>
      <c r="BK41" s="31">
        <v>526.86933059231683</v>
      </c>
      <c r="BL41" s="31" t="s">
        <v>268</v>
      </c>
      <c r="BM41" s="31"/>
      <c r="BN41" s="31"/>
      <c r="BO41" s="8">
        <f t="shared" si="21"/>
        <v>0</v>
      </c>
      <c r="BP41" s="8">
        <f>VLOOKUP(F41,'[9]Sheet 2'!$B:$T,18,0)/VLOOKUP(F41,'[9]Sheet 2'!$B:$U,20,0)</f>
        <v>403.60923792163931</v>
      </c>
      <c r="BQ41" s="8">
        <f t="shared" si="22"/>
        <v>0.30539462700456937</v>
      </c>
      <c r="BR41" s="31">
        <f t="shared" si="5"/>
        <v>13429.565217391313</v>
      </c>
      <c r="BS41" s="32" t="s">
        <v>213</v>
      </c>
      <c r="BT41" s="31"/>
      <c r="BU41" s="31"/>
      <c r="BV41" s="31">
        <f t="shared" si="6"/>
        <v>13429.565217391313</v>
      </c>
      <c r="BW41" s="32" t="s">
        <v>213</v>
      </c>
      <c r="BX41" s="31"/>
      <c r="BY41" s="31"/>
      <c r="BZ41" s="8">
        <f t="shared" si="23"/>
        <v>0</v>
      </c>
      <c r="CA41" s="8">
        <f>VLOOKUP(F41,'[10]Sheet 2'!$B:$T,18,0)/VLOOKUP(F41,'[10]Sheet 2'!$B:$U,20,0)</f>
        <v>12934.191267893662</v>
      </c>
      <c r="CB41" s="8">
        <f t="shared" si="24"/>
        <v>3.8299568889731024E-2</v>
      </c>
      <c r="CC41" s="49">
        <f t="shared" ref="CC41:CC58" si="33">25+14/60</f>
        <v>25.233333333333334</v>
      </c>
      <c r="CD41" s="49">
        <f t="shared" ref="CD41:CD58" si="34">82+3/60</f>
        <v>82.05</v>
      </c>
      <c r="CE41" s="50"/>
      <c r="CF41" s="50"/>
      <c r="CG41" s="51"/>
      <c r="CH41" s="52"/>
      <c r="CI41" s="40"/>
      <c r="CJ41" s="40"/>
      <c r="CK41" s="41"/>
      <c r="CL41" s="40"/>
      <c r="CM41" s="40"/>
    </row>
    <row r="42" spans="1:92" s="42" customFormat="1" hidden="1" x14ac:dyDescent="0.3">
      <c r="A42" s="31">
        <v>1</v>
      </c>
      <c r="B42" s="31"/>
      <c r="C42" s="31">
        <v>16</v>
      </c>
      <c r="D42" s="34" t="s">
        <v>58</v>
      </c>
      <c r="E42" s="34" t="s">
        <v>59</v>
      </c>
      <c r="F42" s="34" t="str">
        <f t="shared" si="0"/>
        <v>2010-112HUW5102007OTC</v>
      </c>
      <c r="G42" s="31" t="s">
        <v>60</v>
      </c>
      <c r="H42" s="31" t="s">
        <v>93</v>
      </c>
      <c r="I42" s="31" t="s">
        <v>61</v>
      </c>
      <c r="J42" s="31" t="s">
        <v>32</v>
      </c>
      <c r="K42" s="32" t="s">
        <v>62</v>
      </c>
      <c r="L42" s="32">
        <v>2007</v>
      </c>
      <c r="M42" s="31" t="s">
        <v>34</v>
      </c>
      <c r="N42" s="31" t="s">
        <v>49</v>
      </c>
      <c r="O42" s="32" t="s">
        <v>40</v>
      </c>
      <c r="P42" s="32"/>
      <c r="Q42" s="32">
        <f t="shared" si="32"/>
        <v>48.923999999999999</v>
      </c>
      <c r="R42" s="48">
        <v>7.9</v>
      </c>
      <c r="S42" s="31">
        <v>45.3</v>
      </c>
      <c r="T42" s="31">
        <v>12</v>
      </c>
      <c r="U42" s="31">
        <v>90</v>
      </c>
      <c r="V42" s="31">
        <v>3</v>
      </c>
      <c r="W42" s="31">
        <f t="shared" si="31"/>
        <v>7.9</v>
      </c>
      <c r="X42" s="48" t="s">
        <v>63</v>
      </c>
      <c r="Y42" s="48"/>
      <c r="Z42" s="31">
        <v>367.75360000000001</v>
      </c>
      <c r="AA42" s="32" t="s">
        <v>51</v>
      </c>
      <c r="AB42" s="31" t="s">
        <v>64</v>
      </c>
      <c r="AC42" s="31">
        <v>33.613445378151994</v>
      </c>
      <c r="AD42" s="31">
        <v>458.33330000000001</v>
      </c>
      <c r="AE42" s="32" t="s">
        <v>51</v>
      </c>
      <c r="AF42" s="31" t="s">
        <v>64</v>
      </c>
      <c r="AG42" s="31">
        <v>52.521008403361009</v>
      </c>
      <c r="AH42" s="8">
        <f t="shared" si="15"/>
        <v>-0.19762845073661461</v>
      </c>
      <c r="AI42" s="8">
        <f>VLOOKUP(F42,'[6]Sheet 2'!$B:$T,18,0)/VLOOKUP(F42,'[6]Sheet 2'!$B:$U,20,0)</f>
        <v>422.41663229288923</v>
      </c>
      <c r="AJ42" s="8">
        <f t="shared" si="16"/>
        <v>-0.12940549238361371</v>
      </c>
      <c r="AK42" s="31">
        <v>30.955690235690234</v>
      </c>
      <c r="AL42" s="32" t="s">
        <v>37</v>
      </c>
      <c r="AM42" s="31" t="s">
        <v>53</v>
      </c>
      <c r="AN42" s="31"/>
      <c r="AO42" s="31">
        <v>34.128677479927461</v>
      </c>
      <c r="AP42" s="32" t="s">
        <v>37</v>
      </c>
      <c r="AQ42" s="31" t="s">
        <v>53</v>
      </c>
      <c r="AR42" s="31"/>
      <c r="AS42" s="8">
        <f t="shared" si="17"/>
        <v>-9.2971292137042139E-2</v>
      </c>
      <c r="AT42" s="8">
        <f>VLOOKUP(F42,'[7]Sheet 2'!$B:$T,18,0)/VLOOKUP(F42,'[7]Sheet 2'!$B:$U,20,0)</f>
        <v>33.059491231839921</v>
      </c>
      <c r="AU42" s="8">
        <f t="shared" si="18"/>
        <v>-6.3636823125804654E-2</v>
      </c>
      <c r="AV42" s="57">
        <v>27.98695706218702</v>
      </c>
      <c r="AW42" s="31" t="s">
        <v>53</v>
      </c>
      <c r="AX42" s="31"/>
      <c r="AY42" s="31"/>
      <c r="AZ42" s="31">
        <v>25.48936602989119</v>
      </c>
      <c r="BA42" s="31" t="s">
        <v>53</v>
      </c>
      <c r="BB42" s="31"/>
      <c r="BC42" s="31"/>
      <c r="BD42" s="8">
        <f t="shared" si="19"/>
        <v>9.7985608169576424E-2</v>
      </c>
      <c r="BE42" s="8">
        <f>VLOOKUP(F42,'[8]Sheet 2'!$B:$T,18,0)/VLOOKUP(F42,'[8]Sheet 2'!$B:$U,20,0)</f>
        <v>31.291561139967349</v>
      </c>
      <c r="BF42" s="8">
        <f t="shared" si="20"/>
        <v>-0.10560687793743541</v>
      </c>
      <c r="BG42" s="31">
        <v>424.48344682855799</v>
      </c>
      <c r="BH42" s="31" t="s">
        <v>268</v>
      </c>
      <c r="BI42" s="31"/>
      <c r="BJ42" s="31"/>
      <c r="BK42" s="31">
        <v>526.86933059231683</v>
      </c>
      <c r="BL42" s="31" t="s">
        <v>268</v>
      </c>
      <c r="BM42" s="31"/>
      <c r="BN42" s="31"/>
      <c r="BO42" s="8">
        <f t="shared" si="21"/>
        <v>-0.19432879808861644</v>
      </c>
      <c r="BP42" s="8">
        <f>VLOOKUP(F42,'[9]Sheet 2'!$B:$T,18,0)/VLOOKUP(F42,'[9]Sheet 2'!$B:$U,20,0)</f>
        <v>403.60923792163931</v>
      </c>
      <c r="BQ42" s="8">
        <f t="shared" si="22"/>
        <v>5.1718858107433624E-2</v>
      </c>
      <c r="BR42" s="31">
        <f t="shared" si="5"/>
        <v>11880</v>
      </c>
      <c r="BS42" s="32" t="s">
        <v>213</v>
      </c>
      <c r="BT42" s="31"/>
      <c r="BU42" s="31"/>
      <c r="BV42" s="31">
        <f t="shared" si="6"/>
        <v>13429.565217391313</v>
      </c>
      <c r="BW42" s="32" t="s">
        <v>213</v>
      </c>
      <c r="BX42" s="31"/>
      <c r="BY42" s="31"/>
      <c r="BZ42" s="8">
        <f t="shared" si="23"/>
        <v>-0.11538461538461596</v>
      </c>
      <c r="CA42" s="8">
        <f>VLOOKUP(F42,'[10]Sheet 2'!$B:$T,18,0)/VLOOKUP(F42,'[10]Sheet 2'!$B:$U,20,0)</f>
        <v>12934.191267893662</v>
      </c>
      <c r="CB42" s="8">
        <f t="shared" si="24"/>
        <v>-8.1504227520623154E-2</v>
      </c>
      <c r="CC42" s="49">
        <f t="shared" si="33"/>
        <v>25.233333333333334</v>
      </c>
      <c r="CD42" s="49">
        <f t="shared" si="34"/>
        <v>82.05</v>
      </c>
      <c r="CE42" s="50"/>
      <c r="CF42" s="50"/>
      <c r="CG42" s="51"/>
      <c r="CH42" s="52"/>
      <c r="CI42" s="40"/>
      <c r="CJ42" s="40"/>
      <c r="CK42" s="41"/>
      <c r="CL42" s="40"/>
      <c r="CM42" s="40"/>
    </row>
    <row r="43" spans="1:92" s="42" customFormat="1" hidden="1" x14ac:dyDescent="0.3">
      <c r="A43" s="31">
        <v>1</v>
      </c>
      <c r="B43" s="31"/>
      <c r="C43" s="31">
        <v>16</v>
      </c>
      <c r="D43" s="34" t="s">
        <v>58</v>
      </c>
      <c r="E43" s="34" t="s">
        <v>59</v>
      </c>
      <c r="F43" s="34" t="str">
        <f t="shared" si="0"/>
        <v>2010-112HUW5102007OTC</v>
      </c>
      <c r="G43" s="31" t="s">
        <v>60</v>
      </c>
      <c r="H43" s="31" t="s">
        <v>93</v>
      </c>
      <c r="I43" s="31" t="s">
        <v>61</v>
      </c>
      <c r="J43" s="31" t="s">
        <v>32</v>
      </c>
      <c r="K43" s="32" t="s">
        <v>62</v>
      </c>
      <c r="L43" s="32">
        <v>2007</v>
      </c>
      <c r="M43" s="31" t="s">
        <v>34</v>
      </c>
      <c r="N43" s="31" t="s">
        <v>49</v>
      </c>
      <c r="O43" s="32" t="s">
        <v>41</v>
      </c>
      <c r="P43" s="32"/>
      <c r="Q43" s="32">
        <f t="shared" si="32"/>
        <v>54.432000000000002</v>
      </c>
      <c r="R43" s="48">
        <v>10.4</v>
      </c>
      <c r="S43" s="31">
        <v>50.4</v>
      </c>
      <c r="T43" s="31">
        <v>12</v>
      </c>
      <c r="U43" s="31">
        <v>90</v>
      </c>
      <c r="V43" s="31">
        <v>3</v>
      </c>
      <c r="W43" s="31">
        <f t="shared" si="31"/>
        <v>10.4</v>
      </c>
      <c r="X43" s="48" t="s">
        <v>63</v>
      </c>
      <c r="Y43" s="48"/>
      <c r="Z43" s="31">
        <v>288.04349999999999</v>
      </c>
      <c r="AA43" s="32" t="s">
        <v>51</v>
      </c>
      <c r="AB43" s="31" t="s">
        <v>64</v>
      </c>
      <c r="AC43" s="31">
        <v>23.109243697478973</v>
      </c>
      <c r="AD43" s="31">
        <v>458.33330000000001</v>
      </c>
      <c r="AE43" s="32" t="s">
        <v>51</v>
      </c>
      <c r="AF43" s="31" t="s">
        <v>64</v>
      </c>
      <c r="AG43" s="31">
        <v>52.521008403361009</v>
      </c>
      <c r="AH43" s="8">
        <f t="shared" si="15"/>
        <v>-0.3715414088393752</v>
      </c>
      <c r="AI43" s="8">
        <f>VLOOKUP(F43,'[6]Sheet 2'!$B:$T,18,0)/VLOOKUP(F43,'[6]Sheet 2'!$B:$U,20,0)</f>
        <v>422.41663229288923</v>
      </c>
      <c r="AJ43" s="8">
        <f t="shared" si="16"/>
        <v>-0.31810568528873528</v>
      </c>
      <c r="AK43" s="31">
        <v>28.844481452455639</v>
      </c>
      <c r="AL43" s="32" t="s">
        <v>37</v>
      </c>
      <c r="AM43" s="31" t="s">
        <v>53</v>
      </c>
      <c r="AN43" s="31"/>
      <c r="AO43" s="31">
        <v>34.128677479927461</v>
      </c>
      <c r="AP43" s="32" t="s">
        <v>37</v>
      </c>
      <c r="AQ43" s="31" t="s">
        <v>53</v>
      </c>
      <c r="AR43" s="31"/>
      <c r="AS43" s="8">
        <f t="shared" si="17"/>
        <v>-0.15483154981846819</v>
      </c>
      <c r="AT43" s="8">
        <f>VLOOKUP(F43,'[7]Sheet 2'!$B:$T,18,0)/VLOOKUP(F43,'[7]Sheet 2'!$B:$U,20,0)</f>
        <v>33.059491231839921</v>
      </c>
      <c r="AU43" s="8">
        <f t="shared" si="18"/>
        <v>-0.12749772069464774</v>
      </c>
      <c r="AV43" s="57">
        <v>32.807286118711687</v>
      </c>
      <c r="AW43" s="31" t="s">
        <v>53</v>
      </c>
      <c r="AX43" s="31"/>
      <c r="AY43" s="31"/>
      <c r="AZ43" s="31">
        <v>25.48936602989119</v>
      </c>
      <c r="BA43" s="31" t="s">
        <v>53</v>
      </c>
      <c r="BB43" s="31"/>
      <c r="BC43" s="31"/>
      <c r="BD43" s="8">
        <f t="shared" si="19"/>
        <v>0.28709698311989501</v>
      </c>
      <c r="BE43" s="8">
        <f>VLOOKUP(F43,'[8]Sheet 2'!$B:$T,18,0)/VLOOKUP(F43,'[8]Sheet 2'!$B:$U,20,0)</f>
        <v>31.291561139967349</v>
      </c>
      <c r="BF43" s="8">
        <f t="shared" si="20"/>
        <v>4.8438777853380029E-2</v>
      </c>
      <c r="BG43" s="31">
        <v>304.38625494310975</v>
      </c>
      <c r="BH43" s="31" t="s">
        <v>268</v>
      </c>
      <c r="BI43" s="31"/>
      <c r="BJ43" s="31"/>
      <c r="BK43" s="31">
        <v>526.86933059231683</v>
      </c>
      <c r="BL43" s="31" t="s">
        <v>268</v>
      </c>
      <c r="BM43" s="31"/>
      <c r="BN43" s="31"/>
      <c r="BO43" s="8">
        <f t="shared" si="21"/>
        <v>-0.42227372657863238</v>
      </c>
      <c r="BP43" s="8">
        <f>VLOOKUP(F43,'[9]Sheet 2'!$B:$T,18,0)/VLOOKUP(F43,'[9]Sheet 2'!$B:$U,20,0)</f>
        <v>403.60923792163931</v>
      </c>
      <c r="BQ43" s="8">
        <f t="shared" si="22"/>
        <v>-0.24583922679637399</v>
      </c>
      <c r="BR43" s="31">
        <f t="shared" si="5"/>
        <v>9986.0869565217217</v>
      </c>
      <c r="BS43" s="32" t="s">
        <v>213</v>
      </c>
      <c r="BT43" s="31"/>
      <c r="BU43" s="31"/>
      <c r="BV43" s="31">
        <f t="shared" si="6"/>
        <v>13429.565217391313</v>
      </c>
      <c r="BW43" s="32" t="s">
        <v>213</v>
      </c>
      <c r="BX43" s="31"/>
      <c r="BY43" s="31"/>
      <c r="BZ43" s="8">
        <f t="shared" si="23"/>
        <v>-0.25641025641025822</v>
      </c>
      <c r="CA43" s="8">
        <f>VLOOKUP(F43,'[10]Sheet 2'!$B:$T,18,0)/VLOOKUP(F43,'[10]Sheet 2'!$B:$U,20,0)</f>
        <v>12934.191267893662</v>
      </c>
      <c r="CB43" s="8">
        <f t="shared" si="24"/>
        <v>-0.22793108979994545</v>
      </c>
      <c r="CC43" s="49">
        <f t="shared" si="33"/>
        <v>25.233333333333334</v>
      </c>
      <c r="CD43" s="49">
        <f t="shared" si="34"/>
        <v>82.05</v>
      </c>
      <c r="CE43" s="50"/>
      <c r="CF43" s="50"/>
      <c r="CG43" s="51"/>
      <c r="CH43" s="52"/>
      <c r="CI43" s="40"/>
      <c r="CJ43" s="40"/>
      <c r="CK43" s="41"/>
      <c r="CL43" s="40"/>
      <c r="CM43" s="40"/>
    </row>
    <row r="44" spans="1:92" s="42" customFormat="1" hidden="1" x14ac:dyDescent="0.3">
      <c r="A44" s="31">
        <v>1</v>
      </c>
      <c r="B44" s="31"/>
      <c r="C44" s="31">
        <v>16</v>
      </c>
      <c r="D44" s="34" t="s">
        <v>58</v>
      </c>
      <c r="E44" s="34" t="s">
        <v>59</v>
      </c>
      <c r="F44" s="34" t="str">
        <f t="shared" si="0"/>
        <v>2010-112HUW5102007OTC</v>
      </c>
      <c r="G44" s="31" t="s">
        <v>60</v>
      </c>
      <c r="H44" s="31" t="s">
        <v>93</v>
      </c>
      <c r="I44" s="31" t="s">
        <v>61</v>
      </c>
      <c r="J44" s="31" t="s">
        <v>32</v>
      </c>
      <c r="K44" s="32" t="s">
        <v>62</v>
      </c>
      <c r="L44" s="32">
        <v>2007</v>
      </c>
      <c r="M44" s="31" t="s">
        <v>34</v>
      </c>
      <c r="N44" s="31" t="s">
        <v>49</v>
      </c>
      <c r="O44" s="32" t="s">
        <v>42</v>
      </c>
      <c r="P44" s="32"/>
      <c r="Q44" s="32">
        <f t="shared" si="32"/>
        <v>60.048000000000009</v>
      </c>
      <c r="R44" s="48">
        <v>13.1</v>
      </c>
      <c r="S44" s="31">
        <v>55.6</v>
      </c>
      <c r="T44" s="31">
        <v>12</v>
      </c>
      <c r="U44" s="31">
        <v>90</v>
      </c>
      <c r="V44" s="31">
        <v>3</v>
      </c>
      <c r="W44" s="31">
        <f t="shared" si="31"/>
        <v>13.1</v>
      </c>
      <c r="X44" s="48" t="s">
        <v>63</v>
      </c>
      <c r="Y44" s="48"/>
      <c r="Z44" s="31">
        <v>260.86959999999999</v>
      </c>
      <c r="AA44" s="32" t="s">
        <v>51</v>
      </c>
      <c r="AB44" s="31" t="s">
        <v>64</v>
      </c>
      <c r="AC44" s="31">
        <v>12.605042016806976</v>
      </c>
      <c r="AD44" s="31">
        <v>458.33330000000001</v>
      </c>
      <c r="AE44" s="32" t="s">
        <v>51</v>
      </c>
      <c r="AF44" s="31" t="s">
        <v>64</v>
      </c>
      <c r="AG44" s="31">
        <v>52.521008403361009</v>
      </c>
      <c r="AH44" s="8">
        <f t="shared" si="15"/>
        <v>-0.4308299222421762</v>
      </c>
      <c r="AI44" s="8">
        <f>VLOOKUP(F44,'[6]Sheet 2'!$B:$T,18,0)/VLOOKUP(F44,'[6]Sheet 2'!$B:$U,20,0)</f>
        <v>422.41663229288923</v>
      </c>
      <c r="AJ44" s="8">
        <f t="shared" si="16"/>
        <v>-0.38243530188668817</v>
      </c>
      <c r="AK44" s="31">
        <v>27.056280663780626</v>
      </c>
      <c r="AL44" s="32" t="s">
        <v>37</v>
      </c>
      <c r="AM44" s="31" t="s">
        <v>53</v>
      </c>
      <c r="AN44" s="31"/>
      <c r="AO44" s="31">
        <v>34.128677479927461</v>
      </c>
      <c r="AP44" s="32" t="s">
        <v>37</v>
      </c>
      <c r="AQ44" s="31" t="s">
        <v>53</v>
      </c>
      <c r="AR44" s="31"/>
      <c r="AS44" s="8">
        <f t="shared" si="17"/>
        <v>-0.20722739169446033</v>
      </c>
      <c r="AT44" s="8">
        <f>VLOOKUP(F44,'[7]Sheet 2'!$B:$T,18,0)/VLOOKUP(F44,'[7]Sheet 2'!$B:$U,20,0)</f>
        <v>33.059491231839921</v>
      </c>
      <c r="AU44" s="8">
        <f t="shared" si="18"/>
        <v>-0.18158811114060774</v>
      </c>
      <c r="AV44" s="57">
        <v>40.364343325875709</v>
      </c>
      <c r="AW44" s="31" t="s">
        <v>53</v>
      </c>
      <c r="AX44" s="31"/>
      <c r="AY44" s="31"/>
      <c r="AZ44" s="31">
        <v>25.48936602989119</v>
      </c>
      <c r="BA44" s="31" t="s">
        <v>53</v>
      </c>
      <c r="BB44" s="31"/>
      <c r="BC44" s="31"/>
      <c r="BD44" s="8">
        <f t="shared" si="19"/>
        <v>0.58357580484900029</v>
      </c>
      <c r="BE44" s="8">
        <f>VLOOKUP(F44,'[8]Sheet 2'!$B:$T,18,0)/VLOOKUP(F44,'[8]Sheet 2'!$B:$U,20,0)</f>
        <v>31.291561139967349</v>
      </c>
      <c r="BF44" s="8">
        <f t="shared" si="20"/>
        <v>0.28994341782200472</v>
      </c>
      <c r="BG44" s="31">
        <v>238.86773166588156</v>
      </c>
      <c r="BH44" s="31" t="s">
        <v>268</v>
      </c>
      <c r="BI44" s="31"/>
      <c r="BJ44" s="31"/>
      <c r="BK44" s="31">
        <v>526.86933059231683</v>
      </c>
      <c r="BL44" s="31" t="s">
        <v>268</v>
      </c>
      <c r="BM44" s="31"/>
      <c r="BN44" s="31"/>
      <c r="BO44" s="8">
        <f t="shared" si="21"/>
        <v>-0.54662813377779684</v>
      </c>
      <c r="BP44" s="8">
        <f>VLOOKUP(F44,'[9]Sheet 2'!$B:$T,18,0)/VLOOKUP(F44,'[9]Sheet 2'!$B:$U,20,0)</f>
        <v>403.60923792163931</v>
      </c>
      <c r="BQ44" s="8">
        <f t="shared" si="22"/>
        <v>-0.40817080179850168</v>
      </c>
      <c r="BR44" s="31">
        <f t="shared" si="5"/>
        <v>9641.7391304347966</v>
      </c>
      <c r="BS44" s="32" t="s">
        <v>213</v>
      </c>
      <c r="BT44" s="31"/>
      <c r="BU44" s="31"/>
      <c r="BV44" s="31">
        <f t="shared" si="6"/>
        <v>13429.565217391313</v>
      </c>
      <c r="BW44" s="32" t="s">
        <v>213</v>
      </c>
      <c r="BX44" s="31"/>
      <c r="BY44" s="31"/>
      <c r="BZ44" s="8">
        <f t="shared" si="23"/>
        <v>-0.28205128205128149</v>
      </c>
      <c r="CA44" s="8">
        <f>VLOOKUP(F44,'[10]Sheet 2'!$B:$T,18,0)/VLOOKUP(F44,'[10]Sheet 2'!$B:$U,20,0)</f>
        <v>12934.191267893662</v>
      </c>
      <c r="CB44" s="8">
        <f t="shared" si="24"/>
        <v>-0.25455415566891049</v>
      </c>
      <c r="CC44" s="49">
        <f t="shared" si="33"/>
        <v>25.233333333333334</v>
      </c>
      <c r="CD44" s="49">
        <f t="shared" si="34"/>
        <v>82.05</v>
      </c>
      <c r="CE44" s="50"/>
      <c r="CF44" s="50"/>
      <c r="CG44" s="51"/>
      <c r="CH44" s="52"/>
      <c r="CI44" s="40"/>
      <c r="CJ44" s="40"/>
      <c r="CK44" s="41"/>
      <c r="CL44" s="40"/>
      <c r="CM44" s="40"/>
    </row>
    <row r="45" spans="1:92" s="19" customFormat="1" hidden="1" x14ac:dyDescent="0.3">
      <c r="A45" s="3">
        <v>1</v>
      </c>
      <c r="B45" s="3"/>
      <c r="C45" s="3">
        <v>16</v>
      </c>
      <c r="D45" s="6" t="s">
        <v>58</v>
      </c>
      <c r="E45" s="6" t="s">
        <v>59</v>
      </c>
      <c r="F45" s="6" t="str">
        <f t="shared" si="0"/>
        <v>2010-112Sonalika2007OTC</v>
      </c>
      <c r="G45" s="3" t="s">
        <v>60</v>
      </c>
      <c r="H45" s="3" t="s">
        <v>93</v>
      </c>
      <c r="I45" s="3" t="s">
        <v>61</v>
      </c>
      <c r="J45" s="3" t="s">
        <v>32</v>
      </c>
      <c r="K45" s="4" t="s">
        <v>67</v>
      </c>
      <c r="L45" s="4">
        <v>2007</v>
      </c>
      <c r="M45" s="3" t="s">
        <v>34</v>
      </c>
      <c r="N45" s="3" t="s">
        <v>49</v>
      </c>
      <c r="O45" s="4" t="s">
        <v>36</v>
      </c>
      <c r="P45" s="32" t="s">
        <v>267</v>
      </c>
      <c r="Q45" s="4">
        <f t="shared" si="32"/>
        <v>5.0760000000000005</v>
      </c>
      <c r="R45" s="10">
        <v>0</v>
      </c>
      <c r="S45" s="3">
        <v>4.7</v>
      </c>
      <c r="T45" s="3">
        <v>12</v>
      </c>
      <c r="U45" s="3">
        <v>90</v>
      </c>
      <c r="V45" s="3">
        <v>3</v>
      </c>
      <c r="W45" s="3">
        <f t="shared" si="31"/>
        <v>0</v>
      </c>
      <c r="X45" s="10" t="s">
        <v>63</v>
      </c>
      <c r="Y45" s="10"/>
      <c r="Z45" s="3">
        <v>501.47058823529397</v>
      </c>
      <c r="AA45" s="4" t="s">
        <v>51</v>
      </c>
      <c r="AB45" s="3" t="s">
        <v>64</v>
      </c>
      <c r="AC45" s="3">
        <v>46.218487394958004</v>
      </c>
      <c r="AD45" s="3">
        <v>501.47058823529397</v>
      </c>
      <c r="AE45" s="4" t="s">
        <v>51</v>
      </c>
      <c r="AF45" s="3" t="s">
        <v>64</v>
      </c>
      <c r="AG45" s="3">
        <v>46.218487394958004</v>
      </c>
      <c r="AH45" s="8">
        <f t="shared" si="15"/>
        <v>0</v>
      </c>
      <c r="AI45" s="8">
        <f>VLOOKUP(F45,'[6]Sheet 2'!$B:$T,18,0)/VLOOKUP(F45,'[6]Sheet 2'!$B:$U,20,0)</f>
        <v>505.99658723737684</v>
      </c>
      <c r="AJ45" s="8">
        <f t="shared" si="16"/>
        <v>-8.9447223879389522E-3</v>
      </c>
      <c r="AK45" s="3">
        <v>37.66269438810005</v>
      </c>
      <c r="AL45" s="4" t="s">
        <v>37</v>
      </c>
      <c r="AM45" s="3" t="s">
        <v>53</v>
      </c>
      <c r="AN45" s="3"/>
      <c r="AO45" s="3">
        <v>37.66269438810005</v>
      </c>
      <c r="AP45" s="4" t="s">
        <v>37</v>
      </c>
      <c r="AQ45" s="3" t="s">
        <v>53</v>
      </c>
      <c r="AR45" s="3"/>
      <c r="AS45" s="8">
        <f t="shared" si="17"/>
        <v>0</v>
      </c>
      <c r="AT45" s="8">
        <f>VLOOKUP(F45,'[7]Sheet 2'!$B:$T,18,0)/VLOOKUP(F45,'[7]Sheet 2'!$B:$U,20,0)</f>
        <v>41.61102132034577</v>
      </c>
      <c r="AU45" s="8">
        <f t="shared" si="18"/>
        <v>-9.4886566274093836E-2</v>
      </c>
      <c r="AV45" s="57">
        <v>26.983358586507215</v>
      </c>
      <c r="AW45" s="3" t="s">
        <v>53</v>
      </c>
      <c r="AX45" s="3"/>
      <c r="AY45" s="3"/>
      <c r="AZ45" s="3">
        <v>26.983358586507215</v>
      </c>
      <c r="BA45" s="3" t="s">
        <v>53</v>
      </c>
      <c r="BB45" s="3"/>
      <c r="BC45" s="3"/>
      <c r="BD45" s="8">
        <f t="shared" si="19"/>
        <v>0</v>
      </c>
      <c r="BE45" s="8">
        <f>VLOOKUP(F45,'[8]Sheet 2'!$B:$T,18,0)/VLOOKUP(F45,'[8]Sheet 2'!$B:$U,20,0)</f>
        <v>28.674919945179909</v>
      </c>
      <c r="BF45" s="8">
        <f t="shared" si="20"/>
        <v>-5.8990970573120478E-2</v>
      </c>
      <c r="BG45" s="3">
        <v>493.4442303025092</v>
      </c>
      <c r="BH45" s="3" t="s">
        <v>268</v>
      </c>
      <c r="BI45" s="3"/>
      <c r="BJ45" s="3"/>
      <c r="BK45" s="3">
        <v>493.4442303025092</v>
      </c>
      <c r="BL45" s="3" t="s">
        <v>268</v>
      </c>
      <c r="BM45" s="3"/>
      <c r="BN45" s="3"/>
      <c r="BO45" s="8">
        <f t="shared" si="21"/>
        <v>0</v>
      </c>
      <c r="BP45" s="8">
        <f>VLOOKUP(F45,'[9]Sheet 2'!$B:$T,18,0)/VLOOKUP(F45,'[9]Sheet 2'!$B:$U,20,0)</f>
        <v>419.1606282768625</v>
      </c>
      <c r="BQ45" s="8">
        <f t="shared" si="22"/>
        <v>0.1772198937935105</v>
      </c>
      <c r="BR45" s="3">
        <f t="shared" si="5"/>
        <v>13314.782608695656</v>
      </c>
      <c r="BS45" s="4" t="s">
        <v>213</v>
      </c>
      <c r="BT45" s="3"/>
      <c r="BU45" s="3"/>
      <c r="BV45" s="3">
        <f t="shared" si="6"/>
        <v>13314.782608695656</v>
      </c>
      <c r="BW45" s="4" t="s">
        <v>213</v>
      </c>
      <c r="BX45" s="3"/>
      <c r="BY45" s="3"/>
      <c r="BZ45" s="8">
        <f t="shared" si="23"/>
        <v>0</v>
      </c>
      <c r="CA45" s="8">
        <f>VLOOKUP(F45,'[10]Sheet 2'!$B:$T,18,0)/VLOOKUP(F45,'[10]Sheet 2'!$B:$U,20,0)</f>
        <v>12309.308238675707</v>
      </c>
      <c r="CB45" s="8">
        <f t="shared" si="24"/>
        <v>8.1684067904056523E-2</v>
      </c>
      <c r="CC45" s="26">
        <f t="shared" si="33"/>
        <v>25.233333333333334</v>
      </c>
      <c r="CD45" s="26">
        <f t="shared" si="34"/>
        <v>82.05</v>
      </c>
      <c r="CE45" s="22"/>
      <c r="CF45" s="22"/>
      <c r="CG45" s="27"/>
      <c r="CH45" s="28"/>
      <c r="CI45" s="21"/>
      <c r="CJ45" s="21"/>
      <c r="CK45" s="30"/>
      <c r="CL45" s="21"/>
      <c r="CM45" s="21"/>
    </row>
    <row r="46" spans="1:92" s="19" customFormat="1" hidden="1" x14ac:dyDescent="0.3">
      <c r="A46" s="3">
        <v>1</v>
      </c>
      <c r="B46" s="3"/>
      <c r="C46" s="3">
        <v>16</v>
      </c>
      <c r="D46" s="6" t="s">
        <v>58</v>
      </c>
      <c r="E46" s="6" t="s">
        <v>59</v>
      </c>
      <c r="F46" s="6" t="str">
        <f t="shared" si="0"/>
        <v>2010-112Sonalika2007OTC</v>
      </c>
      <c r="G46" s="3" t="s">
        <v>60</v>
      </c>
      <c r="H46" s="3" t="s">
        <v>93</v>
      </c>
      <c r="I46" s="3" t="s">
        <v>61</v>
      </c>
      <c r="J46" s="3" t="s">
        <v>32</v>
      </c>
      <c r="K46" s="4" t="s">
        <v>67</v>
      </c>
      <c r="L46" s="4">
        <v>2007</v>
      </c>
      <c r="M46" s="3" t="s">
        <v>34</v>
      </c>
      <c r="N46" s="3" t="s">
        <v>49</v>
      </c>
      <c r="O46" s="4" t="s">
        <v>40</v>
      </c>
      <c r="P46" s="4"/>
      <c r="Q46" s="4">
        <f t="shared" si="32"/>
        <v>48.923999999999999</v>
      </c>
      <c r="R46" s="10">
        <v>7.9</v>
      </c>
      <c r="S46" s="3">
        <v>45.3</v>
      </c>
      <c r="T46" s="3">
        <v>12</v>
      </c>
      <c r="U46" s="3">
        <v>90</v>
      </c>
      <c r="V46" s="3">
        <v>3</v>
      </c>
      <c r="W46" s="3">
        <f t="shared" si="31"/>
        <v>7.9</v>
      </c>
      <c r="X46" s="10" t="s">
        <v>63</v>
      </c>
      <c r="Y46" s="10"/>
      <c r="Z46" s="3">
        <v>445.39215686274503</v>
      </c>
      <c r="AA46" s="4" t="s">
        <v>51</v>
      </c>
      <c r="AB46" s="3" t="s">
        <v>64</v>
      </c>
      <c r="AC46" s="3">
        <v>37.81512605042002</v>
      </c>
      <c r="AD46" s="3">
        <v>501.47058823529397</v>
      </c>
      <c r="AE46" s="4" t="s">
        <v>51</v>
      </c>
      <c r="AF46" s="3" t="s">
        <v>64</v>
      </c>
      <c r="AG46" s="3">
        <v>46.218487394958004</v>
      </c>
      <c r="AH46" s="8">
        <f t="shared" si="15"/>
        <v>-0.1118279569892472</v>
      </c>
      <c r="AI46" s="8">
        <f>VLOOKUP(F46,'[6]Sheet 2'!$B:$T,18,0)/VLOOKUP(F46,'[6]Sheet 2'!$B:$U,20,0)</f>
        <v>505.99658723737684</v>
      </c>
      <c r="AJ46" s="8">
        <f t="shared" si="16"/>
        <v>-0.11977240934670697</v>
      </c>
      <c r="AK46" s="3">
        <v>40.845373237014051</v>
      </c>
      <c r="AL46" s="4" t="s">
        <v>37</v>
      </c>
      <c r="AM46" s="3" t="s">
        <v>53</v>
      </c>
      <c r="AN46" s="3"/>
      <c r="AO46" s="3">
        <v>37.66269438810005</v>
      </c>
      <c r="AP46" s="4" t="s">
        <v>37</v>
      </c>
      <c r="AQ46" s="3" t="s">
        <v>53</v>
      </c>
      <c r="AR46" s="3"/>
      <c r="AS46" s="8">
        <f t="shared" si="17"/>
        <v>8.4504810413128711E-2</v>
      </c>
      <c r="AT46" s="8">
        <f>VLOOKUP(F46,'[7]Sheet 2'!$B:$T,18,0)/VLOOKUP(F46,'[7]Sheet 2'!$B:$U,20,0)</f>
        <v>41.61102132034577</v>
      </c>
      <c r="AU46" s="8">
        <f t="shared" si="18"/>
        <v>-1.8400127154710191E-2</v>
      </c>
      <c r="AV46" s="57">
        <v>25.402819437028814</v>
      </c>
      <c r="AW46" s="3" t="s">
        <v>53</v>
      </c>
      <c r="AX46" s="3"/>
      <c r="AY46" s="3"/>
      <c r="AZ46" s="3">
        <v>26.983358586507215</v>
      </c>
      <c r="BA46" s="3" t="s">
        <v>53</v>
      </c>
      <c r="BB46" s="3"/>
      <c r="BC46" s="3"/>
      <c r="BD46" s="8">
        <f t="shared" si="19"/>
        <v>-5.8574589386687227E-2</v>
      </c>
      <c r="BE46" s="8">
        <f>VLOOKUP(F46,'[8]Sheet 2'!$B:$T,18,0)/VLOOKUP(F46,'[8]Sheet 2'!$B:$U,20,0)</f>
        <v>28.674919945179909</v>
      </c>
      <c r="BF46" s="8">
        <f t="shared" si="20"/>
        <v>-0.11411018808096501</v>
      </c>
      <c r="BG46" s="3">
        <v>429.25738432766548</v>
      </c>
      <c r="BH46" s="3" t="s">
        <v>268</v>
      </c>
      <c r="BI46" s="3"/>
      <c r="BJ46" s="3"/>
      <c r="BK46" s="3">
        <v>493.4442303025092</v>
      </c>
      <c r="BL46" s="3" t="s">
        <v>268</v>
      </c>
      <c r="BM46" s="3"/>
      <c r="BN46" s="3"/>
      <c r="BO46" s="8">
        <f t="shared" si="21"/>
        <v>-0.1300792309102359</v>
      </c>
      <c r="BP46" s="8">
        <f>VLOOKUP(F46,'[9]Sheet 2'!$B:$T,18,0)/VLOOKUP(F46,'[9]Sheet 2'!$B:$U,20,0)</f>
        <v>419.1606282768625</v>
      </c>
      <c r="BQ46" s="8">
        <f t="shared" si="22"/>
        <v>2.4088035396621046E-2</v>
      </c>
      <c r="BR46" s="3">
        <f t="shared" si="5"/>
        <v>10904.347826086969</v>
      </c>
      <c r="BS46" s="4" t="s">
        <v>213</v>
      </c>
      <c r="BT46" s="3"/>
      <c r="BU46" s="3"/>
      <c r="BV46" s="3">
        <f t="shared" si="6"/>
        <v>13314.782608695656</v>
      </c>
      <c r="BW46" s="4" t="s">
        <v>213</v>
      </c>
      <c r="BX46" s="3"/>
      <c r="BY46" s="3"/>
      <c r="BZ46" s="8">
        <f t="shared" si="23"/>
        <v>-0.18103448275862</v>
      </c>
      <c r="CA46" s="8">
        <f>VLOOKUP(F46,'[10]Sheet 2'!$B:$T,18,0)/VLOOKUP(F46,'[10]Sheet 2'!$B:$U,20,0)</f>
        <v>12309.308238675707</v>
      </c>
      <c r="CB46" s="8">
        <f t="shared" si="24"/>
        <v>-0.11413804783719433</v>
      </c>
      <c r="CC46" s="26">
        <f t="shared" si="33"/>
        <v>25.233333333333334</v>
      </c>
      <c r="CD46" s="26">
        <f t="shared" si="34"/>
        <v>82.05</v>
      </c>
      <c r="CE46" s="22"/>
      <c r="CF46" s="22"/>
      <c r="CG46" s="27"/>
      <c r="CH46" s="28"/>
      <c r="CI46" s="21"/>
      <c r="CJ46" s="21"/>
      <c r="CK46" s="30"/>
      <c r="CL46" s="21"/>
      <c r="CM46" s="21"/>
    </row>
    <row r="47" spans="1:92" s="19" customFormat="1" hidden="1" x14ac:dyDescent="0.3">
      <c r="A47" s="3">
        <v>1</v>
      </c>
      <c r="B47" s="3"/>
      <c r="C47" s="3">
        <v>16</v>
      </c>
      <c r="D47" s="6" t="s">
        <v>58</v>
      </c>
      <c r="E47" s="6" t="s">
        <v>59</v>
      </c>
      <c r="F47" s="6" t="str">
        <f t="shared" si="0"/>
        <v>2010-112Sonalika2007OTC</v>
      </c>
      <c r="G47" s="3" t="s">
        <v>60</v>
      </c>
      <c r="H47" s="3" t="s">
        <v>93</v>
      </c>
      <c r="I47" s="3" t="s">
        <v>61</v>
      </c>
      <c r="J47" s="3" t="s">
        <v>32</v>
      </c>
      <c r="K47" s="4" t="s">
        <v>67</v>
      </c>
      <c r="L47" s="4">
        <v>2007</v>
      </c>
      <c r="M47" s="3" t="s">
        <v>34</v>
      </c>
      <c r="N47" s="3" t="s">
        <v>49</v>
      </c>
      <c r="O47" s="4" t="s">
        <v>41</v>
      </c>
      <c r="P47" s="4"/>
      <c r="Q47" s="4">
        <f t="shared" si="32"/>
        <v>54.432000000000002</v>
      </c>
      <c r="R47" s="10">
        <v>10.4</v>
      </c>
      <c r="S47" s="3">
        <v>50.4</v>
      </c>
      <c r="T47" s="3">
        <v>12</v>
      </c>
      <c r="U47" s="3">
        <v>90</v>
      </c>
      <c r="V47" s="3">
        <v>3</v>
      </c>
      <c r="W47" s="3">
        <f t="shared" si="31"/>
        <v>10.4</v>
      </c>
      <c r="X47" s="10" t="s">
        <v>63</v>
      </c>
      <c r="Y47" s="10"/>
      <c r="Z47" s="3">
        <v>378.52941176470603</v>
      </c>
      <c r="AA47" s="4" t="s">
        <v>51</v>
      </c>
      <c r="AB47" s="3" t="s">
        <v>64</v>
      </c>
      <c r="AC47" s="3">
        <v>35.714285714284983</v>
      </c>
      <c r="AD47" s="3">
        <v>501.47058823529397</v>
      </c>
      <c r="AE47" s="4" t="s">
        <v>51</v>
      </c>
      <c r="AF47" s="3" t="s">
        <v>64</v>
      </c>
      <c r="AG47" s="3">
        <v>46.218487394958004</v>
      </c>
      <c r="AH47" s="8">
        <f t="shared" si="15"/>
        <v>-0.24516129032258013</v>
      </c>
      <c r="AI47" s="8">
        <f>VLOOKUP(F47,'[6]Sheet 2'!$B:$T,18,0)/VLOOKUP(F47,'[6]Sheet 2'!$B:$U,20,0)</f>
        <v>505.99658723737684</v>
      </c>
      <c r="AJ47" s="8">
        <f t="shared" si="16"/>
        <v>-0.25191311302831471</v>
      </c>
      <c r="AK47" s="3">
        <v>38.797577854671232</v>
      </c>
      <c r="AL47" s="4" t="s">
        <v>37</v>
      </c>
      <c r="AM47" s="3" t="s">
        <v>53</v>
      </c>
      <c r="AN47" s="3"/>
      <c r="AO47" s="3">
        <v>37.66269438810005</v>
      </c>
      <c r="AP47" s="4" t="s">
        <v>37</v>
      </c>
      <c r="AQ47" s="3" t="s">
        <v>53</v>
      </c>
      <c r="AR47" s="3"/>
      <c r="AS47" s="8">
        <f t="shared" si="17"/>
        <v>3.013282732447738E-2</v>
      </c>
      <c r="AT47" s="8">
        <f>VLOOKUP(F47,'[7]Sheet 2'!$B:$T,18,0)/VLOOKUP(F47,'[7]Sheet 2'!$B:$U,20,0)</f>
        <v>41.61102132034577</v>
      </c>
      <c r="AU47" s="8">
        <f t="shared" si="18"/>
        <v>-6.7612939466566296E-2</v>
      </c>
      <c r="AV47" s="57">
        <v>29.599050350575602</v>
      </c>
      <c r="AW47" s="3" t="s">
        <v>53</v>
      </c>
      <c r="AX47" s="3"/>
      <c r="AY47" s="3"/>
      <c r="AZ47" s="3">
        <v>26.983358586507215</v>
      </c>
      <c r="BA47" s="3" t="s">
        <v>53</v>
      </c>
      <c r="BB47" s="3"/>
      <c r="BC47" s="3"/>
      <c r="BD47" s="8">
        <f t="shared" si="19"/>
        <v>9.6937219867668373E-2</v>
      </c>
      <c r="BE47" s="8">
        <f>VLOOKUP(F47,'[8]Sheet 2'!$B:$T,18,0)/VLOOKUP(F47,'[8]Sheet 2'!$B:$U,20,0)</f>
        <v>28.674919945179909</v>
      </c>
      <c r="BF47" s="8">
        <f t="shared" si="20"/>
        <v>3.2227828609894163E-2</v>
      </c>
      <c r="BG47" s="3">
        <v>329.62279612260329</v>
      </c>
      <c r="BH47" s="3" t="s">
        <v>268</v>
      </c>
      <c r="BI47" s="3"/>
      <c r="BJ47" s="3"/>
      <c r="BK47" s="3">
        <v>493.4442303025092</v>
      </c>
      <c r="BL47" s="3" t="s">
        <v>268</v>
      </c>
      <c r="BM47" s="3"/>
      <c r="BN47" s="3"/>
      <c r="BO47" s="8">
        <f t="shared" si="21"/>
        <v>-0.33199584495997475</v>
      </c>
      <c r="BP47" s="8">
        <f>VLOOKUP(F47,'[9]Sheet 2'!$B:$T,18,0)/VLOOKUP(F47,'[9]Sheet 2'!$B:$U,20,0)</f>
        <v>419.1606282768625</v>
      </c>
      <c r="BQ47" s="8">
        <f t="shared" si="22"/>
        <v>-0.21361221955015774</v>
      </c>
      <c r="BR47" s="3">
        <f t="shared" si="5"/>
        <v>9756.5217391304504</v>
      </c>
      <c r="BS47" s="4" t="s">
        <v>213</v>
      </c>
      <c r="BT47" s="3"/>
      <c r="BU47" s="3"/>
      <c r="BV47" s="3">
        <f t="shared" si="6"/>
        <v>13314.782608695656</v>
      </c>
      <c r="BW47" s="4" t="s">
        <v>213</v>
      </c>
      <c r="BX47" s="3"/>
      <c r="BY47" s="3"/>
      <c r="BZ47" s="8">
        <f t="shared" si="23"/>
        <v>-0.26724137931034386</v>
      </c>
      <c r="CA47" s="8">
        <f>VLOOKUP(F47,'[10]Sheet 2'!$B:$T,18,0)/VLOOKUP(F47,'[10]Sheet 2'!$B:$U,20,0)</f>
        <v>12309.308238675707</v>
      </c>
      <c r="CB47" s="8">
        <f t="shared" si="24"/>
        <v>-0.20738667438064717</v>
      </c>
      <c r="CC47" s="26">
        <f t="shared" si="33"/>
        <v>25.233333333333334</v>
      </c>
      <c r="CD47" s="26">
        <f t="shared" si="34"/>
        <v>82.05</v>
      </c>
      <c r="CE47" s="22"/>
      <c r="CF47" s="22"/>
      <c r="CG47" s="27"/>
      <c r="CH47" s="28"/>
      <c r="CI47" s="21"/>
      <c r="CJ47" s="21"/>
      <c r="CK47" s="30"/>
      <c r="CL47" s="21"/>
      <c r="CM47" s="21"/>
    </row>
    <row r="48" spans="1:92" s="19" customFormat="1" hidden="1" x14ac:dyDescent="0.3">
      <c r="A48" s="3">
        <v>1</v>
      </c>
      <c r="B48" s="3"/>
      <c r="C48" s="3">
        <v>16</v>
      </c>
      <c r="D48" s="6" t="s">
        <v>58</v>
      </c>
      <c r="E48" s="6" t="s">
        <v>59</v>
      </c>
      <c r="F48" s="6" t="str">
        <f t="shared" si="0"/>
        <v>2010-112Sonalika2007OTC</v>
      </c>
      <c r="G48" s="3" t="s">
        <v>60</v>
      </c>
      <c r="H48" s="3" t="s">
        <v>93</v>
      </c>
      <c r="I48" s="3" t="s">
        <v>61</v>
      </c>
      <c r="J48" s="3" t="s">
        <v>32</v>
      </c>
      <c r="K48" s="4" t="s">
        <v>67</v>
      </c>
      <c r="L48" s="4">
        <v>2007</v>
      </c>
      <c r="M48" s="3" t="s">
        <v>34</v>
      </c>
      <c r="N48" s="3" t="s">
        <v>49</v>
      </c>
      <c r="O48" s="4" t="s">
        <v>42</v>
      </c>
      <c r="P48" s="4"/>
      <c r="Q48" s="4">
        <f t="shared" si="32"/>
        <v>60.048000000000009</v>
      </c>
      <c r="R48" s="10">
        <v>13.1</v>
      </c>
      <c r="S48" s="3">
        <v>55.6</v>
      </c>
      <c r="T48" s="3">
        <v>12</v>
      </c>
      <c r="U48" s="3">
        <v>90</v>
      </c>
      <c r="V48" s="3">
        <v>3</v>
      </c>
      <c r="W48" s="3">
        <f t="shared" si="31"/>
        <v>13.1</v>
      </c>
      <c r="X48" s="10" t="s">
        <v>63</v>
      </c>
      <c r="Y48" s="10"/>
      <c r="Z48" s="3">
        <v>308.43137254902001</v>
      </c>
      <c r="AA48" s="4" t="s">
        <v>51</v>
      </c>
      <c r="AB48" s="3" t="s">
        <v>64</v>
      </c>
      <c r="AC48" s="3">
        <v>37.81512605042002</v>
      </c>
      <c r="AD48" s="3">
        <v>501.47058823529397</v>
      </c>
      <c r="AE48" s="4" t="s">
        <v>51</v>
      </c>
      <c r="AF48" s="3" t="s">
        <v>64</v>
      </c>
      <c r="AG48" s="3">
        <v>46.218487394958004</v>
      </c>
      <c r="AH48" s="8">
        <f t="shared" si="15"/>
        <v>-0.38494623655913879</v>
      </c>
      <c r="AI48" s="8">
        <f>VLOOKUP(F48,'[6]Sheet 2'!$B:$T,18,0)/VLOOKUP(F48,'[6]Sheet 2'!$B:$U,20,0)</f>
        <v>505.99658723737684</v>
      </c>
      <c r="AJ48" s="8">
        <f t="shared" si="16"/>
        <v>-0.39044772172677439</v>
      </c>
      <c r="AK48" s="3">
        <v>34.672148429264269</v>
      </c>
      <c r="AL48" s="4" t="s">
        <v>37</v>
      </c>
      <c r="AM48" s="3" t="s">
        <v>53</v>
      </c>
      <c r="AN48" s="3"/>
      <c r="AO48" s="3">
        <v>37.66269438810005</v>
      </c>
      <c r="AP48" s="4" t="s">
        <v>37</v>
      </c>
      <c r="AQ48" s="3" t="s">
        <v>53</v>
      </c>
      <c r="AR48" s="3"/>
      <c r="AS48" s="8">
        <f t="shared" si="17"/>
        <v>-7.9403399236903191E-2</v>
      </c>
      <c r="AT48" s="8">
        <f>VLOOKUP(F48,'[7]Sheet 2'!$B:$T,18,0)/VLOOKUP(F48,'[7]Sheet 2'!$B:$U,20,0)</f>
        <v>41.61102132034577</v>
      </c>
      <c r="AU48" s="8">
        <f t="shared" si="18"/>
        <v>-0.16675564960691627</v>
      </c>
      <c r="AV48" s="57">
        <v>32.834253218017082</v>
      </c>
      <c r="AW48" s="3" t="s">
        <v>53</v>
      </c>
      <c r="AX48" s="3"/>
      <c r="AY48" s="3"/>
      <c r="AZ48" s="3">
        <v>26.983358586507215</v>
      </c>
      <c r="BA48" s="3" t="s">
        <v>53</v>
      </c>
      <c r="BB48" s="3"/>
      <c r="BC48" s="3"/>
      <c r="BD48" s="8">
        <f t="shared" si="19"/>
        <v>0.21683344616839337</v>
      </c>
      <c r="BE48" s="8">
        <f>VLOOKUP(F48,'[8]Sheet 2'!$B:$T,18,0)/VLOOKUP(F48,'[8]Sheet 2'!$B:$U,20,0)</f>
        <v>28.674919945179909</v>
      </c>
      <c r="BF48" s="8">
        <f t="shared" si="20"/>
        <v>0.14505126015308489</v>
      </c>
      <c r="BG48" s="3">
        <v>270.92597827173165</v>
      </c>
      <c r="BH48" s="3" t="s">
        <v>268</v>
      </c>
      <c r="BI48" s="3"/>
      <c r="BJ48" s="3"/>
      <c r="BK48" s="3">
        <v>493.4442303025092</v>
      </c>
      <c r="BL48" s="3" t="s">
        <v>268</v>
      </c>
      <c r="BM48" s="3"/>
      <c r="BN48" s="3"/>
      <c r="BO48" s="8">
        <f t="shared" si="21"/>
        <v>-0.45094914149540521</v>
      </c>
      <c r="BP48" s="8">
        <f>VLOOKUP(F48,'[9]Sheet 2'!$B:$T,18,0)/VLOOKUP(F48,'[9]Sheet 2'!$B:$U,20,0)</f>
        <v>419.1606282768625</v>
      </c>
      <c r="BQ48" s="8">
        <f t="shared" si="22"/>
        <v>-0.35364640666398517</v>
      </c>
      <c r="BR48" s="3">
        <f t="shared" si="5"/>
        <v>8895.6521739130312</v>
      </c>
      <c r="BS48" s="4" t="s">
        <v>213</v>
      </c>
      <c r="BT48" s="3"/>
      <c r="BU48" s="3"/>
      <c r="BV48" s="3">
        <f t="shared" si="6"/>
        <v>13314.782608695656</v>
      </c>
      <c r="BW48" s="4" t="s">
        <v>213</v>
      </c>
      <c r="BX48" s="3"/>
      <c r="BY48" s="3"/>
      <c r="BZ48" s="8">
        <f t="shared" si="23"/>
        <v>-0.33189655172413901</v>
      </c>
      <c r="CA48" s="8">
        <f>VLOOKUP(F48,'[10]Sheet 2'!$B:$T,18,0)/VLOOKUP(F48,'[10]Sheet 2'!$B:$U,20,0)</f>
        <v>12309.308238675707</v>
      </c>
      <c r="CB48" s="8">
        <f t="shared" si="24"/>
        <v>-0.27732314428823929</v>
      </c>
      <c r="CC48" s="26">
        <f t="shared" si="33"/>
        <v>25.233333333333334</v>
      </c>
      <c r="CD48" s="26">
        <f t="shared" si="34"/>
        <v>82.05</v>
      </c>
      <c r="CE48" s="22"/>
      <c r="CF48" s="22"/>
      <c r="CG48" s="27"/>
      <c r="CH48" s="28"/>
      <c r="CI48" s="21"/>
      <c r="CJ48" s="21"/>
      <c r="CK48" s="30"/>
      <c r="CL48" s="21"/>
      <c r="CM48" s="21"/>
    </row>
    <row r="49" spans="1:95" s="42" customFormat="1" hidden="1" x14ac:dyDescent="0.3">
      <c r="A49" s="31">
        <v>1</v>
      </c>
      <c r="B49" s="31"/>
      <c r="C49" s="31">
        <v>16</v>
      </c>
      <c r="D49" s="34" t="s">
        <v>58</v>
      </c>
      <c r="E49" s="34" t="s">
        <v>59</v>
      </c>
      <c r="F49" s="34" t="str">
        <f t="shared" si="0"/>
        <v>2010-112Sonalika2008OTC</v>
      </c>
      <c r="G49" s="31" t="s">
        <v>60</v>
      </c>
      <c r="H49" s="31" t="s">
        <v>93</v>
      </c>
      <c r="I49" s="31" t="s">
        <v>61</v>
      </c>
      <c r="J49" s="31" t="s">
        <v>32</v>
      </c>
      <c r="K49" s="32" t="s">
        <v>67</v>
      </c>
      <c r="L49" s="32">
        <v>2008</v>
      </c>
      <c r="M49" s="31" t="s">
        <v>34</v>
      </c>
      <c r="N49" s="31" t="s">
        <v>49</v>
      </c>
      <c r="O49" s="32" t="s">
        <v>36</v>
      </c>
      <c r="P49" s="32" t="s">
        <v>267</v>
      </c>
      <c r="Q49" s="32">
        <f t="shared" si="32"/>
        <v>5.2920000000000007</v>
      </c>
      <c r="R49" s="48">
        <v>0</v>
      </c>
      <c r="S49" s="31">
        <v>4.9000000000000004</v>
      </c>
      <c r="T49" s="31">
        <v>12</v>
      </c>
      <c r="U49" s="31">
        <v>90</v>
      </c>
      <c r="V49" s="31">
        <v>3</v>
      </c>
      <c r="W49" s="31">
        <f t="shared" si="31"/>
        <v>0</v>
      </c>
      <c r="X49" s="48" t="s">
        <v>63</v>
      </c>
      <c r="Y49" s="48"/>
      <c r="Z49" s="31">
        <v>525.2324000000001</v>
      </c>
      <c r="AA49" s="32" t="s">
        <v>51</v>
      </c>
      <c r="AB49" s="31"/>
      <c r="AC49" s="31"/>
      <c r="AD49" s="31">
        <v>525.2324000000001</v>
      </c>
      <c r="AE49" s="32" t="s">
        <v>51</v>
      </c>
      <c r="AF49" s="31"/>
      <c r="AG49" s="31"/>
      <c r="AH49" s="8">
        <f t="shared" si="15"/>
        <v>0</v>
      </c>
      <c r="AI49" s="8">
        <f>VLOOKUP(F49,'[6]Sheet 2'!$B:$T,18,0)/VLOOKUP(F49,'[6]Sheet 2'!$B:$U,20,0)</f>
        <v>505.87743165747122</v>
      </c>
      <c r="AJ49" s="8">
        <f t="shared" si="16"/>
        <v>3.8260193341920212E-2</v>
      </c>
      <c r="AK49" s="31"/>
      <c r="AL49" s="32"/>
      <c r="AM49" s="31"/>
      <c r="AN49" s="31"/>
      <c r="AO49" s="31"/>
      <c r="AP49" s="31"/>
      <c r="AQ49" s="31"/>
      <c r="AR49" s="31"/>
      <c r="AS49" s="8" t="e">
        <f t="shared" si="17"/>
        <v>#DIV/0!</v>
      </c>
      <c r="AT49" s="8" t="e">
        <f>VLOOKUP(F49,'[7]Sheet 2'!$B:$T,18,0)/VLOOKUP(F49,'[7]Sheet 2'!$B:$U,20,0)</f>
        <v>#N/A</v>
      </c>
      <c r="AU49" s="8" t="e">
        <f t="shared" si="18"/>
        <v>#N/A</v>
      </c>
      <c r="AV49" s="57"/>
      <c r="AW49" s="31"/>
      <c r="AX49" s="31"/>
      <c r="AY49" s="31"/>
      <c r="AZ49" s="31"/>
      <c r="BA49" s="31"/>
      <c r="BB49" s="31"/>
      <c r="BC49" s="31"/>
      <c r="BD49" s="8" t="e">
        <f t="shared" si="19"/>
        <v>#DIV/0!</v>
      </c>
      <c r="BE49" s="8" t="e">
        <f>VLOOKUP(F49,'[8]Sheet 2'!$B:$T,18,0)/VLOOKUP(F49,'[8]Sheet 2'!$B:$U,20,0)</f>
        <v>#N/A</v>
      </c>
      <c r="BF49" s="8" t="e">
        <f t="shared" si="20"/>
        <v>#N/A</v>
      </c>
      <c r="BG49" s="31"/>
      <c r="BH49" s="31"/>
      <c r="BI49" s="31"/>
      <c r="BJ49" s="31"/>
      <c r="BK49" s="31"/>
      <c r="BL49" s="31"/>
      <c r="BM49" s="31"/>
      <c r="BN49" s="31"/>
      <c r="BO49" s="8" t="e">
        <f t="shared" si="21"/>
        <v>#DIV/0!</v>
      </c>
      <c r="BP49" s="8" t="e">
        <f>VLOOKUP(F49,'[9]Sheet 2'!$B:$T,18,0)/VLOOKUP(F49,'[9]Sheet 2'!$B:$U,20,0)</f>
        <v>#N/A</v>
      </c>
      <c r="BQ49" s="8" t="e">
        <f t="shared" si="22"/>
        <v>#N/A</v>
      </c>
      <c r="BR49" s="31"/>
      <c r="BS49" s="31"/>
      <c r="BT49" s="31"/>
      <c r="BU49" s="31"/>
      <c r="BV49" s="31"/>
      <c r="BW49" s="31"/>
      <c r="BX49" s="31"/>
      <c r="BY49" s="31"/>
      <c r="BZ49" s="8" t="e">
        <f t="shared" si="23"/>
        <v>#DIV/0!</v>
      </c>
      <c r="CA49" s="8" t="e">
        <f>VLOOKUP(F49,'[10]Sheet 2'!$B:$T,18,0)/VLOOKUP(F49,'[10]Sheet 2'!$B:$U,20,0)</f>
        <v>#N/A</v>
      </c>
      <c r="CB49" s="8" t="e">
        <f t="shared" si="24"/>
        <v>#N/A</v>
      </c>
      <c r="CC49" s="49">
        <f t="shared" si="33"/>
        <v>25.233333333333334</v>
      </c>
      <c r="CD49" s="49">
        <f t="shared" si="34"/>
        <v>82.05</v>
      </c>
      <c r="CE49" s="50"/>
      <c r="CF49" s="50"/>
      <c r="CG49" s="51"/>
      <c r="CH49" s="52"/>
      <c r="CI49" s="40"/>
      <c r="CJ49" s="40"/>
      <c r="CK49" s="41"/>
      <c r="CL49" s="40"/>
      <c r="CM49" s="40"/>
    </row>
    <row r="50" spans="1:95" s="42" customFormat="1" hidden="1" x14ac:dyDescent="0.3">
      <c r="A50" s="31">
        <v>1</v>
      </c>
      <c r="B50" s="31"/>
      <c r="C50" s="31">
        <v>16</v>
      </c>
      <c r="D50" s="34" t="s">
        <v>58</v>
      </c>
      <c r="E50" s="34" t="s">
        <v>59</v>
      </c>
      <c r="F50" s="34" t="str">
        <f t="shared" si="0"/>
        <v>2010-112Sonalika2008OTC</v>
      </c>
      <c r="G50" s="31" t="s">
        <v>60</v>
      </c>
      <c r="H50" s="31" t="s">
        <v>93</v>
      </c>
      <c r="I50" s="31" t="s">
        <v>61</v>
      </c>
      <c r="J50" s="31" t="s">
        <v>32</v>
      </c>
      <c r="K50" s="32" t="s">
        <v>67</v>
      </c>
      <c r="L50" s="32">
        <v>2008</v>
      </c>
      <c r="M50" s="31" t="s">
        <v>34</v>
      </c>
      <c r="N50" s="31" t="s">
        <v>49</v>
      </c>
      <c r="O50" s="32" t="s">
        <v>40</v>
      </c>
      <c r="P50" s="32"/>
      <c r="Q50" s="32">
        <f t="shared" si="32"/>
        <v>51.084000000000003</v>
      </c>
      <c r="R50" s="48">
        <v>8.6999999999999993</v>
      </c>
      <c r="S50" s="31">
        <v>47.3</v>
      </c>
      <c r="T50" s="31">
        <v>12</v>
      </c>
      <c r="U50" s="31">
        <v>90</v>
      </c>
      <c r="V50" s="31">
        <v>3</v>
      </c>
      <c r="W50" s="31">
        <f t="shared" si="31"/>
        <v>8.6999999999999993</v>
      </c>
      <c r="X50" s="48" t="s">
        <v>63</v>
      </c>
      <c r="Y50" s="48"/>
      <c r="Z50" s="31">
        <v>443.11642222222213</v>
      </c>
      <c r="AA50" s="32" t="s">
        <v>51</v>
      </c>
      <c r="AB50" s="31"/>
      <c r="AC50" s="31"/>
      <c r="AD50" s="31">
        <v>525.2324000000001</v>
      </c>
      <c r="AE50" s="32" t="s">
        <v>51</v>
      </c>
      <c r="AF50" s="31"/>
      <c r="AG50" s="31"/>
      <c r="AH50" s="8">
        <f t="shared" si="15"/>
        <v>-0.15634217877225007</v>
      </c>
      <c r="AI50" s="8">
        <f>VLOOKUP(F50,'[6]Sheet 2'!$B:$T,18,0)/VLOOKUP(F50,'[6]Sheet 2'!$B:$U,20,0)</f>
        <v>505.87743165747122</v>
      </c>
      <c r="AJ50" s="8">
        <f t="shared" si="16"/>
        <v>-0.12406366741765319</v>
      </c>
      <c r="AK50" s="31"/>
      <c r="AL50" s="32"/>
      <c r="AM50" s="31"/>
      <c r="AN50" s="31"/>
      <c r="AO50" s="31"/>
      <c r="AP50" s="31"/>
      <c r="AQ50" s="31"/>
      <c r="AR50" s="31"/>
      <c r="AS50" s="8" t="e">
        <f t="shared" si="17"/>
        <v>#DIV/0!</v>
      </c>
      <c r="AT50" s="8" t="e">
        <f>VLOOKUP(F50,'[7]Sheet 2'!$B:$T,18,0)/VLOOKUP(F50,'[7]Sheet 2'!$B:$U,20,0)</f>
        <v>#N/A</v>
      </c>
      <c r="AU50" s="8" t="e">
        <f t="shared" si="18"/>
        <v>#N/A</v>
      </c>
      <c r="AV50" s="57"/>
      <c r="AW50" s="31"/>
      <c r="AX50" s="31"/>
      <c r="AY50" s="31"/>
      <c r="AZ50" s="31"/>
      <c r="BA50" s="31"/>
      <c r="BB50" s="31"/>
      <c r="BC50" s="31"/>
      <c r="BD50" s="8" t="e">
        <f t="shared" si="19"/>
        <v>#DIV/0!</v>
      </c>
      <c r="BE50" s="8" t="e">
        <f>VLOOKUP(F50,'[8]Sheet 2'!$B:$T,18,0)/VLOOKUP(F50,'[8]Sheet 2'!$B:$U,20,0)</f>
        <v>#N/A</v>
      </c>
      <c r="BF50" s="8" t="e">
        <f t="shared" si="20"/>
        <v>#N/A</v>
      </c>
      <c r="BG50" s="31"/>
      <c r="BH50" s="31"/>
      <c r="BI50" s="31"/>
      <c r="BJ50" s="31"/>
      <c r="BK50" s="31"/>
      <c r="BL50" s="31"/>
      <c r="BM50" s="31"/>
      <c r="BN50" s="31"/>
      <c r="BO50" s="8" t="e">
        <f t="shared" si="21"/>
        <v>#DIV/0!</v>
      </c>
      <c r="BP50" s="8" t="e">
        <f>VLOOKUP(F50,'[9]Sheet 2'!$B:$T,18,0)/VLOOKUP(F50,'[9]Sheet 2'!$B:$U,20,0)</f>
        <v>#N/A</v>
      </c>
      <c r="BQ50" s="8" t="e">
        <f t="shared" si="22"/>
        <v>#N/A</v>
      </c>
      <c r="BR50" s="31"/>
      <c r="BS50" s="31"/>
      <c r="BT50" s="31"/>
      <c r="BU50" s="31"/>
      <c r="BV50" s="31"/>
      <c r="BW50" s="31"/>
      <c r="BX50" s="31"/>
      <c r="BY50" s="31"/>
      <c r="BZ50" s="8" t="e">
        <f t="shared" si="23"/>
        <v>#DIV/0!</v>
      </c>
      <c r="CA50" s="8" t="e">
        <f>VLOOKUP(F50,'[10]Sheet 2'!$B:$T,18,0)/VLOOKUP(F50,'[10]Sheet 2'!$B:$U,20,0)</f>
        <v>#N/A</v>
      </c>
      <c r="CB50" s="8" t="e">
        <f t="shared" si="24"/>
        <v>#N/A</v>
      </c>
      <c r="CC50" s="49">
        <f t="shared" si="33"/>
        <v>25.233333333333334</v>
      </c>
      <c r="CD50" s="49">
        <f t="shared" si="34"/>
        <v>82.05</v>
      </c>
      <c r="CE50" s="50"/>
      <c r="CF50" s="50"/>
      <c r="CG50" s="51"/>
      <c r="CH50" s="52"/>
      <c r="CI50" s="40"/>
      <c r="CJ50" s="40"/>
      <c r="CK50" s="41"/>
      <c r="CL50" s="40"/>
      <c r="CM50" s="40"/>
    </row>
    <row r="51" spans="1:95" s="42" customFormat="1" hidden="1" x14ac:dyDescent="0.3">
      <c r="A51" s="31">
        <v>1</v>
      </c>
      <c r="B51" s="31"/>
      <c r="C51" s="31">
        <v>16</v>
      </c>
      <c r="D51" s="34" t="s">
        <v>58</v>
      </c>
      <c r="E51" s="34" t="s">
        <v>59</v>
      </c>
      <c r="F51" s="34" t="str">
        <f t="shared" si="0"/>
        <v>2010-112Sonalika2008OTC</v>
      </c>
      <c r="G51" s="31" t="s">
        <v>60</v>
      </c>
      <c r="H51" s="31" t="s">
        <v>93</v>
      </c>
      <c r="I51" s="31" t="s">
        <v>61</v>
      </c>
      <c r="J51" s="31" t="s">
        <v>32</v>
      </c>
      <c r="K51" s="32" t="s">
        <v>67</v>
      </c>
      <c r="L51" s="32">
        <v>2008</v>
      </c>
      <c r="M51" s="31" t="s">
        <v>34</v>
      </c>
      <c r="N51" s="31" t="s">
        <v>49</v>
      </c>
      <c r="O51" s="32" t="s">
        <v>42</v>
      </c>
      <c r="P51" s="32"/>
      <c r="Q51" s="32">
        <f t="shared" si="32"/>
        <v>61.452000000000005</v>
      </c>
      <c r="R51" s="48">
        <v>14.4</v>
      </c>
      <c r="S51" s="31">
        <v>56.9</v>
      </c>
      <c r="T51" s="31">
        <v>12</v>
      </c>
      <c r="U51" s="31">
        <v>90</v>
      </c>
      <c r="V51" s="31">
        <v>3</v>
      </c>
      <c r="W51" s="31">
        <f t="shared" si="31"/>
        <v>14.4</v>
      </c>
      <c r="X51" s="48" t="s">
        <v>63</v>
      </c>
      <c r="Y51" s="48"/>
      <c r="Z51" s="31">
        <v>286.85258888888887</v>
      </c>
      <c r="AA51" s="32" t="s">
        <v>51</v>
      </c>
      <c r="AB51" s="31"/>
      <c r="AC51" s="31"/>
      <c r="AD51" s="31">
        <v>525.2324000000001</v>
      </c>
      <c r="AE51" s="32" t="s">
        <v>51</v>
      </c>
      <c r="AF51" s="31"/>
      <c r="AG51" s="31"/>
      <c r="AH51" s="8">
        <f t="shared" si="15"/>
        <v>-0.45385587620091827</v>
      </c>
      <c r="AI51" s="8">
        <f>VLOOKUP(F51,'[6]Sheet 2'!$B:$T,18,0)/VLOOKUP(F51,'[6]Sheet 2'!$B:$U,20,0)</f>
        <v>505.87743165747122</v>
      </c>
      <c r="AJ51" s="8">
        <f t="shared" si="16"/>
        <v>-0.43296029643181178</v>
      </c>
      <c r="AK51" s="31"/>
      <c r="AL51" s="32"/>
      <c r="AM51" s="31"/>
      <c r="AN51" s="31"/>
      <c r="AO51" s="31"/>
      <c r="AP51" s="31"/>
      <c r="AQ51" s="31"/>
      <c r="AR51" s="31"/>
      <c r="AS51" s="8" t="e">
        <f t="shared" si="17"/>
        <v>#DIV/0!</v>
      </c>
      <c r="AT51" s="8" t="e">
        <f>VLOOKUP(F51,'[7]Sheet 2'!$B:$T,18,0)/VLOOKUP(F51,'[7]Sheet 2'!$B:$U,20,0)</f>
        <v>#N/A</v>
      </c>
      <c r="AU51" s="8" t="e">
        <f t="shared" si="18"/>
        <v>#N/A</v>
      </c>
      <c r="AV51" s="57"/>
      <c r="AW51" s="31"/>
      <c r="AX51" s="31"/>
      <c r="AY51" s="31"/>
      <c r="AZ51" s="31"/>
      <c r="BA51" s="31"/>
      <c r="BB51" s="31"/>
      <c r="BC51" s="31"/>
      <c r="BD51" s="8" t="e">
        <f t="shared" si="19"/>
        <v>#DIV/0!</v>
      </c>
      <c r="BE51" s="8" t="e">
        <f>VLOOKUP(F51,'[8]Sheet 2'!$B:$T,18,0)/VLOOKUP(F51,'[8]Sheet 2'!$B:$U,20,0)</f>
        <v>#N/A</v>
      </c>
      <c r="BF51" s="8" t="e">
        <f t="shared" si="20"/>
        <v>#N/A</v>
      </c>
      <c r="BG51" s="31"/>
      <c r="BH51" s="31"/>
      <c r="BI51" s="31"/>
      <c r="BJ51" s="31"/>
      <c r="BK51" s="31"/>
      <c r="BL51" s="31"/>
      <c r="BM51" s="31"/>
      <c r="BN51" s="31"/>
      <c r="BO51" s="8" t="e">
        <f t="shared" si="21"/>
        <v>#DIV/0!</v>
      </c>
      <c r="BP51" s="8" t="e">
        <f>VLOOKUP(F51,'[9]Sheet 2'!$B:$T,18,0)/VLOOKUP(F51,'[9]Sheet 2'!$B:$U,20,0)</f>
        <v>#N/A</v>
      </c>
      <c r="BQ51" s="8" t="e">
        <f t="shared" si="22"/>
        <v>#N/A</v>
      </c>
      <c r="BR51" s="31"/>
      <c r="BS51" s="31"/>
      <c r="BT51" s="31"/>
      <c r="BU51" s="31"/>
      <c r="BV51" s="31"/>
      <c r="BW51" s="31"/>
      <c r="BX51" s="31"/>
      <c r="BY51" s="31"/>
      <c r="BZ51" s="8" t="e">
        <f t="shared" si="23"/>
        <v>#DIV/0!</v>
      </c>
      <c r="CA51" s="8" t="e">
        <f>VLOOKUP(F51,'[10]Sheet 2'!$B:$T,18,0)/VLOOKUP(F51,'[10]Sheet 2'!$B:$U,20,0)</f>
        <v>#N/A</v>
      </c>
      <c r="CB51" s="8" t="e">
        <f t="shared" si="24"/>
        <v>#N/A</v>
      </c>
      <c r="CC51" s="49">
        <f t="shared" si="33"/>
        <v>25.233333333333334</v>
      </c>
      <c r="CD51" s="49">
        <f t="shared" si="34"/>
        <v>82.05</v>
      </c>
      <c r="CE51" s="50"/>
      <c r="CF51" s="50"/>
      <c r="CG51" s="51"/>
      <c r="CH51" s="52"/>
      <c r="CI51" s="40"/>
      <c r="CJ51" s="40"/>
      <c r="CK51" s="41"/>
      <c r="CL51" s="40"/>
      <c r="CM51" s="40"/>
    </row>
    <row r="52" spans="1:95" s="19" customFormat="1" hidden="1" x14ac:dyDescent="0.3">
      <c r="A52" s="3">
        <v>1</v>
      </c>
      <c r="B52" s="3"/>
      <c r="C52" s="3">
        <v>16</v>
      </c>
      <c r="D52" s="6" t="s">
        <v>58</v>
      </c>
      <c r="E52" s="6" t="s">
        <v>59</v>
      </c>
      <c r="F52" s="6" t="str">
        <f t="shared" si="0"/>
        <v>2010-112HUW5102008OTC</v>
      </c>
      <c r="G52" s="3" t="s">
        <v>60</v>
      </c>
      <c r="H52" s="3" t="s">
        <v>93</v>
      </c>
      <c r="I52" s="3" t="s">
        <v>61</v>
      </c>
      <c r="J52" s="3" t="s">
        <v>32</v>
      </c>
      <c r="K52" s="4" t="s">
        <v>62</v>
      </c>
      <c r="L52" s="4">
        <v>2008</v>
      </c>
      <c r="M52" s="3" t="s">
        <v>34</v>
      </c>
      <c r="N52" s="3" t="s">
        <v>49</v>
      </c>
      <c r="O52" s="4" t="s">
        <v>36</v>
      </c>
      <c r="P52" s="32" t="s">
        <v>267</v>
      </c>
      <c r="Q52" s="4">
        <f t="shared" si="32"/>
        <v>5.2920000000000007</v>
      </c>
      <c r="R52" s="10">
        <v>0</v>
      </c>
      <c r="S52" s="3">
        <v>4.9000000000000004</v>
      </c>
      <c r="T52" s="3">
        <v>12</v>
      </c>
      <c r="U52" s="3">
        <v>90</v>
      </c>
      <c r="V52" s="3">
        <v>3</v>
      </c>
      <c r="W52" s="3">
        <f t="shared" si="31"/>
        <v>0</v>
      </c>
      <c r="X52" s="10" t="s">
        <v>63</v>
      </c>
      <c r="Y52" s="10"/>
      <c r="Z52" s="3">
        <v>366.52236666666664</v>
      </c>
      <c r="AA52" s="4" t="s">
        <v>51</v>
      </c>
      <c r="AB52" s="3"/>
      <c r="AC52" s="3"/>
      <c r="AD52" s="3">
        <v>366.52236666666664</v>
      </c>
      <c r="AE52" s="4" t="s">
        <v>51</v>
      </c>
      <c r="AF52" s="3"/>
      <c r="AG52" s="3"/>
      <c r="AH52" s="8">
        <f t="shared" si="15"/>
        <v>0</v>
      </c>
      <c r="AI52" s="8">
        <f>VLOOKUP(F52,'[6]Sheet 2'!$B:$T,18,0)/VLOOKUP(F52,'[6]Sheet 2'!$B:$U,20,0)</f>
        <v>417.33473630973691</v>
      </c>
      <c r="AJ52" s="8">
        <f t="shared" si="16"/>
        <v>-0.12175447002656979</v>
      </c>
      <c r="AK52" s="3"/>
      <c r="AL52" s="4"/>
      <c r="AM52" s="3"/>
      <c r="AN52" s="3"/>
      <c r="AO52" s="3"/>
      <c r="AP52" s="3"/>
      <c r="AQ52" s="3"/>
      <c r="AR52" s="3"/>
      <c r="AS52" s="8" t="e">
        <f t="shared" si="17"/>
        <v>#DIV/0!</v>
      </c>
      <c r="AT52" s="8" t="e">
        <f>VLOOKUP(F52,'[7]Sheet 2'!$B:$T,18,0)/VLOOKUP(F52,'[7]Sheet 2'!$B:$U,20,0)</f>
        <v>#N/A</v>
      </c>
      <c r="AU52" s="8" t="e">
        <f t="shared" si="18"/>
        <v>#N/A</v>
      </c>
      <c r="AV52" s="57"/>
      <c r="AW52" s="3"/>
      <c r="AX52" s="3"/>
      <c r="AY52" s="3"/>
      <c r="AZ52" s="3"/>
      <c r="BA52" s="3"/>
      <c r="BB52" s="3"/>
      <c r="BC52" s="3"/>
      <c r="BD52" s="8" t="e">
        <f t="shared" si="19"/>
        <v>#DIV/0!</v>
      </c>
      <c r="BE52" s="8" t="e">
        <f>VLOOKUP(F52,'[8]Sheet 2'!$B:$T,18,0)/VLOOKUP(F52,'[8]Sheet 2'!$B:$U,20,0)</f>
        <v>#N/A</v>
      </c>
      <c r="BF52" s="8" t="e">
        <f t="shared" si="20"/>
        <v>#N/A</v>
      </c>
      <c r="BG52" s="3"/>
      <c r="BH52" s="3"/>
      <c r="BI52" s="3"/>
      <c r="BJ52" s="3"/>
      <c r="BK52" s="3"/>
      <c r="BL52" s="3"/>
      <c r="BM52" s="3"/>
      <c r="BN52" s="3"/>
      <c r="BO52" s="8" t="e">
        <f t="shared" si="21"/>
        <v>#DIV/0!</v>
      </c>
      <c r="BP52" s="8" t="e">
        <f>VLOOKUP(F52,'[9]Sheet 2'!$B:$T,18,0)/VLOOKUP(F52,'[9]Sheet 2'!$B:$U,20,0)</f>
        <v>#N/A</v>
      </c>
      <c r="BQ52" s="8" t="e">
        <f t="shared" si="22"/>
        <v>#N/A</v>
      </c>
      <c r="BR52" s="3"/>
      <c r="BS52" s="3"/>
      <c r="BT52" s="3"/>
      <c r="BU52" s="3"/>
      <c r="BV52" s="3"/>
      <c r="BW52" s="3"/>
      <c r="BX52" s="3"/>
      <c r="BY52" s="3"/>
      <c r="BZ52" s="8" t="e">
        <f t="shared" si="23"/>
        <v>#DIV/0!</v>
      </c>
      <c r="CA52" s="8" t="e">
        <f>VLOOKUP(F52,'[10]Sheet 2'!$B:$T,18,0)/VLOOKUP(F52,'[10]Sheet 2'!$B:$U,20,0)</f>
        <v>#N/A</v>
      </c>
      <c r="CB52" s="8" t="e">
        <f t="shared" si="24"/>
        <v>#N/A</v>
      </c>
      <c r="CC52" s="26">
        <f t="shared" si="33"/>
        <v>25.233333333333334</v>
      </c>
      <c r="CD52" s="26">
        <f t="shared" si="34"/>
        <v>82.05</v>
      </c>
      <c r="CE52" s="22"/>
      <c r="CF52" s="22"/>
      <c r="CG52" s="27"/>
      <c r="CH52" s="28"/>
      <c r="CI52" s="21"/>
      <c r="CJ52" s="21"/>
      <c r="CK52" s="30"/>
      <c r="CL52" s="21"/>
      <c r="CM52" s="21"/>
    </row>
    <row r="53" spans="1:95" s="19" customFormat="1" hidden="1" x14ac:dyDescent="0.3">
      <c r="A53" s="3">
        <v>1</v>
      </c>
      <c r="B53" s="3"/>
      <c r="C53" s="3">
        <v>16</v>
      </c>
      <c r="D53" s="6" t="s">
        <v>58</v>
      </c>
      <c r="E53" s="6" t="s">
        <v>59</v>
      </c>
      <c r="F53" s="6" t="str">
        <f t="shared" si="0"/>
        <v>2010-112HUW5102008OTC</v>
      </c>
      <c r="G53" s="3" t="s">
        <v>60</v>
      </c>
      <c r="H53" s="3" t="s">
        <v>93</v>
      </c>
      <c r="I53" s="3" t="s">
        <v>61</v>
      </c>
      <c r="J53" s="3" t="s">
        <v>32</v>
      </c>
      <c r="K53" s="4" t="s">
        <v>62</v>
      </c>
      <c r="L53" s="4">
        <v>2008</v>
      </c>
      <c r="M53" s="3" t="s">
        <v>34</v>
      </c>
      <c r="N53" s="3" t="s">
        <v>49</v>
      </c>
      <c r="O53" s="4" t="s">
        <v>40</v>
      </c>
      <c r="P53" s="4"/>
      <c r="Q53" s="4">
        <f t="shared" si="32"/>
        <v>51.084000000000003</v>
      </c>
      <c r="R53" s="10">
        <v>8.6999999999999993</v>
      </c>
      <c r="S53" s="3">
        <v>47.3</v>
      </c>
      <c r="T53" s="3">
        <v>12</v>
      </c>
      <c r="U53" s="3">
        <v>90</v>
      </c>
      <c r="V53" s="3">
        <v>3</v>
      </c>
      <c r="W53" s="3">
        <f t="shared" si="31"/>
        <v>8.6999999999999993</v>
      </c>
      <c r="X53" s="10" t="s">
        <v>63</v>
      </c>
      <c r="Y53" s="10"/>
      <c r="Z53" s="3">
        <v>396.37937272727271</v>
      </c>
      <c r="AA53" s="4" t="s">
        <v>51</v>
      </c>
      <c r="AB53" s="3"/>
      <c r="AC53" s="3"/>
      <c r="AD53" s="3">
        <v>366.52236666666664</v>
      </c>
      <c r="AE53" s="4" t="s">
        <v>51</v>
      </c>
      <c r="AF53" s="3"/>
      <c r="AG53" s="3"/>
      <c r="AH53" s="8">
        <f t="shared" si="15"/>
        <v>8.1460256660842445E-2</v>
      </c>
      <c r="AI53" s="8">
        <f>VLOOKUP(F53,'[6]Sheet 2'!$B:$T,18,0)/VLOOKUP(F53,'[6]Sheet 2'!$B:$U,20,0)</f>
        <v>417.33473630973691</v>
      </c>
      <c r="AJ53" s="8">
        <f t="shared" si="16"/>
        <v>-5.0212363743696566E-2</v>
      </c>
      <c r="AK53" s="3"/>
      <c r="AL53" s="4"/>
      <c r="AM53" s="3"/>
      <c r="AN53" s="3"/>
      <c r="AO53" s="3"/>
      <c r="AP53" s="3"/>
      <c r="AQ53" s="3"/>
      <c r="AR53" s="3"/>
      <c r="AS53" s="8" t="e">
        <f t="shared" si="17"/>
        <v>#DIV/0!</v>
      </c>
      <c r="AT53" s="8" t="e">
        <f>VLOOKUP(F53,'[7]Sheet 2'!$B:$T,18,0)/VLOOKUP(F53,'[7]Sheet 2'!$B:$U,20,0)</f>
        <v>#N/A</v>
      </c>
      <c r="AU53" s="8" t="e">
        <f t="shared" si="18"/>
        <v>#N/A</v>
      </c>
      <c r="AV53" s="57"/>
      <c r="AW53" s="3"/>
      <c r="AX53" s="3"/>
      <c r="AY53" s="3"/>
      <c r="AZ53" s="3"/>
      <c r="BA53" s="3"/>
      <c r="BB53" s="3"/>
      <c r="BC53" s="3"/>
      <c r="BD53" s="8" t="e">
        <f t="shared" si="19"/>
        <v>#DIV/0!</v>
      </c>
      <c r="BE53" s="8" t="e">
        <f>VLOOKUP(F53,'[8]Sheet 2'!$B:$T,18,0)/VLOOKUP(F53,'[8]Sheet 2'!$B:$U,20,0)</f>
        <v>#N/A</v>
      </c>
      <c r="BF53" s="8" t="e">
        <f t="shared" si="20"/>
        <v>#N/A</v>
      </c>
      <c r="BG53" s="3"/>
      <c r="BH53" s="3"/>
      <c r="BI53" s="3"/>
      <c r="BJ53" s="3"/>
      <c r="BK53" s="3"/>
      <c r="BL53" s="3"/>
      <c r="BM53" s="3"/>
      <c r="BN53" s="3"/>
      <c r="BO53" s="8" t="e">
        <f t="shared" si="21"/>
        <v>#DIV/0!</v>
      </c>
      <c r="BP53" s="8" t="e">
        <f>VLOOKUP(F53,'[9]Sheet 2'!$B:$T,18,0)/VLOOKUP(F53,'[9]Sheet 2'!$B:$U,20,0)</f>
        <v>#N/A</v>
      </c>
      <c r="BQ53" s="8" t="e">
        <f t="shared" si="22"/>
        <v>#N/A</v>
      </c>
      <c r="BR53" s="3"/>
      <c r="BS53" s="3"/>
      <c r="BT53" s="3"/>
      <c r="BU53" s="3"/>
      <c r="BV53" s="3"/>
      <c r="BW53" s="3"/>
      <c r="BX53" s="3"/>
      <c r="BY53" s="3"/>
      <c r="BZ53" s="8" t="e">
        <f t="shared" si="23"/>
        <v>#DIV/0!</v>
      </c>
      <c r="CA53" s="8" t="e">
        <f>VLOOKUP(F53,'[10]Sheet 2'!$B:$T,18,0)/VLOOKUP(F53,'[10]Sheet 2'!$B:$U,20,0)</f>
        <v>#N/A</v>
      </c>
      <c r="CB53" s="8" t="e">
        <f t="shared" si="24"/>
        <v>#N/A</v>
      </c>
      <c r="CC53" s="26">
        <f t="shared" si="33"/>
        <v>25.233333333333334</v>
      </c>
      <c r="CD53" s="26">
        <f t="shared" si="34"/>
        <v>82.05</v>
      </c>
      <c r="CE53" s="22"/>
      <c r="CF53" s="22"/>
      <c r="CG53" s="27"/>
      <c r="CH53" s="28"/>
      <c r="CI53" s="21"/>
      <c r="CJ53" s="21"/>
      <c r="CK53" s="30"/>
      <c r="CL53" s="21"/>
      <c r="CM53" s="21"/>
    </row>
    <row r="54" spans="1:95" s="19" customFormat="1" hidden="1" x14ac:dyDescent="0.3">
      <c r="A54" s="3">
        <v>1</v>
      </c>
      <c r="B54" s="3"/>
      <c r="C54" s="3">
        <v>16</v>
      </c>
      <c r="D54" s="6" t="s">
        <v>58</v>
      </c>
      <c r="E54" s="6" t="s">
        <v>59</v>
      </c>
      <c r="F54" s="6" t="str">
        <f t="shared" si="0"/>
        <v>2010-112HUW5102008OTC</v>
      </c>
      <c r="G54" s="3" t="s">
        <v>60</v>
      </c>
      <c r="H54" s="3" t="s">
        <v>93</v>
      </c>
      <c r="I54" s="3" t="s">
        <v>61</v>
      </c>
      <c r="J54" s="3" t="s">
        <v>32</v>
      </c>
      <c r="K54" s="4" t="s">
        <v>62</v>
      </c>
      <c r="L54" s="4">
        <v>2008</v>
      </c>
      <c r="M54" s="3" t="s">
        <v>34</v>
      </c>
      <c r="N54" s="3" t="s">
        <v>49</v>
      </c>
      <c r="O54" s="4" t="s">
        <v>42</v>
      </c>
      <c r="P54" s="4"/>
      <c r="Q54" s="4">
        <f t="shared" si="32"/>
        <v>61.452000000000005</v>
      </c>
      <c r="R54" s="10">
        <v>14.4</v>
      </c>
      <c r="S54" s="3">
        <v>56.9</v>
      </c>
      <c r="T54" s="3">
        <v>12</v>
      </c>
      <c r="U54" s="3">
        <v>90</v>
      </c>
      <c r="V54" s="3">
        <v>3</v>
      </c>
      <c r="W54" s="3">
        <f t="shared" si="31"/>
        <v>14.4</v>
      </c>
      <c r="X54" s="10" t="s">
        <v>63</v>
      </c>
      <c r="Y54" s="10"/>
      <c r="Z54" s="3">
        <v>258.00866250000001</v>
      </c>
      <c r="AA54" s="4" t="s">
        <v>51</v>
      </c>
      <c r="AB54" s="3"/>
      <c r="AC54" s="3"/>
      <c r="AD54" s="3">
        <v>366.52236666666664</v>
      </c>
      <c r="AE54" s="4" t="s">
        <v>51</v>
      </c>
      <c r="AF54" s="3"/>
      <c r="AG54" s="3"/>
      <c r="AH54" s="8">
        <f t="shared" si="15"/>
        <v>-0.29606298014918769</v>
      </c>
      <c r="AI54" s="8">
        <f>VLOOKUP(F54,'[6]Sheet 2'!$B:$T,18,0)/VLOOKUP(F54,'[6]Sheet 2'!$B:$U,20,0)</f>
        <v>417.33473630973691</v>
      </c>
      <c r="AJ54" s="8">
        <f t="shared" si="16"/>
        <v>-0.38177045893320632</v>
      </c>
      <c r="AK54" s="3"/>
      <c r="AL54" s="4"/>
      <c r="AM54" s="3"/>
      <c r="AN54" s="3"/>
      <c r="AO54" s="3"/>
      <c r="AP54" s="3"/>
      <c r="AQ54" s="3"/>
      <c r="AR54" s="3"/>
      <c r="AS54" s="8" t="e">
        <f t="shared" si="17"/>
        <v>#DIV/0!</v>
      </c>
      <c r="AT54" s="8" t="e">
        <f>VLOOKUP(F54,'[7]Sheet 2'!$B:$T,18,0)/VLOOKUP(F54,'[7]Sheet 2'!$B:$U,20,0)</f>
        <v>#N/A</v>
      </c>
      <c r="AU54" s="8" t="e">
        <f t="shared" si="18"/>
        <v>#N/A</v>
      </c>
      <c r="AV54" s="57"/>
      <c r="AW54" s="3"/>
      <c r="AX54" s="3"/>
      <c r="AY54" s="3"/>
      <c r="AZ54" s="3"/>
      <c r="BA54" s="3"/>
      <c r="BB54" s="3"/>
      <c r="BC54" s="3"/>
      <c r="BD54" s="8" t="e">
        <f t="shared" si="19"/>
        <v>#DIV/0!</v>
      </c>
      <c r="BE54" s="8" t="e">
        <f>VLOOKUP(F54,'[8]Sheet 2'!$B:$T,18,0)/VLOOKUP(F54,'[8]Sheet 2'!$B:$U,20,0)</f>
        <v>#N/A</v>
      </c>
      <c r="BF54" s="8" t="e">
        <f t="shared" si="20"/>
        <v>#N/A</v>
      </c>
      <c r="BG54" s="3"/>
      <c r="BH54" s="3"/>
      <c r="BI54" s="3"/>
      <c r="BJ54" s="3"/>
      <c r="BK54" s="3"/>
      <c r="BL54" s="3"/>
      <c r="BM54" s="3"/>
      <c r="BN54" s="3"/>
      <c r="BO54" s="8" t="e">
        <f t="shared" si="21"/>
        <v>#DIV/0!</v>
      </c>
      <c r="BP54" s="8" t="e">
        <f>VLOOKUP(F54,'[9]Sheet 2'!$B:$T,18,0)/VLOOKUP(F54,'[9]Sheet 2'!$B:$U,20,0)</f>
        <v>#N/A</v>
      </c>
      <c r="BQ54" s="8" t="e">
        <f t="shared" si="22"/>
        <v>#N/A</v>
      </c>
      <c r="BR54" s="3"/>
      <c r="BS54" s="3"/>
      <c r="BT54" s="3"/>
      <c r="BU54" s="3"/>
      <c r="BV54" s="3"/>
      <c r="BW54" s="3"/>
      <c r="BX54" s="3"/>
      <c r="BY54" s="3"/>
      <c r="BZ54" s="8" t="e">
        <f t="shared" si="23"/>
        <v>#DIV/0!</v>
      </c>
      <c r="CA54" s="8" t="e">
        <f>VLOOKUP(F54,'[10]Sheet 2'!$B:$T,18,0)/VLOOKUP(F54,'[10]Sheet 2'!$B:$U,20,0)</f>
        <v>#N/A</v>
      </c>
      <c r="CB54" s="8" t="e">
        <f t="shared" si="24"/>
        <v>#N/A</v>
      </c>
      <c r="CC54" s="26">
        <f t="shared" si="33"/>
        <v>25.233333333333334</v>
      </c>
      <c r="CD54" s="26">
        <f t="shared" si="34"/>
        <v>82.05</v>
      </c>
      <c r="CE54" s="22"/>
      <c r="CF54" s="22"/>
      <c r="CG54" s="27"/>
      <c r="CH54" s="28"/>
      <c r="CI54" s="21"/>
      <c r="CJ54" s="21"/>
      <c r="CK54" s="30"/>
      <c r="CL54" s="21"/>
      <c r="CM54" s="21"/>
    </row>
    <row r="55" spans="1:95" s="42" customFormat="1" hidden="1" x14ac:dyDescent="0.3">
      <c r="A55" s="31">
        <v>1</v>
      </c>
      <c r="B55" s="31"/>
      <c r="C55" s="31">
        <v>17</v>
      </c>
      <c r="D55" s="31" t="s">
        <v>68</v>
      </c>
      <c r="E55" s="43" t="s">
        <v>69</v>
      </c>
      <c r="F55" s="34" t="str">
        <f t="shared" si="0"/>
        <v>2018-139HD29672016OTC</v>
      </c>
      <c r="G55" s="31" t="s">
        <v>70</v>
      </c>
      <c r="H55" s="31" t="s">
        <v>93</v>
      </c>
      <c r="I55" s="31" t="s">
        <v>61</v>
      </c>
      <c r="J55" s="31" t="s">
        <v>32</v>
      </c>
      <c r="K55" s="31" t="s">
        <v>71</v>
      </c>
      <c r="L55" s="31">
        <v>2016</v>
      </c>
      <c r="M55" s="31" t="s">
        <v>34</v>
      </c>
      <c r="N55" s="31" t="s">
        <v>49</v>
      </c>
      <c r="O55" s="31" t="s">
        <v>72</v>
      </c>
      <c r="P55" s="32" t="s">
        <v>267</v>
      </c>
      <c r="Q55" s="32">
        <f>S55/1.01*1.08</f>
        <v>56.031683168316832</v>
      </c>
      <c r="R55" s="31">
        <v>11.9</v>
      </c>
      <c r="S55" s="31">
        <v>52.4</v>
      </c>
      <c r="T55" s="31">
        <v>8</v>
      </c>
      <c r="U55" s="32">
        <v>119</v>
      </c>
      <c r="V55" s="31">
        <v>3</v>
      </c>
      <c r="W55" s="53">
        <f t="shared" si="31"/>
        <v>9</v>
      </c>
      <c r="X55" s="35">
        <v>42682</v>
      </c>
      <c r="Y55" s="35">
        <v>42814</v>
      </c>
      <c r="Z55" s="31">
        <f>8.33333333333333*400</f>
        <v>3333.3333333333321</v>
      </c>
      <c r="AA55" s="31" t="s">
        <v>78</v>
      </c>
      <c r="AB55" s="31" t="s">
        <v>214</v>
      </c>
      <c r="AC55" s="31">
        <v>0.55555555555555891</v>
      </c>
      <c r="AD55" s="31">
        <f t="shared" ref="AD55:AD56" si="35">8.33333333333333*400</f>
        <v>3333.3333333333321</v>
      </c>
      <c r="AE55" s="31" t="s">
        <v>78</v>
      </c>
      <c r="AF55" s="31" t="s">
        <v>214</v>
      </c>
      <c r="AG55" s="31">
        <v>0.55555555555555891</v>
      </c>
      <c r="AH55" s="8">
        <f t="shared" si="15"/>
        <v>0</v>
      </c>
      <c r="AI55" s="8">
        <f>VLOOKUP(F55,'[6]Sheet 2'!$B:$T,18,0)/VLOOKUP(F55,'[6]Sheet 2'!$B:$U,20,0)</f>
        <v>4636.4861935163344</v>
      </c>
      <c r="AJ55" s="8">
        <f t="shared" si="16"/>
        <v>-0.28106475589323054</v>
      </c>
      <c r="AK55" s="31">
        <v>47.142857142857103</v>
      </c>
      <c r="AL55" s="32" t="s">
        <v>37</v>
      </c>
      <c r="AM55" s="31"/>
      <c r="AN55" s="31">
        <v>1.7857142857142989</v>
      </c>
      <c r="AO55" s="31">
        <v>47.142857142857103</v>
      </c>
      <c r="AP55" s="32" t="s">
        <v>37</v>
      </c>
      <c r="AQ55" s="31"/>
      <c r="AR55" s="31">
        <v>1.7857142857142989</v>
      </c>
      <c r="AS55" s="8">
        <f t="shared" si="17"/>
        <v>0</v>
      </c>
      <c r="AT55" s="8">
        <f>VLOOKUP(F55,'[7]Sheet 2'!$B:$T,18,0)/VLOOKUP(F55,'[7]Sheet 2'!$B:$U,20,0)</f>
        <v>54.878178473744917</v>
      </c>
      <c r="AU55" s="8">
        <f t="shared" si="18"/>
        <v>-0.14095441113426502</v>
      </c>
      <c r="AV55" s="57"/>
      <c r="AW55" s="31"/>
      <c r="AX55" s="31"/>
      <c r="AY55" s="31"/>
      <c r="AZ55" s="31"/>
      <c r="BA55" s="31"/>
      <c r="BB55" s="31"/>
      <c r="BC55" s="31"/>
      <c r="BD55" s="8" t="e">
        <f t="shared" si="19"/>
        <v>#DIV/0!</v>
      </c>
      <c r="BE55" s="8" t="e">
        <f>VLOOKUP(F55,'[8]Sheet 2'!$B:$T,18,0)/VLOOKUP(F55,'[8]Sheet 2'!$B:$U,20,0)</f>
        <v>#N/A</v>
      </c>
      <c r="BF55" s="8" t="e">
        <f t="shared" si="20"/>
        <v>#N/A</v>
      </c>
      <c r="BG55" s="31"/>
      <c r="BH55" s="31"/>
      <c r="BI55" s="31"/>
      <c r="BJ55" s="31"/>
      <c r="BK55" s="31"/>
      <c r="BL55" s="31"/>
      <c r="BM55" s="31"/>
      <c r="BN55" s="31"/>
      <c r="BO55" s="8" t="e">
        <f t="shared" si="21"/>
        <v>#DIV/0!</v>
      </c>
      <c r="BP55" s="8" t="e">
        <f>VLOOKUP(F55,'[9]Sheet 2'!$B:$T,18,0)/VLOOKUP(F55,'[9]Sheet 2'!$B:$U,20,0)</f>
        <v>#N/A</v>
      </c>
      <c r="BQ55" s="8" t="e">
        <f t="shared" si="22"/>
        <v>#N/A</v>
      </c>
      <c r="BR55" s="31">
        <f t="shared" ref="BR55:BR78" si="36">Z55/AK55*1000</f>
        <v>70707.070707070743</v>
      </c>
      <c r="BS55" s="31" t="s">
        <v>65</v>
      </c>
      <c r="BT55" s="31"/>
      <c r="BU55" s="31"/>
      <c r="BV55" s="31">
        <f t="shared" ref="BV55:BV78" si="37">AD55/AO55*1000</f>
        <v>70707.070707070743</v>
      </c>
      <c r="BW55" s="31" t="s">
        <v>65</v>
      </c>
      <c r="BX55" s="31"/>
      <c r="BY55" s="31"/>
      <c r="BZ55" s="8">
        <f t="shared" si="23"/>
        <v>0</v>
      </c>
      <c r="CA55" s="8">
        <f>VLOOKUP(F55,'[10]Sheet 2'!$B:$T,18,0)/VLOOKUP(F55,'[10]Sheet 2'!$B:$U,20,0)</f>
        <v>85742.031923137576</v>
      </c>
      <c r="CB55" s="8">
        <f t="shared" si="24"/>
        <v>-0.17535111868522948</v>
      </c>
      <c r="CC55" s="54">
        <f t="shared" si="33"/>
        <v>25.233333333333334</v>
      </c>
      <c r="CD55" s="54">
        <f t="shared" si="34"/>
        <v>82.05</v>
      </c>
      <c r="CE55" s="38">
        <f>CF55-121</f>
        <v>42693</v>
      </c>
      <c r="CF55" s="39">
        <v>42814</v>
      </c>
      <c r="CG55" s="39">
        <v>42705</v>
      </c>
      <c r="CH55" s="39">
        <v>42814</v>
      </c>
      <c r="CI55" s="40">
        <f t="shared" ref="CI55:CI86" si="38">CE55-INT(YEAR(CF55)&amp;"/1/1")+1</f>
        <v>-42</v>
      </c>
      <c r="CJ55" s="40">
        <f t="shared" ref="CJ55:CJ86" si="39">CF55-INT(YEAR(CF55)&amp;"/1/1")+1</f>
        <v>79</v>
      </c>
      <c r="CK55" s="41">
        <f t="shared" ref="CK55:CK86" si="40">CJ55-CI55+1</f>
        <v>122</v>
      </c>
      <c r="CL55" s="40">
        <f t="shared" ref="CL55:CL86" si="41">CG55-INT(YEAR(CH55)&amp;"/1/1")+1</f>
        <v>-30</v>
      </c>
      <c r="CM55" s="40">
        <f t="shared" ref="CM55:CM118" si="42">CH55-INT(YEAR(CH55)&amp;"/1/1")+1</f>
        <v>79</v>
      </c>
      <c r="CN55" s="42">
        <f t="shared" ref="CN55:CN118" si="43">CM55-CL55+1</f>
        <v>110</v>
      </c>
      <c r="CP55" s="47">
        <f>CE55+80+5</f>
        <v>42778</v>
      </c>
      <c r="CQ55" s="42">
        <f t="shared" ref="CQ55:CQ64" si="44">CF55-CP55+1</f>
        <v>37</v>
      </c>
    </row>
    <row r="56" spans="1:95" s="42" customFormat="1" hidden="1" x14ac:dyDescent="0.3">
      <c r="A56" s="31">
        <v>1</v>
      </c>
      <c r="B56" s="31"/>
      <c r="C56" s="31">
        <v>17</v>
      </c>
      <c r="D56" s="31" t="s">
        <v>68</v>
      </c>
      <c r="E56" s="43" t="s">
        <v>69</v>
      </c>
      <c r="F56" s="34" t="str">
        <f t="shared" si="0"/>
        <v>2018-139HD29672016OTC</v>
      </c>
      <c r="G56" s="31" t="s">
        <v>70</v>
      </c>
      <c r="H56" s="31" t="s">
        <v>93</v>
      </c>
      <c r="I56" s="31" t="s">
        <v>61</v>
      </c>
      <c r="J56" s="31" t="s">
        <v>32</v>
      </c>
      <c r="K56" s="31" t="s">
        <v>71</v>
      </c>
      <c r="L56" s="31">
        <v>2016</v>
      </c>
      <c r="M56" s="31" t="s">
        <v>34</v>
      </c>
      <c r="N56" s="31" t="s">
        <v>49</v>
      </c>
      <c r="O56" s="31" t="s">
        <v>73</v>
      </c>
      <c r="P56" s="31"/>
      <c r="Q56" s="32">
        <f>(8 * S56+ 4 * 0.97*S55) / 12*1.08</f>
        <v>61.210079999999998</v>
      </c>
      <c r="R56" s="31">
        <v>18.3</v>
      </c>
      <c r="S56" s="31">
        <v>59.6</v>
      </c>
      <c r="T56" s="31">
        <v>8</v>
      </c>
      <c r="U56" s="32">
        <v>115</v>
      </c>
      <c r="V56" s="31">
        <v>3</v>
      </c>
      <c r="W56" s="53">
        <f t="shared" si="31"/>
        <v>14.321739130434784</v>
      </c>
      <c r="X56" s="35">
        <v>42682</v>
      </c>
      <c r="Y56" s="35">
        <v>42795</v>
      </c>
      <c r="Z56" s="31">
        <f>8.2716049382716*400</f>
        <v>3308.6419753086402</v>
      </c>
      <c r="AA56" s="31" t="s">
        <v>78</v>
      </c>
      <c r="AB56" s="31" t="s">
        <v>214</v>
      </c>
      <c r="AC56" s="31">
        <v>0.37037037037036846</v>
      </c>
      <c r="AD56" s="31">
        <f t="shared" si="35"/>
        <v>3333.3333333333321</v>
      </c>
      <c r="AE56" s="31" t="s">
        <v>78</v>
      </c>
      <c r="AF56" s="31" t="s">
        <v>214</v>
      </c>
      <c r="AG56" s="31">
        <v>0.55555555555555891</v>
      </c>
      <c r="AH56" s="8">
        <f t="shared" si="15"/>
        <v>-7.4074074074075751E-3</v>
      </c>
      <c r="AI56" s="8">
        <f>VLOOKUP(F56,'[6]Sheet 2'!$B:$T,18,0)/VLOOKUP(F56,'[6]Sheet 2'!$B:$U,20,0)</f>
        <v>4636.4861935163344</v>
      </c>
      <c r="AJ56" s="8">
        <f t="shared" si="16"/>
        <v>-0.28639020214587341</v>
      </c>
      <c r="AK56" s="31">
        <v>48.928571428571402</v>
      </c>
      <c r="AL56" s="32" t="s">
        <v>37</v>
      </c>
      <c r="AM56" s="31"/>
      <c r="AN56" s="31">
        <v>1.4285714285714946</v>
      </c>
      <c r="AO56" s="31">
        <v>47.142857142857103</v>
      </c>
      <c r="AP56" s="32" t="s">
        <v>37</v>
      </c>
      <c r="AQ56" s="31"/>
      <c r="AR56" s="31">
        <v>1.7857142857142989</v>
      </c>
      <c r="AS56" s="8">
        <f t="shared" si="17"/>
        <v>3.7878787878788192E-2</v>
      </c>
      <c r="AT56" s="8">
        <f>VLOOKUP(F56,'[7]Sheet 2'!$B:$T,18,0)/VLOOKUP(F56,'[7]Sheet 2'!$B:$U,20,0)</f>
        <v>54.878178473744917</v>
      </c>
      <c r="AU56" s="8">
        <f t="shared" si="18"/>
        <v>-0.10841480549541116</v>
      </c>
      <c r="AV56" s="57"/>
      <c r="AW56" s="31"/>
      <c r="AX56" s="31"/>
      <c r="AY56" s="31"/>
      <c r="AZ56" s="31"/>
      <c r="BA56" s="31"/>
      <c r="BB56" s="31"/>
      <c r="BC56" s="31"/>
      <c r="BD56" s="8" t="e">
        <f t="shared" si="19"/>
        <v>#DIV/0!</v>
      </c>
      <c r="BE56" s="8" t="e">
        <f>VLOOKUP(F56,'[8]Sheet 2'!$B:$T,18,0)/VLOOKUP(F56,'[8]Sheet 2'!$B:$U,20,0)</f>
        <v>#N/A</v>
      </c>
      <c r="BF56" s="8" t="e">
        <f t="shared" si="20"/>
        <v>#N/A</v>
      </c>
      <c r="BG56" s="31"/>
      <c r="BH56" s="31"/>
      <c r="BI56" s="31"/>
      <c r="BJ56" s="31"/>
      <c r="BK56" s="31"/>
      <c r="BL56" s="31"/>
      <c r="BM56" s="31"/>
      <c r="BN56" s="31"/>
      <c r="BO56" s="8" t="e">
        <f t="shared" si="21"/>
        <v>#DIV/0!</v>
      </c>
      <c r="BP56" s="8" t="e">
        <f>VLOOKUP(F56,'[9]Sheet 2'!$B:$T,18,0)/VLOOKUP(F56,'[9]Sheet 2'!$B:$U,20,0)</f>
        <v>#N/A</v>
      </c>
      <c r="BQ56" s="8" t="e">
        <f t="shared" si="22"/>
        <v>#N/A</v>
      </c>
      <c r="BR56" s="31">
        <f t="shared" si="36"/>
        <v>67621.879787329905</v>
      </c>
      <c r="BS56" s="31" t="s">
        <v>65</v>
      </c>
      <c r="BT56" s="31"/>
      <c r="BU56" s="31"/>
      <c r="BV56" s="31">
        <f t="shared" si="37"/>
        <v>70707.070707070743</v>
      </c>
      <c r="BW56" s="31" t="s">
        <v>65</v>
      </c>
      <c r="BX56" s="31"/>
      <c r="BY56" s="31"/>
      <c r="BZ56" s="8">
        <f t="shared" si="23"/>
        <v>-4.3633414436334693E-2</v>
      </c>
      <c r="CA56" s="8">
        <f>VLOOKUP(F56,'[10]Sheet 2'!$B:$T,18,0)/VLOOKUP(F56,'[10]Sheet 2'!$B:$U,20,0)</f>
        <v>85742.031923137576</v>
      </c>
      <c r="CB56" s="8">
        <f t="shared" si="24"/>
        <v>-0.21133336508809666</v>
      </c>
      <c r="CC56" s="54">
        <f t="shared" si="33"/>
        <v>25.233333333333334</v>
      </c>
      <c r="CD56" s="54">
        <f t="shared" si="34"/>
        <v>82.05</v>
      </c>
      <c r="CE56" s="38">
        <v>42693</v>
      </c>
      <c r="CF56" s="39">
        <v>42814</v>
      </c>
      <c r="CG56" s="39">
        <v>42705</v>
      </c>
      <c r="CH56" s="39">
        <v>42795</v>
      </c>
      <c r="CI56" s="40">
        <f t="shared" si="38"/>
        <v>-42</v>
      </c>
      <c r="CJ56" s="40">
        <f t="shared" si="39"/>
        <v>79</v>
      </c>
      <c r="CK56" s="41">
        <f t="shared" si="40"/>
        <v>122</v>
      </c>
      <c r="CL56" s="40">
        <f t="shared" si="41"/>
        <v>-30</v>
      </c>
      <c r="CM56" s="40">
        <f t="shared" si="42"/>
        <v>60</v>
      </c>
      <c r="CN56" s="42">
        <f t="shared" si="43"/>
        <v>91</v>
      </c>
      <c r="CP56" s="47">
        <f>CE56+80+5</f>
        <v>42778</v>
      </c>
      <c r="CQ56" s="42">
        <f t="shared" si="44"/>
        <v>37</v>
      </c>
    </row>
    <row r="57" spans="1:95" s="19" customFormat="1" hidden="1" x14ac:dyDescent="0.3">
      <c r="A57" s="3">
        <v>1</v>
      </c>
      <c r="B57" s="3"/>
      <c r="C57" s="3">
        <v>17</v>
      </c>
      <c r="D57" s="3" t="s">
        <v>68</v>
      </c>
      <c r="E57" s="9" t="s">
        <v>69</v>
      </c>
      <c r="F57" s="6" t="str">
        <f t="shared" si="0"/>
        <v>2018-139Sonalika2016OTC</v>
      </c>
      <c r="G57" s="3" t="s">
        <v>70</v>
      </c>
      <c r="H57" s="3" t="s">
        <v>93</v>
      </c>
      <c r="I57" s="3" t="s">
        <v>61</v>
      </c>
      <c r="J57" s="3" t="s">
        <v>32</v>
      </c>
      <c r="K57" s="3" t="s">
        <v>67</v>
      </c>
      <c r="L57" s="3">
        <v>2016</v>
      </c>
      <c r="M57" s="3" t="s">
        <v>34</v>
      </c>
      <c r="N57" s="3" t="s">
        <v>49</v>
      </c>
      <c r="O57" s="3" t="s">
        <v>72</v>
      </c>
      <c r="P57" s="32" t="s">
        <v>267</v>
      </c>
      <c r="Q57" s="4">
        <f>S57/1.01*1.08</f>
        <v>56.031683168316832</v>
      </c>
      <c r="R57" s="3">
        <v>11.9</v>
      </c>
      <c r="S57" s="3">
        <v>52.4</v>
      </c>
      <c r="T57" s="3">
        <v>8</v>
      </c>
      <c r="U57" s="4">
        <v>119</v>
      </c>
      <c r="V57" s="3">
        <v>3</v>
      </c>
      <c r="W57" s="12">
        <f t="shared" si="31"/>
        <v>9</v>
      </c>
      <c r="X57" s="7">
        <v>42682</v>
      </c>
      <c r="Y57" s="7">
        <v>42814</v>
      </c>
      <c r="Z57" s="3">
        <f>6.79012345679012*400</f>
        <v>2716.0493827160481</v>
      </c>
      <c r="AA57" s="3" t="s">
        <v>78</v>
      </c>
      <c r="AB57" s="3" t="s">
        <v>214</v>
      </c>
      <c r="AC57" s="3">
        <v>0.4320987654320998</v>
      </c>
      <c r="AD57" s="3">
        <f t="shared" ref="AD57:AD58" si="45">6.79012345679012*400</f>
        <v>2716.0493827160481</v>
      </c>
      <c r="AE57" s="3" t="s">
        <v>78</v>
      </c>
      <c r="AF57" s="3" t="s">
        <v>214</v>
      </c>
      <c r="AG57" s="3">
        <v>0.4320987654320998</v>
      </c>
      <c r="AH57" s="8">
        <f t="shared" si="15"/>
        <v>0</v>
      </c>
      <c r="AI57" s="8">
        <f>VLOOKUP(F57,'[6]Sheet 2'!$B:$T,18,0)/VLOOKUP(F57,'[6]Sheet 2'!$B:$U,20,0)</f>
        <v>3410.8375332099586</v>
      </c>
      <c r="AJ57" s="8">
        <f t="shared" si="16"/>
        <v>-0.20370015977865749</v>
      </c>
      <c r="AK57" s="3">
        <v>52.5</v>
      </c>
      <c r="AL57" s="4" t="s">
        <v>37</v>
      </c>
      <c r="AM57" s="3"/>
      <c r="AN57" s="3">
        <v>1.7857142857142989</v>
      </c>
      <c r="AO57" s="3">
        <v>52.5</v>
      </c>
      <c r="AP57" s="4" t="s">
        <v>37</v>
      </c>
      <c r="AQ57" s="3"/>
      <c r="AR57" s="3">
        <v>1.7857142857142989</v>
      </c>
      <c r="AS57" s="8">
        <f t="shared" si="17"/>
        <v>0</v>
      </c>
      <c r="AT57" s="8">
        <f>VLOOKUP(F57,'[7]Sheet 2'!$B:$T,18,0)/VLOOKUP(F57,'[7]Sheet 2'!$B:$U,20,0)</f>
        <v>58.959701774704342</v>
      </c>
      <c r="AU57" s="8">
        <f t="shared" si="18"/>
        <v>-0.10956130340326395</v>
      </c>
      <c r="AV57" s="57"/>
      <c r="AW57" s="3"/>
      <c r="AX57" s="3"/>
      <c r="AY57" s="3"/>
      <c r="AZ57" s="3"/>
      <c r="BA57" s="3"/>
      <c r="BB57" s="3"/>
      <c r="BC57" s="3"/>
      <c r="BD57" s="8" t="e">
        <f t="shared" si="19"/>
        <v>#DIV/0!</v>
      </c>
      <c r="BE57" s="8" t="e">
        <f>VLOOKUP(F57,'[8]Sheet 2'!$B:$T,18,0)/VLOOKUP(F57,'[8]Sheet 2'!$B:$U,20,0)</f>
        <v>#N/A</v>
      </c>
      <c r="BF57" s="8" t="e">
        <f t="shared" si="20"/>
        <v>#N/A</v>
      </c>
      <c r="BG57" s="3"/>
      <c r="BH57" s="3"/>
      <c r="BI57" s="3"/>
      <c r="BJ57" s="3"/>
      <c r="BK57" s="3"/>
      <c r="BL57" s="3"/>
      <c r="BM57" s="3"/>
      <c r="BN57" s="3"/>
      <c r="BO57" s="8" t="e">
        <f t="shared" si="21"/>
        <v>#DIV/0!</v>
      </c>
      <c r="BP57" s="8" t="e">
        <f>VLOOKUP(F57,'[9]Sheet 2'!$B:$T,18,0)/VLOOKUP(F57,'[9]Sheet 2'!$B:$U,20,0)</f>
        <v>#N/A</v>
      </c>
      <c r="BQ57" s="8" t="e">
        <f t="shared" si="22"/>
        <v>#N/A</v>
      </c>
      <c r="BR57" s="3">
        <f t="shared" si="36"/>
        <v>51734.273956496152</v>
      </c>
      <c r="BS57" s="3" t="s">
        <v>65</v>
      </c>
      <c r="BT57" s="3"/>
      <c r="BU57" s="3"/>
      <c r="BV57" s="3">
        <f t="shared" si="37"/>
        <v>51734.273956496152</v>
      </c>
      <c r="BW57" s="3" t="s">
        <v>65</v>
      </c>
      <c r="BX57" s="3"/>
      <c r="BY57" s="3"/>
      <c r="BZ57" s="8">
        <f t="shared" si="23"/>
        <v>0</v>
      </c>
      <c r="CA57" s="8">
        <f>VLOOKUP(F57,'[10]Sheet 2'!$B:$T,18,0)/VLOOKUP(F57,'[10]Sheet 2'!$B:$U,20,0)</f>
        <v>58709.751660638001</v>
      </c>
      <c r="CB57" s="8">
        <f t="shared" si="24"/>
        <v>-0.1188129315290319</v>
      </c>
      <c r="CC57" s="23">
        <f t="shared" si="33"/>
        <v>25.233333333333334</v>
      </c>
      <c r="CD57" s="23">
        <f t="shared" si="34"/>
        <v>82.05</v>
      </c>
      <c r="CE57" s="20">
        <f>CF57-111</f>
        <v>42703</v>
      </c>
      <c r="CF57" s="18">
        <v>42814</v>
      </c>
      <c r="CG57" s="18">
        <v>42705</v>
      </c>
      <c r="CH57" s="18">
        <v>42814</v>
      </c>
      <c r="CI57" s="21">
        <f t="shared" si="38"/>
        <v>-32</v>
      </c>
      <c r="CJ57" s="21">
        <f t="shared" si="39"/>
        <v>79</v>
      </c>
      <c r="CK57" s="30">
        <f t="shared" si="40"/>
        <v>112</v>
      </c>
      <c r="CL57" s="21">
        <f t="shared" si="41"/>
        <v>-30</v>
      </c>
      <c r="CM57" s="21">
        <f t="shared" si="42"/>
        <v>79</v>
      </c>
      <c r="CN57" s="19">
        <f t="shared" si="43"/>
        <v>110</v>
      </c>
      <c r="CP57" s="29">
        <f>CE57+80+5</f>
        <v>42788</v>
      </c>
      <c r="CQ57" s="19">
        <f t="shared" si="44"/>
        <v>27</v>
      </c>
    </row>
    <row r="58" spans="1:95" s="19" customFormat="1" hidden="1" x14ac:dyDescent="0.3">
      <c r="A58" s="3">
        <v>1</v>
      </c>
      <c r="B58" s="3"/>
      <c r="C58" s="3">
        <v>17</v>
      </c>
      <c r="D58" s="3" t="s">
        <v>68</v>
      </c>
      <c r="E58" s="9" t="s">
        <v>69</v>
      </c>
      <c r="F58" s="6" t="str">
        <f t="shared" si="0"/>
        <v>2018-139Sonalika2016OTC</v>
      </c>
      <c r="G58" s="3" t="s">
        <v>70</v>
      </c>
      <c r="H58" s="3" t="s">
        <v>93</v>
      </c>
      <c r="I58" s="3" t="s">
        <v>61</v>
      </c>
      <c r="J58" s="3" t="s">
        <v>32</v>
      </c>
      <c r="K58" s="3" t="s">
        <v>67</v>
      </c>
      <c r="L58" s="3">
        <v>2016</v>
      </c>
      <c r="M58" s="3" t="s">
        <v>34</v>
      </c>
      <c r="N58" s="3" t="s">
        <v>49</v>
      </c>
      <c r="O58" s="3" t="s">
        <v>73</v>
      </c>
      <c r="P58" s="3"/>
      <c r="Q58" s="4">
        <f>(8 * S58+ 4 * 0.97*S57) / 12*1.08</f>
        <v>61.210079999999998</v>
      </c>
      <c r="R58" s="3">
        <v>18.3</v>
      </c>
      <c r="S58" s="3">
        <v>59.6</v>
      </c>
      <c r="T58" s="3">
        <v>8</v>
      </c>
      <c r="U58" s="4">
        <v>115</v>
      </c>
      <c r="V58" s="3">
        <v>3</v>
      </c>
      <c r="W58" s="12">
        <f t="shared" si="31"/>
        <v>14.321739130434784</v>
      </c>
      <c r="X58" s="7">
        <v>42682</v>
      </c>
      <c r="Y58" s="7">
        <v>42795</v>
      </c>
      <c r="Z58" s="3">
        <f>5.49382716049383*400</f>
        <v>2197.5308641975321</v>
      </c>
      <c r="AA58" s="3" t="s">
        <v>78</v>
      </c>
      <c r="AB58" s="3" t="s">
        <v>214</v>
      </c>
      <c r="AC58" s="3">
        <v>0.30864197530863979</v>
      </c>
      <c r="AD58" s="3">
        <f t="shared" si="45"/>
        <v>2716.0493827160481</v>
      </c>
      <c r="AE58" s="3" t="s">
        <v>78</v>
      </c>
      <c r="AF58" s="3" t="s">
        <v>214</v>
      </c>
      <c r="AG58" s="3">
        <v>0.4320987654320998</v>
      </c>
      <c r="AH58" s="8">
        <f t="shared" si="15"/>
        <v>-0.19090909090909006</v>
      </c>
      <c r="AI58" s="8">
        <f>VLOOKUP(F58,'[6]Sheet 2'!$B:$T,18,0)/VLOOKUP(F58,'[6]Sheet 2'!$B:$U,20,0)</f>
        <v>3410.8375332099586</v>
      </c>
      <c r="AJ58" s="8">
        <f t="shared" si="16"/>
        <v>-0.35572103836636765</v>
      </c>
      <c r="AK58" s="3">
        <v>50.714285714285701</v>
      </c>
      <c r="AL58" s="4" t="s">
        <v>37</v>
      </c>
      <c r="AM58" s="3"/>
      <c r="AN58" s="3">
        <v>1.0714285714285978</v>
      </c>
      <c r="AO58" s="3">
        <v>52.5</v>
      </c>
      <c r="AP58" s="4" t="s">
        <v>37</v>
      </c>
      <c r="AQ58" s="3"/>
      <c r="AR58" s="3">
        <v>1.7857142857142989</v>
      </c>
      <c r="AS58" s="8">
        <f t="shared" si="17"/>
        <v>-3.4013605442177124E-2</v>
      </c>
      <c r="AT58" s="8">
        <f>VLOOKUP(F58,'[7]Sheet 2'!$B:$T,18,0)/VLOOKUP(F58,'[7]Sheet 2'!$B:$U,20,0)</f>
        <v>58.959701774704342</v>
      </c>
      <c r="AU58" s="8">
        <f t="shared" si="18"/>
        <v>-0.13984833389975179</v>
      </c>
      <c r="AV58" s="57"/>
      <c r="AW58" s="3"/>
      <c r="AX58" s="3"/>
      <c r="AY58" s="3"/>
      <c r="AZ58" s="3"/>
      <c r="BA58" s="3"/>
      <c r="BB58" s="3"/>
      <c r="BC58" s="3"/>
      <c r="BD58" s="8" t="e">
        <f t="shared" si="19"/>
        <v>#DIV/0!</v>
      </c>
      <c r="BE58" s="8" t="e">
        <f>VLOOKUP(F58,'[8]Sheet 2'!$B:$T,18,0)/VLOOKUP(F58,'[8]Sheet 2'!$B:$U,20,0)</f>
        <v>#N/A</v>
      </c>
      <c r="BF58" s="8" t="e">
        <f t="shared" si="20"/>
        <v>#N/A</v>
      </c>
      <c r="BG58" s="3"/>
      <c r="BH58" s="3"/>
      <c r="BI58" s="3"/>
      <c r="BJ58" s="3"/>
      <c r="BK58" s="3"/>
      <c r="BL58" s="3"/>
      <c r="BM58" s="3"/>
      <c r="BN58" s="3"/>
      <c r="BO58" s="8" t="e">
        <f t="shared" si="21"/>
        <v>#DIV/0!</v>
      </c>
      <c r="BP58" s="8" t="e">
        <f>VLOOKUP(F58,'[9]Sheet 2'!$B:$T,18,0)/VLOOKUP(F58,'[9]Sheet 2'!$B:$U,20,0)</f>
        <v>#N/A</v>
      </c>
      <c r="BQ58" s="8" t="e">
        <f t="shared" si="22"/>
        <v>#N/A</v>
      </c>
      <c r="BR58" s="3">
        <f t="shared" si="36"/>
        <v>43331.594505303467</v>
      </c>
      <c r="BS58" s="3" t="s">
        <v>65</v>
      </c>
      <c r="BT58" s="3"/>
      <c r="BU58" s="3"/>
      <c r="BV58" s="3">
        <f t="shared" si="37"/>
        <v>51734.273956496152</v>
      </c>
      <c r="BW58" s="3" t="s">
        <v>65</v>
      </c>
      <c r="BX58" s="3"/>
      <c r="BY58" s="3"/>
      <c r="BZ58" s="8">
        <f t="shared" si="23"/>
        <v>-0.16241997439180414</v>
      </c>
      <c r="CA58" s="8">
        <f>VLOOKUP(F58,'[10]Sheet 2'!$B:$T,18,0)/VLOOKUP(F58,'[10]Sheet 2'!$B:$U,20,0)</f>
        <v>58709.751660638001</v>
      </c>
      <c r="CB58" s="8">
        <f t="shared" si="24"/>
        <v>-0.2619353126244755</v>
      </c>
      <c r="CC58" s="23">
        <f t="shared" si="33"/>
        <v>25.233333333333334</v>
      </c>
      <c r="CD58" s="23">
        <f t="shared" si="34"/>
        <v>82.05</v>
      </c>
      <c r="CE58" s="20">
        <v>42703</v>
      </c>
      <c r="CF58" s="18">
        <v>42814</v>
      </c>
      <c r="CG58" s="18">
        <v>42705</v>
      </c>
      <c r="CH58" s="18">
        <v>42795</v>
      </c>
      <c r="CI58" s="21">
        <f t="shared" si="38"/>
        <v>-32</v>
      </c>
      <c r="CJ58" s="21">
        <f t="shared" si="39"/>
        <v>79</v>
      </c>
      <c r="CK58" s="30">
        <f t="shared" si="40"/>
        <v>112</v>
      </c>
      <c r="CL58" s="21">
        <f t="shared" si="41"/>
        <v>-30</v>
      </c>
      <c r="CM58" s="21">
        <f t="shared" si="42"/>
        <v>60</v>
      </c>
      <c r="CN58" s="19">
        <f t="shared" si="43"/>
        <v>91</v>
      </c>
      <c r="CP58" s="29">
        <f>CE58+80+5</f>
        <v>42788</v>
      </c>
      <c r="CQ58" s="19">
        <f t="shared" si="44"/>
        <v>27</v>
      </c>
    </row>
    <row r="59" spans="1:95" s="42" customFormat="1" hidden="1" x14ac:dyDescent="0.3">
      <c r="A59" s="31">
        <v>1</v>
      </c>
      <c r="B59" s="31"/>
      <c r="C59" s="32">
        <v>26</v>
      </c>
      <c r="D59" s="32" t="s">
        <v>74</v>
      </c>
      <c r="E59" s="43" t="s">
        <v>75</v>
      </c>
      <c r="F59" s="34" t="str">
        <f t="shared" si="0"/>
        <v>2015-100PBW3432008OTC</v>
      </c>
      <c r="G59" s="32" t="s">
        <v>76</v>
      </c>
      <c r="H59" s="31" t="s">
        <v>93</v>
      </c>
      <c r="I59" s="32" t="s">
        <v>61</v>
      </c>
      <c r="J59" s="32" t="s">
        <v>32</v>
      </c>
      <c r="K59" s="32" t="s">
        <v>77</v>
      </c>
      <c r="L59" s="32">
        <v>2008</v>
      </c>
      <c r="M59" s="32" t="s">
        <v>34</v>
      </c>
      <c r="N59" s="32" t="s">
        <v>49</v>
      </c>
      <c r="O59" s="32" t="s">
        <v>40</v>
      </c>
      <c r="P59" s="32"/>
      <c r="Q59" s="32">
        <f>S59/1.01*1.08</f>
        <v>33.041584158415837</v>
      </c>
      <c r="R59" s="32">
        <v>2.0499999999999998</v>
      </c>
      <c r="S59" s="32">
        <v>30.9</v>
      </c>
      <c r="T59" s="32">
        <v>7</v>
      </c>
      <c r="U59" s="32">
        <v>123</v>
      </c>
      <c r="V59" s="31">
        <v>3</v>
      </c>
      <c r="W59" s="31">
        <f t="shared" si="31"/>
        <v>1.5</v>
      </c>
      <c r="X59" s="31" t="s">
        <v>50</v>
      </c>
      <c r="Y59" s="31"/>
      <c r="Z59" s="32">
        <v>439</v>
      </c>
      <c r="AA59" s="31" t="s">
        <v>78</v>
      </c>
      <c r="AB59" s="31"/>
      <c r="AC59" s="31">
        <v>5.3</v>
      </c>
      <c r="AD59" s="32">
        <v>527</v>
      </c>
      <c r="AE59" s="31" t="s">
        <v>78</v>
      </c>
      <c r="AF59" s="31"/>
      <c r="AG59" s="31">
        <v>7.8</v>
      </c>
      <c r="AH59" s="8">
        <f t="shared" si="15"/>
        <v>-0.16698292220113853</v>
      </c>
      <c r="AI59" s="8">
        <f>VLOOKUP(F59,'[6]Sheet 2'!$B:$T,18,0)/VLOOKUP(F59,'[6]Sheet 2'!$B:$U,20,0)</f>
        <v>505.15960563439012</v>
      </c>
      <c r="AJ59" s="8">
        <f t="shared" si="16"/>
        <v>-0.13096772761809702</v>
      </c>
      <c r="AK59" s="31">
        <v>42.8</v>
      </c>
      <c r="AL59" s="32" t="s">
        <v>37</v>
      </c>
      <c r="AM59" s="31"/>
      <c r="AN59" s="31">
        <v>0.5</v>
      </c>
      <c r="AO59" s="31">
        <v>45.3</v>
      </c>
      <c r="AP59" s="32" t="s">
        <v>37</v>
      </c>
      <c r="AQ59" s="31"/>
      <c r="AR59" s="31">
        <v>1.1000000000000001</v>
      </c>
      <c r="AS59" s="8">
        <f t="shared" si="17"/>
        <v>-5.5187637969094927E-2</v>
      </c>
      <c r="AT59" s="8">
        <f>VLOOKUP(F59,'[7]Sheet 2'!$B:$T,18,0)/VLOOKUP(F59,'[7]Sheet 2'!$B:$U,20,0)</f>
        <v>44.149677700798648</v>
      </c>
      <c r="AU59" s="8">
        <f t="shared" si="18"/>
        <v>-3.0570499516335899E-2</v>
      </c>
      <c r="AV59" s="57">
        <v>52.3</v>
      </c>
      <c r="AW59" s="32" t="s">
        <v>38</v>
      </c>
      <c r="AX59" s="31"/>
      <c r="AY59" s="31">
        <v>0.5</v>
      </c>
      <c r="AZ59" s="31">
        <v>56.3</v>
      </c>
      <c r="BA59" s="32" t="s">
        <v>38</v>
      </c>
      <c r="BB59" s="31"/>
      <c r="BC59" s="31">
        <v>0.5</v>
      </c>
      <c r="BD59" s="8">
        <f t="shared" si="19"/>
        <v>-7.1047957371225587E-2</v>
      </c>
      <c r="BE59" s="8">
        <f>VLOOKUP(F59,'[8]Sheet 2'!$B:$T,18,0)/VLOOKUP(F59,'[8]Sheet 2'!$B:$U,20,0)</f>
        <v>52.382022008844757</v>
      </c>
      <c r="BF59" s="8">
        <f t="shared" si="20"/>
        <v>-1.5658427395359108E-3</v>
      </c>
      <c r="BG59" s="31">
        <v>10.8</v>
      </c>
      <c r="BH59" s="32" t="s">
        <v>66</v>
      </c>
      <c r="BI59" s="31"/>
      <c r="BJ59" s="31">
        <v>0.1</v>
      </c>
      <c r="BK59" s="31">
        <v>10.8</v>
      </c>
      <c r="BL59" s="32" t="s">
        <v>66</v>
      </c>
      <c r="BM59" s="31"/>
      <c r="BN59" s="31">
        <v>0.1</v>
      </c>
      <c r="BO59" s="8">
        <f t="shared" si="21"/>
        <v>0</v>
      </c>
      <c r="BP59" s="8">
        <f>VLOOKUP(F59,'[9]Sheet 2'!$B:$T,18,0)/VLOOKUP(F59,'[9]Sheet 2'!$B:$U,20,0)</f>
        <v>11.507879843764806</v>
      </c>
      <c r="BQ59" s="8">
        <f t="shared" si="22"/>
        <v>-6.1512620341474006E-2</v>
      </c>
      <c r="BR59" s="31">
        <f t="shared" si="36"/>
        <v>10257.009345794395</v>
      </c>
      <c r="BS59" s="31" t="s">
        <v>52</v>
      </c>
      <c r="BT59" s="31"/>
      <c r="BU59" s="31"/>
      <c r="BV59" s="31">
        <f t="shared" si="37"/>
        <v>11633.55408388521</v>
      </c>
      <c r="BW59" s="31" t="s">
        <v>52</v>
      </c>
      <c r="BX59" s="31"/>
      <c r="BY59" s="31"/>
      <c r="BZ59" s="8">
        <f t="shared" si="23"/>
        <v>-0.11832538261008337</v>
      </c>
      <c r="CA59" s="8">
        <f>VLOOKUP(F59,'[10]Sheet 2'!$B:$T,18,0)/VLOOKUP(F59,'[10]Sheet 2'!$B:$U,20,0)</f>
        <v>11534.939542941551</v>
      </c>
      <c r="CB59" s="8">
        <f t="shared" si="24"/>
        <v>-0.11078776723447552</v>
      </c>
      <c r="CC59" s="45">
        <f t="shared" ref="CC59:CC64" si="46">28+40/60</f>
        <v>28.666666666666668</v>
      </c>
      <c r="CD59" s="45">
        <f t="shared" ref="CD59:CD64" si="47">77+12/60</f>
        <v>77.2</v>
      </c>
      <c r="CE59" s="38">
        <f>CF59-122</f>
        <v>39796</v>
      </c>
      <c r="CF59" s="39">
        <v>39918</v>
      </c>
      <c r="CG59" s="39">
        <v>39783</v>
      </c>
      <c r="CH59" s="39">
        <v>39918</v>
      </c>
      <c r="CI59" s="40">
        <f t="shared" si="38"/>
        <v>-17</v>
      </c>
      <c r="CJ59" s="40">
        <f t="shared" si="39"/>
        <v>105</v>
      </c>
      <c r="CK59" s="41">
        <f t="shared" si="40"/>
        <v>123</v>
      </c>
      <c r="CL59" s="40">
        <f t="shared" si="41"/>
        <v>-30</v>
      </c>
      <c r="CM59" s="40">
        <f t="shared" si="42"/>
        <v>105</v>
      </c>
      <c r="CN59" s="42">
        <f t="shared" si="43"/>
        <v>136</v>
      </c>
      <c r="CP59" s="47">
        <f>CE59+69+5</f>
        <v>39870</v>
      </c>
      <c r="CQ59" s="42">
        <f t="shared" si="44"/>
        <v>49</v>
      </c>
    </row>
    <row r="60" spans="1:95" s="42" customFormat="1" hidden="1" x14ac:dyDescent="0.3">
      <c r="A60" s="31">
        <v>1</v>
      </c>
      <c r="B60" s="31"/>
      <c r="C60" s="32">
        <v>26</v>
      </c>
      <c r="D60" s="32" t="s">
        <v>74</v>
      </c>
      <c r="E60" s="43" t="s">
        <v>75</v>
      </c>
      <c r="F60" s="34" t="str">
        <f t="shared" si="0"/>
        <v>2015-100PBW3432008OTC</v>
      </c>
      <c r="G60" s="32" t="s">
        <v>76</v>
      </c>
      <c r="H60" s="31" t="s">
        <v>93</v>
      </c>
      <c r="I60" s="32" t="s">
        <v>61</v>
      </c>
      <c r="J60" s="32" t="s">
        <v>32</v>
      </c>
      <c r="K60" s="32" t="s">
        <v>77</v>
      </c>
      <c r="L60" s="32">
        <v>2008</v>
      </c>
      <c r="M60" s="32" t="s">
        <v>34</v>
      </c>
      <c r="N60" s="32" t="s">
        <v>49</v>
      </c>
      <c r="O60" s="32" t="s">
        <v>36</v>
      </c>
      <c r="P60" s="32" t="s">
        <v>267</v>
      </c>
      <c r="Q60" s="32">
        <f>S60/1.01*1.08</f>
        <v>5.6138613861386144</v>
      </c>
      <c r="R60" s="32">
        <v>0</v>
      </c>
      <c r="S60" s="32">
        <v>5.25</v>
      </c>
      <c r="T60" s="32">
        <v>7</v>
      </c>
      <c r="U60" s="32">
        <v>123</v>
      </c>
      <c r="V60" s="31">
        <v>3</v>
      </c>
      <c r="W60" s="31">
        <f t="shared" si="31"/>
        <v>0</v>
      </c>
      <c r="X60" s="31" t="s">
        <v>50</v>
      </c>
      <c r="Y60" s="31"/>
      <c r="Z60" s="32">
        <v>527</v>
      </c>
      <c r="AA60" s="31" t="s">
        <v>78</v>
      </c>
      <c r="AB60" s="31"/>
      <c r="AC60" s="31">
        <v>7.8</v>
      </c>
      <c r="AD60" s="32">
        <v>527</v>
      </c>
      <c r="AE60" s="31" t="s">
        <v>78</v>
      </c>
      <c r="AF60" s="31"/>
      <c r="AG60" s="31">
        <v>7.8</v>
      </c>
      <c r="AH60" s="8">
        <f t="shared" si="15"/>
        <v>0</v>
      </c>
      <c r="AI60" s="8">
        <f>VLOOKUP(F60,'[6]Sheet 2'!$B:$T,18,0)/VLOOKUP(F60,'[6]Sheet 2'!$B:$U,20,0)</f>
        <v>505.15960563439012</v>
      </c>
      <c r="AJ60" s="8">
        <f t="shared" si="16"/>
        <v>4.3234641333172813E-2</v>
      </c>
      <c r="AK60" s="31">
        <v>45.3</v>
      </c>
      <c r="AL60" s="32" t="s">
        <v>37</v>
      </c>
      <c r="AM60" s="31"/>
      <c r="AN60" s="31">
        <v>1.1000000000000001</v>
      </c>
      <c r="AO60" s="31">
        <v>45.3</v>
      </c>
      <c r="AP60" s="32" t="s">
        <v>37</v>
      </c>
      <c r="AQ60" s="31"/>
      <c r="AR60" s="31">
        <v>1.1000000000000001</v>
      </c>
      <c r="AS60" s="8">
        <f t="shared" si="17"/>
        <v>0</v>
      </c>
      <c r="AT60" s="8">
        <f>VLOOKUP(F60,'[7]Sheet 2'!$B:$T,18,0)/VLOOKUP(F60,'[7]Sheet 2'!$B:$U,20,0)</f>
        <v>44.149677700798648</v>
      </c>
      <c r="AU60" s="8">
        <f t="shared" si="18"/>
        <v>2.6055055418457568E-2</v>
      </c>
      <c r="AV60" s="57">
        <v>56.3</v>
      </c>
      <c r="AW60" s="32" t="s">
        <v>38</v>
      </c>
      <c r="AX60" s="31"/>
      <c r="AY60" s="31">
        <v>0.5</v>
      </c>
      <c r="AZ60" s="31">
        <v>56.3</v>
      </c>
      <c r="BA60" s="32" t="s">
        <v>38</v>
      </c>
      <c r="BB60" s="31"/>
      <c r="BC60" s="31">
        <v>0.5</v>
      </c>
      <c r="BD60" s="8">
        <f t="shared" si="19"/>
        <v>0</v>
      </c>
      <c r="BE60" s="8">
        <f>VLOOKUP(F60,'[8]Sheet 2'!$B:$T,18,0)/VLOOKUP(F60,'[8]Sheet 2'!$B:$U,20,0)</f>
        <v>52.382022008844757</v>
      </c>
      <c r="BF60" s="8">
        <f t="shared" si="20"/>
        <v>7.4796234297593273E-2</v>
      </c>
      <c r="BG60" s="31">
        <v>12</v>
      </c>
      <c r="BH60" s="32" t="s">
        <v>66</v>
      </c>
      <c r="BI60" s="31"/>
      <c r="BJ60" s="31">
        <v>0.2</v>
      </c>
      <c r="BK60" s="31">
        <v>10.8</v>
      </c>
      <c r="BL60" s="32" t="s">
        <v>66</v>
      </c>
      <c r="BM60" s="31"/>
      <c r="BN60" s="31">
        <v>0.1</v>
      </c>
      <c r="BO60" s="8">
        <f t="shared" si="21"/>
        <v>0.11111111111111104</v>
      </c>
      <c r="BP60" s="8">
        <f>VLOOKUP(F60,'[9]Sheet 2'!$B:$T,18,0)/VLOOKUP(F60,'[9]Sheet 2'!$B:$U,20,0)</f>
        <v>11.507879843764806</v>
      </c>
      <c r="BQ60" s="8">
        <f t="shared" si="22"/>
        <v>4.2763755176139923E-2</v>
      </c>
      <c r="BR60" s="31">
        <f t="shared" si="36"/>
        <v>11633.55408388521</v>
      </c>
      <c r="BS60" s="31" t="s">
        <v>52</v>
      </c>
      <c r="BT60" s="31"/>
      <c r="BU60" s="31"/>
      <c r="BV60" s="31">
        <f t="shared" si="37"/>
        <v>11633.55408388521</v>
      </c>
      <c r="BW60" s="31" t="s">
        <v>52</v>
      </c>
      <c r="BX60" s="31"/>
      <c r="BY60" s="31"/>
      <c r="BZ60" s="8">
        <f t="shared" si="23"/>
        <v>0</v>
      </c>
      <c r="CA60" s="8">
        <f>VLOOKUP(F60,'[10]Sheet 2'!$B:$T,18,0)/VLOOKUP(F60,'[10]Sheet 2'!$B:$U,20,0)</f>
        <v>11534.939542941551</v>
      </c>
      <c r="CB60" s="8">
        <f t="shared" si="24"/>
        <v>8.5492031038865365E-3</v>
      </c>
      <c r="CC60" s="45">
        <f t="shared" si="46"/>
        <v>28.666666666666668</v>
      </c>
      <c r="CD60" s="45">
        <f t="shared" si="47"/>
        <v>77.2</v>
      </c>
      <c r="CE60" s="38">
        <f>CF60-122</f>
        <v>39796</v>
      </c>
      <c r="CF60" s="39">
        <v>39918</v>
      </c>
      <c r="CG60" s="39">
        <v>39783</v>
      </c>
      <c r="CH60" s="39">
        <v>39918</v>
      </c>
      <c r="CI60" s="40">
        <f t="shared" si="38"/>
        <v>-17</v>
      </c>
      <c r="CJ60" s="40">
        <f t="shared" si="39"/>
        <v>105</v>
      </c>
      <c r="CK60" s="41">
        <f t="shared" si="40"/>
        <v>123</v>
      </c>
      <c r="CL60" s="40">
        <f t="shared" si="41"/>
        <v>-30</v>
      </c>
      <c r="CM60" s="40">
        <f t="shared" si="42"/>
        <v>105</v>
      </c>
      <c r="CN60" s="42">
        <f t="shared" si="43"/>
        <v>136</v>
      </c>
      <c r="CP60" s="47">
        <f>CE60+69+5</f>
        <v>39870</v>
      </c>
      <c r="CQ60" s="42">
        <f t="shared" si="44"/>
        <v>49</v>
      </c>
    </row>
    <row r="61" spans="1:95" s="42" customFormat="1" hidden="1" x14ac:dyDescent="0.3">
      <c r="A61" s="31">
        <v>1</v>
      </c>
      <c r="B61" s="31"/>
      <c r="C61" s="32">
        <v>26</v>
      </c>
      <c r="D61" s="32" t="s">
        <v>74</v>
      </c>
      <c r="E61" s="43" t="s">
        <v>75</v>
      </c>
      <c r="F61" s="34" t="str">
        <f t="shared" si="0"/>
        <v>2015-100PBW3432008OTC</v>
      </c>
      <c r="G61" s="32" t="s">
        <v>76</v>
      </c>
      <c r="H61" s="31" t="s">
        <v>93</v>
      </c>
      <c r="I61" s="32" t="s">
        <v>61</v>
      </c>
      <c r="J61" s="32" t="s">
        <v>32</v>
      </c>
      <c r="K61" s="32" t="s">
        <v>77</v>
      </c>
      <c r="L61" s="32">
        <v>2008</v>
      </c>
      <c r="M61" s="32" t="s">
        <v>34</v>
      </c>
      <c r="N61" s="32" t="s">
        <v>49</v>
      </c>
      <c r="O61" s="32" t="s">
        <v>54</v>
      </c>
      <c r="P61" s="32"/>
      <c r="Q61" s="32">
        <f>(7*S61+5*0.976*S59)/12*1.08</f>
        <v>50.867280000000001</v>
      </c>
      <c r="R61" s="32">
        <v>16.62</v>
      </c>
      <c r="S61" s="32">
        <v>59.2</v>
      </c>
      <c r="T61" s="32">
        <v>7</v>
      </c>
      <c r="U61" s="32">
        <v>123</v>
      </c>
      <c r="V61" s="31">
        <v>3</v>
      </c>
      <c r="W61" s="31">
        <f t="shared" si="31"/>
        <v>12.160975609756099</v>
      </c>
      <c r="X61" s="31" t="s">
        <v>50</v>
      </c>
      <c r="Y61" s="31"/>
      <c r="Z61" s="32">
        <v>369</v>
      </c>
      <c r="AA61" s="31" t="s">
        <v>78</v>
      </c>
      <c r="AB61" s="31"/>
      <c r="AC61" s="31">
        <v>8.5</v>
      </c>
      <c r="AD61" s="32">
        <v>527</v>
      </c>
      <c r="AE61" s="31" t="s">
        <v>78</v>
      </c>
      <c r="AF61" s="31"/>
      <c r="AG61" s="31">
        <v>7.8</v>
      </c>
      <c r="AH61" s="8">
        <f t="shared" si="15"/>
        <v>-0.29981024667931688</v>
      </c>
      <c r="AI61" s="8">
        <f>VLOOKUP(F61,'[6]Sheet 2'!$B:$T,18,0)/VLOOKUP(F61,'[6]Sheet 2'!$B:$U,20,0)</f>
        <v>505.15960563439012</v>
      </c>
      <c r="AJ61" s="8">
        <f t="shared" si="16"/>
        <v>-0.2695377938293344</v>
      </c>
      <c r="AK61" s="31">
        <v>37.6</v>
      </c>
      <c r="AL61" s="32" t="s">
        <v>37</v>
      </c>
      <c r="AM61" s="31"/>
      <c r="AN61" s="31">
        <v>0.1</v>
      </c>
      <c r="AO61" s="31">
        <v>45.3</v>
      </c>
      <c r="AP61" s="32" t="s">
        <v>37</v>
      </c>
      <c r="AQ61" s="31"/>
      <c r="AR61" s="31">
        <v>1.1000000000000001</v>
      </c>
      <c r="AS61" s="8">
        <f t="shared" si="17"/>
        <v>-0.16997792494481229</v>
      </c>
      <c r="AT61" s="8">
        <f>VLOOKUP(F61,'[7]Sheet 2'!$B:$T,18,0)/VLOOKUP(F61,'[7]Sheet 2'!$B:$U,20,0)</f>
        <v>44.149677700798648</v>
      </c>
      <c r="AU61" s="8">
        <f t="shared" si="18"/>
        <v>-0.14835165378070622</v>
      </c>
      <c r="AV61" s="57">
        <v>48.5</v>
      </c>
      <c r="AW61" s="32" t="s">
        <v>38</v>
      </c>
      <c r="AX61" s="31"/>
      <c r="AY61" s="31">
        <v>0.1</v>
      </c>
      <c r="AZ61" s="31">
        <v>56.3</v>
      </c>
      <c r="BA61" s="32" t="s">
        <v>38</v>
      </c>
      <c r="BB61" s="31"/>
      <c r="BC61" s="31">
        <v>0.5</v>
      </c>
      <c r="BD61" s="8">
        <f t="shared" si="19"/>
        <v>-0.13854351687388983</v>
      </c>
      <c r="BE61" s="8">
        <f>VLOOKUP(F61,'[8]Sheet 2'!$B:$T,18,0)/VLOOKUP(F61,'[8]Sheet 2'!$B:$U,20,0)</f>
        <v>52.382022008844757</v>
      </c>
      <c r="BF61" s="8">
        <f t="shared" si="20"/>
        <v>-7.4109815924808586E-2</v>
      </c>
      <c r="BG61" s="31">
        <v>9.5</v>
      </c>
      <c r="BH61" s="32" t="s">
        <v>66</v>
      </c>
      <c r="BI61" s="31"/>
      <c r="BJ61" s="31">
        <v>0.04</v>
      </c>
      <c r="BK61" s="31">
        <v>10.8</v>
      </c>
      <c r="BL61" s="32" t="s">
        <v>66</v>
      </c>
      <c r="BM61" s="31"/>
      <c r="BN61" s="31">
        <v>0.1</v>
      </c>
      <c r="BO61" s="8">
        <f t="shared" si="21"/>
        <v>-0.12037037037037043</v>
      </c>
      <c r="BP61" s="8">
        <f>VLOOKUP(F61,'[9]Sheet 2'!$B:$T,18,0)/VLOOKUP(F61,'[9]Sheet 2'!$B:$U,20,0)</f>
        <v>11.507879843764806</v>
      </c>
      <c r="BQ61" s="8">
        <f t="shared" si="22"/>
        <v>-0.17447869381888922</v>
      </c>
      <c r="BR61" s="31">
        <f t="shared" si="36"/>
        <v>9813.8297872340409</v>
      </c>
      <c r="BS61" s="31" t="s">
        <v>52</v>
      </c>
      <c r="BT61" s="31"/>
      <c r="BU61" s="31"/>
      <c r="BV61" s="31">
        <f t="shared" si="37"/>
        <v>11633.55408388521</v>
      </c>
      <c r="BW61" s="31" t="s">
        <v>52</v>
      </c>
      <c r="BX61" s="31"/>
      <c r="BY61" s="31"/>
      <c r="BZ61" s="8">
        <f t="shared" si="23"/>
        <v>-0.15642032379183676</v>
      </c>
      <c r="CA61" s="8">
        <f>VLOOKUP(F61,'[10]Sheet 2'!$B:$T,18,0)/VLOOKUP(F61,'[10]Sheet 2'!$B:$U,20,0)</f>
        <v>11534.939542941551</v>
      </c>
      <c r="CB61" s="8">
        <f t="shared" si="24"/>
        <v>-0.14920838980562232</v>
      </c>
      <c r="CC61" s="45">
        <f t="shared" si="46"/>
        <v>28.666666666666668</v>
      </c>
      <c r="CD61" s="45">
        <f t="shared" si="47"/>
        <v>77.2</v>
      </c>
      <c r="CE61" s="38">
        <f>CF61-122</f>
        <v>39796</v>
      </c>
      <c r="CF61" s="39">
        <v>39918</v>
      </c>
      <c r="CG61" s="39">
        <v>39783</v>
      </c>
      <c r="CH61" s="39">
        <v>39918</v>
      </c>
      <c r="CI61" s="40">
        <f t="shared" si="38"/>
        <v>-17</v>
      </c>
      <c r="CJ61" s="40">
        <f t="shared" si="39"/>
        <v>105</v>
      </c>
      <c r="CK61" s="41">
        <f t="shared" si="40"/>
        <v>123</v>
      </c>
      <c r="CL61" s="40">
        <f t="shared" si="41"/>
        <v>-30</v>
      </c>
      <c r="CM61" s="40">
        <f t="shared" si="42"/>
        <v>105</v>
      </c>
      <c r="CN61" s="42">
        <f t="shared" si="43"/>
        <v>136</v>
      </c>
      <c r="CP61" s="47">
        <f>CE61+69+5</f>
        <v>39870</v>
      </c>
      <c r="CQ61" s="42">
        <f t="shared" si="44"/>
        <v>49</v>
      </c>
    </row>
    <row r="62" spans="1:95" s="19" customFormat="1" hidden="1" x14ac:dyDescent="0.3">
      <c r="A62" s="3">
        <v>1</v>
      </c>
      <c r="B62" s="3"/>
      <c r="C62" s="4">
        <v>26</v>
      </c>
      <c r="D62" s="4" t="s">
        <v>74</v>
      </c>
      <c r="E62" s="9" t="s">
        <v>75</v>
      </c>
      <c r="F62" s="6" t="str">
        <f t="shared" si="0"/>
        <v>2015-100PBW3432009OTC</v>
      </c>
      <c r="G62" s="4" t="s">
        <v>76</v>
      </c>
      <c r="H62" s="3" t="s">
        <v>93</v>
      </c>
      <c r="I62" s="4" t="s">
        <v>61</v>
      </c>
      <c r="J62" s="4" t="s">
        <v>32</v>
      </c>
      <c r="K62" s="4" t="s">
        <v>77</v>
      </c>
      <c r="L62" s="4">
        <v>2009</v>
      </c>
      <c r="M62" s="4" t="s">
        <v>34</v>
      </c>
      <c r="N62" s="4" t="s">
        <v>49</v>
      </c>
      <c r="O62" s="4" t="s">
        <v>40</v>
      </c>
      <c r="P62" s="4"/>
      <c r="Q62" s="4">
        <f>S62/1.01*1.08</f>
        <v>37.318811881188125</v>
      </c>
      <c r="R62" s="4">
        <v>2.39</v>
      </c>
      <c r="S62" s="4">
        <v>34.9</v>
      </c>
      <c r="T62" s="4">
        <v>7</v>
      </c>
      <c r="U62" s="4">
        <v>135</v>
      </c>
      <c r="V62" s="3">
        <v>3</v>
      </c>
      <c r="W62" s="3">
        <f t="shared" si="31"/>
        <v>1.5933333333333333</v>
      </c>
      <c r="X62" s="3" t="s">
        <v>50</v>
      </c>
      <c r="Y62" s="3"/>
      <c r="Z62" s="4">
        <v>423</v>
      </c>
      <c r="AA62" s="3" t="s">
        <v>78</v>
      </c>
      <c r="AB62" s="3"/>
      <c r="AC62" s="3">
        <v>5.0999999999999996</v>
      </c>
      <c r="AD62" s="4">
        <v>499</v>
      </c>
      <c r="AE62" s="3" t="s">
        <v>78</v>
      </c>
      <c r="AF62" s="3"/>
      <c r="AG62" s="3">
        <v>8</v>
      </c>
      <c r="AH62" s="8">
        <f t="shared" si="15"/>
        <v>-0.15230460921843689</v>
      </c>
      <c r="AI62" s="8">
        <f>VLOOKUP(F62,'[6]Sheet 2'!$B:$T,18,0)/VLOOKUP(F62,'[6]Sheet 2'!$B:$U,20,0)</f>
        <v>479.00431414420245</v>
      </c>
      <c r="AJ62" s="8">
        <f t="shared" si="16"/>
        <v>-0.11691818317808003</v>
      </c>
      <c r="AK62" s="3">
        <v>42.1</v>
      </c>
      <c r="AL62" s="4" t="s">
        <v>37</v>
      </c>
      <c r="AM62" s="3"/>
      <c r="AN62" s="3">
        <v>0.43</v>
      </c>
      <c r="AO62" s="3">
        <v>43.5</v>
      </c>
      <c r="AP62" s="4" t="s">
        <v>37</v>
      </c>
      <c r="AQ62" s="3"/>
      <c r="AR62" s="3">
        <v>2.17</v>
      </c>
      <c r="AS62" s="8">
        <f t="shared" si="17"/>
        <v>-3.2183908045976976E-2</v>
      </c>
      <c r="AT62" s="8">
        <f>VLOOKUP(F62,'[7]Sheet 2'!$B:$T,18,0)/VLOOKUP(F62,'[7]Sheet 2'!$B:$U,20,0)</f>
        <v>43.124895134703387</v>
      </c>
      <c r="AU62" s="8">
        <f t="shared" si="18"/>
        <v>-2.3765742073158885E-2</v>
      </c>
      <c r="AV62" s="57">
        <v>44.8</v>
      </c>
      <c r="AW62" s="4" t="s">
        <v>38</v>
      </c>
      <c r="AX62" s="3"/>
      <c r="AY62" s="3">
        <v>0.88</v>
      </c>
      <c r="AZ62" s="3">
        <v>48.1</v>
      </c>
      <c r="BA62" s="4" t="s">
        <v>38</v>
      </c>
      <c r="BB62" s="3"/>
      <c r="BC62" s="3">
        <v>0.45</v>
      </c>
      <c r="BD62" s="8">
        <f t="shared" si="19"/>
        <v>-6.8607068607068694E-2</v>
      </c>
      <c r="BE62" s="8">
        <f>VLOOKUP(F62,'[8]Sheet 2'!$B:$T,18,0)/VLOOKUP(F62,'[8]Sheet 2'!$B:$U,20,0)</f>
        <v>44.560793386248015</v>
      </c>
      <c r="BF62" s="8">
        <f t="shared" si="20"/>
        <v>5.3680959330900044E-3</v>
      </c>
      <c r="BG62" s="3">
        <v>10.9</v>
      </c>
      <c r="BH62" s="4" t="s">
        <v>66</v>
      </c>
      <c r="BI62" s="3"/>
      <c r="BJ62" s="3">
        <v>0.1</v>
      </c>
      <c r="BK62" s="3">
        <v>11.8</v>
      </c>
      <c r="BL62" s="4" t="s">
        <v>66</v>
      </c>
      <c r="BM62" s="3"/>
      <c r="BN62" s="3">
        <v>0.2</v>
      </c>
      <c r="BO62" s="8">
        <f t="shared" si="21"/>
        <v>-7.6271186440677985E-2</v>
      </c>
      <c r="BP62" s="8">
        <f>VLOOKUP(F62,'[9]Sheet 2'!$B:$T,18,0)/VLOOKUP(F62,'[9]Sheet 2'!$B:$U,20,0)</f>
        <v>11.591094678078802</v>
      </c>
      <c r="BQ62" s="8">
        <f t="shared" si="22"/>
        <v>-5.9622899930737952E-2</v>
      </c>
      <c r="BR62" s="3">
        <f t="shared" si="36"/>
        <v>10047.505938242279</v>
      </c>
      <c r="BS62" s="3" t="s">
        <v>52</v>
      </c>
      <c r="BT62" s="3"/>
      <c r="BU62" s="3"/>
      <c r="BV62" s="3">
        <f t="shared" si="37"/>
        <v>11471.264367816091</v>
      </c>
      <c r="BW62" s="3" t="s">
        <v>52</v>
      </c>
      <c r="BX62" s="3"/>
      <c r="BY62" s="3"/>
      <c r="BZ62" s="8">
        <f t="shared" si="23"/>
        <v>-0.12411521380052273</v>
      </c>
      <c r="CA62" s="8">
        <f>VLOOKUP(F62,'[10]Sheet 2'!$B:$T,18,0)/VLOOKUP(F62,'[10]Sheet 2'!$B:$U,20,0)</f>
        <v>11199.97985206619</v>
      </c>
      <c r="CB62" s="8">
        <f t="shared" si="24"/>
        <v>-0.10289964169991796</v>
      </c>
      <c r="CC62" s="25">
        <f t="shared" si="46"/>
        <v>28.666666666666668</v>
      </c>
      <c r="CD62" s="25">
        <f t="shared" si="47"/>
        <v>77.2</v>
      </c>
      <c r="CE62" s="20">
        <f>CF62-134</f>
        <v>40159</v>
      </c>
      <c r="CF62" s="18">
        <v>40293</v>
      </c>
      <c r="CG62" s="18">
        <v>40148</v>
      </c>
      <c r="CH62" s="18">
        <v>40293</v>
      </c>
      <c r="CI62" s="21">
        <f t="shared" si="38"/>
        <v>-19</v>
      </c>
      <c r="CJ62" s="21">
        <f t="shared" si="39"/>
        <v>115</v>
      </c>
      <c r="CK62" s="30">
        <f t="shared" si="40"/>
        <v>135</v>
      </c>
      <c r="CL62" s="21">
        <f t="shared" si="41"/>
        <v>-30</v>
      </c>
      <c r="CM62" s="21">
        <f t="shared" si="42"/>
        <v>115</v>
      </c>
      <c r="CN62" s="19">
        <f t="shared" si="43"/>
        <v>146</v>
      </c>
      <c r="CP62" s="29">
        <f>CE62+71+5</f>
        <v>40235</v>
      </c>
      <c r="CQ62" s="19">
        <f t="shared" si="44"/>
        <v>59</v>
      </c>
    </row>
    <row r="63" spans="1:95" s="19" customFormat="1" hidden="1" x14ac:dyDescent="0.3">
      <c r="A63" s="3">
        <v>1</v>
      </c>
      <c r="B63" s="3"/>
      <c r="C63" s="4">
        <v>26</v>
      </c>
      <c r="D63" s="4" t="s">
        <v>74</v>
      </c>
      <c r="E63" s="9" t="s">
        <v>75</v>
      </c>
      <c r="F63" s="6" t="str">
        <f t="shared" si="0"/>
        <v>2015-100PBW3432009OTC</v>
      </c>
      <c r="G63" s="4" t="s">
        <v>76</v>
      </c>
      <c r="H63" s="3" t="s">
        <v>93</v>
      </c>
      <c r="I63" s="4" t="s">
        <v>61</v>
      </c>
      <c r="J63" s="4" t="s">
        <v>32</v>
      </c>
      <c r="K63" s="4" t="s">
        <v>77</v>
      </c>
      <c r="L63" s="4">
        <v>2009</v>
      </c>
      <c r="M63" s="4" t="s">
        <v>34</v>
      </c>
      <c r="N63" s="4" t="s">
        <v>49</v>
      </c>
      <c r="O63" s="4" t="s">
        <v>36</v>
      </c>
      <c r="P63" s="32" t="s">
        <v>267</v>
      </c>
      <c r="Q63" s="4">
        <f>S63/1.01*1.08</f>
        <v>8.2229702970297041</v>
      </c>
      <c r="R63" s="4">
        <v>0</v>
      </c>
      <c r="S63" s="4">
        <v>7.69</v>
      </c>
      <c r="T63" s="4">
        <v>7</v>
      </c>
      <c r="U63" s="4">
        <v>135</v>
      </c>
      <c r="V63" s="3">
        <v>3</v>
      </c>
      <c r="W63" s="3">
        <f t="shared" si="31"/>
        <v>0</v>
      </c>
      <c r="X63" s="3" t="s">
        <v>50</v>
      </c>
      <c r="Y63" s="3"/>
      <c r="Z63" s="4">
        <v>499</v>
      </c>
      <c r="AA63" s="3" t="s">
        <v>78</v>
      </c>
      <c r="AB63" s="3"/>
      <c r="AC63" s="3">
        <v>8</v>
      </c>
      <c r="AD63" s="4">
        <v>499</v>
      </c>
      <c r="AE63" s="3" t="s">
        <v>78</v>
      </c>
      <c r="AF63" s="3"/>
      <c r="AG63" s="3">
        <v>8</v>
      </c>
      <c r="AH63" s="8">
        <f t="shared" si="15"/>
        <v>0</v>
      </c>
      <c r="AI63" s="8">
        <f>VLOOKUP(F63,'[6]Sheet 2'!$B:$T,18,0)/VLOOKUP(F63,'[6]Sheet 2'!$B:$U,20,0)</f>
        <v>479.00431414420245</v>
      </c>
      <c r="AJ63" s="8">
        <f t="shared" si="16"/>
        <v>4.1744270908127816E-2</v>
      </c>
      <c r="AK63" s="3">
        <v>43.5</v>
      </c>
      <c r="AL63" s="4" t="s">
        <v>37</v>
      </c>
      <c r="AM63" s="3"/>
      <c r="AN63" s="3">
        <v>2.17</v>
      </c>
      <c r="AO63" s="3">
        <v>43.5</v>
      </c>
      <c r="AP63" s="4" t="s">
        <v>37</v>
      </c>
      <c r="AQ63" s="3"/>
      <c r="AR63" s="3">
        <v>2.17</v>
      </c>
      <c r="AS63" s="8">
        <f t="shared" si="17"/>
        <v>0</v>
      </c>
      <c r="AT63" s="8">
        <f>VLOOKUP(F63,'[7]Sheet 2'!$B:$T,18,0)/VLOOKUP(F63,'[7]Sheet 2'!$B:$U,20,0)</f>
        <v>43.124895134703387</v>
      </c>
      <c r="AU63" s="8">
        <f t="shared" si="18"/>
        <v>8.6981049837906652E-3</v>
      </c>
      <c r="AV63" s="57">
        <v>48.1</v>
      </c>
      <c r="AW63" s="4" t="s">
        <v>38</v>
      </c>
      <c r="AX63" s="3"/>
      <c r="AY63" s="3">
        <v>0.45</v>
      </c>
      <c r="AZ63" s="3">
        <v>48.1</v>
      </c>
      <c r="BA63" s="4" t="s">
        <v>38</v>
      </c>
      <c r="BB63" s="3"/>
      <c r="BC63" s="3">
        <v>0.45</v>
      </c>
      <c r="BD63" s="8">
        <f t="shared" si="19"/>
        <v>0</v>
      </c>
      <c r="BE63" s="8">
        <f>VLOOKUP(F63,'[8]Sheet 2'!$B:$T,18,0)/VLOOKUP(F63,'[8]Sheet 2'!$B:$U,20,0)</f>
        <v>44.560793386248015</v>
      </c>
      <c r="BF63" s="8">
        <f t="shared" si="20"/>
        <v>7.9424227999590036E-2</v>
      </c>
      <c r="BG63" s="3">
        <v>11.8</v>
      </c>
      <c r="BH63" s="4" t="s">
        <v>66</v>
      </c>
      <c r="BI63" s="3"/>
      <c r="BJ63" s="3">
        <v>0.2</v>
      </c>
      <c r="BK63" s="3">
        <v>11.8</v>
      </c>
      <c r="BL63" s="4" t="s">
        <v>66</v>
      </c>
      <c r="BM63" s="3"/>
      <c r="BN63" s="3">
        <v>0.2</v>
      </c>
      <c r="BO63" s="8">
        <f t="shared" si="21"/>
        <v>0</v>
      </c>
      <c r="BP63" s="8">
        <f>VLOOKUP(F63,'[9]Sheet 2'!$B:$T,18,0)/VLOOKUP(F63,'[9]Sheet 2'!$B:$U,20,0)</f>
        <v>11.591094678078802</v>
      </c>
      <c r="BQ63" s="8">
        <f t="shared" si="22"/>
        <v>1.8022915671311236E-2</v>
      </c>
      <c r="BR63" s="3">
        <f t="shared" si="36"/>
        <v>11471.264367816091</v>
      </c>
      <c r="BS63" s="3" t="s">
        <v>52</v>
      </c>
      <c r="BT63" s="3"/>
      <c r="BU63" s="3"/>
      <c r="BV63" s="3">
        <f t="shared" si="37"/>
        <v>11471.264367816091</v>
      </c>
      <c r="BW63" s="3" t="s">
        <v>52</v>
      </c>
      <c r="BX63" s="3"/>
      <c r="BY63" s="3"/>
      <c r="BZ63" s="8">
        <f t="shared" si="23"/>
        <v>0</v>
      </c>
      <c r="CA63" s="8">
        <f>VLOOKUP(F63,'[10]Sheet 2'!$B:$T,18,0)/VLOOKUP(F63,'[10]Sheet 2'!$B:$U,20,0)</f>
        <v>11199.97985206619</v>
      </c>
      <c r="CB63" s="8">
        <f t="shared" si="24"/>
        <v>2.4221875336664506E-2</v>
      </c>
      <c r="CC63" s="25">
        <f t="shared" si="46"/>
        <v>28.666666666666668</v>
      </c>
      <c r="CD63" s="25">
        <f t="shared" si="47"/>
        <v>77.2</v>
      </c>
      <c r="CE63" s="20">
        <f>CF63-134</f>
        <v>40159</v>
      </c>
      <c r="CF63" s="18">
        <v>40293</v>
      </c>
      <c r="CG63" s="18">
        <v>40148</v>
      </c>
      <c r="CH63" s="18">
        <v>40293</v>
      </c>
      <c r="CI63" s="21">
        <f t="shared" si="38"/>
        <v>-19</v>
      </c>
      <c r="CJ63" s="21">
        <f t="shared" si="39"/>
        <v>115</v>
      </c>
      <c r="CK63" s="30">
        <f t="shared" si="40"/>
        <v>135</v>
      </c>
      <c r="CL63" s="21">
        <f t="shared" si="41"/>
        <v>-30</v>
      </c>
      <c r="CM63" s="21">
        <f t="shared" si="42"/>
        <v>115</v>
      </c>
      <c r="CN63" s="19">
        <f t="shared" si="43"/>
        <v>146</v>
      </c>
      <c r="CP63" s="29">
        <f>CE63+71+5</f>
        <v>40235</v>
      </c>
      <c r="CQ63" s="19">
        <f t="shared" si="44"/>
        <v>59</v>
      </c>
    </row>
    <row r="64" spans="1:95" s="19" customFormat="1" hidden="1" x14ac:dyDescent="0.3">
      <c r="A64" s="3">
        <v>1</v>
      </c>
      <c r="B64" s="3"/>
      <c r="C64" s="4">
        <v>26</v>
      </c>
      <c r="D64" s="4" t="s">
        <v>74</v>
      </c>
      <c r="E64" s="9" t="s">
        <v>75</v>
      </c>
      <c r="F64" s="6" t="str">
        <f t="shared" si="0"/>
        <v>2015-100PBW3432009OTC</v>
      </c>
      <c r="G64" s="4" t="s">
        <v>76</v>
      </c>
      <c r="H64" s="3" t="s">
        <v>93</v>
      </c>
      <c r="I64" s="4" t="s">
        <v>61</v>
      </c>
      <c r="J64" s="4" t="s">
        <v>32</v>
      </c>
      <c r="K64" s="4" t="s">
        <v>77</v>
      </c>
      <c r="L64" s="4">
        <v>2009</v>
      </c>
      <c r="M64" s="4" t="s">
        <v>34</v>
      </c>
      <c r="N64" s="4" t="s">
        <v>49</v>
      </c>
      <c r="O64" s="4" t="s">
        <v>54</v>
      </c>
      <c r="P64" s="4"/>
      <c r="Q64" s="4">
        <f>(7*S64+5*0.976*S62)/12*1.08</f>
        <v>56.498580000000004</v>
      </c>
      <c r="R64" s="4">
        <v>17.96</v>
      </c>
      <c r="S64" s="4">
        <v>65.349999999999994</v>
      </c>
      <c r="T64" s="4">
        <v>7</v>
      </c>
      <c r="U64" s="4">
        <v>135</v>
      </c>
      <c r="V64" s="3">
        <v>3</v>
      </c>
      <c r="W64" s="3">
        <f t="shared" si="31"/>
        <v>11.973333333333333</v>
      </c>
      <c r="X64" s="3" t="s">
        <v>50</v>
      </c>
      <c r="Y64" s="3"/>
      <c r="Z64" s="4">
        <v>345</v>
      </c>
      <c r="AA64" s="3" t="s">
        <v>78</v>
      </c>
      <c r="AB64" s="3"/>
      <c r="AC64" s="3">
        <v>7.5</v>
      </c>
      <c r="AD64" s="4">
        <v>499</v>
      </c>
      <c r="AE64" s="3" t="s">
        <v>78</v>
      </c>
      <c r="AF64" s="3"/>
      <c r="AG64" s="3">
        <v>8</v>
      </c>
      <c r="AH64" s="8">
        <f t="shared" si="15"/>
        <v>-0.30861723446893785</v>
      </c>
      <c r="AI64" s="8">
        <f>VLOOKUP(F64,'[6]Sheet 2'!$B:$T,18,0)/VLOOKUP(F64,'[6]Sheet 2'!$B:$U,20,0)</f>
        <v>479.00431414420245</v>
      </c>
      <c r="AJ64" s="8">
        <f t="shared" si="16"/>
        <v>-0.27975596500339861</v>
      </c>
      <c r="AK64" s="3">
        <v>37.1</v>
      </c>
      <c r="AL64" s="4" t="s">
        <v>37</v>
      </c>
      <c r="AM64" s="3"/>
      <c r="AN64" s="3">
        <v>0.1</v>
      </c>
      <c r="AO64" s="3">
        <v>43.5</v>
      </c>
      <c r="AP64" s="4" t="s">
        <v>37</v>
      </c>
      <c r="AQ64" s="3"/>
      <c r="AR64" s="3">
        <v>2.17</v>
      </c>
      <c r="AS64" s="8">
        <f t="shared" si="17"/>
        <v>-0.14712643678160917</v>
      </c>
      <c r="AT64" s="8">
        <f>VLOOKUP(F64,'[7]Sheet 2'!$B:$T,18,0)/VLOOKUP(F64,'[7]Sheet 2'!$B:$U,20,0)</f>
        <v>43.124895134703387</v>
      </c>
      <c r="AU64" s="8">
        <f t="shared" si="18"/>
        <v>-0.13970805299083597</v>
      </c>
      <c r="AV64" s="57">
        <v>40.799999999999997</v>
      </c>
      <c r="AW64" s="4" t="s">
        <v>38</v>
      </c>
      <c r="AX64" s="3"/>
      <c r="AY64" s="3">
        <v>0.17</v>
      </c>
      <c r="AZ64" s="3">
        <v>48.1</v>
      </c>
      <c r="BA64" s="4" t="s">
        <v>38</v>
      </c>
      <c r="BB64" s="3"/>
      <c r="BC64" s="3">
        <v>0.45</v>
      </c>
      <c r="BD64" s="8">
        <f t="shared" si="19"/>
        <v>-0.15176715176715186</v>
      </c>
      <c r="BE64" s="8">
        <f>VLOOKUP(F64,'[8]Sheet 2'!$B:$T,18,0)/VLOOKUP(F64,'[8]Sheet 2'!$B:$U,20,0)</f>
        <v>44.560793386248015</v>
      </c>
      <c r="BF64" s="8">
        <f t="shared" si="20"/>
        <v>-8.4396912632364471E-2</v>
      </c>
      <c r="BG64" s="3">
        <v>9.8000000000000007</v>
      </c>
      <c r="BH64" s="4" t="s">
        <v>66</v>
      </c>
      <c r="BI64" s="3"/>
      <c r="BJ64" s="3">
        <v>0.01</v>
      </c>
      <c r="BK64" s="3">
        <v>11.8</v>
      </c>
      <c r="BL64" s="4" t="s">
        <v>66</v>
      </c>
      <c r="BM64" s="3"/>
      <c r="BN64" s="3">
        <v>0.2</v>
      </c>
      <c r="BO64" s="8">
        <f t="shared" si="21"/>
        <v>-0.16949152542372881</v>
      </c>
      <c r="BP64" s="8">
        <f>VLOOKUP(F64,'[9]Sheet 2'!$B:$T,18,0)/VLOOKUP(F64,'[9]Sheet 2'!$B:$U,20,0)</f>
        <v>11.591094678078802</v>
      </c>
      <c r="BQ64" s="8">
        <f t="shared" si="22"/>
        <v>-0.15452334122213135</v>
      </c>
      <c r="BR64" s="3">
        <f t="shared" si="36"/>
        <v>9299.1913746630726</v>
      </c>
      <c r="BS64" s="3" t="s">
        <v>52</v>
      </c>
      <c r="BT64" s="3"/>
      <c r="BU64" s="3"/>
      <c r="BV64" s="3">
        <f t="shared" si="37"/>
        <v>11471.264367816091</v>
      </c>
      <c r="BW64" s="3" t="s">
        <v>52</v>
      </c>
      <c r="BX64" s="3"/>
      <c r="BY64" s="3"/>
      <c r="BZ64" s="8">
        <f t="shared" si="23"/>
        <v>-0.18934904850131526</v>
      </c>
      <c r="CA64" s="8">
        <f>VLOOKUP(F64,'[10]Sheet 2'!$B:$T,18,0)/VLOOKUP(F64,'[10]Sheet 2'!$B:$U,20,0)</f>
        <v>11199.97985206619</v>
      </c>
      <c r="CB64" s="8">
        <f t="shared" si="24"/>
        <v>-0.16971356221256567</v>
      </c>
      <c r="CC64" s="25">
        <f t="shared" si="46"/>
        <v>28.666666666666668</v>
      </c>
      <c r="CD64" s="25">
        <f t="shared" si="47"/>
        <v>77.2</v>
      </c>
      <c r="CE64" s="20">
        <f>CF64-134</f>
        <v>40159</v>
      </c>
      <c r="CF64" s="18">
        <v>40293</v>
      </c>
      <c r="CG64" s="18">
        <v>40148</v>
      </c>
      <c r="CH64" s="18">
        <v>40293</v>
      </c>
      <c r="CI64" s="21">
        <f t="shared" si="38"/>
        <v>-19</v>
      </c>
      <c r="CJ64" s="21">
        <f t="shared" si="39"/>
        <v>115</v>
      </c>
      <c r="CK64" s="30">
        <f t="shared" si="40"/>
        <v>135</v>
      </c>
      <c r="CL64" s="21">
        <f t="shared" si="41"/>
        <v>-30</v>
      </c>
      <c r="CM64" s="21">
        <f t="shared" si="42"/>
        <v>115</v>
      </c>
      <c r="CN64" s="19">
        <f t="shared" si="43"/>
        <v>146</v>
      </c>
      <c r="CP64" s="29">
        <f>CE64+71+5</f>
        <v>40235</v>
      </c>
      <c r="CQ64" s="19">
        <f t="shared" si="44"/>
        <v>59</v>
      </c>
    </row>
    <row r="65" spans="1:95" s="42" customFormat="1" x14ac:dyDescent="0.3">
      <c r="A65" s="31">
        <v>1</v>
      </c>
      <c r="B65" s="31"/>
      <c r="C65" s="32">
        <v>49</v>
      </c>
      <c r="D65" s="32" t="s">
        <v>79</v>
      </c>
      <c r="E65" s="43" t="s">
        <v>80</v>
      </c>
      <c r="F65" s="34" t="str">
        <f t="shared" si="0"/>
        <v>2013-76HUW372011OTC</v>
      </c>
      <c r="G65" s="32" t="s">
        <v>81</v>
      </c>
      <c r="H65" s="31" t="s">
        <v>93</v>
      </c>
      <c r="I65" s="32" t="s">
        <v>61</v>
      </c>
      <c r="J65" s="32" t="s">
        <v>32</v>
      </c>
      <c r="K65" s="32" t="s">
        <v>82</v>
      </c>
      <c r="L65" s="32">
        <v>2011</v>
      </c>
      <c r="M65" s="32" t="s">
        <v>34</v>
      </c>
      <c r="N65" s="32" t="s">
        <v>49</v>
      </c>
      <c r="O65" s="32" t="s">
        <v>40</v>
      </c>
      <c r="P65" s="32" t="s">
        <v>267</v>
      </c>
      <c r="Q65" s="32">
        <f>S65/1.01*1.08</f>
        <v>51.754455445544558</v>
      </c>
      <c r="R65" s="44">
        <v>5.0999999999999996</v>
      </c>
      <c r="S65" s="31">
        <v>48.4</v>
      </c>
      <c r="T65" s="31">
        <v>8</v>
      </c>
      <c r="U65" s="31">
        <v>125</v>
      </c>
      <c r="V65" s="31">
        <v>3</v>
      </c>
      <c r="W65" s="31">
        <f t="shared" si="31"/>
        <v>3.6719999999999997</v>
      </c>
      <c r="X65" s="31" t="s">
        <v>50</v>
      </c>
      <c r="Y65" s="31"/>
      <c r="Z65" s="31">
        <f>4.2972972972973*400</f>
        <v>1718.9189189189201</v>
      </c>
      <c r="AA65" s="31" t="s">
        <v>78</v>
      </c>
      <c r="AB65" s="31" t="s">
        <v>214</v>
      </c>
      <c r="AC65" s="31">
        <v>4.0540540540540349E-2</v>
      </c>
      <c r="AD65" s="31">
        <f t="shared" ref="AD65:AD66" si="48">4.2972972972973*400</f>
        <v>1718.9189189189201</v>
      </c>
      <c r="AE65" s="31" t="s">
        <v>78</v>
      </c>
      <c r="AF65" s="31" t="s">
        <v>214</v>
      </c>
      <c r="AG65" s="31">
        <v>4.0540540540540349E-2</v>
      </c>
      <c r="AH65" s="8">
        <f t="shared" si="15"/>
        <v>0</v>
      </c>
      <c r="AI65" s="8">
        <f>VLOOKUP(F65,'[6]Sheet 2'!$B:$T,18,0)/VLOOKUP(F65,'[6]Sheet 2'!$B:$U,20,0)</f>
        <v>1586.6548318175248</v>
      </c>
      <c r="AJ65" s="8">
        <f t="shared" si="16"/>
        <v>8.3360340541039898E-2</v>
      </c>
      <c r="AK65" s="31">
        <v>41.6730038022814</v>
      </c>
      <c r="AL65" s="32" t="s">
        <v>37</v>
      </c>
      <c r="AM65" s="31"/>
      <c r="AN65" s="31">
        <v>0.45627376425849775</v>
      </c>
      <c r="AO65" s="31">
        <v>41.6730038022814</v>
      </c>
      <c r="AP65" s="32" t="s">
        <v>37</v>
      </c>
      <c r="AQ65" s="31"/>
      <c r="AR65" s="31"/>
      <c r="AS65" s="8">
        <f>(AK65-AO65)/AO65</f>
        <v>0</v>
      </c>
      <c r="AT65" s="8">
        <f>VLOOKUP(F65,'[7]Sheet 2'!$B:$T,18,0)/VLOOKUP(F65,'[7]Sheet 2'!$B:$U,20,0)</f>
        <v>40.630313373828514</v>
      </c>
      <c r="AU65" s="8">
        <f>(AK65-AT65)/AT65</f>
        <v>2.5662869465449937E-2</v>
      </c>
      <c r="AV65" s="57">
        <v>27.182769133725831</v>
      </c>
      <c r="AW65" s="32" t="s">
        <v>38</v>
      </c>
      <c r="AX65" s="31"/>
      <c r="AY65" s="31"/>
      <c r="AZ65" s="31">
        <v>27.182769133725831</v>
      </c>
      <c r="BA65" s="32" t="s">
        <v>38</v>
      </c>
      <c r="BB65" s="31"/>
      <c r="BC65" s="31"/>
      <c r="BD65" s="8">
        <f t="shared" si="19"/>
        <v>0</v>
      </c>
      <c r="BE65" s="8">
        <f>VLOOKUP(F65,'[8]Sheet 2'!$B:$T,18,0)/VLOOKUP(F65,'[8]Sheet 2'!$B:$U,20,0)</f>
        <v>27.834504936506271</v>
      </c>
      <c r="BF65" s="8">
        <f t="shared" si="20"/>
        <v>-2.3414671978794835E-2</v>
      </c>
      <c r="BG65" s="31">
        <v>4.7106598984771599</v>
      </c>
      <c r="BH65" s="31" t="s">
        <v>65</v>
      </c>
      <c r="BI65" s="31"/>
      <c r="BJ65" s="31">
        <v>0.20304568527918043</v>
      </c>
      <c r="BK65" s="31">
        <v>4.7106598984771599</v>
      </c>
      <c r="BL65" s="31" t="s">
        <v>65</v>
      </c>
      <c r="BM65" s="31"/>
      <c r="BN65" s="31">
        <v>0.20304568527918043</v>
      </c>
      <c r="BO65" s="8">
        <f t="shared" si="21"/>
        <v>0</v>
      </c>
      <c r="BP65" s="8">
        <f>VLOOKUP(F65,'[9]Sheet 2'!$B:$T,18,0)/VLOOKUP(F65,'[9]Sheet 2'!$B:$U,20,0)</f>
        <v>4.3605860644541519</v>
      </c>
      <c r="BQ65" s="8">
        <f t="shared" si="22"/>
        <v>8.0281372468870071E-2</v>
      </c>
      <c r="BR65" s="31">
        <v>128.048780487805</v>
      </c>
      <c r="BS65" s="31" t="s">
        <v>65</v>
      </c>
      <c r="BT65" s="31"/>
      <c r="BU65" s="31">
        <v>1.5243902439019905</v>
      </c>
      <c r="BV65" s="31">
        <v>128.048780487805</v>
      </c>
      <c r="BW65" s="31" t="s">
        <v>282</v>
      </c>
      <c r="BX65" s="31"/>
      <c r="BY65" s="31">
        <v>1.5243902439019905</v>
      </c>
      <c r="BZ65" s="8">
        <f t="shared" si="23"/>
        <v>0</v>
      </c>
      <c r="CA65" s="8">
        <f>VLOOKUP(F65,'[10]Sheet 2'!$B:$T,18,0)/VLOOKUP(F65,'[10]Sheet 2'!$B:$U,20,0)</f>
        <v>126.74418123379438</v>
      </c>
      <c r="CB65" s="8">
        <f t="shared" si="24"/>
        <v>1.0293168816990031E-2</v>
      </c>
      <c r="CC65" s="45">
        <f>25+8/60</f>
        <v>25.133333333333333</v>
      </c>
      <c r="CD65" s="45">
        <f>83+1/60</f>
        <v>83.016666666666666</v>
      </c>
      <c r="CE65" s="39">
        <f>CF65-125</f>
        <v>40523</v>
      </c>
      <c r="CF65" s="39">
        <v>40648</v>
      </c>
      <c r="CG65" s="39">
        <f>CH65-125</f>
        <v>40523</v>
      </c>
      <c r="CH65" s="39">
        <v>40648</v>
      </c>
      <c r="CI65" s="40">
        <f t="shared" si="38"/>
        <v>-20</v>
      </c>
      <c r="CJ65" s="40">
        <f t="shared" si="39"/>
        <v>105</v>
      </c>
      <c r="CK65" s="41">
        <f t="shared" si="40"/>
        <v>126</v>
      </c>
      <c r="CL65" s="40">
        <f t="shared" si="41"/>
        <v>-20</v>
      </c>
      <c r="CM65" s="40">
        <f t="shared" si="42"/>
        <v>105</v>
      </c>
      <c r="CN65" s="42">
        <f t="shared" si="43"/>
        <v>126</v>
      </c>
    </row>
    <row r="66" spans="1:95" s="42" customFormat="1" x14ac:dyDescent="0.3">
      <c r="A66" s="31">
        <v>1</v>
      </c>
      <c r="B66" s="31"/>
      <c r="C66" s="32">
        <v>49</v>
      </c>
      <c r="D66" s="32" t="s">
        <v>79</v>
      </c>
      <c r="E66" s="43" t="s">
        <v>80</v>
      </c>
      <c r="F66" s="34" t="str">
        <f t="shared" ref="F66:F129" si="49">D66&amp;K66&amp;L66&amp;M66</f>
        <v>2013-76HUW372011OTC</v>
      </c>
      <c r="G66" s="32" t="s">
        <v>81</v>
      </c>
      <c r="H66" s="31" t="s">
        <v>93</v>
      </c>
      <c r="I66" s="32" t="s">
        <v>61</v>
      </c>
      <c r="J66" s="32" t="s">
        <v>32</v>
      </c>
      <c r="K66" s="32" t="s">
        <v>82</v>
      </c>
      <c r="L66" s="32">
        <v>2011</v>
      </c>
      <c r="M66" s="32" t="s">
        <v>34</v>
      </c>
      <c r="N66" s="32" t="s">
        <v>49</v>
      </c>
      <c r="O66" s="55" t="s">
        <v>73</v>
      </c>
      <c r="P66" s="55"/>
      <c r="Q66" s="32">
        <f>(8 * S66+ 4 * 0.97*S65) / 12*1.08</f>
        <v>56.645280000000007</v>
      </c>
      <c r="R66" s="44">
        <v>8.4</v>
      </c>
      <c r="S66" s="31">
        <v>55.2</v>
      </c>
      <c r="T66" s="31">
        <v>8</v>
      </c>
      <c r="U66" s="31">
        <v>125</v>
      </c>
      <c r="V66" s="31">
        <v>3</v>
      </c>
      <c r="W66" s="31">
        <f t="shared" si="31"/>
        <v>6.0480000000000009</v>
      </c>
      <c r="X66" s="31" t="s">
        <v>50</v>
      </c>
      <c r="Y66" s="31"/>
      <c r="Z66" s="31">
        <f>2.59459459459459*400</f>
        <v>1037.8378378378359</v>
      </c>
      <c r="AA66" s="31" t="s">
        <v>78</v>
      </c>
      <c r="AB66" s="31" t="s">
        <v>214</v>
      </c>
      <c r="AC66" s="31">
        <v>4.0540540540550118E-2</v>
      </c>
      <c r="AD66" s="31">
        <f t="shared" si="48"/>
        <v>1718.9189189189201</v>
      </c>
      <c r="AE66" s="31" t="s">
        <v>78</v>
      </c>
      <c r="AF66" s="31" t="s">
        <v>214</v>
      </c>
      <c r="AG66" s="31">
        <v>4.0540540540540349E-2</v>
      </c>
      <c r="AH66" s="8">
        <f t="shared" si="15"/>
        <v>-0.3962264150943412</v>
      </c>
      <c r="AI66" s="8">
        <f>VLOOKUP(F66,'[6]Sheet 2'!$B:$T,18,0)/VLOOKUP(F66,'[6]Sheet 2'!$B:$U,20,0)</f>
        <v>1586.6548318175248</v>
      </c>
      <c r="AJ66" s="8">
        <f t="shared" si="16"/>
        <v>-0.34589564344692098</v>
      </c>
      <c r="AK66" s="31">
        <v>34.372623574144498</v>
      </c>
      <c r="AL66" s="32" t="s">
        <v>37</v>
      </c>
      <c r="AM66" s="31"/>
      <c r="AN66" s="31">
        <v>0.91254752851710208</v>
      </c>
      <c r="AO66" s="31">
        <v>41.6730038022814</v>
      </c>
      <c r="AP66" s="32" t="s">
        <v>37</v>
      </c>
      <c r="AQ66" s="31"/>
      <c r="AR66" s="31"/>
      <c r="AS66" s="8">
        <f t="shared" si="17"/>
        <v>-0.17518248175182516</v>
      </c>
      <c r="AT66" s="8">
        <f>VLOOKUP(F66,'[7]Sheet 2'!$B:$T,18,0)/VLOOKUP(F66,'[7]Sheet 2'!$B:$U,20,0)</f>
        <v>40.630313373828514</v>
      </c>
      <c r="AU66" s="8">
        <f t="shared" si="18"/>
        <v>-0.15401529744820588</v>
      </c>
      <c r="AV66" s="57">
        <v>28.371827141236523</v>
      </c>
      <c r="AW66" s="32" t="s">
        <v>38</v>
      </c>
      <c r="AX66" s="31"/>
      <c r="AY66" s="31"/>
      <c r="AZ66" s="31">
        <v>27.182769133725831</v>
      </c>
      <c r="BA66" s="32" t="s">
        <v>38</v>
      </c>
      <c r="BB66" s="31"/>
      <c r="BC66" s="31"/>
      <c r="BD66" s="8">
        <f t="shared" si="19"/>
        <v>4.3743078626798923E-2</v>
      </c>
      <c r="BE66" s="8">
        <f>VLOOKUP(F66,'[8]Sheet 2'!$B:$T,18,0)/VLOOKUP(F66,'[8]Sheet 2'!$B:$U,20,0)</f>
        <v>27.834504936506271</v>
      </c>
      <c r="BF66" s="8">
        <f t="shared" si="20"/>
        <v>1.930417681061496E-2</v>
      </c>
      <c r="BG66" s="31">
        <v>3.4923857868020298</v>
      </c>
      <c r="BH66" s="31" t="s">
        <v>65</v>
      </c>
      <c r="BI66" s="31"/>
      <c r="BJ66" s="31">
        <v>0.1624365482233503</v>
      </c>
      <c r="BK66" s="31">
        <v>4.7106598984771599</v>
      </c>
      <c r="BL66" s="31" t="s">
        <v>65</v>
      </c>
      <c r="BM66" s="31"/>
      <c r="BN66" s="31">
        <v>0.20304568527918043</v>
      </c>
      <c r="BO66" s="8">
        <f t="shared" si="21"/>
        <v>-0.25862068965517293</v>
      </c>
      <c r="BP66" s="8">
        <f>VLOOKUP(F66,'[9]Sheet 2'!$B:$T,18,0)/VLOOKUP(F66,'[9]Sheet 2'!$B:$U,20,0)</f>
        <v>4.3605860644541519</v>
      </c>
      <c r="BQ66" s="8">
        <f t="shared" si="22"/>
        <v>-0.19910174110066586</v>
      </c>
      <c r="BR66" s="31">
        <v>99.085365853658502</v>
      </c>
      <c r="BS66" s="31" t="s">
        <v>65</v>
      </c>
      <c r="BT66" s="31"/>
      <c r="BU66" s="31">
        <v>3.0487804878044926</v>
      </c>
      <c r="BV66" s="31">
        <v>128.048780487805</v>
      </c>
      <c r="BW66" s="31" t="s">
        <v>282</v>
      </c>
      <c r="BX66" s="31"/>
      <c r="BY66" s="31">
        <v>1.5243902439019905</v>
      </c>
      <c r="BZ66" s="8">
        <f t="shared" si="23"/>
        <v>-0.22619047619047722</v>
      </c>
      <c r="CA66" s="8">
        <f>VLOOKUP(F66,'[10]Sheet 2'!$B:$T,18,0)/VLOOKUP(F66,'[10]Sheet 2'!$B:$U,20,0)</f>
        <v>126.74418123379438</v>
      </c>
      <c r="CB66" s="8">
        <f t="shared" si="24"/>
        <v>-0.21822552412971113</v>
      </c>
      <c r="CC66" s="45">
        <f>25+8/60</f>
        <v>25.133333333333333</v>
      </c>
      <c r="CD66" s="45">
        <f>83+1/60</f>
        <v>83.016666666666666</v>
      </c>
      <c r="CE66" s="39">
        <f>CF66-125</f>
        <v>40523</v>
      </c>
      <c r="CF66" s="39">
        <v>40648</v>
      </c>
      <c r="CG66" s="39">
        <f>CH66-125</f>
        <v>40523</v>
      </c>
      <c r="CH66" s="39">
        <v>40648</v>
      </c>
      <c r="CI66" s="40">
        <f t="shared" si="38"/>
        <v>-20</v>
      </c>
      <c r="CJ66" s="40">
        <f t="shared" si="39"/>
        <v>105</v>
      </c>
      <c r="CK66" s="41">
        <f t="shared" si="40"/>
        <v>126</v>
      </c>
      <c r="CL66" s="40">
        <f t="shared" si="41"/>
        <v>-20</v>
      </c>
      <c r="CM66" s="40">
        <f t="shared" si="42"/>
        <v>105</v>
      </c>
      <c r="CN66" s="42">
        <f t="shared" si="43"/>
        <v>126</v>
      </c>
    </row>
    <row r="67" spans="1:95" s="19" customFormat="1" x14ac:dyDescent="0.3">
      <c r="A67" s="3">
        <v>1</v>
      </c>
      <c r="B67" s="3"/>
      <c r="C67" s="4">
        <v>49</v>
      </c>
      <c r="D67" s="4" t="s">
        <v>79</v>
      </c>
      <c r="E67" s="9" t="s">
        <v>80</v>
      </c>
      <c r="F67" s="6" t="str">
        <f t="shared" si="49"/>
        <v>2013-76K91072011OTC</v>
      </c>
      <c r="G67" s="4" t="s">
        <v>81</v>
      </c>
      <c r="H67" s="3" t="s">
        <v>93</v>
      </c>
      <c r="I67" s="4" t="s">
        <v>61</v>
      </c>
      <c r="J67" s="4" t="s">
        <v>32</v>
      </c>
      <c r="K67" s="4" t="s">
        <v>83</v>
      </c>
      <c r="L67" s="4">
        <v>2011</v>
      </c>
      <c r="M67" s="4" t="s">
        <v>34</v>
      </c>
      <c r="N67" s="4" t="s">
        <v>49</v>
      </c>
      <c r="O67" s="4" t="s">
        <v>40</v>
      </c>
      <c r="P67" s="32" t="s">
        <v>267</v>
      </c>
      <c r="Q67" s="4">
        <f>S67/1.01*1.08</f>
        <v>51.754455445544558</v>
      </c>
      <c r="R67" s="14">
        <v>5.0999999999999996</v>
      </c>
      <c r="S67" s="3">
        <v>48.4</v>
      </c>
      <c r="T67" s="3">
        <v>8</v>
      </c>
      <c r="U67" s="3">
        <v>125</v>
      </c>
      <c r="V67" s="3">
        <v>3</v>
      </c>
      <c r="W67" s="3">
        <f t="shared" si="31"/>
        <v>3.6719999999999997</v>
      </c>
      <c r="X67" s="3" t="s">
        <v>50</v>
      </c>
      <c r="Y67" s="3"/>
      <c r="Z67" s="3">
        <f>4.54054054054054*400</f>
        <v>1816.2162162162163</v>
      </c>
      <c r="AA67" s="3" t="s">
        <v>78</v>
      </c>
      <c r="AB67" s="3" t="s">
        <v>214</v>
      </c>
      <c r="AC67" s="3">
        <v>0.12162162162161927</v>
      </c>
      <c r="AD67" s="3">
        <f t="shared" ref="AD67:AD68" si="50">4.54054054054054*400</f>
        <v>1816.2162162162163</v>
      </c>
      <c r="AE67" s="3" t="s">
        <v>78</v>
      </c>
      <c r="AF67" s="3" t="s">
        <v>214</v>
      </c>
      <c r="AG67" s="3">
        <v>0.12162162162161927</v>
      </c>
      <c r="AH67" s="8">
        <f t="shared" ref="AH67:AH130" si="51">(Z67-AD67)/AD67</f>
        <v>0</v>
      </c>
      <c r="AI67" s="8">
        <f>VLOOKUP(F67,'[6]Sheet 2'!$B:$T,18,0)/VLOOKUP(F67,'[6]Sheet 2'!$B:$U,20,0)</f>
        <v>2038.6775962250013</v>
      </c>
      <c r="AJ67" s="8">
        <f t="shared" ref="AJ67:AJ130" si="52">(Z67-AI67)/AI67</f>
        <v>-0.10912043199999573</v>
      </c>
      <c r="AK67" s="3">
        <v>38.3269961977186</v>
      </c>
      <c r="AL67" s="4" t="s">
        <v>37</v>
      </c>
      <c r="AM67" s="3"/>
      <c r="AN67" s="3">
        <v>1.0646387832699986</v>
      </c>
      <c r="AO67" s="3">
        <v>38.3269961977186</v>
      </c>
      <c r="AP67" s="4" t="s">
        <v>37</v>
      </c>
      <c r="AQ67" s="3"/>
      <c r="AR67" s="3"/>
      <c r="AS67" s="8">
        <f t="shared" ref="AS67:AS130" si="53">(AK67-AO67)/AO67</f>
        <v>0</v>
      </c>
      <c r="AT67" s="8">
        <f>VLOOKUP(F67,'[7]Sheet 2'!$B:$T,18,0)/VLOOKUP(F67,'[7]Sheet 2'!$B:$U,20,0)</f>
        <v>38.269182780438065</v>
      </c>
      <c r="AU67" s="8">
        <f t="shared" ref="AU67:AU130" si="54">(AK67-AT67)/AT67</f>
        <v>1.5107042554900652E-3</v>
      </c>
      <c r="AV67" s="57">
        <v>33.338041531639142</v>
      </c>
      <c r="AW67" s="4" t="s">
        <v>38</v>
      </c>
      <c r="AX67" s="3"/>
      <c r="AY67" s="3"/>
      <c r="AZ67" s="3">
        <v>33.338041531639142</v>
      </c>
      <c r="BA67" s="4" t="s">
        <v>38</v>
      </c>
      <c r="BB67" s="3"/>
      <c r="BC67" s="3"/>
      <c r="BD67" s="8">
        <f t="shared" ref="BD67:BD130" si="55">(AV67-AZ67)/AZ67</f>
        <v>0</v>
      </c>
      <c r="BE67" s="8">
        <f>VLOOKUP(F67,'[8]Sheet 2'!$B:$T,18,0)/VLOOKUP(F67,'[8]Sheet 2'!$B:$U,20,0)</f>
        <v>34.015486746474728</v>
      </c>
      <c r="BF67" s="8">
        <f t="shared" ref="BF67:BF130" si="56">(AV67-BE67)/BE67</f>
        <v>-1.9915787767046868E-2</v>
      </c>
      <c r="BG67" s="3">
        <v>5.8071065989847703</v>
      </c>
      <c r="BH67" s="3" t="s">
        <v>65</v>
      </c>
      <c r="BI67" s="3"/>
      <c r="BJ67" s="3">
        <v>0.32487309644669971</v>
      </c>
      <c r="BK67" s="3">
        <v>5.8071065989847703</v>
      </c>
      <c r="BL67" s="3" t="s">
        <v>65</v>
      </c>
      <c r="BM67" s="3"/>
      <c r="BN67" s="3">
        <v>0.32487309644669971</v>
      </c>
      <c r="BO67" s="8">
        <f t="shared" ref="BO67:BO130" si="57">(BG67-BK67)/BK67</f>
        <v>0</v>
      </c>
      <c r="BP67" s="8">
        <f>VLOOKUP(F67,'[9]Sheet 2'!$B:$T,18,0)/VLOOKUP(F67,'[9]Sheet 2'!$B:$U,20,0)</f>
        <v>5.5497559154141474</v>
      </c>
      <c r="BQ67" s="8">
        <f t="shared" ref="BQ67:BQ130" si="58">(BG67-BP67)/BP67</f>
        <v>4.6371531918339925E-2</v>
      </c>
      <c r="BR67" s="3">
        <v>193.59756097561001</v>
      </c>
      <c r="BS67" s="3" t="s">
        <v>65</v>
      </c>
      <c r="BT67" s="3"/>
      <c r="BU67" s="3">
        <v>12.195121951218994</v>
      </c>
      <c r="BV67" s="3">
        <v>193.59756097561001</v>
      </c>
      <c r="BW67" s="3" t="s">
        <v>282</v>
      </c>
      <c r="BX67" s="3"/>
      <c r="BY67" s="3">
        <v>12.195121951218994</v>
      </c>
      <c r="BZ67" s="8">
        <f t="shared" ref="BZ67:BZ130" si="59">(BR67-BV67)/BV67</f>
        <v>0</v>
      </c>
      <c r="CA67" s="8">
        <f>VLOOKUP(F67,'[10]Sheet 2'!$B:$T,18,0)/VLOOKUP(F67,'[10]Sheet 2'!$B:$U,20,0)</f>
        <v>197.12887298034457</v>
      </c>
      <c r="CB67" s="8">
        <f t="shared" ref="CB67:CB130" si="60">(BR67-CA67)/CA67</f>
        <v>-1.7913722892773102E-2</v>
      </c>
      <c r="CC67" s="25">
        <f>25+8/60</f>
        <v>25.133333333333333</v>
      </c>
      <c r="CD67" s="25">
        <f>83+1/60</f>
        <v>83.016666666666666</v>
      </c>
      <c r="CE67" s="18">
        <f>CF67-125</f>
        <v>40523</v>
      </c>
      <c r="CF67" s="18">
        <v>40648</v>
      </c>
      <c r="CG67" s="18">
        <f>CH67-125</f>
        <v>40523</v>
      </c>
      <c r="CH67" s="18">
        <v>40648</v>
      </c>
      <c r="CI67" s="21">
        <f t="shared" si="38"/>
        <v>-20</v>
      </c>
      <c r="CJ67" s="21">
        <f t="shared" si="39"/>
        <v>105</v>
      </c>
      <c r="CK67" s="30">
        <f t="shared" si="40"/>
        <v>126</v>
      </c>
      <c r="CL67" s="21">
        <f t="shared" si="41"/>
        <v>-20</v>
      </c>
      <c r="CM67" s="21">
        <f t="shared" si="42"/>
        <v>105</v>
      </c>
      <c r="CN67" s="19">
        <f t="shared" si="43"/>
        <v>126</v>
      </c>
    </row>
    <row r="68" spans="1:95" s="19" customFormat="1" x14ac:dyDescent="0.3">
      <c r="A68" s="3">
        <v>1</v>
      </c>
      <c r="B68" s="3"/>
      <c r="C68" s="4">
        <v>49</v>
      </c>
      <c r="D68" s="4" t="s">
        <v>79</v>
      </c>
      <c r="E68" s="9" t="s">
        <v>80</v>
      </c>
      <c r="F68" s="6" t="str">
        <f t="shared" si="49"/>
        <v>2013-76K91072011OTC</v>
      </c>
      <c r="G68" s="4" t="s">
        <v>81</v>
      </c>
      <c r="H68" s="3" t="s">
        <v>93</v>
      </c>
      <c r="I68" s="4" t="s">
        <v>61</v>
      </c>
      <c r="J68" s="4" t="s">
        <v>32</v>
      </c>
      <c r="K68" s="4" t="s">
        <v>83</v>
      </c>
      <c r="L68" s="4">
        <v>2011</v>
      </c>
      <c r="M68" s="4" t="s">
        <v>34</v>
      </c>
      <c r="N68" s="4" t="s">
        <v>49</v>
      </c>
      <c r="O68" s="11" t="s">
        <v>73</v>
      </c>
      <c r="P68" s="11"/>
      <c r="Q68" s="4">
        <f>(8 * S68+ 4 * 0.97*S67) / 12*1.08</f>
        <v>56.645280000000007</v>
      </c>
      <c r="R68" s="14">
        <v>8.4</v>
      </c>
      <c r="S68" s="3">
        <v>55.2</v>
      </c>
      <c r="T68" s="3">
        <v>8</v>
      </c>
      <c r="U68" s="3">
        <v>125</v>
      </c>
      <c r="V68" s="3">
        <v>3</v>
      </c>
      <c r="W68" s="3">
        <f t="shared" si="31"/>
        <v>6.0480000000000009</v>
      </c>
      <c r="X68" s="3" t="s">
        <v>50</v>
      </c>
      <c r="Y68" s="3"/>
      <c r="Z68" s="3">
        <f>4.05405405405405*400</f>
        <v>1621.6216216216201</v>
      </c>
      <c r="AA68" s="3" t="s">
        <v>78</v>
      </c>
      <c r="AB68" s="3" t="s">
        <v>214</v>
      </c>
      <c r="AC68" s="3">
        <v>0.12162162162162993</v>
      </c>
      <c r="AD68" s="3">
        <f t="shared" si="50"/>
        <v>1816.2162162162163</v>
      </c>
      <c r="AE68" s="3" t="s">
        <v>78</v>
      </c>
      <c r="AF68" s="3" t="s">
        <v>214</v>
      </c>
      <c r="AG68" s="3">
        <v>0.12162162162161927</v>
      </c>
      <c r="AH68" s="8">
        <f t="shared" si="51"/>
        <v>-0.10714285714285801</v>
      </c>
      <c r="AI68" s="8">
        <f>VLOOKUP(F68,'[6]Sheet 2'!$B:$T,18,0)/VLOOKUP(F68,'[6]Sheet 2'!$B:$U,20,0)</f>
        <v>2038.6775962250013</v>
      </c>
      <c r="AJ68" s="8">
        <f t="shared" si="52"/>
        <v>-0.20457181428571125</v>
      </c>
      <c r="AK68" s="3">
        <v>33.155893536121702</v>
      </c>
      <c r="AL68" s="4" t="s">
        <v>37</v>
      </c>
      <c r="AM68" s="3"/>
      <c r="AN68" s="3">
        <v>0.76045627376419844</v>
      </c>
      <c r="AO68" s="3">
        <v>38.3269961977186</v>
      </c>
      <c r="AP68" s="4" t="s">
        <v>37</v>
      </c>
      <c r="AQ68" s="3"/>
      <c r="AR68" s="3"/>
      <c r="AS68" s="8">
        <f t="shared" si="53"/>
        <v>-0.13492063492063344</v>
      </c>
      <c r="AT68" s="8">
        <f>VLOOKUP(F68,'[7]Sheet 2'!$B:$T,18,0)/VLOOKUP(F68,'[7]Sheet 2'!$B:$U,20,0)</f>
        <v>38.269182780438065</v>
      </c>
      <c r="AU68" s="8">
        <f t="shared" si="54"/>
        <v>-0.1336137558424714</v>
      </c>
      <c r="AV68" s="57">
        <v>34.54834880207212</v>
      </c>
      <c r="AW68" s="4" t="s">
        <v>38</v>
      </c>
      <c r="AX68" s="3"/>
      <c r="AY68" s="3"/>
      <c r="AZ68" s="3">
        <v>33.338041531639142</v>
      </c>
      <c r="BA68" s="4" t="s">
        <v>38</v>
      </c>
      <c r="BB68" s="3"/>
      <c r="BC68" s="3"/>
      <c r="BD68" s="8">
        <f t="shared" si="55"/>
        <v>3.6304090307294964E-2</v>
      </c>
      <c r="BE68" s="8">
        <f>VLOOKUP(F68,'[8]Sheet 2'!$B:$T,18,0)/VLOOKUP(F68,'[8]Sheet 2'!$B:$U,20,0)</f>
        <v>34.015486746474728</v>
      </c>
      <c r="BF68" s="8">
        <f t="shared" si="56"/>
        <v>1.5665277982612306E-2</v>
      </c>
      <c r="BG68" s="3">
        <v>4.5888324873096504</v>
      </c>
      <c r="BH68" s="3" t="s">
        <v>65</v>
      </c>
      <c r="BI68" s="3"/>
      <c r="BJ68" s="3">
        <v>0.24365482233501989</v>
      </c>
      <c r="BK68" s="3">
        <v>5.8071065989847703</v>
      </c>
      <c r="BL68" s="3" t="s">
        <v>65</v>
      </c>
      <c r="BM68" s="3"/>
      <c r="BN68" s="3">
        <v>0.32487309644669971</v>
      </c>
      <c r="BO68" s="8">
        <f t="shared" si="57"/>
        <v>-0.20979020979020863</v>
      </c>
      <c r="BP68" s="8">
        <f>VLOOKUP(F68,'[9]Sheet 2'!$B:$T,18,0)/VLOOKUP(F68,'[9]Sheet 2'!$B:$U,20,0)</f>
        <v>5.5497559154141474</v>
      </c>
      <c r="BQ68" s="8">
        <f t="shared" si="58"/>
        <v>-0.1731469712813106</v>
      </c>
      <c r="BR68" s="3">
        <v>158.53658536585399</v>
      </c>
      <c r="BS68" s="3" t="s">
        <v>65</v>
      </c>
      <c r="BT68" s="3"/>
      <c r="BU68" s="3">
        <v>7.6219512195119989</v>
      </c>
      <c r="BV68" s="3">
        <v>193.59756097561001</v>
      </c>
      <c r="BW68" s="3" t="s">
        <v>282</v>
      </c>
      <c r="BX68" s="3"/>
      <c r="BY68" s="3">
        <v>12.195121951218994</v>
      </c>
      <c r="BZ68" s="8">
        <f t="shared" si="59"/>
        <v>-0.18110236220472373</v>
      </c>
      <c r="CA68" s="8">
        <f>VLOOKUP(F68,'[10]Sheet 2'!$B:$T,18,0)/VLOOKUP(F68,'[10]Sheet 2'!$B:$U,20,0)</f>
        <v>197.12887298034457</v>
      </c>
      <c r="CB68" s="8">
        <f t="shared" si="60"/>
        <v>-0.19577186756573481</v>
      </c>
      <c r="CC68" s="25">
        <f>25+8/60</f>
        <v>25.133333333333333</v>
      </c>
      <c r="CD68" s="25">
        <f>83+1/60</f>
        <v>83.016666666666666</v>
      </c>
      <c r="CE68" s="18">
        <f>CF68-125</f>
        <v>40523</v>
      </c>
      <c r="CF68" s="18">
        <v>40648</v>
      </c>
      <c r="CG68" s="18">
        <f>CH68-125</f>
        <v>40523</v>
      </c>
      <c r="CH68" s="18">
        <v>40648</v>
      </c>
      <c r="CI68" s="21">
        <f t="shared" si="38"/>
        <v>-20</v>
      </c>
      <c r="CJ68" s="21">
        <f t="shared" si="39"/>
        <v>105</v>
      </c>
      <c r="CK68" s="30">
        <f t="shared" si="40"/>
        <v>126</v>
      </c>
      <c r="CL68" s="21">
        <f t="shared" si="41"/>
        <v>-20</v>
      </c>
      <c r="CM68" s="21">
        <f t="shared" si="42"/>
        <v>105</v>
      </c>
      <c r="CN68" s="19">
        <f t="shared" si="43"/>
        <v>126</v>
      </c>
    </row>
    <row r="69" spans="1:95" s="42" customFormat="1" hidden="1" x14ac:dyDescent="0.3">
      <c r="A69" s="31">
        <v>1</v>
      </c>
      <c r="B69" s="31"/>
      <c r="C69" s="32">
        <v>50</v>
      </c>
      <c r="D69" s="32" t="s">
        <v>84</v>
      </c>
      <c r="E69" s="43" t="s">
        <v>85</v>
      </c>
      <c r="F69" s="34" t="str">
        <f t="shared" si="49"/>
        <v>2019-164C3062016FACE</v>
      </c>
      <c r="G69" s="32" t="s">
        <v>86</v>
      </c>
      <c r="H69" s="31" t="s">
        <v>93</v>
      </c>
      <c r="I69" s="32" t="s">
        <v>61</v>
      </c>
      <c r="J69" s="32" t="s">
        <v>32</v>
      </c>
      <c r="K69" s="32" t="s">
        <v>87</v>
      </c>
      <c r="L69" s="32">
        <v>2016</v>
      </c>
      <c r="M69" s="32" t="s">
        <v>48</v>
      </c>
      <c r="N69" s="32" t="s">
        <v>49</v>
      </c>
      <c r="O69" s="32" t="s">
        <v>40</v>
      </c>
      <c r="P69" s="32" t="s">
        <v>267</v>
      </c>
      <c r="Q69" s="32">
        <f>S69/1.01*1.08</f>
        <v>32.827722772277234</v>
      </c>
      <c r="R69" s="32"/>
      <c r="S69" s="32">
        <v>30.7</v>
      </c>
      <c r="T69" s="32">
        <v>7</v>
      </c>
      <c r="U69" s="32">
        <v>160</v>
      </c>
      <c r="V69" s="31">
        <v>4</v>
      </c>
      <c r="W69" s="43">
        <v>2.6636551037927898</v>
      </c>
      <c r="X69" s="31" t="s">
        <v>50</v>
      </c>
      <c r="Y69" s="31"/>
      <c r="Z69" s="31">
        <v>450</v>
      </c>
      <c r="AA69" s="31" t="s">
        <v>78</v>
      </c>
      <c r="AB69" s="31"/>
      <c r="AC69" s="31">
        <v>30</v>
      </c>
      <c r="AD69" s="31">
        <v>450</v>
      </c>
      <c r="AE69" s="31" t="s">
        <v>78</v>
      </c>
      <c r="AF69" s="31"/>
      <c r="AG69" s="31">
        <v>30</v>
      </c>
      <c r="AH69" s="8">
        <f t="shared" si="51"/>
        <v>0</v>
      </c>
      <c r="AI69" s="8">
        <f>VLOOKUP(F69,'[6]Sheet 2'!$B:$T,18,0)/VLOOKUP(F69,'[6]Sheet 2'!$B:$U,20,0)</f>
        <v>592.28695427190769</v>
      </c>
      <c r="AJ69" s="8">
        <f t="shared" si="52"/>
        <v>-0.24023313909863098</v>
      </c>
      <c r="AK69" s="31">
        <v>36.1</v>
      </c>
      <c r="AL69" s="32" t="s">
        <v>37</v>
      </c>
      <c r="AM69" s="31"/>
      <c r="AN69" s="31">
        <v>0.5</v>
      </c>
      <c r="AO69" s="31">
        <v>36.1</v>
      </c>
      <c r="AP69" s="32" t="s">
        <v>37</v>
      </c>
      <c r="AQ69" s="31"/>
      <c r="AR69" s="31">
        <v>0.5</v>
      </c>
      <c r="AS69" s="8">
        <f t="shared" si="53"/>
        <v>0</v>
      </c>
      <c r="AT69" s="8">
        <f>VLOOKUP(F69,'[7]Sheet 2'!$B:$T,18,0)/VLOOKUP(F69,'[7]Sheet 2'!$B:$U,20,0)</f>
        <v>38.80581257304506</v>
      </c>
      <c r="AU69" s="8">
        <f t="shared" si="54"/>
        <v>-6.9726991747740011E-2</v>
      </c>
      <c r="AV69" s="57">
        <v>42.2</v>
      </c>
      <c r="AW69" s="32" t="s">
        <v>38</v>
      </c>
      <c r="AX69" s="31"/>
      <c r="AY69" s="31">
        <v>1</v>
      </c>
      <c r="AZ69" s="31">
        <v>42.2</v>
      </c>
      <c r="BA69" s="32" t="s">
        <v>38</v>
      </c>
      <c r="BB69" s="31"/>
      <c r="BC69" s="31">
        <v>1</v>
      </c>
      <c r="BD69" s="8">
        <f t="shared" si="55"/>
        <v>0</v>
      </c>
      <c r="BE69" s="8">
        <f>VLOOKUP(F69,'[8]Sheet 2'!$B:$T,18,0)/VLOOKUP(F69,'[8]Sheet 2'!$B:$U,20,0)</f>
        <v>39.05444561884476</v>
      </c>
      <c r="BF69" s="8">
        <f t="shared" si="56"/>
        <v>8.0542799451170127E-2</v>
      </c>
      <c r="BG69" s="31">
        <v>450</v>
      </c>
      <c r="BH69" s="31" t="s">
        <v>52</v>
      </c>
      <c r="BI69" s="31"/>
      <c r="BJ69" s="31">
        <v>18</v>
      </c>
      <c r="BK69" s="31">
        <v>450</v>
      </c>
      <c r="BL69" s="31" t="s">
        <v>52</v>
      </c>
      <c r="BM69" s="31"/>
      <c r="BN69" s="31">
        <v>18</v>
      </c>
      <c r="BO69" s="8">
        <f t="shared" si="57"/>
        <v>0</v>
      </c>
      <c r="BP69" s="8">
        <f>VLOOKUP(F69,'[9]Sheet 2'!$B:$T,18,0)/VLOOKUP(F69,'[9]Sheet 2'!$B:$U,20,0)</f>
        <v>503.90261384611426</v>
      </c>
      <c r="BQ69" s="8">
        <f t="shared" si="58"/>
        <v>-0.10697030014330401</v>
      </c>
      <c r="BR69" s="31">
        <f t="shared" si="36"/>
        <v>12465.373961218836</v>
      </c>
      <c r="BS69" s="31" t="s">
        <v>52</v>
      </c>
      <c r="BT69" s="31"/>
      <c r="BU69" s="31"/>
      <c r="BV69" s="31">
        <f t="shared" si="37"/>
        <v>12465.373961218836</v>
      </c>
      <c r="BW69" s="31" t="s">
        <v>52</v>
      </c>
      <c r="BX69" s="31"/>
      <c r="BY69" s="31"/>
      <c r="BZ69" s="8">
        <f t="shared" si="59"/>
        <v>0</v>
      </c>
      <c r="CA69" s="8">
        <f>VLOOKUP(F69,'[10]Sheet 2'!$B:$T,18,0)/VLOOKUP(F69,'[10]Sheet 2'!$B:$U,20,0)</f>
        <v>15399.366820760783</v>
      </c>
      <c r="CB69" s="8">
        <f t="shared" si="60"/>
        <v>-0.19052685046676462</v>
      </c>
      <c r="CC69" s="45">
        <f t="shared" ref="CC69:CC76" si="61">28+37/60</f>
        <v>28.616666666666667</v>
      </c>
      <c r="CD69" s="45">
        <f t="shared" ref="CD69:CD76" si="62">77+12/60</f>
        <v>77.2</v>
      </c>
      <c r="CE69" s="39">
        <v>42705</v>
      </c>
      <c r="CF69" s="39">
        <v>42855</v>
      </c>
      <c r="CG69" s="39">
        <v>42705</v>
      </c>
      <c r="CH69" s="39">
        <v>42855</v>
      </c>
      <c r="CI69" s="40">
        <f t="shared" si="38"/>
        <v>-30</v>
      </c>
      <c r="CJ69" s="40">
        <f t="shared" si="39"/>
        <v>120</v>
      </c>
      <c r="CK69" s="41">
        <f t="shared" si="40"/>
        <v>151</v>
      </c>
      <c r="CL69" s="40">
        <f t="shared" si="41"/>
        <v>-30</v>
      </c>
      <c r="CM69" s="40">
        <f t="shared" si="42"/>
        <v>120</v>
      </c>
      <c r="CN69" s="42">
        <f t="shared" si="43"/>
        <v>151</v>
      </c>
      <c r="CP69" s="47">
        <f t="shared" ref="CP69:CP76" si="63">CE69+82+5</f>
        <v>42792</v>
      </c>
      <c r="CQ69" s="42">
        <f t="shared" ref="CQ69:CQ78" si="64">CF69-CP69+1</f>
        <v>64</v>
      </c>
    </row>
    <row r="70" spans="1:95" s="42" customFormat="1" hidden="1" x14ac:dyDescent="0.3">
      <c r="A70" s="31">
        <v>1</v>
      </c>
      <c r="B70" s="31"/>
      <c r="C70" s="32">
        <v>50</v>
      </c>
      <c r="D70" s="32" t="s">
        <v>84</v>
      </c>
      <c r="E70" s="43" t="s">
        <v>85</v>
      </c>
      <c r="F70" s="34" t="str">
        <f t="shared" si="49"/>
        <v>2019-164C3062016FACE</v>
      </c>
      <c r="G70" s="32" t="s">
        <v>86</v>
      </c>
      <c r="H70" s="31" t="s">
        <v>93</v>
      </c>
      <c r="I70" s="32" t="s">
        <v>61</v>
      </c>
      <c r="J70" s="32" t="s">
        <v>32</v>
      </c>
      <c r="K70" s="32" t="s">
        <v>87</v>
      </c>
      <c r="L70" s="32">
        <v>2016</v>
      </c>
      <c r="M70" s="32" t="s">
        <v>48</v>
      </c>
      <c r="N70" s="32" t="s">
        <v>49</v>
      </c>
      <c r="O70" s="32" t="s">
        <v>54</v>
      </c>
      <c r="P70" s="32"/>
      <c r="Q70" s="32">
        <f>(7*S70+5*0.976*S69)/12*1.08</f>
        <v>58.969440000000006</v>
      </c>
      <c r="R70" s="32">
        <v>31.232610000000001</v>
      </c>
      <c r="S70" s="32">
        <v>72.2</v>
      </c>
      <c r="T70" s="32">
        <v>7</v>
      </c>
      <c r="U70" s="32">
        <v>160</v>
      </c>
      <c r="V70" s="31">
        <v>4</v>
      </c>
      <c r="W70" s="31">
        <f>IF(U70&lt;=90,R70,R70/U70*90)</f>
        <v>17.568343125000002</v>
      </c>
      <c r="X70" s="31" t="s">
        <v>50</v>
      </c>
      <c r="Y70" s="31"/>
      <c r="Z70" s="31">
        <v>440</v>
      </c>
      <c r="AA70" s="31" t="s">
        <v>78</v>
      </c>
      <c r="AB70" s="31"/>
      <c r="AC70" s="31">
        <v>30</v>
      </c>
      <c r="AD70" s="31">
        <v>450</v>
      </c>
      <c r="AE70" s="31" t="s">
        <v>78</v>
      </c>
      <c r="AF70" s="31"/>
      <c r="AG70" s="31">
        <v>30</v>
      </c>
      <c r="AH70" s="8">
        <f t="shared" si="51"/>
        <v>-2.2222222222222223E-2</v>
      </c>
      <c r="AI70" s="8">
        <f>VLOOKUP(F70,'[6]Sheet 2'!$B:$T,18,0)/VLOOKUP(F70,'[6]Sheet 2'!$B:$U,20,0)</f>
        <v>592.28695427190769</v>
      </c>
      <c r="AJ70" s="8">
        <f t="shared" si="52"/>
        <v>-0.2571168471186614</v>
      </c>
      <c r="AK70" s="31">
        <v>33.299999999999997</v>
      </c>
      <c r="AL70" s="32" t="s">
        <v>37</v>
      </c>
      <c r="AM70" s="31"/>
      <c r="AN70" s="31">
        <v>0.8</v>
      </c>
      <c r="AO70" s="31">
        <v>36.1</v>
      </c>
      <c r="AP70" s="32" t="s">
        <v>37</v>
      </c>
      <c r="AQ70" s="31"/>
      <c r="AR70" s="31">
        <v>0.5</v>
      </c>
      <c r="AS70" s="8">
        <f t="shared" si="53"/>
        <v>-7.7562326869806214E-2</v>
      </c>
      <c r="AT70" s="8">
        <f>VLOOKUP(F70,'[7]Sheet 2'!$B:$T,18,0)/VLOOKUP(F70,'[7]Sheet 2'!$B:$U,20,0)</f>
        <v>38.80581257304506</v>
      </c>
      <c r="AU70" s="8">
        <f t="shared" si="54"/>
        <v>-0.14188113089195972</v>
      </c>
      <c r="AV70" s="57">
        <v>35.799999999999997</v>
      </c>
      <c r="AW70" s="32" t="s">
        <v>38</v>
      </c>
      <c r="AX70" s="31"/>
      <c r="AY70" s="31">
        <v>1.6</v>
      </c>
      <c r="AZ70" s="31">
        <v>42.2</v>
      </c>
      <c r="BA70" s="32" t="s">
        <v>38</v>
      </c>
      <c r="BB70" s="31"/>
      <c r="BC70" s="31">
        <v>1</v>
      </c>
      <c r="BD70" s="8">
        <f t="shared" si="55"/>
        <v>-0.15165876777251197</v>
      </c>
      <c r="BE70" s="8">
        <f>VLOOKUP(F70,'[8]Sheet 2'!$B:$T,18,0)/VLOOKUP(F70,'[8]Sheet 2'!$B:$U,20,0)</f>
        <v>39.05444561884476</v>
      </c>
      <c r="BF70" s="8">
        <f t="shared" si="56"/>
        <v>-8.3330990039054864E-2</v>
      </c>
      <c r="BG70" s="31">
        <v>406</v>
      </c>
      <c r="BH70" s="31" t="s">
        <v>52</v>
      </c>
      <c r="BI70" s="31"/>
      <c r="BJ70" s="31">
        <v>5</v>
      </c>
      <c r="BK70" s="31">
        <v>450</v>
      </c>
      <c r="BL70" s="31" t="s">
        <v>52</v>
      </c>
      <c r="BM70" s="31"/>
      <c r="BN70" s="31">
        <v>18</v>
      </c>
      <c r="BO70" s="8">
        <f t="shared" si="57"/>
        <v>-9.7777777777777783E-2</v>
      </c>
      <c r="BP70" s="8">
        <f>VLOOKUP(F70,'[9]Sheet 2'!$B:$T,18,0)/VLOOKUP(F70,'[9]Sheet 2'!$B:$U,20,0)</f>
        <v>503.90261384611426</v>
      </c>
      <c r="BQ70" s="8">
        <f t="shared" si="58"/>
        <v>-0.19428875968484763</v>
      </c>
      <c r="BR70" s="31">
        <f t="shared" si="36"/>
        <v>13213.213213213214</v>
      </c>
      <c r="BS70" s="31" t="s">
        <v>52</v>
      </c>
      <c r="BT70" s="31"/>
      <c r="BU70" s="31"/>
      <c r="BV70" s="31">
        <f t="shared" si="37"/>
        <v>12465.373961218836</v>
      </c>
      <c r="BW70" s="31" t="s">
        <v>52</v>
      </c>
      <c r="BX70" s="31"/>
      <c r="BY70" s="31"/>
      <c r="BZ70" s="8">
        <f t="shared" si="59"/>
        <v>5.9993326659993379E-2</v>
      </c>
      <c r="CA70" s="8">
        <f>VLOOKUP(F70,'[10]Sheet 2'!$B:$T,18,0)/VLOOKUP(F70,'[10]Sheet 2'!$B:$U,20,0)</f>
        <v>15399.366820760783</v>
      </c>
      <c r="CB70" s="8">
        <f t="shared" si="60"/>
        <v>-0.14196386338432357</v>
      </c>
      <c r="CC70" s="45">
        <f t="shared" si="61"/>
        <v>28.616666666666667</v>
      </c>
      <c r="CD70" s="45">
        <f t="shared" si="62"/>
        <v>77.2</v>
      </c>
      <c r="CE70" s="39">
        <v>42705</v>
      </c>
      <c r="CF70" s="39">
        <v>42855</v>
      </c>
      <c r="CG70" s="39">
        <v>42705</v>
      </c>
      <c r="CH70" s="39">
        <v>42855</v>
      </c>
      <c r="CI70" s="40">
        <f t="shared" si="38"/>
        <v>-30</v>
      </c>
      <c r="CJ70" s="40">
        <f t="shared" si="39"/>
        <v>120</v>
      </c>
      <c r="CK70" s="41">
        <f t="shared" si="40"/>
        <v>151</v>
      </c>
      <c r="CL70" s="40">
        <f t="shared" si="41"/>
        <v>-30</v>
      </c>
      <c r="CM70" s="40">
        <f t="shared" si="42"/>
        <v>120</v>
      </c>
      <c r="CN70" s="42">
        <f t="shared" si="43"/>
        <v>151</v>
      </c>
      <c r="CP70" s="47">
        <f t="shared" si="63"/>
        <v>42792</v>
      </c>
      <c r="CQ70" s="42">
        <f t="shared" si="64"/>
        <v>64</v>
      </c>
    </row>
    <row r="71" spans="1:95" s="19" customFormat="1" hidden="1" x14ac:dyDescent="0.3">
      <c r="A71" s="3">
        <v>1</v>
      </c>
      <c r="B71" s="3"/>
      <c r="C71" s="4">
        <v>50</v>
      </c>
      <c r="D71" s="4" t="s">
        <v>84</v>
      </c>
      <c r="E71" s="9" t="s">
        <v>85</v>
      </c>
      <c r="F71" s="6" t="str">
        <f t="shared" si="49"/>
        <v>2019-164HD29672016FACE</v>
      </c>
      <c r="G71" s="4" t="s">
        <v>86</v>
      </c>
      <c r="H71" s="3" t="s">
        <v>93</v>
      </c>
      <c r="I71" s="4" t="s">
        <v>61</v>
      </c>
      <c r="J71" s="4" t="s">
        <v>32</v>
      </c>
      <c r="K71" s="4" t="s">
        <v>88</v>
      </c>
      <c r="L71" s="4">
        <v>2016</v>
      </c>
      <c r="M71" s="4" t="s">
        <v>48</v>
      </c>
      <c r="N71" s="4" t="s">
        <v>49</v>
      </c>
      <c r="O71" s="4" t="s">
        <v>40</v>
      </c>
      <c r="P71" s="32" t="s">
        <v>267</v>
      </c>
      <c r="Q71" s="4">
        <f>S71/1.01*1.08</f>
        <v>32.827722772277234</v>
      </c>
      <c r="R71" s="4"/>
      <c r="S71" s="4">
        <v>30.7</v>
      </c>
      <c r="T71" s="4">
        <v>7</v>
      </c>
      <c r="U71" s="4">
        <v>160</v>
      </c>
      <c r="V71" s="3">
        <v>4</v>
      </c>
      <c r="W71" s="9">
        <v>2.6636551037927898</v>
      </c>
      <c r="X71" s="3" t="s">
        <v>50</v>
      </c>
      <c r="Y71" s="3"/>
      <c r="Z71" s="3">
        <v>440</v>
      </c>
      <c r="AA71" s="3" t="s">
        <v>78</v>
      </c>
      <c r="AB71" s="3"/>
      <c r="AC71" s="3">
        <v>40</v>
      </c>
      <c r="AD71" s="3">
        <v>440</v>
      </c>
      <c r="AE71" s="3" t="s">
        <v>78</v>
      </c>
      <c r="AF71" s="3"/>
      <c r="AG71" s="3">
        <v>40</v>
      </c>
      <c r="AH71" s="8">
        <f t="shared" si="51"/>
        <v>0</v>
      </c>
      <c r="AI71" s="8">
        <f>VLOOKUP(F71,'[6]Sheet 2'!$B:$T,18,0)/VLOOKUP(F71,'[6]Sheet 2'!$B:$U,20,0)</f>
        <v>551.38914694977791</v>
      </c>
      <c r="AJ71" s="8">
        <f t="shared" si="52"/>
        <v>-0.20201548682263698</v>
      </c>
      <c r="AK71" s="3">
        <v>35.9</v>
      </c>
      <c r="AL71" s="4" t="s">
        <v>37</v>
      </c>
      <c r="AM71" s="3"/>
      <c r="AN71" s="3">
        <v>0.9</v>
      </c>
      <c r="AO71" s="3">
        <v>35.9</v>
      </c>
      <c r="AP71" s="4" t="s">
        <v>37</v>
      </c>
      <c r="AQ71" s="3"/>
      <c r="AR71" s="3">
        <v>0.9</v>
      </c>
      <c r="AS71" s="8">
        <f t="shared" si="53"/>
        <v>0</v>
      </c>
      <c r="AT71" s="8">
        <f>VLOOKUP(F71,'[7]Sheet 2'!$B:$T,18,0)/VLOOKUP(F71,'[7]Sheet 2'!$B:$U,20,0)</f>
        <v>39.045243667166098</v>
      </c>
      <c r="AU71" s="8">
        <f t="shared" si="54"/>
        <v>-8.0553823507342984E-2</v>
      </c>
      <c r="AV71" s="57">
        <v>41.3</v>
      </c>
      <c r="AW71" s="4" t="s">
        <v>38</v>
      </c>
      <c r="AX71" s="3"/>
      <c r="AY71" s="3">
        <v>3</v>
      </c>
      <c r="AZ71" s="3">
        <v>41.3</v>
      </c>
      <c r="BA71" s="4" t="s">
        <v>38</v>
      </c>
      <c r="BB71" s="3"/>
      <c r="BC71" s="3">
        <v>3</v>
      </c>
      <c r="BD71" s="8">
        <f t="shared" si="55"/>
        <v>0</v>
      </c>
      <c r="BE71" s="8">
        <f>VLOOKUP(F71,'[8]Sheet 2'!$B:$T,18,0)/VLOOKUP(F71,'[8]Sheet 2'!$B:$U,20,0)</f>
        <v>41.093702827763572</v>
      </c>
      <c r="BF71" s="8">
        <f t="shared" si="56"/>
        <v>5.0201650871200534E-3</v>
      </c>
      <c r="BG71" s="3">
        <v>400</v>
      </c>
      <c r="BH71" s="3" t="s">
        <v>52</v>
      </c>
      <c r="BI71" s="3"/>
      <c r="BJ71" s="3">
        <v>8</v>
      </c>
      <c r="BK71" s="3">
        <v>400</v>
      </c>
      <c r="BL71" s="3" t="s">
        <v>52</v>
      </c>
      <c r="BM71" s="3"/>
      <c r="BN71" s="3">
        <v>8</v>
      </c>
      <c r="BO71" s="8">
        <f t="shared" si="57"/>
        <v>0</v>
      </c>
      <c r="BP71" s="8">
        <f>VLOOKUP(F71,'[9]Sheet 2'!$B:$T,18,0)/VLOOKUP(F71,'[9]Sheet 2'!$B:$U,20,0)</f>
        <v>460.22459139026228</v>
      </c>
      <c r="BQ71" s="8">
        <f t="shared" si="58"/>
        <v>-0.13085913381623906</v>
      </c>
      <c r="BR71" s="3">
        <f t="shared" si="36"/>
        <v>12256.267409470751</v>
      </c>
      <c r="BS71" s="3" t="s">
        <v>52</v>
      </c>
      <c r="BT71" s="3"/>
      <c r="BU71" s="3"/>
      <c r="BV71" s="3">
        <f t="shared" si="37"/>
        <v>12256.267409470751</v>
      </c>
      <c r="BW71" s="3" t="s">
        <v>52</v>
      </c>
      <c r="BX71" s="3"/>
      <c r="BY71" s="3"/>
      <c r="BZ71" s="8">
        <f t="shared" si="59"/>
        <v>0</v>
      </c>
      <c r="CA71" s="8">
        <f>VLOOKUP(F71,'[10]Sheet 2'!$B:$T,18,0)/VLOOKUP(F71,'[10]Sheet 2'!$B:$U,20,0)</f>
        <v>14248.119704418159</v>
      </c>
      <c r="CB71" s="8">
        <f t="shared" si="60"/>
        <v>-0.13979755478400147</v>
      </c>
      <c r="CC71" s="25">
        <f t="shared" si="61"/>
        <v>28.616666666666667</v>
      </c>
      <c r="CD71" s="25">
        <f t="shared" si="62"/>
        <v>77.2</v>
      </c>
      <c r="CE71" s="18">
        <v>42705</v>
      </c>
      <c r="CF71" s="18">
        <v>42855</v>
      </c>
      <c r="CG71" s="18">
        <v>42705</v>
      </c>
      <c r="CH71" s="18">
        <v>42855</v>
      </c>
      <c r="CI71" s="21">
        <f t="shared" si="38"/>
        <v>-30</v>
      </c>
      <c r="CJ71" s="21">
        <f t="shared" si="39"/>
        <v>120</v>
      </c>
      <c r="CK71" s="30">
        <f t="shared" si="40"/>
        <v>151</v>
      </c>
      <c r="CL71" s="21">
        <f t="shared" si="41"/>
        <v>-30</v>
      </c>
      <c r="CM71" s="21">
        <f t="shared" si="42"/>
        <v>120</v>
      </c>
      <c r="CN71" s="19">
        <f t="shared" si="43"/>
        <v>151</v>
      </c>
      <c r="CP71" s="29">
        <f t="shared" si="63"/>
        <v>42792</v>
      </c>
      <c r="CQ71" s="19">
        <f t="shared" si="64"/>
        <v>64</v>
      </c>
    </row>
    <row r="72" spans="1:95" s="19" customFormat="1" hidden="1" x14ac:dyDescent="0.3">
      <c r="A72" s="3">
        <v>1</v>
      </c>
      <c r="B72" s="3"/>
      <c r="C72" s="4">
        <v>50</v>
      </c>
      <c r="D72" s="4" t="s">
        <v>84</v>
      </c>
      <c r="E72" s="9" t="s">
        <v>85</v>
      </c>
      <c r="F72" s="6" t="str">
        <f t="shared" si="49"/>
        <v>2019-164HD29672016FACE</v>
      </c>
      <c r="G72" s="4" t="s">
        <v>86</v>
      </c>
      <c r="H72" s="3" t="s">
        <v>93</v>
      </c>
      <c r="I72" s="4" t="s">
        <v>61</v>
      </c>
      <c r="J72" s="4" t="s">
        <v>32</v>
      </c>
      <c r="K72" s="4" t="s">
        <v>88</v>
      </c>
      <c r="L72" s="4">
        <v>2016</v>
      </c>
      <c r="M72" s="4" t="s">
        <v>48</v>
      </c>
      <c r="N72" s="4" t="s">
        <v>49</v>
      </c>
      <c r="O72" s="4" t="s">
        <v>54</v>
      </c>
      <c r="P72" s="4"/>
      <c r="Q72" s="4">
        <f>(7*S72+5*0.976*S71)/12*1.08</f>
        <v>58.969440000000006</v>
      </c>
      <c r="R72" s="4">
        <v>31.232610000000001</v>
      </c>
      <c r="S72" s="4">
        <v>72.2</v>
      </c>
      <c r="T72" s="4">
        <v>7</v>
      </c>
      <c r="U72" s="4">
        <v>160</v>
      </c>
      <c r="V72" s="3">
        <v>4</v>
      </c>
      <c r="W72" s="3">
        <f>IF(U72&lt;=90,R72,R72/U72*90)</f>
        <v>17.568343125000002</v>
      </c>
      <c r="X72" s="3" t="s">
        <v>50</v>
      </c>
      <c r="Y72" s="3"/>
      <c r="Z72" s="3">
        <v>390</v>
      </c>
      <c r="AA72" s="3" t="s">
        <v>78</v>
      </c>
      <c r="AB72" s="3"/>
      <c r="AC72" s="3">
        <v>20</v>
      </c>
      <c r="AD72" s="3">
        <v>440</v>
      </c>
      <c r="AE72" s="3" t="s">
        <v>78</v>
      </c>
      <c r="AF72" s="3"/>
      <c r="AG72" s="3">
        <v>40</v>
      </c>
      <c r="AH72" s="8">
        <f t="shared" si="51"/>
        <v>-0.11363636363636363</v>
      </c>
      <c r="AI72" s="8">
        <f>VLOOKUP(F72,'[6]Sheet 2'!$B:$T,18,0)/VLOOKUP(F72,'[6]Sheet 2'!$B:$U,20,0)</f>
        <v>551.38914694977791</v>
      </c>
      <c r="AJ72" s="8">
        <f t="shared" si="52"/>
        <v>-0.29269554513824642</v>
      </c>
      <c r="AK72" s="3">
        <v>33.9</v>
      </c>
      <c r="AL72" s="4" t="s">
        <v>37</v>
      </c>
      <c r="AM72" s="3"/>
      <c r="AN72" s="3">
        <v>1</v>
      </c>
      <c r="AO72" s="3">
        <v>35.9</v>
      </c>
      <c r="AP72" s="4" t="s">
        <v>37</v>
      </c>
      <c r="AQ72" s="3"/>
      <c r="AR72" s="3">
        <v>0.9</v>
      </c>
      <c r="AS72" s="8">
        <f t="shared" si="53"/>
        <v>-5.5710306406685242E-2</v>
      </c>
      <c r="AT72" s="8">
        <f>VLOOKUP(F72,'[7]Sheet 2'!$B:$T,18,0)/VLOOKUP(F72,'[7]Sheet 2'!$B:$U,20,0)</f>
        <v>39.045243667166098</v>
      </c>
      <c r="AU72" s="8">
        <f t="shared" si="54"/>
        <v>-0.1317764517242041</v>
      </c>
      <c r="AV72" s="57">
        <v>40.5</v>
      </c>
      <c r="AW72" s="4" t="s">
        <v>38</v>
      </c>
      <c r="AX72" s="3"/>
      <c r="AY72" s="3">
        <v>3</v>
      </c>
      <c r="AZ72" s="3">
        <v>41.3</v>
      </c>
      <c r="BA72" s="4" t="s">
        <v>38</v>
      </c>
      <c r="BB72" s="3"/>
      <c r="BC72" s="3">
        <v>3</v>
      </c>
      <c r="BD72" s="8">
        <f t="shared" si="55"/>
        <v>-1.9370460048426082E-2</v>
      </c>
      <c r="BE72" s="8">
        <f>VLOOKUP(F72,'[8]Sheet 2'!$B:$T,18,0)/VLOOKUP(F72,'[8]Sheet 2'!$B:$U,20,0)</f>
        <v>41.093702827763572</v>
      </c>
      <c r="BF72" s="8">
        <f t="shared" si="56"/>
        <v>-1.4447537868562592E-2</v>
      </c>
      <c r="BG72" s="3">
        <v>381</v>
      </c>
      <c r="BH72" s="3" t="s">
        <v>52</v>
      </c>
      <c r="BI72" s="3"/>
      <c r="BJ72" s="3">
        <v>30</v>
      </c>
      <c r="BK72" s="3">
        <v>400</v>
      </c>
      <c r="BL72" s="3" t="s">
        <v>52</v>
      </c>
      <c r="BM72" s="3"/>
      <c r="BN72" s="3">
        <v>8</v>
      </c>
      <c r="BO72" s="8">
        <f t="shared" si="57"/>
        <v>-4.7500000000000001E-2</v>
      </c>
      <c r="BP72" s="8">
        <f>VLOOKUP(F72,'[9]Sheet 2'!$B:$T,18,0)/VLOOKUP(F72,'[9]Sheet 2'!$B:$U,20,0)</f>
        <v>460.22459139026228</v>
      </c>
      <c r="BQ72" s="8">
        <f t="shared" si="58"/>
        <v>-0.1721433249599677</v>
      </c>
      <c r="BR72" s="3">
        <f t="shared" si="36"/>
        <v>11504.424778761062</v>
      </c>
      <c r="BS72" s="3" t="s">
        <v>52</v>
      </c>
      <c r="BT72" s="3"/>
      <c r="BU72" s="3"/>
      <c r="BV72" s="3">
        <f t="shared" si="37"/>
        <v>12256.267409470751</v>
      </c>
      <c r="BW72" s="3" t="s">
        <v>52</v>
      </c>
      <c r="BX72" s="3"/>
      <c r="BY72" s="3"/>
      <c r="BZ72" s="8">
        <f t="shared" si="59"/>
        <v>-6.1343523732904165E-2</v>
      </c>
      <c r="CA72" s="8">
        <f>VLOOKUP(F72,'[10]Sheet 2'!$B:$T,18,0)/VLOOKUP(F72,'[10]Sheet 2'!$B:$U,20,0)</f>
        <v>14248.119704418159</v>
      </c>
      <c r="CB72" s="8">
        <f t="shared" si="60"/>
        <v>-0.19256540389721125</v>
      </c>
      <c r="CC72" s="25">
        <f t="shared" si="61"/>
        <v>28.616666666666667</v>
      </c>
      <c r="CD72" s="25">
        <f t="shared" si="62"/>
        <v>77.2</v>
      </c>
      <c r="CE72" s="18">
        <v>42705</v>
      </c>
      <c r="CF72" s="18">
        <v>42855</v>
      </c>
      <c r="CG72" s="18">
        <v>42705</v>
      </c>
      <c r="CH72" s="18">
        <v>42855</v>
      </c>
      <c r="CI72" s="21">
        <f t="shared" si="38"/>
        <v>-30</v>
      </c>
      <c r="CJ72" s="21">
        <f t="shared" si="39"/>
        <v>120</v>
      </c>
      <c r="CK72" s="30">
        <f t="shared" si="40"/>
        <v>151</v>
      </c>
      <c r="CL72" s="21">
        <f t="shared" si="41"/>
        <v>-30</v>
      </c>
      <c r="CM72" s="21">
        <f t="shared" si="42"/>
        <v>120</v>
      </c>
      <c r="CN72" s="19">
        <f t="shared" si="43"/>
        <v>151</v>
      </c>
      <c r="CP72" s="29">
        <f t="shared" si="63"/>
        <v>42792</v>
      </c>
      <c r="CQ72" s="19">
        <f t="shared" si="64"/>
        <v>64</v>
      </c>
    </row>
    <row r="73" spans="1:95" s="42" customFormat="1" hidden="1" x14ac:dyDescent="0.3">
      <c r="A73" s="31">
        <v>1</v>
      </c>
      <c r="B73" s="31"/>
      <c r="C73" s="32">
        <v>50</v>
      </c>
      <c r="D73" s="32" t="s">
        <v>84</v>
      </c>
      <c r="E73" s="43" t="s">
        <v>89</v>
      </c>
      <c r="F73" s="34" t="str">
        <f t="shared" si="49"/>
        <v>2019-164C3062017FACE</v>
      </c>
      <c r="G73" s="32" t="s">
        <v>86</v>
      </c>
      <c r="H73" s="31" t="s">
        <v>93</v>
      </c>
      <c r="I73" s="32" t="s">
        <v>61</v>
      </c>
      <c r="J73" s="32" t="s">
        <v>32</v>
      </c>
      <c r="K73" s="32" t="s">
        <v>87</v>
      </c>
      <c r="L73" s="32">
        <v>2017</v>
      </c>
      <c r="M73" s="32" t="s">
        <v>48</v>
      </c>
      <c r="N73" s="32" t="s">
        <v>49</v>
      </c>
      <c r="O73" s="32" t="s">
        <v>40</v>
      </c>
      <c r="P73" s="32" t="s">
        <v>267</v>
      </c>
      <c r="Q73" s="32">
        <f>S73/1.01*1.08</f>
        <v>32.827722772277234</v>
      </c>
      <c r="R73" s="32"/>
      <c r="S73" s="32">
        <v>30.7</v>
      </c>
      <c r="T73" s="32">
        <v>7</v>
      </c>
      <c r="U73" s="32">
        <v>160</v>
      </c>
      <c r="V73" s="31">
        <v>4</v>
      </c>
      <c r="W73" s="43">
        <v>2.6636551037927898</v>
      </c>
      <c r="X73" s="31" t="s">
        <v>50</v>
      </c>
      <c r="Y73" s="31"/>
      <c r="Z73" s="31">
        <v>490</v>
      </c>
      <c r="AA73" s="31" t="s">
        <v>78</v>
      </c>
      <c r="AB73" s="31"/>
      <c r="AC73" s="31">
        <v>30</v>
      </c>
      <c r="AD73" s="31">
        <v>490</v>
      </c>
      <c r="AE73" s="31" t="s">
        <v>78</v>
      </c>
      <c r="AF73" s="31"/>
      <c r="AG73" s="31">
        <v>30</v>
      </c>
      <c r="AH73" s="8">
        <f t="shared" si="51"/>
        <v>0</v>
      </c>
      <c r="AI73" s="8">
        <f>VLOOKUP(F73,'[6]Sheet 2'!$B:$T,18,0)/VLOOKUP(F73,'[6]Sheet 2'!$B:$U,20,0)</f>
        <v>603.8405263505831</v>
      </c>
      <c r="AJ73" s="8">
        <f t="shared" si="52"/>
        <v>-0.18852746939427606</v>
      </c>
      <c r="AK73" s="31">
        <v>40.200000000000003</v>
      </c>
      <c r="AL73" s="32" t="s">
        <v>37</v>
      </c>
      <c r="AM73" s="31"/>
      <c r="AN73" s="31">
        <v>1</v>
      </c>
      <c r="AO73" s="31">
        <v>40.200000000000003</v>
      </c>
      <c r="AP73" s="32" t="s">
        <v>37</v>
      </c>
      <c r="AQ73" s="31"/>
      <c r="AR73" s="31">
        <v>1</v>
      </c>
      <c r="AS73" s="8">
        <f t="shared" si="53"/>
        <v>0</v>
      </c>
      <c r="AT73" s="8">
        <f>VLOOKUP(F73,'[7]Sheet 2'!$B:$T,18,0)/VLOOKUP(F73,'[7]Sheet 2'!$B:$U,20,0)</f>
        <v>42.931358696252417</v>
      </c>
      <c r="AU73" s="8">
        <f t="shared" si="54"/>
        <v>-6.3621529324923071E-2</v>
      </c>
      <c r="AV73" s="57">
        <v>43</v>
      </c>
      <c r="AW73" s="32" t="s">
        <v>38</v>
      </c>
      <c r="AX73" s="31"/>
      <c r="AY73" s="31">
        <v>3</v>
      </c>
      <c r="AZ73" s="31">
        <v>43</v>
      </c>
      <c r="BA73" s="32" t="s">
        <v>38</v>
      </c>
      <c r="BB73" s="31"/>
      <c r="BC73" s="31">
        <v>3</v>
      </c>
      <c r="BD73" s="8">
        <f t="shared" si="55"/>
        <v>0</v>
      </c>
      <c r="BE73" s="8">
        <f>VLOOKUP(F73,'[8]Sheet 2'!$B:$T,18,0)/VLOOKUP(F73,'[8]Sheet 2'!$B:$U,20,0)</f>
        <v>42.751170924102574</v>
      </c>
      <c r="BF73" s="8">
        <f t="shared" si="56"/>
        <v>5.8204037578100378E-3</v>
      </c>
      <c r="BG73" s="31">
        <v>374</v>
      </c>
      <c r="BH73" s="31" t="s">
        <v>52</v>
      </c>
      <c r="BI73" s="31"/>
      <c r="BJ73" s="31">
        <v>18</v>
      </c>
      <c r="BK73" s="31">
        <v>374</v>
      </c>
      <c r="BL73" s="31" t="s">
        <v>52</v>
      </c>
      <c r="BM73" s="31"/>
      <c r="BN73" s="31">
        <v>18</v>
      </c>
      <c r="BO73" s="8">
        <f t="shared" si="57"/>
        <v>0</v>
      </c>
      <c r="BP73" s="8">
        <f>VLOOKUP(F73,'[9]Sheet 2'!$B:$T,18,0)/VLOOKUP(F73,'[9]Sheet 2'!$B:$U,20,0)</f>
        <v>407.83841251820229</v>
      </c>
      <c r="BQ73" s="8">
        <f t="shared" si="58"/>
        <v>-8.29701457233189E-2</v>
      </c>
      <c r="BR73" s="31">
        <f t="shared" si="36"/>
        <v>12189.054726368158</v>
      </c>
      <c r="BS73" s="31" t="s">
        <v>52</v>
      </c>
      <c r="BT73" s="31"/>
      <c r="BU73" s="31"/>
      <c r="BV73" s="31">
        <f t="shared" si="37"/>
        <v>12189.054726368158</v>
      </c>
      <c r="BW73" s="31" t="s">
        <v>52</v>
      </c>
      <c r="BX73" s="31"/>
      <c r="BY73" s="31"/>
      <c r="BZ73" s="8">
        <f t="shared" si="59"/>
        <v>0</v>
      </c>
      <c r="CA73" s="8">
        <f>VLOOKUP(F73,'[10]Sheet 2'!$B:$T,18,0)/VLOOKUP(F73,'[10]Sheet 2'!$B:$U,20,0)</f>
        <v>14191.068708533407</v>
      </c>
      <c r="CB73" s="8">
        <f t="shared" si="60"/>
        <v>-0.14107563167257392</v>
      </c>
      <c r="CC73" s="45">
        <f t="shared" si="61"/>
        <v>28.616666666666667</v>
      </c>
      <c r="CD73" s="45">
        <f t="shared" si="62"/>
        <v>77.2</v>
      </c>
      <c r="CE73" s="39">
        <v>43060</v>
      </c>
      <c r="CF73" s="39">
        <v>43220</v>
      </c>
      <c r="CG73" s="39">
        <v>43060</v>
      </c>
      <c r="CH73" s="39">
        <v>43220</v>
      </c>
      <c r="CI73" s="40">
        <f t="shared" si="38"/>
        <v>-40</v>
      </c>
      <c r="CJ73" s="40">
        <f t="shared" si="39"/>
        <v>120</v>
      </c>
      <c r="CK73" s="41">
        <f t="shared" si="40"/>
        <v>161</v>
      </c>
      <c r="CL73" s="40">
        <f t="shared" si="41"/>
        <v>-40</v>
      </c>
      <c r="CM73" s="40">
        <f t="shared" si="42"/>
        <v>120</v>
      </c>
      <c r="CN73" s="42">
        <f t="shared" si="43"/>
        <v>161</v>
      </c>
      <c r="CP73" s="47">
        <f t="shared" si="63"/>
        <v>43147</v>
      </c>
      <c r="CQ73" s="42">
        <f t="shared" si="64"/>
        <v>74</v>
      </c>
    </row>
    <row r="74" spans="1:95" s="42" customFormat="1" hidden="1" x14ac:dyDescent="0.3">
      <c r="A74" s="31">
        <v>1</v>
      </c>
      <c r="B74" s="31"/>
      <c r="C74" s="32">
        <v>50</v>
      </c>
      <c r="D74" s="32" t="s">
        <v>84</v>
      </c>
      <c r="E74" s="43" t="s">
        <v>85</v>
      </c>
      <c r="F74" s="34" t="str">
        <f t="shared" si="49"/>
        <v>2019-164C3062017FACE</v>
      </c>
      <c r="G74" s="32" t="s">
        <v>86</v>
      </c>
      <c r="H74" s="31" t="s">
        <v>93</v>
      </c>
      <c r="I74" s="32" t="s">
        <v>61</v>
      </c>
      <c r="J74" s="32" t="s">
        <v>32</v>
      </c>
      <c r="K74" s="32" t="s">
        <v>87</v>
      </c>
      <c r="L74" s="32">
        <v>2017</v>
      </c>
      <c r="M74" s="32" t="s">
        <v>48</v>
      </c>
      <c r="N74" s="32" t="s">
        <v>49</v>
      </c>
      <c r="O74" s="32" t="s">
        <v>54</v>
      </c>
      <c r="P74" s="32"/>
      <c r="Q74" s="32">
        <f>(7*S74+5*0.976*S73)/12*1.08</f>
        <v>58.969440000000006</v>
      </c>
      <c r="R74" s="32">
        <v>31.232610000000001</v>
      </c>
      <c r="S74" s="32">
        <v>72.2</v>
      </c>
      <c r="T74" s="32">
        <v>7</v>
      </c>
      <c r="U74" s="32">
        <v>160</v>
      </c>
      <c r="V74" s="31">
        <v>4</v>
      </c>
      <c r="W74" s="31">
        <f>IF(U74&lt;=90,R74,R74/U74*90)</f>
        <v>17.568343125000002</v>
      </c>
      <c r="X74" s="31" t="s">
        <v>50</v>
      </c>
      <c r="Y74" s="31"/>
      <c r="Z74" s="31">
        <v>420</v>
      </c>
      <c r="AA74" s="31" t="s">
        <v>78</v>
      </c>
      <c r="AB74" s="31"/>
      <c r="AC74" s="31">
        <v>20</v>
      </c>
      <c r="AD74" s="31">
        <v>490</v>
      </c>
      <c r="AE74" s="31" t="s">
        <v>78</v>
      </c>
      <c r="AF74" s="31"/>
      <c r="AG74" s="31">
        <v>30</v>
      </c>
      <c r="AH74" s="8">
        <f t="shared" si="51"/>
        <v>-0.14285714285714285</v>
      </c>
      <c r="AI74" s="8">
        <f>VLOOKUP(F74,'[6]Sheet 2'!$B:$T,18,0)/VLOOKUP(F74,'[6]Sheet 2'!$B:$U,20,0)</f>
        <v>603.8405263505831</v>
      </c>
      <c r="AJ74" s="8">
        <f t="shared" si="52"/>
        <v>-0.30445211662366517</v>
      </c>
      <c r="AK74" s="31">
        <v>36.6</v>
      </c>
      <c r="AL74" s="32" t="s">
        <v>37</v>
      </c>
      <c r="AM74" s="31"/>
      <c r="AN74" s="31">
        <v>1.1000000000000001</v>
      </c>
      <c r="AO74" s="31">
        <v>40.200000000000003</v>
      </c>
      <c r="AP74" s="32" t="s">
        <v>37</v>
      </c>
      <c r="AQ74" s="31"/>
      <c r="AR74" s="31">
        <v>1</v>
      </c>
      <c r="AS74" s="8">
        <f t="shared" si="53"/>
        <v>-8.9552238805970172E-2</v>
      </c>
      <c r="AT74" s="8">
        <f>VLOOKUP(F74,'[7]Sheet 2'!$B:$T,18,0)/VLOOKUP(F74,'[7]Sheet 2'!$B:$U,20,0)</f>
        <v>42.931358696252417</v>
      </c>
      <c r="AU74" s="8">
        <f t="shared" si="54"/>
        <v>-0.14747631774358669</v>
      </c>
      <c r="AV74" s="57">
        <v>42.1</v>
      </c>
      <c r="AW74" s="32" t="s">
        <v>38</v>
      </c>
      <c r="AX74" s="31"/>
      <c r="AY74" s="31">
        <v>5.0999999999999996</v>
      </c>
      <c r="AZ74" s="31">
        <v>43</v>
      </c>
      <c r="BA74" s="32" t="s">
        <v>38</v>
      </c>
      <c r="BB74" s="31"/>
      <c r="BC74" s="31">
        <v>3</v>
      </c>
      <c r="BD74" s="8">
        <f t="shared" si="55"/>
        <v>-2.0930232558139503E-2</v>
      </c>
      <c r="BE74" s="8">
        <f>VLOOKUP(F74,'[8]Sheet 2'!$B:$T,18,0)/VLOOKUP(F74,'[8]Sheet 2'!$B:$U,20,0)</f>
        <v>42.751170924102574</v>
      </c>
      <c r="BF74" s="8">
        <f t="shared" si="56"/>
        <v>-1.5231651204562697E-2</v>
      </c>
      <c r="BG74" s="31">
        <v>320</v>
      </c>
      <c r="BH74" s="31" t="s">
        <v>52</v>
      </c>
      <c r="BI74" s="31"/>
      <c r="BJ74" s="31">
        <v>19</v>
      </c>
      <c r="BK74" s="31">
        <v>374</v>
      </c>
      <c r="BL74" s="31" t="s">
        <v>52</v>
      </c>
      <c r="BM74" s="31"/>
      <c r="BN74" s="31">
        <v>18</v>
      </c>
      <c r="BO74" s="8">
        <f t="shared" si="57"/>
        <v>-0.14438502673796791</v>
      </c>
      <c r="BP74" s="8">
        <f>VLOOKUP(F74,'[9]Sheet 2'!$B:$T,18,0)/VLOOKUP(F74,'[9]Sheet 2'!$B:$U,20,0)</f>
        <v>407.83841251820229</v>
      </c>
      <c r="BQ74" s="8">
        <f t="shared" si="58"/>
        <v>-0.21537552575257232</v>
      </c>
      <c r="BR74" s="31">
        <f t="shared" si="36"/>
        <v>11475.409836065573</v>
      </c>
      <c r="BS74" s="31" t="s">
        <v>52</v>
      </c>
      <c r="BT74" s="31"/>
      <c r="BU74" s="31"/>
      <c r="BV74" s="31">
        <f t="shared" si="37"/>
        <v>12189.054726368158</v>
      </c>
      <c r="BW74" s="31" t="s">
        <v>52</v>
      </c>
      <c r="BX74" s="31"/>
      <c r="BY74" s="31"/>
      <c r="BZ74" s="8">
        <f t="shared" si="59"/>
        <v>-5.8548009367681453E-2</v>
      </c>
      <c r="CA74" s="8">
        <f>VLOOKUP(F74,'[10]Sheet 2'!$B:$T,18,0)/VLOOKUP(F74,'[10]Sheet 2'!$B:$U,20,0)</f>
        <v>14191.068708533407</v>
      </c>
      <c r="CB74" s="8">
        <f t="shared" si="60"/>
        <v>-0.19136394363553794</v>
      </c>
      <c r="CC74" s="45">
        <f t="shared" si="61"/>
        <v>28.616666666666667</v>
      </c>
      <c r="CD74" s="45">
        <f t="shared" si="62"/>
        <v>77.2</v>
      </c>
      <c r="CE74" s="39">
        <v>43060</v>
      </c>
      <c r="CF74" s="39">
        <v>43220</v>
      </c>
      <c r="CG74" s="39">
        <v>43060</v>
      </c>
      <c r="CH74" s="39">
        <v>43220</v>
      </c>
      <c r="CI74" s="40">
        <f t="shared" si="38"/>
        <v>-40</v>
      </c>
      <c r="CJ74" s="40">
        <f t="shared" si="39"/>
        <v>120</v>
      </c>
      <c r="CK74" s="41">
        <f t="shared" si="40"/>
        <v>161</v>
      </c>
      <c r="CL74" s="40">
        <f t="shared" si="41"/>
        <v>-40</v>
      </c>
      <c r="CM74" s="40">
        <f t="shared" si="42"/>
        <v>120</v>
      </c>
      <c r="CN74" s="42">
        <f t="shared" si="43"/>
        <v>161</v>
      </c>
      <c r="CP74" s="47">
        <f t="shared" si="63"/>
        <v>43147</v>
      </c>
      <c r="CQ74" s="42">
        <f t="shared" si="64"/>
        <v>74</v>
      </c>
    </row>
    <row r="75" spans="1:95" s="19" customFormat="1" hidden="1" x14ac:dyDescent="0.3">
      <c r="A75" s="3">
        <v>1</v>
      </c>
      <c r="B75" s="3"/>
      <c r="C75" s="4">
        <v>50</v>
      </c>
      <c r="D75" s="4" t="s">
        <v>84</v>
      </c>
      <c r="E75" s="9" t="s">
        <v>85</v>
      </c>
      <c r="F75" s="6" t="str">
        <f t="shared" si="49"/>
        <v>2019-164HD29672017FACE</v>
      </c>
      <c r="G75" s="4" t="s">
        <v>86</v>
      </c>
      <c r="H75" s="3" t="s">
        <v>93</v>
      </c>
      <c r="I75" s="4" t="s">
        <v>61</v>
      </c>
      <c r="J75" s="4" t="s">
        <v>32</v>
      </c>
      <c r="K75" s="4" t="s">
        <v>88</v>
      </c>
      <c r="L75" s="4">
        <v>2017</v>
      </c>
      <c r="M75" s="4" t="s">
        <v>48</v>
      </c>
      <c r="N75" s="4" t="s">
        <v>49</v>
      </c>
      <c r="O75" s="4" t="s">
        <v>40</v>
      </c>
      <c r="P75" s="32" t="s">
        <v>267</v>
      </c>
      <c r="Q75" s="4">
        <f>S75/1.01*1.08</f>
        <v>32.827722772277234</v>
      </c>
      <c r="R75" s="4"/>
      <c r="S75" s="4">
        <v>30.7</v>
      </c>
      <c r="T75" s="4">
        <v>7</v>
      </c>
      <c r="U75" s="4">
        <v>160</v>
      </c>
      <c r="V75" s="3">
        <v>4</v>
      </c>
      <c r="W75" s="9">
        <v>2.6636551037927898</v>
      </c>
      <c r="X75" s="3" t="s">
        <v>50</v>
      </c>
      <c r="Y75" s="3"/>
      <c r="Z75" s="3">
        <v>430</v>
      </c>
      <c r="AA75" s="3" t="s">
        <v>78</v>
      </c>
      <c r="AB75" s="3"/>
      <c r="AC75" s="3">
        <v>60</v>
      </c>
      <c r="AD75" s="3">
        <v>430</v>
      </c>
      <c r="AE75" s="3" t="s">
        <v>78</v>
      </c>
      <c r="AF75" s="3"/>
      <c r="AG75" s="3">
        <v>60</v>
      </c>
      <c r="AH75" s="8">
        <f t="shared" si="51"/>
        <v>0</v>
      </c>
      <c r="AI75" s="8">
        <f>VLOOKUP(F75,'[6]Sheet 2'!$B:$T,18,0)/VLOOKUP(F75,'[6]Sheet 2'!$B:$U,20,0)</f>
        <v>530.92681656021648</v>
      </c>
      <c r="AJ75" s="8">
        <f t="shared" si="52"/>
        <v>-0.19009553371988999</v>
      </c>
      <c r="AK75" s="3">
        <v>34.799999999999997</v>
      </c>
      <c r="AL75" s="4" t="s">
        <v>37</v>
      </c>
      <c r="AM75" s="3"/>
      <c r="AN75" s="3">
        <v>1.3</v>
      </c>
      <c r="AO75" s="3">
        <v>34.799999999999997</v>
      </c>
      <c r="AP75" s="4" t="s">
        <v>37</v>
      </c>
      <c r="AQ75" s="3"/>
      <c r="AR75" s="3">
        <v>1.3</v>
      </c>
      <c r="AS75" s="8">
        <f t="shared" si="53"/>
        <v>0</v>
      </c>
      <c r="AT75" s="8">
        <f>VLOOKUP(F75,'[7]Sheet 2'!$B:$T,18,0)/VLOOKUP(F75,'[7]Sheet 2'!$B:$U,20,0)</f>
        <v>37.986097875673245</v>
      </c>
      <c r="AU75" s="8">
        <f t="shared" si="54"/>
        <v>-8.3875366353796069E-2</v>
      </c>
      <c r="AV75" s="57">
        <v>52.6</v>
      </c>
      <c r="AW75" s="4" t="s">
        <v>38</v>
      </c>
      <c r="AX75" s="3"/>
      <c r="AY75" s="3">
        <v>2.5</v>
      </c>
      <c r="AZ75" s="3">
        <v>52.6</v>
      </c>
      <c r="BA75" s="4" t="s">
        <v>38</v>
      </c>
      <c r="BB75" s="3"/>
      <c r="BC75" s="3">
        <v>2.5</v>
      </c>
      <c r="BD75" s="8">
        <f t="shared" si="55"/>
        <v>0</v>
      </c>
      <c r="BE75" s="8">
        <f>VLOOKUP(F75,'[8]Sheet 2'!$B:$T,18,0)/VLOOKUP(F75,'[8]Sheet 2'!$B:$U,20,0)</f>
        <v>49.209395710240763</v>
      </c>
      <c r="BF75" s="8">
        <f t="shared" si="56"/>
        <v>6.8901563224309903E-2</v>
      </c>
      <c r="BG75" s="3">
        <v>394</v>
      </c>
      <c r="BH75" s="3" t="s">
        <v>52</v>
      </c>
      <c r="BI75" s="3"/>
      <c r="BJ75" s="3">
        <v>24</v>
      </c>
      <c r="BK75" s="3">
        <v>394</v>
      </c>
      <c r="BL75" s="3" t="s">
        <v>52</v>
      </c>
      <c r="BM75" s="3"/>
      <c r="BN75" s="3">
        <v>24</v>
      </c>
      <c r="BO75" s="8">
        <f t="shared" si="57"/>
        <v>0</v>
      </c>
      <c r="BP75" s="8">
        <f>VLOOKUP(F75,'[9]Sheet 2'!$B:$T,18,0)/VLOOKUP(F75,'[9]Sheet 2'!$B:$U,20,0)</f>
        <v>450.72578400323874</v>
      </c>
      <c r="BQ75" s="8">
        <f t="shared" si="58"/>
        <v>-0.12585431323545301</v>
      </c>
      <c r="BR75" s="3">
        <f t="shared" si="36"/>
        <v>12356.321839080461</v>
      </c>
      <c r="BS75" s="3" t="s">
        <v>52</v>
      </c>
      <c r="BT75" s="3"/>
      <c r="BU75" s="3"/>
      <c r="BV75" s="3">
        <f t="shared" si="37"/>
        <v>12356.321839080461</v>
      </c>
      <c r="BW75" s="3" t="s">
        <v>52</v>
      </c>
      <c r="BX75" s="3"/>
      <c r="BY75" s="3"/>
      <c r="BZ75" s="8">
        <f t="shared" si="59"/>
        <v>0</v>
      </c>
      <c r="CA75" s="8">
        <f>VLOOKUP(F75,'[10]Sheet 2'!$B:$T,18,0)/VLOOKUP(F75,'[10]Sheet 2'!$B:$U,20,0)</f>
        <v>14101.89438555286</v>
      </c>
      <c r="CB75" s="8">
        <f t="shared" si="60"/>
        <v>-0.12378284071257166</v>
      </c>
      <c r="CC75" s="25">
        <f t="shared" si="61"/>
        <v>28.616666666666667</v>
      </c>
      <c r="CD75" s="25">
        <f t="shared" si="62"/>
        <v>77.2</v>
      </c>
      <c r="CE75" s="18">
        <v>43060</v>
      </c>
      <c r="CF75" s="18">
        <v>43220</v>
      </c>
      <c r="CG75" s="18">
        <v>43060</v>
      </c>
      <c r="CH75" s="18">
        <v>43220</v>
      </c>
      <c r="CI75" s="21">
        <f t="shared" si="38"/>
        <v>-40</v>
      </c>
      <c r="CJ75" s="21">
        <f t="shared" si="39"/>
        <v>120</v>
      </c>
      <c r="CK75" s="30">
        <f t="shared" si="40"/>
        <v>161</v>
      </c>
      <c r="CL75" s="21">
        <f t="shared" si="41"/>
        <v>-40</v>
      </c>
      <c r="CM75" s="21">
        <f t="shared" si="42"/>
        <v>120</v>
      </c>
      <c r="CN75" s="19">
        <f t="shared" si="43"/>
        <v>161</v>
      </c>
      <c r="CP75" s="29">
        <f t="shared" si="63"/>
        <v>43147</v>
      </c>
      <c r="CQ75" s="19">
        <f t="shared" si="64"/>
        <v>74</v>
      </c>
    </row>
    <row r="76" spans="1:95" s="19" customFormat="1" hidden="1" x14ac:dyDescent="0.3">
      <c r="A76" s="3">
        <v>1</v>
      </c>
      <c r="B76" s="3"/>
      <c r="C76" s="4">
        <v>50</v>
      </c>
      <c r="D76" s="4" t="s">
        <v>84</v>
      </c>
      <c r="E76" s="9" t="s">
        <v>85</v>
      </c>
      <c r="F76" s="6" t="str">
        <f t="shared" si="49"/>
        <v>2019-164HD29672017FACE</v>
      </c>
      <c r="G76" s="4" t="s">
        <v>86</v>
      </c>
      <c r="H76" s="3" t="s">
        <v>93</v>
      </c>
      <c r="I76" s="4" t="s">
        <v>61</v>
      </c>
      <c r="J76" s="4" t="s">
        <v>32</v>
      </c>
      <c r="K76" s="4" t="s">
        <v>88</v>
      </c>
      <c r="L76" s="4">
        <v>2017</v>
      </c>
      <c r="M76" s="4" t="s">
        <v>48</v>
      </c>
      <c r="N76" s="4" t="s">
        <v>49</v>
      </c>
      <c r="O76" s="4" t="s">
        <v>54</v>
      </c>
      <c r="P76" s="4"/>
      <c r="Q76" s="4">
        <f>(7*S76+5*0.976*S75)/12*1.08</f>
        <v>58.969440000000006</v>
      </c>
      <c r="R76" s="4">
        <v>31.232610000000001</v>
      </c>
      <c r="S76" s="4">
        <v>72.2</v>
      </c>
      <c r="T76" s="4">
        <v>7</v>
      </c>
      <c r="U76" s="4">
        <v>160</v>
      </c>
      <c r="V76" s="3">
        <v>4</v>
      </c>
      <c r="W76" s="3">
        <f t="shared" ref="W76:W106" si="65">IF(U76&lt;=90,R76,R76/U76*90)</f>
        <v>17.568343125000002</v>
      </c>
      <c r="X76" s="3" t="s">
        <v>50</v>
      </c>
      <c r="Y76" s="3"/>
      <c r="Z76" s="3">
        <v>370</v>
      </c>
      <c r="AA76" s="3" t="s">
        <v>78</v>
      </c>
      <c r="AB76" s="3"/>
      <c r="AC76" s="3">
        <v>30</v>
      </c>
      <c r="AD76" s="3">
        <v>430</v>
      </c>
      <c r="AE76" s="3" t="s">
        <v>78</v>
      </c>
      <c r="AF76" s="3"/>
      <c r="AG76" s="3">
        <v>60</v>
      </c>
      <c r="AH76" s="8">
        <f t="shared" si="51"/>
        <v>-0.13953488372093023</v>
      </c>
      <c r="AI76" s="8">
        <f>VLOOKUP(F76,'[6]Sheet 2'!$B:$T,18,0)/VLOOKUP(F76,'[6]Sheet 2'!$B:$U,20,0)</f>
        <v>530.92681656021648</v>
      </c>
      <c r="AJ76" s="8">
        <f t="shared" si="52"/>
        <v>-0.30310545924734722</v>
      </c>
      <c r="AK76" s="3">
        <v>33.1</v>
      </c>
      <c r="AL76" s="4" t="s">
        <v>37</v>
      </c>
      <c r="AM76" s="3"/>
      <c r="AN76" s="3">
        <v>1</v>
      </c>
      <c r="AO76" s="3">
        <v>34.799999999999997</v>
      </c>
      <c r="AP76" s="4" t="s">
        <v>37</v>
      </c>
      <c r="AQ76" s="3"/>
      <c r="AR76" s="3">
        <v>1.3</v>
      </c>
      <c r="AS76" s="8">
        <f t="shared" si="53"/>
        <v>-4.8850574712643563E-2</v>
      </c>
      <c r="AT76" s="8">
        <f>VLOOKUP(F76,'[7]Sheet 2'!$B:$T,18,0)/VLOOKUP(F76,'[7]Sheet 2'!$B:$U,20,0)</f>
        <v>37.986097875673245</v>
      </c>
      <c r="AU76" s="8">
        <f t="shared" si="54"/>
        <v>-0.12862858121582316</v>
      </c>
      <c r="AV76" s="57">
        <v>45.6</v>
      </c>
      <c r="AW76" s="4" t="s">
        <v>38</v>
      </c>
      <c r="AX76" s="3"/>
      <c r="AY76" s="3">
        <v>6</v>
      </c>
      <c r="AZ76" s="3">
        <v>52.6</v>
      </c>
      <c r="BA76" s="4" t="s">
        <v>38</v>
      </c>
      <c r="BB76" s="3"/>
      <c r="BC76" s="3">
        <v>2.5</v>
      </c>
      <c r="BD76" s="8">
        <f t="shared" si="55"/>
        <v>-0.13307984790874525</v>
      </c>
      <c r="BE76" s="8">
        <f>VLOOKUP(F76,'[8]Sheet 2'!$B:$T,18,0)/VLOOKUP(F76,'[8]Sheet 2'!$B:$U,20,0)</f>
        <v>49.209395710240763</v>
      </c>
      <c r="BF76" s="8">
        <f t="shared" si="56"/>
        <v>-7.3347694239001296E-2</v>
      </c>
      <c r="BG76" s="3">
        <v>371</v>
      </c>
      <c r="BH76" s="3" t="s">
        <v>52</v>
      </c>
      <c r="BI76" s="3"/>
      <c r="BJ76" s="3">
        <v>32</v>
      </c>
      <c r="BK76" s="3">
        <v>394</v>
      </c>
      <c r="BL76" s="3" t="s">
        <v>52</v>
      </c>
      <c r="BM76" s="3"/>
      <c r="BN76" s="3">
        <v>24</v>
      </c>
      <c r="BO76" s="8">
        <f t="shared" si="57"/>
        <v>-5.8375634517766499E-2</v>
      </c>
      <c r="BP76" s="8">
        <f>VLOOKUP(F76,'[9]Sheet 2'!$B:$T,18,0)/VLOOKUP(F76,'[9]Sheet 2'!$B:$U,20,0)</f>
        <v>450.72578400323874</v>
      </c>
      <c r="BQ76" s="8">
        <f t="shared" si="58"/>
        <v>-0.17688312236130219</v>
      </c>
      <c r="BR76" s="3">
        <f t="shared" si="36"/>
        <v>11178.247734138973</v>
      </c>
      <c r="BS76" s="3" t="s">
        <v>52</v>
      </c>
      <c r="BT76" s="3"/>
      <c r="BU76" s="3"/>
      <c r="BV76" s="3">
        <f t="shared" si="37"/>
        <v>12356.321839080461</v>
      </c>
      <c r="BW76" s="3" t="s">
        <v>52</v>
      </c>
      <c r="BX76" s="3"/>
      <c r="BY76" s="3"/>
      <c r="BZ76" s="8">
        <f t="shared" si="59"/>
        <v>-9.534181128363671E-2</v>
      </c>
      <c r="CA76" s="8">
        <f>VLOOKUP(F76,'[10]Sheet 2'!$B:$T,18,0)/VLOOKUP(F76,'[10]Sheet 2'!$B:$U,20,0)</f>
        <v>14101.89438555286</v>
      </c>
      <c r="CB76" s="8">
        <f t="shared" si="60"/>
        <v>-0.20732297175683789</v>
      </c>
      <c r="CC76" s="25">
        <f t="shared" si="61"/>
        <v>28.616666666666667</v>
      </c>
      <c r="CD76" s="25">
        <f t="shared" si="62"/>
        <v>77.2</v>
      </c>
      <c r="CE76" s="18">
        <v>43060</v>
      </c>
      <c r="CF76" s="18">
        <v>43220</v>
      </c>
      <c r="CG76" s="18">
        <v>43060</v>
      </c>
      <c r="CH76" s="18">
        <v>43220</v>
      </c>
      <c r="CI76" s="21">
        <f t="shared" si="38"/>
        <v>-40</v>
      </c>
      <c r="CJ76" s="21">
        <f t="shared" si="39"/>
        <v>120</v>
      </c>
      <c r="CK76" s="30">
        <f t="shared" si="40"/>
        <v>161</v>
      </c>
      <c r="CL76" s="21">
        <f t="shared" si="41"/>
        <v>-40</v>
      </c>
      <c r="CM76" s="21">
        <f t="shared" si="42"/>
        <v>120</v>
      </c>
      <c r="CN76" s="19">
        <f t="shared" si="43"/>
        <v>161</v>
      </c>
      <c r="CP76" s="29">
        <f t="shared" si="63"/>
        <v>43147</v>
      </c>
      <c r="CQ76" s="19">
        <f t="shared" si="64"/>
        <v>74</v>
      </c>
    </row>
    <row r="77" spans="1:95" s="42" customFormat="1" hidden="1" x14ac:dyDescent="0.3">
      <c r="A77" s="31">
        <v>1</v>
      </c>
      <c r="B77" s="31"/>
      <c r="C77" s="31">
        <v>63</v>
      </c>
      <c r="D77" s="31" t="s">
        <v>90</v>
      </c>
      <c r="E77" s="43" t="s">
        <v>91</v>
      </c>
      <c r="F77" s="34" t="str">
        <f t="shared" si="49"/>
        <v>2020-13HD29672018OTC</v>
      </c>
      <c r="G77" s="31" t="s">
        <v>92</v>
      </c>
      <c r="H77" s="31" t="s">
        <v>93</v>
      </c>
      <c r="I77" s="31" t="s">
        <v>93</v>
      </c>
      <c r="J77" s="31" t="s">
        <v>94</v>
      </c>
      <c r="K77" s="31" t="s">
        <v>88</v>
      </c>
      <c r="L77" s="31">
        <v>2018</v>
      </c>
      <c r="M77" s="31" t="s">
        <v>95</v>
      </c>
      <c r="N77" s="32" t="s">
        <v>49</v>
      </c>
      <c r="O77" s="31" t="s">
        <v>72</v>
      </c>
      <c r="P77" s="32" t="s">
        <v>267</v>
      </c>
      <c r="Q77" s="32">
        <f>S77/1.01*1.08</f>
        <v>49.316435643564354</v>
      </c>
      <c r="R77" s="31">
        <v>8.9</v>
      </c>
      <c r="S77" s="31">
        <v>46.12</v>
      </c>
      <c r="T77" s="31">
        <v>8</v>
      </c>
      <c r="U77" s="31">
        <v>126</v>
      </c>
      <c r="V77" s="31">
        <v>3</v>
      </c>
      <c r="W77" s="31">
        <f t="shared" si="65"/>
        <v>6.3571428571428568</v>
      </c>
      <c r="X77" s="31" t="s">
        <v>63</v>
      </c>
      <c r="Y77" s="31"/>
      <c r="Z77" s="31">
        <f>8.15876591883351*400</f>
        <v>3263.506367533404</v>
      </c>
      <c r="AA77" s="31" t="s">
        <v>78</v>
      </c>
      <c r="AB77" s="31" t="s">
        <v>214</v>
      </c>
      <c r="AC77" s="31">
        <v>0.1492537313432809</v>
      </c>
      <c r="AD77" s="31">
        <f t="shared" ref="AD77:AD78" si="66">8.15876591883351*400</f>
        <v>3263.506367533404</v>
      </c>
      <c r="AE77" s="31" t="s">
        <v>78</v>
      </c>
      <c r="AF77" s="31" t="s">
        <v>214</v>
      </c>
      <c r="AG77" s="31">
        <v>0.1492537313432809</v>
      </c>
      <c r="AH77" s="8">
        <f t="shared" si="51"/>
        <v>0</v>
      </c>
      <c r="AI77" s="8">
        <f>VLOOKUP(F77,'[6]Sheet 2'!$B:$T,18,0)/VLOOKUP(F77,'[6]Sheet 2'!$B:$U,20,0)</f>
        <v>3870.6591397030593</v>
      </c>
      <c r="AJ77" s="8">
        <f t="shared" si="52"/>
        <v>-0.15686030473255091</v>
      </c>
      <c r="AK77" s="31">
        <v>49.703579418344503</v>
      </c>
      <c r="AL77" s="32" t="s">
        <v>37</v>
      </c>
      <c r="AM77" s="31"/>
      <c r="AN77" s="31">
        <v>3.213486736976698</v>
      </c>
      <c r="AO77" s="31">
        <v>49.703579418344503</v>
      </c>
      <c r="AP77" s="32" t="s">
        <v>37</v>
      </c>
      <c r="AQ77" s="31"/>
      <c r="AR77" s="31">
        <v>3.213486736976698</v>
      </c>
      <c r="AS77" s="8">
        <f t="shared" si="53"/>
        <v>0</v>
      </c>
      <c r="AT77" s="8">
        <f>VLOOKUP(F77,'[7]Sheet 2'!$B:$T,18,0)/VLOOKUP(F77,'[7]Sheet 2'!$B:$U,20,0)</f>
        <v>50.784881336974387</v>
      </c>
      <c r="AU77" s="8">
        <f t="shared" si="54"/>
        <v>-2.1291807525454069E-2</v>
      </c>
      <c r="AV77" s="57"/>
      <c r="AW77" s="31"/>
      <c r="AX77" s="31"/>
      <c r="AY77" s="31"/>
      <c r="AZ77" s="31"/>
      <c r="BA77" s="31"/>
      <c r="BB77" s="31"/>
      <c r="BC77" s="31"/>
      <c r="BD77" s="8" t="e">
        <f t="shared" si="55"/>
        <v>#DIV/0!</v>
      </c>
      <c r="BE77" s="8" t="e">
        <f>VLOOKUP(F77,'[8]Sheet 2'!$B:$T,18,0)/VLOOKUP(F77,'[8]Sheet 2'!$B:$U,20,0)</f>
        <v>#N/A</v>
      </c>
      <c r="BF77" s="8" t="e">
        <f t="shared" si="56"/>
        <v>#N/A</v>
      </c>
      <c r="BG77" s="31"/>
      <c r="BH77" s="31"/>
      <c r="BI77" s="31"/>
      <c r="BJ77" s="31"/>
      <c r="BK77" s="31"/>
      <c r="BL77" s="31"/>
      <c r="BM77" s="31"/>
      <c r="BN77" s="31"/>
      <c r="BO77" s="8" t="e">
        <f t="shared" si="57"/>
        <v>#DIV/0!</v>
      </c>
      <c r="BP77" s="8" t="e">
        <f>VLOOKUP(F77,'[9]Sheet 2'!$B:$T,18,0)/VLOOKUP(F77,'[9]Sheet 2'!$B:$U,20,0)</f>
        <v>#N/A</v>
      </c>
      <c r="BQ77" s="8" t="e">
        <f t="shared" si="58"/>
        <v>#N/A</v>
      </c>
      <c r="BR77" s="31">
        <f t="shared" si="36"/>
        <v>65659.383201864839</v>
      </c>
      <c r="BS77" s="31" t="s">
        <v>96</v>
      </c>
      <c r="BT77" s="31"/>
      <c r="BU77" s="31"/>
      <c r="BV77" s="31">
        <f t="shared" si="37"/>
        <v>65659.383201864839</v>
      </c>
      <c r="BW77" s="31" t="s">
        <v>96</v>
      </c>
      <c r="BX77" s="31"/>
      <c r="BY77" s="31"/>
      <c r="BZ77" s="8">
        <f t="shared" si="59"/>
        <v>0</v>
      </c>
      <c r="CA77" s="8">
        <f>VLOOKUP(F77,'[10]Sheet 2'!$B:$T,18,0)/VLOOKUP(F77,'[10]Sheet 2'!$B:$U,20,0)</f>
        <v>77530.825907853345</v>
      </c>
      <c r="CB77" s="8">
        <f t="shared" si="60"/>
        <v>-0.15311900224173944</v>
      </c>
      <c r="CC77" s="54">
        <f t="shared" ref="CC77:CC106" si="67">25+8/60</f>
        <v>25.133333333333333</v>
      </c>
      <c r="CD77" s="54">
        <f t="shared" ref="CD77:CD106" si="68">83+1/60</f>
        <v>83.016666666666666</v>
      </c>
      <c r="CE77" s="38">
        <f>CF77-139</f>
        <v>43052</v>
      </c>
      <c r="CF77" s="38">
        <v>43191</v>
      </c>
      <c r="CG77" s="39">
        <f>CH77-126</f>
        <v>43065</v>
      </c>
      <c r="CH77" s="38">
        <v>43191</v>
      </c>
      <c r="CI77" s="40">
        <f t="shared" si="38"/>
        <v>-48</v>
      </c>
      <c r="CJ77" s="40">
        <f t="shared" si="39"/>
        <v>91</v>
      </c>
      <c r="CK77" s="41">
        <f t="shared" si="40"/>
        <v>140</v>
      </c>
      <c r="CL77" s="40">
        <f t="shared" si="41"/>
        <v>-35</v>
      </c>
      <c r="CM77" s="40">
        <f t="shared" si="42"/>
        <v>91</v>
      </c>
      <c r="CN77" s="42">
        <f t="shared" si="43"/>
        <v>127</v>
      </c>
      <c r="CP77" s="47">
        <f>CE77+80+5</f>
        <v>43137</v>
      </c>
      <c r="CQ77" s="42">
        <f t="shared" si="64"/>
        <v>55</v>
      </c>
    </row>
    <row r="78" spans="1:95" s="42" customFormat="1" hidden="1" x14ac:dyDescent="0.3">
      <c r="A78" s="31">
        <v>1</v>
      </c>
      <c r="B78" s="31"/>
      <c r="C78" s="31">
        <v>63</v>
      </c>
      <c r="D78" s="31" t="s">
        <v>90</v>
      </c>
      <c r="E78" s="43" t="s">
        <v>91</v>
      </c>
      <c r="F78" s="34" t="str">
        <f t="shared" si="49"/>
        <v>2020-13HD29672018OTC</v>
      </c>
      <c r="G78" s="31" t="s">
        <v>92</v>
      </c>
      <c r="H78" s="31" t="s">
        <v>93</v>
      </c>
      <c r="I78" s="31" t="s">
        <v>93</v>
      </c>
      <c r="J78" s="31" t="s">
        <v>94</v>
      </c>
      <c r="K78" s="31" t="s">
        <v>88</v>
      </c>
      <c r="L78" s="31">
        <v>2018</v>
      </c>
      <c r="M78" s="31" t="s">
        <v>95</v>
      </c>
      <c r="N78" s="32" t="s">
        <v>49</v>
      </c>
      <c r="O78" s="32" t="s">
        <v>54</v>
      </c>
      <c r="P78" s="32"/>
      <c r="Q78" s="32">
        <f>(8 * S78+ 4 * 0.97*S77) / 12*1.08</f>
        <v>63.517103999999996</v>
      </c>
      <c r="R78" s="31">
        <v>15.7</v>
      </c>
      <c r="S78" s="31">
        <v>65.849999999999994</v>
      </c>
      <c r="T78" s="31">
        <v>8</v>
      </c>
      <c r="U78" s="31">
        <v>126</v>
      </c>
      <c r="V78" s="31">
        <v>3</v>
      </c>
      <c r="W78" s="31">
        <f t="shared" si="65"/>
        <v>11.214285714285714</v>
      </c>
      <c r="X78" s="31" t="s">
        <v>63</v>
      </c>
      <c r="Y78" s="31"/>
      <c r="Z78" s="31">
        <f>6.70947151037266*400</f>
        <v>2683.7886041490642</v>
      </c>
      <c r="AA78" s="31" t="s">
        <v>78</v>
      </c>
      <c r="AB78" s="31" t="s">
        <v>214</v>
      </c>
      <c r="AC78" s="31">
        <v>0.11952814543633927</v>
      </c>
      <c r="AD78" s="31">
        <f t="shared" si="66"/>
        <v>3263.506367533404</v>
      </c>
      <c r="AE78" s="31" t="s">
        <v>78</v>
      </c>
      <c r="AF78" s="31" t="s">
        <v>214</v>
      </c>
      <c r="AG78" s="31">
        <v>0.1492537313432809</v>
      </c>
      <c r="AH78" s="8">
        <f t="shared" si="51"/>
        <v>-0.17763647380976225</v>
      </c>
      <c r="AI78" s="8">
        <f>VLOOKUP(F78,'[6]Sheet 2'!$B:$T,18,0)/VLOOKUP(F78,'[6]Sheet 2'!$B:$U,20,0)</f>
        <v>3870.6591397030593</v>
      </c>
      <c r="AJ78" s="8">
        <f t="shared" si="52"/>
        <v>-0.30663266712889803</v>
      </c>
      <c r="AK78" s="31">
        <v>41.754154682006998</v>
      </c>
      <c r="AL78" s="32" t="s">
        <v>37</v>
      </c>
      <c r="AM78" s="31"/>
      <c r="AN78" s="31">
        <v>1.4285714285715017</v>
      </c>
      <c r="AO78" s="31">
        <v>49.703579418344503</v>
      </c>
      <c r="AP78" s="32" t="s">
        <v>37</v>
      </c>
      <c r="AQ78" s="31"/>
      <c r="AR78" s="31">
        <v>3.213486736976698</v>
      </c>
      <c r="AS78" s="8">
        <f t="shared" si="53"/>
        <v>-0.15993666511276544</v>
      </c>
      <c r="AT78" s="8">
        <f>VLOOKUP(F78,'[7]Sheet 2'!$B:$T,18,0)/VLOOKUP(F78,'[7]Sheet 2'!$B:$U,20,0)</f>
        <v>50.784881336974387</v>
      </c>
      <c r="AU78" s="8">
        <f t="shared" si="54"/>
        <v>-0.17782313194837548</v>
      </c>
      <c r="AV78" s="57"/>
      <c r="AW78" s="31"/>
      <c r="AX78" s="31"/>
      <c r="AY78" s="31"/>
      <c r="AZ78" s="31"/>
      <c r="BA78" s="31"/>
      <c r="BB78" s="31"/>
      <c r="BC78" s="31"/>
      <c r="BD78" s="8" t="e">
        <f t="shared" si="55"/>
        <v>#DIV/0!</v>
      </c>
      <c r="BE78" s="8" t="e">
        <f>VLOOKUP(F78,'[8]Sheet 2'!$B:$T,18,0)/VLOOKUP(F78,'[8]Sheet 2'!$B:$U,20,0)</f>
        <v>#N/A</v>
      </c>
      <c r="BF78" s="8" t="e">
        <f t="shared" si="56"/>
        <v>#N/A</v>
      </c>
      <c r="BG78" s="31"/>
      <c r="BH78" s="31"/>
      <c r="BI78" s="31"/>
      <c r="BJ78" s="31"/>
      <c r="BK78" s="31"/>
      <c r="BL78" s="31"/>
      <c r="BM78" s="31"/>
      <c r="BN78" s="31"/>
      <c r="BO78" s="8" t="e">
        <f t="shared" si="57"/>
        <v>#DIV/0!</v>
      </c>
      <c r="BP78" s="8" t="e">
        <f>VLOOKUP(F78,'[9]Sheet 2'!$B:$T,18,0)/VLOOKUP(F78,'[9]Sheet 2'!$B:$U,20,0)</f>
        <v>#N/A</v>
      </c>
      <c r="BQ78" s="8" t="e">
        <f t="shared" si="58"/>
        <v>#N/A</v>
      </c>
      <c r="BR78" s="31">
        <f t="shared" si="36"/>
        <v>64275.965459925399</v>
      </c>
      <c r="BS78" s="31" t="s">
        <v>96</v>
      </c>
      <c r="BT78" s="31"/>
      <c r="BU78" s="31"/>
      <c r="BV78" s="31">
        <f t="shared" si="37"/>
        <v>65659.383201864839</v>
      </c>
      <c r="BW78" s="31" t="s">
        <v>96</v>
      </c>
      <c r="BX78" s="31"/>
      <c r="BY78" s="31"/>
      <c r="BZ78" s="8">
        <f t="shared" si="59"/>
        <v>-2.1069612208908909E-2</v>
      </c>
      <c r="CA78" s="8">
        <f>VLOOKUP(F78,'[10]Sheet 2'!$B:$T,18,0)/VLOOKUP(F78,'[10]Sheet 2'!$B:$U,20,0)</f>
        <v>77530.825907853345</v>
      </c>
      <c r="CB78" s="8">
        <f t="shared" si="60"/>
        <v>-0.17096245645159983</v>
      </c>
      <c r="CC78" s="54">
        <f t="shared" si="67"/>
        <v>25.133333333333333</v>
      </c>
      <c r="CD78" s="54">
        <f t="shared" si="68"/>
        <v>83.016666666666666</v>
      </c>
      <c r="CE78" s="38">
        <f>CF78-139</f>
        <v>43052</v>
      </c>
      <c r="CF78" s="38">
        <v>43191</v>
      </c>
      <c r="CG78" s="39">
        <f>CH78-126</f>
        <v>43065</v>
      </c>
      <c r="CH78" s="38">
        <v>43191</v>
      </c>
      <c r="CI78" s="40">
        <f t="shared" si="38"/>
        <v>-48</v>
      </c>
      <c r="CJ78" s="40">
        <f t="shared" si="39"/>
        <v>91</v>
      </c>
      <c r="CK78" s="41">
        <f t="shared" si="40"/>
        <v>140</v>
      </c>
      <c r="CL78" s="40">
        <f t="shared" si="41"/>
        <v>-35</v>
      </c>
      <c r="CM78" s="40">
        <f t="shared" si="42"/>
        <v>91</v>
      </c>
      <c r="CN78" s="42">
        <f t="shared" si="43"/>
        <v>127</v>
      </c>
      <c r="CP78" s="47">
        <f>CE78+80+5</f>
        <v>43137</v>
      </c>
      <c r="CQ78" s="42">
        <f t="shared" si="64"/>
        <v>55</v>
      </c>
    </row>
    <row r="79" spans="1:95" s="19" customFormat="1" hidden="1" x14ac:dyDescent="0.3">
      <c r="A79" s="3">
        <v>1</v>
      </c>
      <c r="B79" s="3"/>
      <c r="C79" s="3">
        <v>66</v>
      </c>
      <c r="D79" s="3" t="s">
        <v>97</v>
      </c>
      <c r="E79" s="9" t="s">
        <v>98</v>
      </c>
      <c r="F79" s="6" t="str">
        <f t="shared" si="49"/>
        <v>2019-35DB502015OTC</v>
      </c>
      <c r="G79" s="3" t="s">
        <v>99</v>
      </c>
      <c r="H79" s="3" t="s">
        <v>93</v>
      </c>
      <c r="I79" s="3" t="s">
        <v>93</v>
      </c>
      <c r="J79" s="3" t="s">
        <v>94</v>
      </c>
      <c r="K79" s="3" t="s">
        <v>100</v>
      </c>
      <c r="L79" s="3">
        <v>2015</v>
      </c>
      <c r="M79" s="3" t="s">
        <v>95</v>
      </c>
      <c r="N79" s="4" t="s">
        <v>49</v>
      </c>
      <c r="O79" s="3" t="s">
        <v>101</v>
      </c>
      <c r="P79" s="32" t="s">
        <v>267</v>
      </c>
      <c r="Q79" s="3"/>
      <c r="R79" s="3">
        <v>8</v>
      </c>
      <c r="S79" s="3"/>
      <c r="T79" s="3">
        <v>8</v>
      </c>
      <c r="U79" s="3">
        <v>120</v>
      </c>
      <c r="V79" s="3">
        <v>9</v>
      </c>
      <c r="W79" s="3">
        <f t="shared" si="65"/>
        <v>6</v>
      </c>
      <c r="X79" s="3" t="s">
        <v>63</v>
      </c>
      <c r="Y79" s="3"/>
      <c r="Z79" s="3">
        <v>386.93467336683398</v>
      </c>
      <c r="AA79" s="3" t="s">
        <v>78</v>
      </c>
      <c r="AB79" s="3"/>
      <c r="AC79" s="3"/>
      <c r="AD79" s="3">
        <v>386.93467336683398</v>
      </c>
      <c r="AE79" s="3" t="s">
        <v>78</v>
      </c>
      <c r="AF79" s="3"/>
      <c r="AG79" s="3"/>
      <c r="AH79" s="8">
        <f t="shared" si="51"/>
        <v>0</v>
      </c>
      <c r="AI79" s="8">
        <f>VLOOKUP(F79,'[6]Sheet 2'!$B:$T,18,0)/VLOOKUP(F79,'[6]Sheet 2'!$B:$U,20,0)</f>
        <v>445.89111497552761</v>
      </c>
      <c r="AJ79" s="8">
        <f t="shared" si="52"/>
        <v>-0.13222161112568798</v>
      </c>
      <c r="AK79" s="3"/>
      <c r="AL79" s="3"/>
      <c r="AM79" s="3"/>
      <c r="AN79" s="3"/>
      <c r="AO79" s="3"/>
      <c r="AP79" s="3"/>
      <c r="AQ79" s="3"/>
      <c r="AR79" s="3"/>
      <c r="AS79" s="8" t="e">
        <f t="shared" si="53"/>
        <v>#DIV/0!</v>
      </c>
      <c r="AT79" s="8" t="e">
        <f>VLOOKUP(F79,'[7]Sheet 2'!$B:$T,18,0)/VLOOKUP(F79,'[7]Sheet 2'!$B:$U,20,0)</f>
        <v>#N/A</v>
      </c>
      <c r="AU79" s="8" t="e">
        <f t="shared" si="54"/>
        <v>#N/A</v>
      </c>
      <c r="AV79" s="57"/>
      <c r="AW79" s="3"/>
      <c r="AX79" s="3"/>
      <c r="AY79" s="3"/>
      <c r="AZ79" s="3"/>
      <c r="BA79" s="3"/>
      <c r="BB79" s="3"/>
      <c r="BC79" s="3"/>
      <c r="BD79" s="8" t="e">
        <f t="shared" si="55"/>
        <v>#DIV/0!</v>
      </c>
      <c r="BE79" s="8" t="e">
        <f>VLOOKUP(F79,'[8]Sheet 2'!$B:$T,18,0)/VLOOKUP(F79,'[8]Sheet 2'!$B:$U,20,0)</f>
        <v>#N/A</v>
      </c>
      <c r="BF79" s="8" t="e">
        <f t="shared" si="56"/>
        <v>#N/A</v>
      </c>
      <c r="BG79" s="3"/>
      <c r="BH79" s="3"/>
      <c r="BI79" s="3"/>
      <c r="BJ79" s="3"/>
      <c r="BK79" s="3"/>
      <c r="BL79" s="3"/>
      <c r="BM79" s="3"/>
      <c r="BN79" s="3"/>
      <c r="BO79" s="8" t="e">
        <f t="shared" si="57"/>
        <v>#DIV/0!</v>
      </c>
      <c r="BP79" s="8" t="e">
        <f>VLOOKUP(F79,'[9]Sheet 2'!$B:$T,18,0)/VLOOKUP(F79,'[9]Sheet 2'!$B:$U,20,0)</f>
        <v>#N/A</v>
      </c>
      <c r="BQ79" s="8" t="e">
        <f t="shared" si="58"/>
        <v>#N/A</v>
      </c>
      <c r="BR79" s="3"/>
      <c r="BS79" s="3"/>
      <c r="BT79" s="3"/>
      <c r="BU79" s="3"/>
      <c r="BV79" s="3"/>
      <c r="BW79" s="3"/>
      <c r="BX79" s="3"/>
      <c r="BY79" s="3"/>
      <c r="BZ79" s="8" t="e">
        <f t="shared" si="59"/>
        <v>#DIV/0!</v>
      </c>
      <c r="CA79" s="8" t="e">
        <f>VLOOKUP(F79,'[10]Sheet 2'!$B:$T,18,0)/VLOOKUP(F79,'[10]Sheet 2'!$B:$U,20,0)</f>
        <v>#N/A</v>
      </c>
      <c r="CB79" s="8" t="e">
        <f t="shared" si="60"/>
        <v>#N/A</v>
      </c>
      <c r="CC79" s="23">
        <f t="shared" si="67"/>
        <v>25.133333333333333</v>
      </c>
      <c r="CD79" s="23">
        <f t="shared" si="68"/>
        <v>83.016666666666666</v>
      </c>
      <c r="CE79" s="20">
        <f t="shared" ref="CE79:CE106" si="69">CF79-135</f>
        <v>41979</v>
      </c>
      <c r="CF79" s="20">
        <v>42114</v>
      </c>
      <c r="CG79" s="20">
        <f t="shared" ref="CG79:CG106" si="70">CH79-115</f>
        <v>41999</v>
      </c>
      <c r="CH79" s="20">
        <v>42114</v>
      </c>
      <c r="CI79" s="21">
        <f t="shared" si="38"/>
        <v>-25</v>
      </c>
      <c r="CJ79" s="21">
        <f t="shared" si="39"/>
        <v>110</v>
      </c>
      <c r="CK79" s="30">
        <f t="shared" si="40"/>
        <v>136</v>
      </c>
      <c r="CL79" s="21">
        <f t="shared" si="41"/>
        <v>-5</v>
      </c>
      <c r="CM79" s="21">
        <f t="shared" si="42"/>
        <v>110</v>
      </c>
      <c r="CN79" s="19">
        <f t="shared" si="43"/>
        <v>116</v>
      </c>
    </row>
    <row r="80" spans="1:95" s="19" customFormat="1" hidden="1" x14ac:dyDescent="0.3">
      <c r="A80" s="3">
        <v>1</v>
      </c>
      <c r="B80" s="3"/>
      <c r="C80" s="3">
        <v>66</v>
      </c>
      <c r="D80" s="3" t="s">
        <v>97</v>
      </c>
      <c r="E80" s="9" t="s">
        <v>98</v>
      </c>
      <c r="F80" s="6" t="str">
        <f t="shared" si="49"/>
        <v>2019-35DB502015OTC</v>
      </c>
      <c r="G80" s="3" t="s">
        <v>99</v>
      </c>
      <c r="H80" s="3" t="s">
        <v>93</v>
      </c>
      <c r="I80" s="3" t="s">
        <v>93</v>
      </c>
      <c r="J80" s="3" t="s">
        <v>94</v>
      </c>
      <c r="K80" s="3" t="s">
        <v>100</v>
      </c>
      <c r="L80" s="3">
        <v>2015</v>
      </c>
      <c r="M80" s="3" t="s">
        <v>95</v>
      </c>
      <c r="N80" s="4" t="s">
        <v>49</v>
      </c>
      <c r="O80" s="3" t="s">
        <v>73</v>
      </c>
      <c r="P80" s="3"/>
      <c r="Q80" s="3"/>
      <c r="R80" s="3">
        <v>21.7</v>
      </c>
      <c r="S80" s="3"/>
      <c r="T80" s="3">
        <v>8</v>
      </c>
      <c r="U80" s="3">
        <v>120</v>
      </c>
      <c r="V80" s="3">
        <v>9</v>
      </c>
      <c r="W80" s="3">
        <f t="shared" si="65"/>
        <v>16.274999999999999</v>
      </c>
      <c r="X80" s="3" t="s">
        <v>63</v>
      </c>
      <c r="Y80" s="3"/>
      <c r="Z80" s="3">
        <v>271.356783919598</v>
      </c>
      <c r="AA80" s="3" t="s">
        <v>78</v>
      </c>
      <c r="AB80" s="3"/>
      <c r="AC80" s="3"/>
      <c r="AD80" s="3">
        <v>386.93467336683398</v>
      </c>
      <c r="AE80" s="3" t="s">
        <v>78</v>
      </c>
      <c r="AF80" s="3"/>
      <c r="AG80" s="3"/>
      <c r="AH80" s="8">
        <f t="shared" si="51"/>
        <v>-0.2987012987012983</v>
      </c>
      <c r="AI80" s="8">
        <f>VLOOKUP(F80,'[6]Sheet 2'!$B:$T,18,0)/VLOOKUP(F80,'[6]Sheet 2'!$B:$U,20,0)</f>
        <v>445.89111497552761</v>
      </c>
      <c r="AJ80" s="8">
        <f t="shared" si="52"/>
        <v>-0.39142814286736527</v>
      </c>
      <c r="AK80" s="3"/>
      <c r="AL80" s="3"/>
      <c r="AM80" s="3"/>
      <c r="AN80" s="3"/>
      <c r="AO80" s="3"/>
      <c r="AP80" s="3"/>
      <c r="AQ80" s="3"/>
      <c r="AR80" s="3"/>
      <c r="AS80" s="8" t="e">
        <f t="shared" si="53"/>
        <v>#DIV/0!</v>
      </c>
      <c r="AT80" s="8" t="e">
        <f>VLOOKUP(F80,'[7]Sheet 2'!$B:$T,18,0)/VLOOKUP(F80,'[7]Sheet 2'!$B:$U,20,0)</f>
        <v>#N/A</v>
      </c>
      <c r="AU80" s="8" t="e">
        <f t="shared" si="54"/>
        <v>#N/A</v>
      </c>
      <c r="AV80" s="57"/>
      <c r="AW80" s="3"/>
      <c r="AX80" s="3"/>
      <c r="AY80" s="3"/>
      <c r="AZ80" s="3"/>
      <c r="BA80" s="3"/>
      <c r="BB80" s="3"/>
      <c r="BC80" s="3"/>
      <c r="BD80" s="8" t="e">
        <f t="shared" si="55"/>
        <v>#DIV/0!</v>
      </c>
      <c r="BE80" s="8" t="e">
        <f>VLOOKUP(F80,'[8]Sheet 2'!$B:$T,18,0)/VLOOKUP(F80,'[8]Sheet 2'!$B:$U,20,0)</f>
        <v>#N/A</v>
      </c>
      <c r="BF80" s="8" t="e">
        <f t="shared" si="56"/>
        <v>#N/A</v>
      </c>
      <c r="BG80" s="3"/>
      <c r="BH80" s="3"/>
      <c r="BI80" s="3"/>
      <c r="BJ80" s="3"/>
      <c r="BK80" s="3"/>
      <c r="BL80" s="3"/>
      <c r="BM80" s="3"/>
      <c r="BN80" s="3"/>
      <c r="BO80" s="8" t="e">
        <f t="shared" si="57"/>
        <v>#DIV/0!</v>
      </c>
      <c r="BP80" s="8" t="e">
        <f>VLOOKUP(F80,'[9]Sheet 2'!$B:$T,18,0)/VLOOKUP(F80,'[9]Sheet 2'!$B:$U,20,0)</f>
        <v>#N/A</v>
      </c>
      <c r="BQ80" s="8" t="e">
        <f t="shared" si="58"/>
        <v>#N/A</v>
      </c>
      <c r="BR80" s="3"/>
      <c r="BS80" s="3"/>
      <c r="BT80" s="3"/>
      <c r="BU80" s="3"/>
      <c r="BV80" s="3"/>
      <c r="BW80" s="3"/>
      <c r="BX80" s="3"/>
      <c r="BY80" s="3"/>
      <c r="BZ80" s="8" t="e">
        <f t="shared" si="59"/>
        <v>#DIV/0!</v>
      </c>
      <c r="CA80" s="8" t="e">
        <f>VLOOKUP(F80,'[10]Sheet 2'!$B:$T,18,0)/VLOOKUP(F80,'[10]Sheet 2'!$B:$U,20,0)</f>
        <v>#N/A</v>
      </c>
      <c r="CB80" s="8" t="e">
        <f t="shared" si="60"/>
        <v>#N/A</v>
      </c>
      <c r="CC80" s="23">
        <f t="shared" si="67"/>
        <v>25.133333333333333</v>
      </c>
      <c r="CD80" s="23">
        <f t="shared" si="68"/>
        <v>83.016666666666666</v>
      </c>
      <c r="CE80" s="20">
        <f t="shared" si="69"/>
        <v>41979</v>
      </c>
      <c r="CF80" s="20">
        <v>42114</v>
      </c>
      <c r="CG80" s="20">
        <f t="shared" si="70"/>
        <v>41999</v>
      </c>
      <c r="CH80" s="20">
        <v>42114</v>
      </c>
      <c r="CI80" s="21">
        <f t="shared" si="38"/>
        <v>-25</v>
      </c>
      <c r="CJ80" s="21">
        <f t="shared" si="39"/>
        <v>110</v>
      </c>
      <c r="CK80" s="30">
        <f t="shared" si="40"/>
        <v>136</v>
      </c>
      <c r="CL80" s="21">
        <f t="shared" si="41"/>
        <v>-5</v>
      </c>
      <c r="CM80" s="21">
        <f t="shared" si="42"/>
        <v>110</v>
      </c>
      <c r="CN80" s="19">
        <f t="shared" si="43"/>
        <v>116</v>
      </c>
    </row>
    <row r="81" spans="1:92" s="42" customFormat="1" hidden="1" x14ac:dyDescent="0.3">
      <c r="A81" s="31">
        <v>1</v>
      </c>
      <c r="B81" s="31"/>
      <c r="C81" s="31">
        <v>66</v>
      </c>
      <c r="D81" s="31" t="s">
        <v>97</v>
      </c>
      <c r="E81" s="43" t="s">
        <v>98</v>
      </c>
      <c r="F81" s="34" t="str">
        <f t="shared" si="49"/>
        <v>2019-35DB772015OTC</v>
      </c>
      <c r="G81" s="31" t="s">
        <v>99</v>
      </c>
      <c r="H81" s="31" t="s">
        <v>93</v>
      </c>
      <c r="I81" s="31" t="s">
        <v>93</v>
      </c>
      <c r="J81" s="31" t="s">
        <v>94</v>
      </c>
      <c r="K81" s="31" t="s">
        <v>102</v>
      </c>
      <c r="L81" s="31">
        <v>2015</v>
      </c>
      <c r="M81" s="31" t="s">
        <v>95</v>
      </c>
      <c r="N81" s="32" t="s">
        <v>49</v>
      </c>
      <c r="O81" s="31" t="s">
        <v>101</v>
      </c>
      <c r="P81" s="32" t="s">
        <v>267</v>
      </c>
      <c r="Q81" s="31"/>
      <c r="R81" s="31">
        <v>8</v>
      </c>
      <c r="S81" s="31"/>
      <c r="T81" s="31">
        <v>8</v>
      </c>
      <c r="U81" s="31">
        <v>120</v>
      </c>
      <c r="V81" s="31">
        <v>9</v>
      </c>
      <c r="W81" s="31">
        <f t="shared" si="65"/>
        <v>6</v>
      </c>
      <c r="X81" s="31" t="s">
        <v>63</v>
      </c>
      <c r="Y81" s="31"/>
      <c r="Z81" s="31">
        <v>218.592964824121</v>
      </c>
      <c r="AA81" s="31" t="s">
        <v>78</v>
      </c>
      <c r="AB81" s="31"/>
      <c r="AC81" s="31"/>
      <c r="AD81" s="31">
        <v>218.592964824121</v>
      </c>
      <c r="AE81" s="31" t="s">
        <v>78</v>
      </c>
      <c r="AF81" s="31"/>
      <c r="AG81" s="31"/>
      <c r="AH81" s="8">
        <f t="shared" si="51"/>
        <v>0</v>
      </c>
      <c r="AI81" s="8">
        <f>VLOOKUP(F81,'[6]Sheet 2'!$B:$T,18,0)/VLOOKUP(F81,'[6]Sheet 2'!$B:$U,20,0)</f>
        <v>255.96847519881788</v>
      </c>
      <c r="AJ81" s="8">
        <f t="shared" si="52"/>
        <v>-0.14601606836805306</v>
      </c>
      <c r="AK81" s="31"/>
      <c r="AL81" s="31"/>
      <c r="AM81" s="31"/>
      <c r="AN81" s="31"/>
      <c r="AO81" s="31"/>
      <c r="AP81" s="31"/>
      <c r="AQ81" s="31"/>
      <c r="AR81" s="31"/>
      <c r="AS81" s="8" t="e">
        <f t="shared" si="53"/>
        <v>#DIV/0!</v>
      </c>
      <c r="AT81" s="8" t="e">
        <f>VLOOKUP(F81,'[7]Sheet 2'!$B:$T,18,0)/VLOOKUP(F81,'[7]Sheet 2'!$B:$U,20,0)</f>
        <v>#N/A</v>
      </c>
      <c r="AU81" s="8" t="e">
        <f t="shared" si="54"/>
        <v>#N/A</v>
      </c>
      <c r="AV81" s="57"/>
      <c r="AW81" s="31"/>
      <c r="AX81" s="31"/>
      <c r="AY81" s="31"/>
      <c r="AZ81" s="31"/>
      <c r="BA81" s="31"/>
      <c r="BB81" s="31"/>
      <c r="BC81" s="31"/>
      <c r="BD81" s="8" t="e">
        <f t="shared" si="55"/>
        <v>#DIV/0!</v>
      </c>
      <c r="BE81" s="8" t="e">
        <f>VLOOKUP(F81,'[8]Sheet 2'!$B:$T,18,0)/VLOOKUP(F81,'[8]Sheet 2'!$B:$U,20,0)</f>
        <v>#N/A</v>
      </c>
      <c r="BF81" s="8" t="e">
        <f t="shared" si="56"/>
        <v>#N/A</v>
      </c>
      <c r="BG81" s="31"/>
      <c r="BH81" s="31"/>
      <c r="BI81" s="31"/>
      <c r="BJ81" s="31"/>
      <c r="BK81" s="31"/>
      <c r="BL81" s="31"/>
      <c r="BM81" s="31"/>
      <c r="BN81" s="31"/>
      <c r="BO81" s="8" t="e">
        <f t="shared" si="57"/>
        <v>#DIV/0!</v>
      </c>
      <c r="BP81" s="8" t="e">
        <f>VLOOKUP(F81,'[9]Sheet 2'!$B:$T,18,0)/VLOOKUP(F81,'[9]Sheet 2'!$B:$U,20,0)</f>
        <v>#N/A</v>
      </c>
      <c r="BQ81" s="8" t="e">
        <f t="shared" si="58"/>
        <v>#N/A</v>
      </c>
      <c r="BR81" s="31"/>
      <c r="BS81" s="31"/>
      <c r="BT81" s="31"/>
      <c r="BU81" s="31"/>
      <c r="BV81" s="31"/>
      <c r="BW81" s="31"/>
      <c r="BX81" s="31"/>
      <c r="BY81" s="31"/>
      <c r="BZ81" s="8" t="e">
        <f t="shared" si="59"/>
        <v>#DIV/0!</v>
      </c>
      <c r="CA81" s="8" t="e">
        <f>VLOOKUP(F81,'[10]Sheet 2'!$B:$T,18,0)/VLOOKUP(F81,'[10]Sheet 2'!$B:$U,20,0)</f>
        <v>#N/A</v>
      </c>
      <c r="CB81" s="8" t="e">
        <f t="shared" si="60"/>
        <v>#N/A</v>
      </c>
      <c r="CC81" s="54">
        <f t="shared" si="67"/>
        <v>25.133333333333333</v>
      </c>
      <c r="CD81" s="54">
        <f t="shared" si="68"/>
        <v>83.016666666666666</v>
      </c>
      <c r="CE81" s="38">
        <f t="shared" si="69"/>
        <v>41979</v>
      </c>
      <c r="CF81" s="38">
        <v>42114</v>
      </c>
      <c r="CG81" s="38">
        <f t="shared" si="70"/>
        <v>41999</v>
      </c>
      <c r="CH81" s="38">
        <v>42114</v>
      </c>
      <c r="CI81" s="40">
        <f t="shared" si="38"/>
        <v>-25</v>
      </c>
      <c r="CJ81" s="40">
        <f t="shared" si="39"/>
        <v>110</v>
      </c>
      <c r="CK81" s="41">
        <f t="shared" si="40"/>
        <v>136</v>
      </c>
      <c r="CL81" s="40">
        <f t="shared" si="41"/>
        <v>-5</v>
      </c>
      <c r="CM81" s="40">
        <f t="shared" si="42"/>
        <v>110</v>
      </c>
      <c r="CN81" s="42">
        <f t="shared" si="43"/>
        <v>116</v>
      </c>
    </row>
    <row r="82" spans="1:92" s="42" customFormat="1" hidden="1" x14ac:dyDescent="0.3">
      <c r="A82" s="31">
        <v>1</v>
      </c>
      <c r="B82" s="31"/>
      <c r="C82" s="31">
        <v>66</v>
      </c>
      <c r="D82" s="31" t="s">
        <v>97</v>
      </c>
      <c r="E82" s="43" t="s">
        <v>98</v>
      </c>
      <c r="F82" s="34" t="str">
        <f t="shared" si="49"/>
        <v>2019-35DB772015OTC</v>
      </c>
      <c r="G82" s="31" t="s">
        <v>99</v>
      </c>
      <c r="H82" s="31" t="s">
        <v>93</v>
      </c>
      <c r="I82" s="31" t="s">
        <v>93</v>
      </c>
      <c r="J82" s="31" t="s">
        <v>94</v>
      </c>
      <c r="K82" s="31" t="s">
        <v>102</v>
      </c>
      <c r="L82" s="31">
        <v>2015</v>
      </c>
      <c r="M82" s="31" t="s">
        <v>95</v>
      </c>
      <c r="N82" s="32" t="s">
        <v>49</v>
      </c>
      <c r="O82" s="31" t="s">
        <v>73</v>
      </c>
      <c r="P82" s="31"/>
      <c r="Q82" s="31"/>
      <c r="R82" s="31">
        <v>21.7</v>
      </c>
      <c r="S82" s="31"/>
      <c r="T82" s="31">
        <v>8</v>
      </c>
      <c r="U82" s="31">
        <v>120</v>
      </c>
      <c r="V82" s="31">
        <v>9</v>
      </c>
      <c r="W82" s="31">
        <f t="shared" si="65"/>
        <v>16.274999999999999</v>
      </c>
      <c r="X82" s="31" t="s">
        <v>63</v>
      </c>
      <c r="Y82" s="31"/>
      <c r="Z82" s="31">
        <v>158.29145728643201</v>
      </c>
      <c r="AA82" s="31" t="s">
        <v>78</v>
      </c>
      <c r="AB82" s="31"/>
      <c r="AC82" s="31"/>
      <c r="AD82" s="31">
        <v>218.592964824121</v>
      </c>
      <c r="AE82" s="31" t="s">
        <v>78</v>
      </c>
      <c r="AF82" s="31"/>
      <c r="AG82" s="31"/>
      <c r="AH82" s="8">
        <f t="shared" si="51"/>
        <v>-0.27586206896551924</v>
      </c>
      <c r="AI82" s="8">
        <f>VLOOKUP(F82,'[6]Sheet 2'!$B:$T,18,0)/VLOOKUP(F82,'[6]Sheet 2'!$B:$U,20,0)</f>
        <v>255.96847519881788</v>
      </c>
      <c r="AJ82" s="8">
        <f t="shared" si="52"/>
        <v>-0.38159784261135049</v>
      </c>
      <c r="AK82" s="31"/>
      <c r="AL82" s="31"/>
      <c r="AM82" s="31"/>
      <c r="AN82" s="31"/>
      <c r="AO82" s="31"/>
      <c r="AP82" s="31"/>
      <c r="AQ82" s="31"/>
      <c r="AR82" s="31"/>
      <c r="AS82" s="8" t="e">
        <f t="shared" si="53"/>
        <v>#DIV/0!</v>
      </c>
      <c r="AT82" s="8" t="e">
        <f>VLOOKUP(F82,'[7]Sheet 2'!$B:$T,18,0)/VLOOKUP(F82,'[7]Sheet 2'!$B:$U,20,0)</f>
        <v>#N/A</v>
      </c>
      <c r="AU82" s="8" t="e">
        <f t="shared" si="54"/>
        <v>#N/A</v>
      </c>
      <c r="AV82" s="57"/>
      <c r="AW82" s="31"/>
      <c r="AX82" s="31"/>
      <c r="AY82" s="31"/>
      <c r="AZ82" s="31"/>
      <c r="BA82" s="31"/>
      <c r="BB82" s="31"/>
      <c r="BC82" s="31"/>
      <c r="BD82" s="8" t="e">
        <f t="shared" si="55"/>
        <v>#DIV/0!</v>
      </c>
      <c r="BE82" s="8" t="e">
        <f>VLOOKUP(F82,'[8]Sheet 2'!$B:$T,18,0)/VLOOKUP(F82,'[8]Sheet 2'!$B:$U,20,0)</f>
        <v>#N/A</v>
      </c>
      <c r="BF82" s="8" t="e">
        <f t="shared" si="56"/>
        <v>#N/A</v>
      </c>
      <c r="BG82" s="31"/>
      <c r="BH82" s="31"/>
      <c r="BI82" s="31"/>
      <c r="BJ82" s="31"/>
      <c r="BK82" s="31"/>
      <c r="BL82" s="31"/>
      <c r="BM82" s="31"/>
      <c r="BN82" s="31"/>
      <c r="BO82" s="8" t="e">
        <f t="shared" si="57"/>
        <v>#DIV/0!</v>
      </c>
      <c r="BP82" s="8" t="e">
        <f>VLOOKUP(F82,'[9]Sheet 2'!$B:$T,18,0)/VLOOKUP(F82,'[9]Sheet 2'!$B:$U,20,0)</f>
        <v>#N/A</v>
      </c>
      <c r="BQ82" s="8" t="e">
        <f t="shared" si="58"/>
        <v>#N/A</v>
      </c>
      <c r="BR82" s="31"/>
      <c r="BS82" s="31"/>
      <c r="BT82" s="31"/>
      <c r="BU82" s="31"/>
      <c r="BV82" s="31"/>
      <c r="BW82" s="31"/>
      <c r="BX82" s="31"/>
      <c r="BY82" s="31"/>
      <c r="BZ82" s="8" t="e">
        <f t="shared" si="59"/>
        <v>#DIV/0!</v>
      </c>
      <c r="CA82" s="8" t="e">
        <f>VLOOKUP(F82,'[10]Sheet 2'!$B:$T,18,0)/VLOOKUP(F82,'[10]Sheet 2'!$B:$U,20,0)</f>
        <v>#N/A</v>
      </c>
      <c r="CB82" s="8" t="e">
        <f t="shared" si="60"/>
        <v>#N/A</v>
      </c>
      <c r="CC82" s="54">
        <f t="shared" si="67"/>
        <v>25.133333333333333</v>
      </c>
      <c r="CD82" s="54">
        <f t="shared" si="68"/>
        <v>83.016666666666666</v>
      </c>
      <c r="CE82" s="38">
        <f t="shared" si="69"/>
        <v>41979</v>
      </c>
      <c r="CF82" s="38">
        <v>42114</v>
      </c>
      <c r="CG82" s="38">
        <f t="shared" si="70"/>
        <v>41999</v>
      </c>
      <c r="CH82" s="38">
        <v>42114</v>
      </c>
      <c r="CI82" s="40">
        <f t="shared" si="38"/>
        <v>-25</v>
      </c>
      <c r="CJ82" s="40">
        <f t="shared" si="39"/>
        <v>110</v>
      </c>
      <c r="CK82" s="41">
        <f t="shared" si="40"/>
        <v>136</v>
      </c>
      <c r="CL82" s="40">
        <f t="shared" si="41"/>
        <v>-5</v>
      </c>
      <c r="CM82" s="40">
        <f t="shared" si="42"/>
        <v>110</v>
      </c>
      <c r="CN82" s="42">
        <f t="shared" si="43"/>
        <v>116</v>
      </c>
    </row>
    <row r="83" spans="1:92" s="19" customFormat="1" hidden="1" x14ac:dyDescent="0.3">
      <c r="A83" s="3">
        <v>1</v>
      </c>
      <c r="B83" s="3"/>
      <c r="C83" s="3">
        <v>66</v>
      </c>
      <c r="D83" s="3" t="s">
        <v>97</v>
      </c>
      <c r="E83" s="9" t="s">
        <v>98</v>
      </c>
      <c r="F83" s="6" t="str">
        <f t="shared" si="49"/>
        <v>2019-35HD262015OTC</v>
      </c>
      <c r="G83" s="3" t="s">
        <v>99</v>
      </c>
      <c r="H83" s="3" t="s">
        <v>93</v>
      </c>
      <c r="I83" s="3" t="s">
        <v>93</v>
      </c>
      <c r="J83" s="3" t="s">
        <v>94</v>
      </c>
      <c r="K83" s="3" t="s">
        <v>103</v>
      </c>
      <c r="L83" s="3">
        <v>2015</v>
      </c>
      <c r="M83" s="3" t="s">
        <v>95</v>
      </c>
      <c r="N83" s="4" t="s">
        <v>49</v>
      </c>
      <c r="O83" s="3" t="s">
        <v>101</v>
      </c>
      <c r="P83" s="32" t="s">
        <v>267</v>
      </c>
      <c r="Q83" s="3"/>
      <c r="R83" s="3">
        <v>8</v>
      </c>
      <c r="S83" s="3"/>
      <c r="T83" s="3">
        <v>8</v>
      </c>
      <c r="U83" s="3">
        <v>120</v>
      </c>
      <c r="V83" s="3">
        <v>9</v>
      </c>
      <c r="W83" s="3">
        <f t="shared" si="65"/>
        <v>6</v>
      </c>
      <c r="X83" s="3" t="s">
        <v>63</v>
      </c>
      <c r="Y83" s="3"/>
      <c r="Z83" s="3">
        <v>321.608040201005</v>
      </c>
      <c r="AA83" s="3" t="s">
        <v>78</v>
      </c>
      <c r="AB83" s="3"/>
      <c r="AC83" s="3"/>
      <c r="AD83" s="3">
        <v>321.608040201005</v>
      </c>
      <c r="AE83" s="3" t="s">
        <v>78</v>
      </c>
      <c r="AF83" s="3"/>
      <c r="AG83" s="3"/>
      <c r="AH83" s="8">
        <f t="shared" si="51"/>
        <v>0</v>
      </c>
      <c r="AI83" s="8">
        <f>VLOOKUP(F83,'[6]Sheet 2'!$B:$T,18,0)/VLOOKUP(F83,'[6]Sheet 2'!$B:$U,20,0)</f>
        <v>387.2349992390761</v>
      </c>
      <c r="AJ83" s="8">
        <f t="shared" si="52"/>
        <v>-0.16947579419998007</v>
      </c>
      <c r="AK83" s="3"/>
      <c r="AL83" s="3"/>
      <c r="AM83" s="3"/>
      <c r="AN83" s="3"/>
      <c r="AO83" s="3"/>
      <c r="AP83" s="3"/>
      <c r="AQ83" s="3"/>
      <c r="AR83" s="3"/>
      <c r="AS83" s="8" t="e">
        <f t="shared" si="53"/>
        <v>#DIV/0!</v>
      </c>
      <c r="AT83" s="8" t="e">
        <f>VLOOKUP(F83,'[7]Sheet 2'!$B:$T,18,0)/VLOOKUP(F83,'[7]Sheet 2'!$B:$U,20,0)</f>
        <v>#N/A</v>
      </c>
      <c r="AU83" s="8" t="e">
        <f t="shared" si="54"/>
        <v>#N/A</v>
      </c>
      <c r="AV83" s="57"/>
      <c r="AW83" s="3"/>
      <c r="AX83" s="3"/>
      <c r="AY83" s="3"/>
      <c r="AZ83" s="3"/>
      <c r="BA83" s="3"/>
      <c r="BB83" s="3"/>
      <c r="BC83" s="3"/>
      <c r="BD83" s="8" t="e">
        <f t="shared" si="55"/>
        <v>#DIV/0!</v>
      </c>
      <c r="BE83" s="8" t="e">
        <f>VLOOKUP(F83,'[8]Sheet 2'!$B:$T,18,0)/VLOOKUP(F83,'[8]Sheet 2'!$B:$U,20,0)</f>
        <v>#N/A</v>
      </c>
      <c r="BF83" s="8" t="e">
        <f t="shared" si="56"/>
        <v>#N/A</v>
      </c>
      <c r="BG83" s="3"/>
      <c r="BH83" s="3"/>
      <c r="BI83" s="3"/>
      <c r="BJ83" s="3"/>
      <c r="BK83" s="3"/>
      <c r="BL83" s="3"/>
      <c r="BM83" s="3"/>
      <c r="BN83" s="3"/>
      <c r="BO83" s="8" t="e">
        <f t="shared" si="57"/>
        <v>#DIV/0!</v>
      </c>
      <c r="BP83" s="8" t="e">
        <f>VLOOKUP(F83,'[9]Sheet 2'!$B:$T,18,0)/VLOOKUP(F83,'[9]Sheet 2'!$B:$U,20,0)</f>
        <v>#N/A</v>
      </c>
      <c r="BQ83" s="8" t="e">
        <f t="shared" si="58"/>
        <v>#N/A</v>
      </c>
      <c r="BR83" s="3"/>
      <c r="BS83" s="3"/>
      <c r="BT83" s="3"/>
      <c r="BU83" s="3"/>
      <c r="BV83" s="3"/>
      <c r="BW83" s="3"/>
      <c r="BX83" s="3"/>
      <c r="BY83" s="3"/>
      <c r="BZ83" s="8" t="e">
        <f t="shared" si="59"/>
        <v>#DIV/0!</v>
      </c>
      <c r="CA83" s="8" t="e">
        <f>VLOOKUP(F83,'[10]Sheet 2'!$B:$T,18,0)/VLOOKUP(F83,'[10]Sheet 2'!$B:$U,20,0)</f>
        <v>#N/A</v>
      </c>
      <c r="CB83" s="8" t="e">
        <f t="shared" si="60"/>
        <v>#N/A</v>
      </c>
      <c r="CC83" s="23">
        <f t="shared" si="67"/>
        <v>25.133333333333333</v>
      </c>
      <c r="CD83" s="23">
        <f t="shared" si="68"/>
        <v>83.016666666666666</v>
      </c>
      <c r="CE83" s="20">
        <f t="shared" si="69"/>
        <v>41979</v>
      </c>
      <c r="CF83" s="20">
        <v>42114</v>
      </c>
      <c r="CG83" s="20">
        <f t="shared" si="70"/>
        <v>41999</v>
      </c>
      <c r="CH83" s="20">
        <v>42114</v>
      </c>
      <c r="CI83" s="21">
        <f t="shared" si="38"/>
        <v>-25</v>
      </c>
      <c r="CJ83" s="21">
        <f t="shared" si="39"/>
        <v>110</v>
      </c>
      <c r="CK83" s="30">
        <f t="shared" si="40"/>
        <v>136</v>
      </c>
      <c r="CL83" s="21">
        <f t="shared" si="41"/>
        <v>-5</v>
      </c>
      <c r="CM83" s="21">
        <f t="shared" si="42"/>
        <v>110</v>
      </c>
      <c r="CN83" s="19">
        <f t="shared" si="43"/>
        <v>116</v>
      </c>
    </row>
    <row r="84" spans="1:92" s="19" customFormat="1" hidden="1" x14ac:dyDescent="0.3">
      <c r="A84" s="3">
        <v>1</v>
      </c>
      <c r="B84" s="3"/>
      <c r="C84" s="3">
        <v>66</v>
      </c>
      <c r="D84" s="3" t="s">
        <v>97</v>
      </c>
      <c r="E84" s="9" t="s">
        <v>98</v>
      </c>
      <c r="F84" s="6" t="str">
        <f t="shared" si="49"/>
        <v>2019-35HD262015OTC</v>
      </c>
      <c r="G84" s="3" t="s">
        <v>99</v>
      </c>
      <c r="H84" s="3" t="s">
        <v>93</v>
      </c>
      <c r="I84" s="3" t="s">
        <v>93</v>
      </c>
      <c r="J84" s="3" t="s">
        <v>94</v>
      </c>
      <c r="K84" s="3" t="s">
        <v>103</v>
      </c>
      <c r="L84" s="3">
        <v>2015</v>
      </c>
      <c r="M84" s="3" t="s">
        <v>95</v>
      </c>
      <c r="N84" s="4" t="s">
        <v>49</v>
      </c>
      <c r="O84" s="3" t="s">
        <v>73</v>
      </c>
      <c r="P84" s="3"/>
      <c r="Q84" s="3"/>
      <c r="R84" s="3">
        <v>21.7</v>
      </c>
      <c r="S84" s="3"/>
      <c r="T84" s="3">
        <v>8</v>
      </c>
      <c r="U84" s="3">
        <v>120</v>
      </c>
      <c r="V84" s="3">
        <v>9</v>
      </c>
      <c r="W84" s="3">
        <f t="shared" si="65"/>
        <v>16.274999999999999</v>
      </c>
      <c r="X84" s="3" t="s">
        <v>63</v>
      </c>
      <c r="Y84" s="3"/>
      <c r="Z84" s="3">
        <v>246.23115577889399</v>
      </c>
      <c r="AA84" s="3" t="s">
        <v>78</v>
      </c>
      <c r="AB84" s="3"/>
      <c r="AC84" s="3"/>
      <c r="AD84" s="3">
        <v>321.608040201005</v>
      </c>
      <c r="AE84" s="3" t="s">
        <v>78</v>
      </c>
      <c r="AF84" s="3"/>
      <c r="AG84" s="3"/>
      <c r="AH84" s="8">
        <f t="shared" si="51"/>
        <v>-0.23437500000000142</v>
      </c>
      <c r="AI84" s="8">
        <f>VLOOKUP(F84,'[6]Sheet 2'!$B:$T,18,0)/VLOOKUP(F84,'[6]Sheet 2'!$B:$U,20,0)</f>
        <v>387.2349992390761</v>
      </c>
      <c r="AJ84" s="8">
        <f t="shared" si="52"/>
        <v>-0.36412990493436093</v>
      </c>
      <c r="AK84" s="3"/>
      <c r="AL84" s="3"/>
      <c r="AM84" s="3"/>
      <c r="AN84" s="3"/>
      <c r="AO84" s="3"/>
      <c r="AP84" s="3"/>
      <c r="AQ84" s="3"/>
      <c r="AR84" s="3"/>
      <c r="AS84" s="8" t="e">
        <f t="shared" si="53"/>
        <v>#DIV/0!</v>
      </c>
      <c r="AT84" s="8" t="e">
        <f>VLOOKUP(F84,'[7]Sheet 2'!$B:$T,18,0)/VLOOKUP(F84,'[7]Sheet 2'!$B:$U,20,0)</f>
        <v>#N/A</v>
      </c>
      <c r="AU84" s="8" t="e">
        <f t="shared" si="54"/>
        <v>#N/A</v>
      </c>
      <c r="AV84" s="57"/>
      <c r="AW84" s="3"/>
      <c r="AX84" s="3"/>
      <c r="AY84" s="3"/>
      <c r="AZ84" s="3"/>
      <c r="BA84" s="3"/>
      <c r="BB84" s="3"/>
      <c r="BC84" s="3"/>
      <c r="BD84" s="8" t="e">
        <f t="shared" si="55"/>
        <v>#DIV/0!</v>
      </c>
      <c r="BE84" s="8" t="e">
        <f>VLOOKUP(F84,'[8]Sheet 2'!$B:$T,18,0)/VLOOKUP(F84,'[8]Sheet 2'!$B:$U,20,0)</f>
        <v>#N/A</v>
      </c>
      <c r="BF84" s="8" t="e">
        <f t="shared" si="56"/>
        <v>#N/A</v>
      </c>
      <c r="BG84" s="3"/>
      <c r="BH84" s="3"/>
      <c r="BI84" s="3"/>
      <c r="BJ84" s="3"/>
      <c r="BK84" s="3"/>
      <c r="BL84" s="3"/>
      <c r="BM84" s="3"/>
      <c r="BN84" s="3"/>
      <c r="BO84" s="8" t="e">
        <f t="shared" si="57"/>
        <v>#DIV/0!</v>
      </c>
      <c r="BP84" s="8" t="e">
        <f>VLOOKUP(F84,'[9]Sheet 2'!$B:$T,18,0)/VLOOKUP(F84,'[9]Sheet 2'!$B:$U,20,0)</f>
        <v>#N/A</v>
      </c>
      <c r="BQ84" s="8" t="e">
        <f t="shared" si="58"/>
        <v>#N/A</v>
      </c>
      <c r="BR84" s="3"/>
      <c r="BS84" s="3"/>
      <c r="BT84" s="3"/>
      <c r="BU84" s="3"/>
      <c r="BV84" s="3"/>
      <c r="BW84" s="3"/>
      <c r="BX84" s="3"/>
      <c r="BY84" s="3"/>
      <c r="BZ84" s="8" t="e">
        <f t="shared" si="59"/>
        <v>#DIV/0!</v>
      </c>
      <c r="CA84" s="8" t="e">
        <f>VLOOKUP(F84,'[10]Sheet 2'!$B:$T,18,0)/VLOOKUP(F84,'[10]Sheet 2'!$B:$U,20,0)</f>
        <v>#N/A</v>
      </c>
      <c r="CB84" s="8" t="e">
        <f t="shared" si="60"/>
        <v>#N/A</v>
      </c>
      <c r="CC84" s="23">
        <f t="shared" si="67"/>
        <v>25.133333333333333</v>
      </c>
      <c r="CD84" s="23">
        <f t="shared" si="68"/>
        <v>83.016666666666666</v>
      </c>
      <c r="CE84" s="20">
        <f t="shared" si="69"/>
        <v>41979</v>
      </c>
      <c r="CF84" s="20">
        <v>42114</v>
      </c>
      <c r="CG84" s="20">
        <f t="shared" si="70"/>
        <v>41999</v>
      </c>
      <c r="CH84" s="20">
        <v>42114</v>
      </c>
      <c r="CI84" s="21">
        <f t="shared" si="38"/>
        <v>-25</v>
      </c>
      <c r="CJ84" s="21">
        <f t="shared" si="39"/>
        <v>110</v>
      </c>
      <c r="CK84" s="30">
        <f t="shared" si="40"/>
        <v>136</v>
      </c>
      <c r="CL84" s="21">
        <f t="shared" si="41"/>
        <v>-5</v>
      </c>
      <c r="CM84" s="21">
        <f t="shared" si="42"/>
        <v>110</v>
      </c>
      <c r="CN84" s="19">
        <f t="shared" si="43"/>
        <v>116</v>
      </c>
    </row>
    <row r="85" spans="1:92" s="42" customFormat="1" hidden="1" x14ac:dyDescent="0.3">
      <c r="A85" s="31">
        <v>1</v>
      </c>
      <c r="B85" s="31"/>
      <c r="C85" s="31">
        <v>66</v>
      </c>
      <c r="D85" s="31" t="s">
        <v>97</v>
      </c>
      <c r="E85" s="43" t="s">
        <v>98</v>
      </c>
      <c r="F85" s="34" t="str">
        <f t="shared" si="49"/>
        <v>2019-35HD282015OTC</v>
      </c>
      <c r="G85" s="31" t="s">
        <v>99</v>
      </c>
      <c r="H85" s="31" t="s">
        <v>93</v>
      </c>
      <c r="I85" s="31" t="s">
        <v>93</v>
      </c>
      <c r="J85" s="31" t="s">
        <v>94</v>
      </c>
      <c r="K85" s="31" t="s">
        <v>104</v>
      </c>
      <c r="L85" s="31">
        <v>2015</v>
      </c>
      <c r="M85" s="31" t="s">
        <v>95</v>
      </c>
      <c r="N85" s="32" t="s">
        <v>49</v>
      </c>
      <c r="O85" s="31" t="s">
        <v>101</v>
      </c>
      <c r="P85" s="32" t="s">
        <v>267</v>
      </c>
      <c r="Q85" s="31"/>
      <c r="R85" s="31">
        <v>8</v>
      </c>
      <c r="S85" s="31"/>
      <c r="T85" s="31">
        <v>8</v>
      </c>
      <c r="U85" s="31">
        <v>120</v>
      </c>
      <c r="V85" s="31">
        <v>9</v>
      </c>
      <c r="W85" s="31">
        <f t="shared" si="65"/>
        <v>6</v>
      </c>
      <c r="X85" s="31" t="s">
        <v>63</v>
      </c>
      <c r="Y85" s="31"/>
      <c r="Z85" s="31">
        <v>319.09547738693499</v>
      </c>
      <c r="AA85" s="31" t="s">
        <v>78</v>
      </c>
      <c r="AB85" s="31"/>
      <c r="AC85" s="31"/>
      <c r="AD85" s="31">
        <v>319.09547738693499</v>
      </c>
      <c r="AE85" s="31" t="s">
        <v>78</v>
      </c>
      <c r="AF85" s="31"/>
      <c r="AG85" s="31"/>
      <c r="AH85" s="8">
        <f t="shared" si="51"/>
        <v>0</v>
      </c>
      <c r="AI85" s="8">
        <f>VLOOKUP(F85,'[6]Sheet 2'!$B:$T,18,0)/VLOOKUP(F85,'[6]Sheet 2'!$B:$U,20,0)</f>
        <v>361.33303293677483</v>
      </c>
      <c r="AJ85" s="8">
        <f t="shared" si="52"/>
        <v>-0.11689370110047609</v>
      </c>
      <c r="AK85" s="31"/>
      <c r="AL85" s="31"/>
      <c r="AM85" s="31"/>
      <c r="AN85" s="31"/>
      <c r="AO85" s="31"/>
      <c r="AP85" s="31"/>
      <c r="AQ85" s="31"/>
      <c r="AR85" s="31"/>
      <c r="AS85" s="8" t="e">
        <f t="shared" si="53"/>
        <v>#DIV/0!</v>
      </c>
      <c r="AT85" s="8" t="e">
        <f>VLOOKUP(F85,'[7]Sheet 2'!$B:$T,18,0)/VLOOKUP(F85,'[7]Sheet 2'!$B:$U,20,0)</f>
        <v>#N/A</v>
      </c>
      <c r="AU85" s="8" t="e">
        <f t="shared" si="54"/>
        <v>#N/A</v>
      </c>
      <c r="AV85" s="57"/>
      <c r="AW85" s="31"/>
      <c r="AX85" s="31"/>
      <c r="AY85" s="31"/>
      <c r="AZ85" s="31"/>
      <c r="BA85" s="31"/>
      <c r="BB85" s="31"/>
      <c r="BC85" s="31"/>
      <c r="BD85" s="8" t="e">
        <f t="shared" si="55"/>
        <v>#DIV/0!</v>
      </c>
      <c r="BE85" s="8" t="e">
        <f>VLOOKUP(F85,'[8]Sheet 2'!$B:$T,18,0)/VLOOKUP(F85,'[8]Sheet 2'!$B:$U,20,0)</f>
        <v>#N/A</v>
      </c>
      <c r="BF85" s="8" t="e">
        <f t="shared" si="56"/>
        <v>#N/A</v>
      </c>
      <c r="BG85" s="31"/>
      <c r="BH85" s="31"/>
      <c r="BI85" s="31"/>
      <c r="BJ85" s="31"/>
      <c r="BK85" s="31"/>
      <c r="BL85" s="31"/>
      <c r="BM85" s="31"/>
      <c r="BN85" s="31"/>
      <c r="BO85" s="8" t="e">
        <f t="shared" si="57"/>
        <v>#DIV/0!</v>
      </c>
      <c r="BP85" s="8" t="e">
        <f>VLOOKUP(F85,'[9]Sheet 2'!$B:$T,18,0)/VLOOKUP(F85,'[9]Sheet 2'!$B:$U,20,0)</f>
        <v>#N/A</v>
      </c>
      <c r="BQ85" s="8" t="e">
        <f t="shared" si="58"/>
        <v>#N/A</v>
      </c>
      <c r="BR85" s="31"/>
      <c r="BS85" s="31"/>
      <c r="BT85" s="31"/>
      <c r="BU85" s="31"/>
      <c r="BV85" s="31"/>
      <c r="BW85" s="31"/>
      <c r="BX85" s="31"/>
      <c r="BY85" s="31"/>
      <c r="BZ85" s="8" t="e">
        <f t="shared" si="59"/>
        <v>#DIV/0!</v>
      </c>
      <c r="CA85" s="8" t="e">
        <f>VLOOKUP(F85,'[10]Sheet 2'!$B:$T,18,0)/VLOOKUP(F85,'[10]Sheet 2'!$B:$U,20,0)</f>
        <v>#N/A</v>
      </c>
      <c r="CB85" s="8" t="e">
        <f t="shared" si="60"/>
        <v>#N/A</v>
      </c>
      <c r="CC85" s="54">
        <f t="shared" si="67"/>
        <v>25.133333333333333</v>
      </c>
      <c r="CD85" s="54">
        <f t="shared" si="68"/>
        <v>83.016666666666666</v>
      </c>
      <c r="CE85" s="38">
        <f t="shared" si="69"/>
        <v>41979</v>
      </c>
      <c r="CF85" s="38">
        <v>42114</v>
      </c>
      <c r="CG85" s="38">
        <f t="shared" si="70"/>
        <v>41999</v>
      </c>
      <c r="CH85" s="38">
        <v>42114</v>
      </c>
      <c r="CI85" s="40">
        <f t="shared" si="38"/>
        <v>-25</v>
      </c>
      <c r="CJ85" s="40">
        <f t="shared" si="39"/>
        <v>110</v>
      </c>
      <c r="CK85" s="41">
        <f t="shared" si="40"/>
        <v>136</v>
      </c>
      <c r="CL85" s="40">
        <f t="shared" si="41"/>
        <v>-5</v>
      </c>
      <c r="CM85" s="40">
        <f t="shared" si="42"/>
        <v>110</v>
      </c>
      <c r="CN85" s="42">
        <f t="shared" si="43"/>
        <v>116</v>
      </c>
    </row>
    <row r="86" spans="1:92" s="42" customFormat="1" hidden="1" x14ac:dyDescent="0.3">
      <c r="A86" s="31">
        <v>1</v>
      </c>
      <c r="B86" s="31"/>
      <c r="C86" s="31">
        <v>66</v>
      </c>
      <c r="D86" s="31" t="s">
        <v>97</v>
      </c>
      <c r="E86" s="43" t="s">
        <v>98</v>
      </c>
      <c r="F86" s="34" t="str">
        <f t="shared" si="49"/>
        <v>2019-35HD282015OTC</v>
      </c>
      <c r="G86" s="31" t="s">
        <v>99</v>
      </c>
      <c r="H86" s="31" t="s">
        <v>93</v>
      </c>
      <c r="I86" s="31" t="s">
        <v>93</v>
      </c>
      <c r="J86" s="31" t="s">
        <v>94</v>
      </c>
      <c r="K86" s="31" t="s">
        <v>104</v>
      </c>
      <c r="L86" s="31">
        <v>2015</v>
      </c>
      <c r="M86" s="31" t="s">
        <v>95</v>
      </c>
      <c r="N86" s="32" t="s">
        <v>49</v>
      </c>
      <c r="O86" s="31" t="s">
        <v>73</v>
      </c>
      <c r="P86" s="31"/>
      <c r="Q86" s="31"/>
      <c r="R86" s="31">
        <v>21.7</v>
      </c>
      <c r="S86" s="31"/>
      <c r="T86" s="31">
        <v>8</v>
      </c>
      <c r="U86" s="31">
        <v>120</v>
      </c>
      <c r="V86" s="31">
        <v>9</v>
      </c>
      <c r="W86" s="31">
        <f t="shared" si="65"/>
        <v>16.274999999999999</v>
      </c>
      <c r="X86" s="31" t="s">
        <v>63</v>
      </c>
      <c r="Y86" s="31"/>
      <c r="Z86" s="31">
        <v>216.08040201004999</v>
      </c>
      <c r="AA86" s="31" t="s">
        <v>78</v>
      </c>
      <c r="AB86" s="31"/>
      <c r="AC86" s="31"/>
      <c r="AD86" s="31">
        <v>319.09547738693499</v>
      </c>
      <c r="AE86" s="31" t="s">
        <v>78</v>
      </c>
      <c r="AF86" s="31"/>
      <c r="AG86" s="31"/>
      <c r="AH86" s="8">
        <f t="shared" si="51"/>
        <v>-0.32283464566929282</v>
      </c>
      <c r="AI86" s="8">
        <f>VLOOKUP(F86,'[6]Sheet 2'!$B:$T,18,0)/VLOOKUP(F86,'[6]Sheet 2'!$B:$U,20,0)</f>
        <v>361.33303293677483</v>
      </c>
      <c r="AJ86" s="8">
        <f t="shared" si="52"/>
        <v>-0.4019910101940245</v>
      </c>
      <c r="AK86" s="31"/>
      <c r="AL86" s="31"/>
      <c r="AM86" s="31"/>
      <c r="AN86" s="31"/>
      <c r="AO86" s="31"/>
      <c r="AP86" s="31"/>
      <c r="AQ86" s="31"/>
      <c r="AR86" s="31"/>
      <c r="AS86" s="8" t="e">
        <f t="shared" si="53"/>
        <v>#DIV/0!</v>
      </c>
      <c r="AT86" s="8" t="e">
        <f>VLOOKUP(F86,'[7]Sheet 2'!$B:$T,18,0)/VLOOKUP(F86,'[7]Sheet 2'!$B:$U,20,0)</f>
        <v>#N/A</v>
      </c>
      <c r="AU86" s="8" t="e">
        <f t="shared" si="54"/>
        <v>#N/A</v>
      </c>
      <c r="AV86" s="57"/>
      <c r="AW86" s="31"/>
      <c r="AX86" s="31"/>
      <c r="AY86" s="31"/>
      <c r="AZ86" s="31"/>
      <c r="BA86" s="31"/>
      <c r="BB86" s="31"/>
      <c r="BC86" s="31"/>
      <c r="BD86" s="8" t="e">
        <f t="shared" si="55"/>
        <v>#DIV/0!</v>
      </c>
      <c r="BE86" s="8" t="e">
        <f>VLOOKUP(F86,'[8]Sheet 2'!$B:$T,18,0)/VLOOKUP(F86,'[8]Sheet 2'!$B:$U,20,0)</f>
        <v>#N/A</v>
      </c>
      <c r="BF86" s="8" t="e">
        <f t="shared" si="56"/>
        <v>#N/A</v>
      </c>
      <c r="BG86" s="31"/>
      <c r="BH86" s="31"/>
      <c r="BI86" s="31"/>
      <c r="BJ86" s="31"/>
      <c r="BK86" s="31"/>
      <c r="BL86" s="31"/>
      <c r="BM86" s="31"/>
      <c r="BN86" s="31"/>
      <c r="BO86" s="8" t="e">
        <f t="shared" si="57"/>
        <v>#DIV/0!</v>
      </c>
      <c r="BP86" s="8" t="e">
        <f>VLOOKUP(F86,'[9]Sheet 2'!$B:$T,18,0)/VLOOKUP(F86,'[9]Sheet 2'!$B:$U,20,0)</f>
        <v>#N/A</v>
      </c>
      <c r="BQ86" s="8" t="e">
        <f t="shared" si="58"/>
        <v>#N/A</v>
      </c>
      <c r="BR86" s="31"/>
      <c r="BS86" s="31"/>
      <c r="BT86" s="31"/>
      <c r="BU86" s="31"/>
      <c r="BV86" s="31"/>
      <c r="BW86" s="31"/>
      <c r="BX86" s="31"/>
      <c r="BY86" s="31"/>
      <c r="BZ86" s="8" t="e">
        <f t="shared" si="59"/>
        <v>#DIV/0!</v>
      </c>
      <c r="CA86" s="8" t="e">
        <f>VLOOKUP(F86,'[10]Sheet 2'!$B:$T,18,0)/VLOOKUP(F86,'[10]Sheet 2'!$B:$U,20,0)</f>
        <v>#N/A</v>
      </c>
      <c r="CB86" s="8" t="e">
        <f t="shared" si="60"/>
        <v>#N/A</v>
      </c>
      <c r="CC86" s="54">
        <f t="shared" si="67"/>
        <v>25.133333333333333</v>
      </c>
      <c r="CD86" s="54">
        <f t="shared" si="68"/>
        <v>83.016666666666666</v>
      </c>
      <c r="CE86" s="38">
        <f t="shared" si="69"/>
        <v>41979</v>
      </c>
      <c r="CF86" s="38">
        <v>42114</v>
      </c>
      <c r="CG86" s="38">
        <f t="shared" si="70"/>
        <v>41999</v>
      </c>
      <c r="CH86" s="38">
        <v>42114</v>
      </c>
      <c r="CI86" s="40">
        <f t="shared" si="38"/>
        <v>-25</v>
      </c>
      <c r="CJ86" s="40">
        <f t="shared" si="39"/>
        <v>110</v>
      </c>
      <c r="CK86" s="41">
        <f t="shared" si="40"/>
        <v>136</v>
      </c>
      <c r="CL86" s="40">
        <f t="shared" si="41"/>
        <v>-5</v>
      </c>
      <c r="CM86" s="40">
        <f t="shared" si="42"/>
        <v>110</v>
      </c>
      <c r="CN86" s="42">
        <f t="shared" si="43"/>
        <v>116</v>
      </c>
    </row>
    <row r="87" spans="1:92" s="19" customFormat="1" hidden="1" x14ac:dyDescent="0.3">
      <c r="A87" s="3">
        <v>1</v>
      </c>
      <c r="B87" s="3"/>
      <c r="C87" s="3">
        <v>66</v>
      </c>
      <c r="D87" s="3" t="s">
        <v>97</v>
      </c>
      <c r="E87" s="9" t="s">
        <v>98</v>
      </c>
      <c r="F87" s="6" t="str">
        <f t="shared" si="49"/>
        <v>2019-35HD302015OTC</v>
      </c>
      <c r="G87" s="3" t="s">
        <v>99</v>
      </c>
      <c r="H87" s="3" t="s">
        <v>93</v>
      </c>
      <c r="I87" s="3" t="s">
        <v>93</v>
      </c>
      <c r="J87" s="3" t="s">
        <v>94</v>
      </c>
      <c r="K87" s="3" t="s">
        <v>105</v>
      </c>
      <c r="L87" s="3">
        <v>2015</v>
      </c>
      <c r="M87" s="3" t="s">
        <v>95</v>
      </c>
      <c r="N87" s="4" t="s">
        <v>49</v>
      </c>
      <c r="O87" s="3" t="s">
        <v>101</v>
      </c>
      <c r="P87" s="32" t="s">
        <v>267</v>
      </c>
      <c r="Q87" s="3"/>
      <c r="R87" s="3">
        <v>8</v>
      </c>
      <c r="S87" s="3"/>
      <c r="T87" s="3">
        <v>8</v>
      </c>
      <c r="U87" s="3">
        <v>120</v>
      </c>
      <c r="V87" s="3">
        <v>9</v>
      </c>
      <c r="W87" s="3">
        <f t="shared" si="65"/>
        <v>6</v>
      </c>
      <c r="X87" s="3" t="s">
        <v>63</v>
      </c>
      <c r="Y87" s="3"/>
      <c r="Z87" s="3">
        <v>366.83417085427101</v>
      </c>
      <c r="AA87" s="3" t="s">
        <v>78</v>
      </c>
      <c r="AB87" s="3"/>
      <c r="AC87" s="3"/>
      <c r="AD87" s="3">
        <v>366.83417085427101</v>
      </c>
      <c r="AE87" s="3" t="s">
        <v>78</v>
      </c>
      <c r="AF87" s="3"/>
      <c r="AG87" s="3"/>
      <c r="AH87" s="8">
        <f t="shared" si="51"/>
        <v>0</v>
      </c>
      <c r="AI87" s="8">
        <f>VLOOKUP(F87,'[6]Sheet 2'!$B:$T,18,0)/VLOOKUP(F87,'[6]Sheet 2'!$B:$U,20,0)</f>
        <v>440.14370775918707</v>
      </c>
      <c r="AJ87" s="8">
        <f t="shared" si="52"/>
        <v>-0.16655818454872795</v>
      </c>
      <c r="AK87" s="3"/>
      <c r="AL87" s="3"/>
      <c r="AM87" s="3"/>
      <c r="AN87" s="3"/>
      <c r="AO87" s="3"/>
      <c r="AP87" s="3"/>
      <c r="AQ87" s="3"/>
      <c r="AR87" s="3"/>
      <c r="AS87" s="8" t="e">
        <f t="shared" si="53"/>
        <v>#DIV/0!</v>
      </c>
      <c r="AT87" s="8" t="e">
        <f>VLOOKUP(F87,'[7]Sheet 2'!$B:$T,18,0)/VLOOKUP(F87,'[7]Sheet 2'!$B:$U,20,0)</f>
        <v>#N/A</v>
      </c>
      <c r="AU87" s="8" t="e">
        <f t="shared" si="54"/>
        <v>#N/A</v>
      </c>
      <c r="AV87" s="57"/>
      <c r="AW87" s="3"/>
      <c r="AX87" s="3"/>
      <c r="AY87" s="3"/>
      <c r="AZ87" s="3"/>
      <c r="BA87" s="3"/>
      <c r="BB87" s="3"/>
      <c r="BC87" s="3"/>
      <c r="BD87" s="8" t="e">
        <f t="shared" si="55"/>
        <v>#DIV/0!</v>
      </c>
      <c r="BE87" s="8" t="e">
        <f>VLOOKUP(F87,'[8]Sheet 2'!$B:$T,18,0)/VLOOKUP(F87,'[8]Sheet 2'!$B:$U,20,0)</f>
        <v>#N/A</v>
      </c>
      <c r="BF87" s="8" t="e">
        <f t="shared" si="56"/>
        <v>#N/A</v>
      </c>
      <c r="BG87" s="3"/>
      <c r="BH87" s="3"/>
      <c r="BI87" s="3"/>
      <c r="BJ87" s="3"/>
      <c r="BK87" s="3"/>
      <c r="BL87" s="3"/>
      <c r="BM87" s="3"/>
      <c r="BN87" s="3"/>
      <c r="BO87" s="8" t="e">
        <f t="shared" si="57"/>
        <v>#DIV/0!</v>
      </c>
      <c r="BP87" s="8" t="e">
        <f>VLOOKUP(F87,'[9]Sheet 2'!$B:$T,18,0)/VLOOKUP(F87,'[9]Sheet 2'!$B:$U,20,0)</f>
        <v>#N/A</v>
      </c>
      <c r="BQ87" s="8" t="e">
        <f t="shared" si="58"/>
        <v>#N/A</v>
      </c>
      <c r="BR87" s="3"/>
      <c r="BS87" s="3"/>
      <c r="BT87" s="3"/>
      <c r="BU87" s="3"/>
      <c r="BV87" s="3"/>
      <c r="BW87" s="3"/>
      <c r="BX87" s="3"/>
      <c r="BY87" s="3"/>
      <c r="BZ87" s="8" t="e">
        <f t="shared" si="59"/>
        <v>#DIV/0!</v>
      </c>
      <c r="CA87" s="8" t="e">
        <f>VLOOKUP(F87,'[10]Sheet 2'!$B:$T,18,0)/VLOOKUP(F87,'[10]Sheet 2'!$B:$U,20,0)</f>
        <v>#N/A</v>
      </c>
      <c r="CB87" s="8" t="e">
        <f t="shared" si="60"/>
        <v>#N/A</v>
      </c>
      <c r="CC87" s="23">
        <f t="shared" si="67"/>
        <v>25.133333333333333</v>
      </c>
      <c r="CD87" s="23">
        <f t="shared" si="68"/>
        <v>83.016666666666666</v>
      </c>
      <c r="CE87" s="20">
        <f t="shared" si="69"/>
        <v>41979</v>
      </c>
      <c r="CF87" s="20">
        <v>42114</v>
      </c>
      <c r="CG87" s="20">
        <f t="shared" si="70"/>
        <v>41999</v>
      </c>
      <c r="CH87" s="20">
        <v>42114</v>
      </c>
      <c r="CI87" s="21">
        <f t="shared" ref="CI87:CI118" si="71">CE87-INT(YEAR(CF87)&amp;"/1/1")+1</f>
        <v>-25</v>
      </c>
      <c r="CJ87" s="21">
        <f t="shared" ref="CJ87:CJ118" si="72">CF87-INT(YEAR(CF87)&amp;"/1/1")+1</f>
        <v>110</v>
      </c>
      <c r="CK87" s="30">
        <f t="shared" ref="CK87:CK118" si="73">CJ87-CI87+1</f>
        <v>136</v>
      </c>
      <c r="CL87" s="21">
        <f t="shared" ref="CL87:CL118" si="74">CG87-INT(YEAR(CH87)&amp;"/1/1")+1</f>
        <v>-5</v>
      </c>
      <c r="CM87" s="21">
        <f t="shared" si="42"/>
        <v>110</v>
      </c>
      <c r="CN87" s="19">
        <f t="shared" si="43"/>
        <v>116</v>
      </c>
    </row>
    <row r="88" spans="1:92" s="19" customFormat="1" hidden="1" x14ac:dyDescent="0.3">
      <c r="A88" s="3">
        <v>1</v>
      </c>
      <c r="B88" s="3"/>
      <c r="C88" s="3">
        <v>66</v>
      </c>
      <c r="D88" s="3" t="s">
        <v>97</v>
      </c>
      <c r="E88" s="9" t="s">
        <v>98</v>
      </c>
      <c r="F88" s="6" t="str">
        <f t="shared" si="49"/>
        <v>2019-35HD302015OTC</v>
      </c>
      <c r="G88" s="3" t="s">
        <v>99</v>
      </c>
      <c r="H88" s="3" t="s">
        <v>93</v>
      </c>
      <c r="I88" s="3" t="s">
        <v>93</v>
      </c>
      <c r="J88" s="3" t="s">
        <v>94</v>
      </c>
      <c r="K88" s="3" t="s">
        <v>105</v>
      </c>
      <c r="L88" s="3">
        <v>2015</v>
      </c>
      <c r="M88" s="3" t="s">
        <v>95</v>
      </c>
      <c r="N88" s="4" t="s">
        <v>49</v>
      </c>
      <c r="O88" s="3" t="s">
        <v>73</v>
      </c>
      <c r="P88" s="3"/>
      <c r="Q88" s="3"/>
      <c r="R88" s="3">
        <v>21.7</v>
      </c>
      <c r="S88" s="3"/>
      <c r="T88" s="3">
        <v>8</v>
      </c>
      <c r="U88" s="3">
        <v>120</v>
      </c>
      <c r="V88" s="3">
        <v>9</v>
      </c>
      <c r="W88" s="3">
        <f t="shared" si="65"/>
        <v>16.274999999999999</v>
      </c>
      <c r="X88" s="3" t="s">
        <v>63</v>
      </c>
      <c r="Y88" s="3"/>
      <c r="Z88" s="3">
        <v>278.89447236180899</v>
      </c>
      <c r="AA88" s="3" t="s">
        <v>78</v>
      </c>
      <c r="AB88" s="3"/>
      <c r="AC88" s="3"/>
      <c r="AD88" s="3">
        <v>366.83417085427101</v>
      </c>
      <c r="AE88" s="3" t="s">
        <v>78</v>
      </c>
      <c r="AF88" s="3"/>
      <c r="AG88" s="3"/>
      <c r="AH88" s="8">
        <f t="shared" si="51"/>
        <v>-0.23972602739725968</v>
      </c>
      <c r="AI88" s="8">
        <f>VLOOKUP(F88,'[6]Sheet 2'!$B:$T,18,0)/VLOOKUP(F88,'[6]Sheet 2'!$B:$U,20,0)</f>
        <v>440.14370775918707</v>
      </c>
      <c r="AJ88" s="8">
        <f t="shared" si="52"/>
        <v>-0.36635588003362146</v>
      </c>
      <c r="AK88" s="3"/>
      <c r="AL88" s="3"/>
      <c r="AM88" s="3"/>
      <c r="AN88" s="3"/>
      <c r="AO88" s="3"/>
      <c r="AP88" s="3"/>
      <c r="AQ88" s="3"/>
      <c r="AR88" s="3"/>
      <c r="AS88" s="8" t="e">
        <f t="shared" si="53"/>
        <v>#DIV/0!</v>
      </c>
      <c r="AT88" s="8" t="e">
        <f>VLOOKUP(F88,'[7]Sheet 2'!$B:$T,18,0)/VLOOKUP(F88,'[7]Sheet 2'!$B:$U,20,0)</f>
        <v>#N/A</v>
      </c>
      <c r="AU88" s="8" t="e">
        <f t="shared" si="54"/>
        <v>#N/A</v>
      </c>
      <c r="AV88" s="57"/>
      <c r="AW88" s="3"/>
      <c r="AX88" s="3"/>
      <c r="AY88" s="3"/>
      <c r="AZ88" s="3"/>
      <c r="BA88" s="3"/>
      <c r="BB88" s="3"/>
      <c r="BC88" s="3"/>
      <c r="BD88" s="8" t="e">
        <f t="shared" si="55"/>
        <v>#DIV/0!</v>
      </c>
      <c r="BE88" s="8" t="e">
        <f>VLOOKUP(F88,'[8]Sheet 2'!$B:$T,18,0)/VLOOKUP(F88,'[8]Sheet 2'!$B:$U,20,0)</f>
        <v>#N/A</v>
      </c>
      <c r="BF88" s="8" t="e">
        <f t="shared" si="56"/>
        <v>#N/A</v>
      </c>
      <c r="BG88" s="3"/>
      <c r="BH88" s="3"/>
      <c r="BI88" s="3"/>
      <c r="BJ88" s="3"/>
      <c r="BK88" s="3"/>
      <c r="BL88" s="3"/>
      <c r="BM88" s="3"/>
      <c r="BN88" s="3"/>
      <c r="BO88" s="8" t="e">
        <f t="shared" si="57"/>
        <v>#DIV/0!</v>
      </c>
      <c r="BP88" s="8" t="e">
        <f>VLOOKUP(F88,'[9]Sheet 2'!$B:$T,18,0)/VLOOKUP(F88,'[9]Sheet 2'!$B:$U,20,0)</f>
        <v>#N/A</v>
      </c>
      <c r="BQ88" s="8" t="e">
        <f t="shared" si="58"/>
        <v>#N/A</v>
      </c>
      <c r="BR88" s="3"/>
      <c r="BS88" s="3"/>
      <c r="BT88" s="3"/>
      <c r="BU88" s="3"/>
      <c r="BV88" s="3"/>
      <c r="BW88" s="3"/>
      <c r="BX88" s="3"/>
      <c r="BY88" s="3"/>
      <c r="BZ88" s="8" t="e">
        <f t="shared" si="59"/>
        <v>#DIV/0!</v>
      </c>
      <c r="CA88" s="8" t="e">
        <f>VLOOKUP(F88,'[10]Sheet 2'!$B:$T,18,0)/VLOOKUP(F88,'[10]Sheet 2'!$B:$U,20,0)</f>
        <v>#N/A</v>
      </c>
      <c r="CB88" s="8" t="e">
        <f t="shared" si="60"/>
        <v>#N/A</v>
      </c>
      <c r="CC88" s="23">
        <f t="shared" si="67"/>
        <v>25.133333333333333</v>
      </c>
      <c r="CD88" s="23">
        <f t="shared" si="68"/>
        <v>83.016666666666666</v>
      </c>
      <c r="CE88" s="20">
        <f t="shared" si="69"/>
        <v>41979</v>
      </c>
      <c r="CF88" s="20">
        <v>42114</v>
      </c>
      <c r="CG88" s="20">
        <f t="shared" si="70"/>
        <v>41999</v>
      </c>
      <c r="CH88" s="20">
        <v>42114</v>
      </c>
      <c r="CI88" s="21">
        <f t="shared" si="71"/>
        <v>-25</v>
      </c>
      <c r="CJ88" s="21">
        <f t="shared" si="72"/>
        <v>110</v>
      </c>
      <c r="CK88" s="30">
        <f t="shared" si="73"/>
        <v>136</v>
      </c>
      <c r="CL88" s="21">
        <f t="shared" si="74"/>
        <v>-5</v>
      </c>
      <c r="CM88" s="21">
        <f t="shared" si="42"/>
        <v>110</v>
      </c>
      <c r="CN88" s="19">
        <f t="shared" si="43"/>
        <v>116</v>
      </c>
    </row>
    <row r="89" spans="1:92" s="42" customFormat="1" hidden="1" x14ac:dyDescent="0.3">
      <c r="A89" s="31">
        <v>1</v>
      </c>
      <c r="B89" s="31"/>
      <c r="C89" s="31">
        <v>66</v>
      </c>
      <c r="D89" s="31" t="s">
        <v>97</v>
      </c>
      <c r="E89" s="43" t="s">
        <v>98</v>
      </c>
      <c r="F89" s="34" t="str">
        <f t="shared" si="49"/>
        <v>2019-35HU122015OTC</v>
      </c>
      <c r="G89" s="31" t="s">
        <v>99</v>
      </c>
      <c r="H89" s="31" t="s">
        <v>93</v>
      </c>
      <c r="I89" s="31" t="s">
        <v>93</v>
      </c>
      <c r="J89" s="31" t="s">
        <v>94</v>
      </c>
      <c r="K89" s="31" t="s">
        <v>106</v>
      </c>
      <c r="L89" s="31">
        <v>2015</v>
      </c>
      <c r="M89" s="31" t="s">
        <v>95</v>
      </c>
      <c r="N89" s="32" t="s">
        <v>49</v>
      </c>
      <c r="O89" s="31" t="s">
        <v>101</v>
      </c>
      <c r="P89" s="32" t="s">
        <v>267</v>
      </c>
      <c r="Q89" s="31"/>
      <c r="R89" s="31">
        <v>8</v>
      </c>
      <c r="S89" s="31"/>
      <c r="T89" s="31">
        <v>8</v>
      </c>
      <c r="U89" s="31">
        <v>120</v>
      </c>
      <c r="V89" s="31">
        <v>9</v>
      </c>
      <c r="W89" s="31">
        <f t="shared" si="65"/>
        <v>6</v>
      </c>
      <c r="X89" s="31" t="s">
        <v>63</v>
      </c>
      <c r="Y89" s="31"/>
      <c r="Z89" s="31">
        <v>270.93596059113298</v>
      </c>
      <c r="AA89" s="31" t="s">
        <v>78</v>
      </c>
      <c r="AB89" s="31"/>
      <c r="AC89" s="31"/>
      <c r="AD89" s="31">
        <v>270.93596059113298</v>
      </c>
      <c r="AE89" s="31" t="s">
        <v>78</v>
      </c>
      <c r="AF89" s="31"/>
      <c r="AG89" s="31"/>
      <c r="AH89" s="8">
        <f t="shared" si="51"/>
        <v>0</v>
      </c>
      <c r="AI89" s="8">
        <f>VLOOKUP(F89,'[6]Sheet 2'!$B:$T,18,0)/VLOOKUP(F89,'[6]Sheet 2'!$B:$U,20,0)</f>
        <v>351.90302431377233</v>
      </c>
      <c r="AJ89" s="8">
        <f t="shared" si="52"/>
        <v>-0.23008345518066797</v>
      </c>
      <c r="AK89" s="31"/>
      <c r="AL89" s="31"/>
      <c r="AM89" s="31"/>
      <c r="AN89" s="31"/>
      <c r="AO89" s="31"/>
      <c r="AP89" s="31"/>
      <c r="AQ89" s="31"/>
      <c r="AR89" s="31"/>
      <c r="AS89" s="8" t="e">
        <f t="shared" si="53"/>
        <v>#DIV/0!</v>
      </c>
      <c r="AT89" s="8" t="e">
        <f>VLOOKUP(F89,'[7]Sheet 2'!$B:$T,18,0)/VLOOKUP(F89,'[7]Sheet 2'!$B:$U,20,0)</f>
        <v>#N/A</v>
      </c>
      <c r="AU89" s="8" t="e">
        <f t="shared" si="54"/>
        <v>#N/A</v>
      </c>
      <c r="AV89" s="57"/>
      <c r="AW89" s="31"/>
      <c r="AX89" s="31"/>
      <c r="AY89" s="31"/>
      <c r="AZ89" s="31"/>
      <c r="BA89" s="31"/>
      <c r="BB89" s="31"/>
      <c r="BC89" s="31"/>
      <c r="BD89" s="8" t="e">
        <f t="shared" si="55"/>
        <v>#DIV/0!</v>
      </c>
      <c r="BE89" s="8" t="e">
        <f>VLOOKUP(F89,'[8]Sheet 2'!$B:$T,18,0)/VLOOKUP(F89,'[8]Sheet 2'!$B:$U,20,0)</f>
        <v>#N/A</v>
      </c>
      <c r="BF89" s="8" t="e">
        <f t="shared" si="56"/>
        <v>#N/A</v>
      </c>
      <c r="BG89" s="31"/>
      <c r="BH89" s="31"/>
      <c r="BI89" s="31"/>
      <c r="BJ89" s="31"/>
      <c r="BK89" s="31"/>
      <c r="BL89" s="31"/>
      <c r="BM89" s="31"/>
      <c r="BN89" s="31"/>
      <c r="BO89" s="8" t="e">
        <f t="shared" si="57"/>
        <v>#DIV/0!</v>
      </c>
      <c r="BP89" s="8" t="e">
        <f>VLOOKUP(F89,'[9]Sheet 2'!$B:$T,18,0)/VLOOKUP(F89,'[9]Sheet 2'!$B:$U,20,0)</f>
        <v>#N/A</v>
      </c>
      <c r="BQ89" s="8" t="e">
        <f t="shared" si="58"/>
        <v>#N/A</v>
      </c>
      <c r="BR89" s="31"/>
      <c r="BS89" s="31"/>
      <c r="BT89" s="31"/>
      <c r="BU89" s="31"/>
      <c r="BV89" s="31"/>
      <c r="BW89" s="31"/>
      <c r="BX89" s="31"/>
      <c r="BY89" s="31"/>
      <c r="BZ89" s="8" t="e">
        <f t="shared" si="59"/>
        <v>#DIV/0!</v>
      </c>
      <c r="CA89" s="8" t="e">
        <f>VLOOKUP(F89,'[10]Sheet 2'!$B:$T,18,0)/VLOOKUP(F89,'[10]Sheet 2'!$B:$U,20,0)</f>
        <v>#N/A</v>
      </c>
      <c r="CB89" s="8" t="e">
        <f t="shared" si="60"/>
        <v>#N/A</v>
      </c>
      <c r="CC89" s="54">
        <f t="shared" si="67"/>
        <v>25.133333333333333</v>
      </c>
      <c r="CD89" s="54">
        <f t="shared" si="68"/>
        <v>83.016666666666666</v>
      </c>
      <c r="CE89" s="38">
        <f t="shared" si="69"/>
        <v>41979</v>
      </c>
      <c r="CF89" s="38">
        <v>42114</v>
      </c>
      <c r="CG89" s="38">
        <f t="shared" si="70"/>
        <v>41999</v>
      </c>
      <c r="CH89" s="38">
        <v>42114</v>
      </c>
      <c r="CI89" s="40">
        <f t="shared" si="71"/>
        <v>-25</v>
      </c>
      <c r="CJ89" s="40">
        <f t="shared" si="72"/>
        <v>110</v>
      </c>
      <c r="CK89" s="41">
        <f t="shared" si="73"/>
        <v>136</v>
      </c>
      <c r="CL89" s="40">
        <f t="shared" si="74"/>
        <v>-5</v>
      </c>
      <c r="CM89" s="40">
        <f t="shared" si="42"/>
        <v>110</v>
      </c>
      <c r="CN89" s="42">
        <f t="shared" si="43"/>
        <v>116</v>
      </c>
    </row>
    <row r="90" spans="1:92" s="42" customFormat="1" hidden="1" x14ac:dyDescent="0.3">
      <c r="A90" s="31">
        <v>1</v>
      </c>
      <c r="B90" s="31"/>
      <c r="C90" s="31">
        <v>66</v>
      </c>
      <c r="D90" s="31" t="s">
        <v>97</v>
      </c>
      <c r="E90" s="43" t="s">
        <v>98</v>
      </c>
      <c r="F90" s="34" t="str">
        <f t="shared" si="49"/>
        <v>2019-35HU122015OTC</v>
      </c>
      <c r="G90" s="31" t="s">
        <v>99</v>
      </c>
      <c r="H90" s="31" t="s">
        <v>93</v>
      </c>
      <c r="I90" s="31" t="s">
        <v>93</v>
      </c>
      <c r="J90" s="31" t="s">
        <v>94</v>
      </c>
      <c r="K90" s="31" t="s">
        <v>106</v>
      </c>
      <c r="L90" s="31">
        <v>2015</v>
      </c>
      <c r="M90" s="31" t="s">
        <v>95</v>
      </c>
      <c r="N90" s="32" t="s">
        <v>49</v>
      </c>
      <c r="O90" s="31" t="s">
        <v>73</v>
      </c>
      <c r="P90" s="31"/>
      <c r="Q90" s="31"/>
      <c r="R90" s="31">
        <v>21.7</v>
      </c>
      <c r="S90" s="31"/>
      <c r="T90" s="31">
        <v>8</v>
      </c>
      <c r="U90" s="31">
        <v>120</v>
      </c>
      <c r="V90" s="31">
        <v>9</v>
      </c>
      <c r="W90" s="31">
        <f t="shared" si="65"/>
        <v>16.274999999999999</v>
      </c>
      <c r="X90" s="31" t="s">
        <v>63</v>
      </c>
      <c r="Y90" s="31"/>
      <c r="Z90" s="31">
        <v>241.37931034482801</v>
      </c>
      <c r="AA90" s="31" t="s">
        <v>78</v>
      </c>
      <c r="AB90" s="31"/>
      <c r="AC90" s="31"/>
      <c r="AD90" s="31">
        <v>270.93596059113298</v>
      </c>
      <c r="AE90" s="31" t="s">
        <v>78</v>
      </c>
      <c r="AF90" s="31"/>
      <c r="AG90" s="31"/>
      <c r="AH90" s="8">
        <f t="shared" si="51"/>
        <v>-0.10909090909090743</v>
      </c>
      <c r="AI90" s="8">
        <f>VLOOKUP(F90,'[6]Sheet 2'!$B:$T,18,0)/VLOOKUP(F90,'[6]Sheet 2'!$B:$U,20,0)</f>
        <v>351.90302431377233</v>
      </c>
      <c r="AJ90" s="8">
        <f t="shared" si="52"/>
        <v>-0.31407435097913927</v>
      </c>
      <c r="AK90" s="31"/>
      <c r="AL90" s="31"/>
      <c r="AM90" s="31"/>
      <c r="AN90" s="31"/>
      <c r="AO90" s="31"/>
      <c r="AP90" s="31"/>
      <c r="AQ90" s="31"/>
      <c r="AR90" s="31"/>
      <c r="AS90" s="8" t="e">
        <f t="shared" si="53"/>
        <v>#DIV/0!</v>
      </c>
      <c r="AT90" s="8" t="e">
        <f>VLOOKUP(F90,'[7]Sheet 2'!$B:$T,18,0)/VLOOKUP(F90,'[7]Sheet 2'!$B:$U,20,0)</f>
        <v>#N/A</v>
      </c>
      <c r="AU90" s="8" t="e">
        <f t="shared" si="54"/>
        <v>#N/A</v>
      </c>
      <c r="AV90" s="57"/>
      <c r="AW90" s="31"/>
      <c r="AX90" s="31"/>
      <c r="AY90" s="31"/>
      <c r="AZ90" s="31"/>
      <c r="BA90" s="31"/>
      <c r="BB90" s="31"/>
      <c r="BC90" s="31"/>
      <c r="BD90" s="8" t="e">
        <f t="shared" si="55"/>
        <v>#DIV/0!</v>
      </c>
      <c r="BE90" s="8" t="e">
        <f>VLOOKUP(F90,'[8]Sheet 2'!$B:$T,18,0)/VLOOKUP(F90,'[8]Sheet 2'!$B:$U,20,0)</f>
        <v>#N/A</v>
      </c>
      <c r="BF90" s="8" t="e">
        <f t="shared" si="56"/>
        <v>#N/A</v>
      </c>
      <c r="BG90" s="31"/>
      <c r="BH90" s="31"/>
      <c r="BI90" s="31"/>
      <c r="BJ90" s="31"/>
      <c r="BK90" s="31"/>
      <c r="BL90" s="31"/>
      <c r="BM90" s="31"/>
      <c r="BN90" s="31"/>
      <c r="BO90" s="8" t="e">
        <f t="shared" si="57"/>
        <v>#DIV/0!</v>
      </c>
      <c r="BP90" s="8" t="e">
        <f>VLOOKUP(F90,'[9]Sheet 2'!$B:$T,18,0)/VLOOKUP(F90,'[9]Sheet 2'!$B:$U,20,0)</f>
        <v>#N/A</v>
      </c>
      <c r="BQ90" s="8" t="e">
        <f t="shared" si="58"/>
        <v>#N/A</v>
      </c>
      <c r="BR90" s="31"/>
      <c r="BS90" s="31"/>
      <c r="BT90" s="31"/>
      <c r="BU90" s="31"/>
      <c r="BV90" s="31"/>
      <c r="BW90" s="31"/>
      <c r="BX90" s="31"/>
      <c r="BY90" s="31"/>
      <c r="BZ90" s="8" t="e">
        <f t="shared" si="59"/>
        <v>#DIV/0!</v>
      </c>
      <c r="CA90" s="8" t="e">
        <f>VLOOKUP(F90,'[10]Sheet 2'!$B:$T,18,0)/VLOOKUP(F90,'[10]Sheet 2'!$B:$U,20,0)</f>
        <v>#N/A</v>
      </c>
      <c r="CB90" s="8" t="e">
        <f t="shared" si="60"/>
        <v>#N/A</v>
      </c>
      <c r="CC90" s="54">
        <f t="shared" si="67"/>
        <v>25.133333333333333</v>
      </c>
      <c r="CD90" s="54">
        <f t="shared" si="68"/>
        <v>83.016666666666666</v>
      </c>
      <c r="CE90" s="38">
        <f t="shared" si="69"/>
        <v>41979</v>
      </c>
      <c r="CF90" s="38">
        <v>42114</v>
      </c>
      <c r="CG90" s="38">
        <f t="shared" si="70"/>
        <v>41999</v>
      </c>
      <c r="CH90" s="38">
        <v>42114</v>
      </c>
      <c r="CI90" s="40">
        <f t="shared" si="71"/>
        <v>-25</v>
      </c>
      <c r="CJ90" s="40">
        <f t="shared" si="72"/>
        <v>110</v>
      </c>
      <c r="CK90" s="41">
        <f t="shared" si="73"/>
        <v>136</v>
      </c>
      <c r="CL90" s="40">
        <f t="shared" si="74"/>
        <v>-5</v>
      </c>
      <c r="CM90" s="40">
        <f t="shared" si="42"/>
        <v>110</v>
      </c>
      <c r="CN90" s="42">
        <f t="shared" si="43"/>
        <v>116</v>
      </c>
    </row>
    <row r="91" spans="1:92" s="19" customFormat="1" hidden="1" x14ac:dyDescent="0.3">
      <c r="A91" s="3">
        <v>1</v>
      </c>
      <c r="B91" s="3"/>
      <c r="C91" s="3">
        <v>66</v>
      </c>
      <c r="D91" s="3" t="s">
        <v>97</v>
      </c>
      <c r="E91" s="9" t="s">
        <v>98</v>
      </c>
      <c r="F91" s="6" t="str">
        <f t="shared" si="49"/>
        <v>2019-35HU212015OTC</v>
      </c>
      <c r="G91" s="3" t="s">
        <v>99</v>
      </c>
      <c r="H91" s="3" t="s">
        <v>93</v>
      </c>
      <c r="I91" s="3" t="s">
        <v>93</v>
      </c>
      <c r="J91" s="3" t="s">
        <v>94</v>
      </c>
      <c r="K91" s="3" t="s">
        <v>107</v>
      </c>
      <c r="L91" s="3">
        <v>2015</v>
      </c>
      <c r="M91" s="3" t="s">
        <v>95</v>
      </c>
      <c r="N91" s="4" t="s">
        <v>49</v>
      </c>
      <c r="O91" s="3" t="s">
        <v>101</v>
      </c>
      <c r="P91" s="32" t="s">
        <v>267</v>
      </c>
      <c r="Q91" s="3"/>
      <c r="R91" s="3">
        <v>8</v>
      </c>
      <c r="S91" s="3"/>
      <c r="T91" s="3">
        <v>8</v>
      </c>
      <c r="U91" s="3">
        <v>120</v>
      </c>
      <c r="V91" s="3">
        <v>9</v>
      </c>
      <c r="W91" s="3">
        <f t="shared" si="65"/>
        <v>6</v>
      </c>
      <c r="X91" s="3" t="s">
        <v>63</v>
      </c>
      <c r="Y91" s="3"/>
      <c r="Z91" s="3">
        <v>320.19704433497498</v>
      </c>
      <c r="AA91" s="3" t="s">
        <v>78</v>
      </c>
      <c r="AB91" s="3"/>
      <c r="AC91" s="3"/>
      <c r="AD91" s="3">
        <v>320.19704433497498</v>
      </c>
      <c r="AE91" s="3" t="s">
        <v>78</v>
      </c>
      <c r="AF91" s="3"/>
      <c r="AG91" s="3"/>
      <c r="AH91" s="8">
        <f t="shared" si="51"/>
        <v>0</v>
      </c>
      <c r="AI91" s="8">
        <f>VLOOKUP(F91,'[6]Sheet 2'!$B:$T,18,0)/VLOOKUP(F91,'[6]Sheet 2'!$B:$U,20,0)</f>
        <v>401.60320747776626</v>
      </c>
      <c r="AJ91" s="8">
        <f t="shared" si="52"/>
        <v>-0.20270297056155392</v>
      </c>
      <c r="AK91" s="3"/>
      <c r="AL91" s="3"/>
      <c r="AM91" s="3"/>
      <c r="AN91" s="3"/>
      <c r="AO91" s="3"/>
      <c r="AP91" s="3"/>
      <c r="AQ91" s="3"/>
      <c r="AR91" s="3"/>
      <c r="AS91" s="8" t="e">
        <f t="shared" si="53"/>
        <v>#DIV/0!</v>
      </c>
      <c r="AT91" s="8" t="e">
        <f>VLOOKUP(F91,'[7]Sheet 2'!$B:$T,18,0)/VLOOKUP(F91,'[7]Sheet 2'!$B:$U,20,0)</f>
        <v>#N/A</v>
      </c>
      <c r="AU91" s="8" t="e">
        <f t="shared" si="54"/>
        <v>#N/A</v>
      </c>
      <c r="AV91" s="57"/>
      <c r="AW91" s="3"/>
      <c r="AX91" s="3"/>
      <c r="AY91" s="3"/>
      <c r="AZ91" s="3"/>
      <c r="BA91" s="3"/>
      <c r="BB91" s="3"/>
      <c r="BC91" s="3"/>
      <c r="BD91" s="8" t="e">
        <f t="shared" si="55"/>
        <v>#DIV/0!</v>
      </c>
      <c r="BE91" s="8" t="e">
        <f>VLOOKUP(F91,'[8]Sheet 2'!$B:$T,18,0)/VLOOKUP(F91,'[8]Sheet 2'!$B:$U,20,0)</f>
        <v>#N/A</v>
      </c>
      <c r="BF91" s="8" t="e">
        <f t="shared" si="56"/>
        <v>#N/A</v>
      </c>
      <c r="BG91" s="3"/>
      <c r="BH91" s="3"/>
      <c r="BI91" s="3"/>
      <c r="BJ91" s="3"/>
      <c r="BK91" s="3"/>
      <c r="BL91" s="3"/>
      <c r="BM91" s="3"/>
      <c r="BN91" s="3"/>
      <c r="BO91" s="8" t="e">
        <f t="shared" si="57"/>
        <v>#DIV/0!</v>
      </c>
      <c r="BP91" s="8" t="e">
        <f>VLOOKUP(F91,'[9]Sheet 2'!$B:$T,18,0)/VLOOKUP(F91,'[9]Sheet 2'!$B:$U,20,0)</f>
        <v>#N/A</v>
      </c>
      <c r="BQ91" s="8" t="e">
        <f t="shared" si="58"/>
        <v>#N/A</v>
      </c>
      <c r="BR91" s="3"/>
      <c r="BS91" s="3"/>
      <c r="BT91" s="3"/>
      <c r="BU91" s="3"/>
      <c r="BV91" s="3"/>
      <c r="BW91" s="3"/>
      <c r="BX91" s="3"/>
      <c r="BY91" s="3"/>
      <c r="BZ91" s="8" t="e">
        <f t="shared" si="59"/>
        <v>#DIV/0!</v>
      </c>
      <c r="CA91" s="8" t="e">
        <f>VLOOKUP(F91,'[10]Sheet 2'!$B:$T,18,0)/VLOOKUP(F91,'[10]Sheet 2'!$B:$U,20,0)</f>
        <v>#N/A</v>
      </c>
      <c r="CB91" s="8" t="e">
        <f t="shared" si="60"/>
        <v>#N/A</v>
      </c>
      <c r="CC91" s="23">
        <f t="shared" si="67"/>
        <v>25.133333333333333</v>
      </c>
      <c r="CD91" s="23">
        <f t="shared" si="68"/>
        <v>83.016666666666666</v>
      </c>
      <c r="CE91" s="20">
        <f t="shared" si="69"/>
        <v>41979</v>
      </c>
      <c r="CF91" s="20">
        <v>42114</v>
      </c>
      <c r="CG91" s="20">
        <f t="shared" si="70"/>
        <v>41999</v>
      </c>
      <c r="CH91" s="20">
        <v>42114</v>
      </c>
      <c r="CI91" s="21">
        <f t="shared" si="71"/>
        <v>-25</v>
      </c>
      <c r="CJ91" s="21">
        <f t="shared" si="72"/>
        <v>110</v>
      </c>
      <c r="CK91" s="30">
        <f t="shared" si="73"/>
        <v>136</v>
      </c>
      <c r="CL91" s="21">
        <f t="shared" si="74"/>
        <v>-5</v>
      </c>
      <c r="CM91" s="21">
        <f t="shared" si="42"/>
        <v>110</v>
      </c>
      <c r="CN91" s="19">
        <f t="shared" si="43"/>
        <v>116</v>
      </c>
    </row>
    <row r="92" spans="1:92" s="19" customFormat="1" hidden="1" x14ac:dyDescent="0.3">
      <c r="A92" s="3">
        <v>1</v>
      </c>
      <c r="B92" s="3"/>
      <c r="C92" s="3">
        <v>66</v>
      </c>
      <c r="D92" s="3" t="s">
        <v>97</v>
      </c>
      <c r="E92" s="9" t="s">
        <v>98</v>
      </c>
      <c r="F92" s="6" t="str">
        <f t="shared" si="49"/>
        <v>2019-35HU212015OTC</v>
      </c>
      <c r="G92" s="3" t="s">
        <v>99</v>
      </c>
      <c r="H92" s="3" t="s">
        <v>93</v>
      </c>
      <c r="I92" s="3" t="s">
        <v>93</v>
      </c>
      <c r="J92" s="3" t="s">
        <v>94</v>
      </c>
      <c r="K92" s="3" t="s">
        <v>107</v>
      </c>
      <c r="L92" s="3">
        <v>2015</v>
      </c>
      <c r="M92" s="3" t="s">
        <v>95</v>
      </c>
      <c r="N92" s="4" t="s">
        <v>49</v>
      </c>
      <c r="O92" s="3" t="s">
        <v>73</v>
      </c>
      <c r="P92" s="3"/>
      <c r="Q92" s="3"/>
      <c r="R92" s="3">
        <v>21.7</v>
      </c>
      <c r="S92" s="3"/>
      <c r="T92" s="3">
        <v>8</v>
      </c>
      <c r="U92" s="3">
        <v>120</v>
      </c>
      <c r="V92" s="3">
        <v>9</v>
      </c>
      <c r="W92" s="3">
        <f t="shared" si="65"/>
        <v>16.274999999999999</v>
      </c>
      <c r="X92" s="3" t="s">
        <v>63</v>
      </c>
      <c r="Y92" s="3"/>
      <c r="Z92" s="3">
        <v>266.00985221674898</v>
      </c>
      <c r="AA92" s="3" t="s">
        <v>78</v>
      </c>
      <c r="AB92" s="3"/>
      <c r="AC92" s="3"/>
      <c r="AD92" s="3">
        <v>320.19704433497498</v>
      </c>
      <c r="AE92" s="3" t="s">
        <v>78</v>
      </c>
      <c r="AF92" s="3"/>
      <c r="AG92" s="3"/>
      <c r="AH92" s="8">
        <f t="shared" si="51"/>
        <v>-0.16923076923076755</v>
      </c>
      <c r="AI92" s="8">
        <f>VLOOKUP(F92,'[6]Sheet 2'!$B:$T,18,0)/VLOOKUP(F92,'[6]Sheet 2'!$B:$U,20,0)</f>
        <v>401.60320747776626</v>
      </c>
      <c r="AJ92" s="8">
        <f t="shared" si="52"/>
        <v>-0.33763016015882807</v>
      </c>
      <c r="AK92" s="3"/>
      <c r="AL92" s="3"/>
      <c r="AM92" s="3"/>
      <c r="AN92" s="3"/>
      <c r="AO92" s="3"/>
      <c r="AP92" s="3"/>
      <c r="AQ92" s="3"/>
      <c r="AR92" s="3"/>
      <c r="AS92" s="8" t="e">
        <f t="shared" si="53"/>
        <v>#DIV/0!</v>
      </c>
      <c r="AT92" s="8" t="e">
        <f>VLOOKUP(F92,'[7]Sheet 2'!$B:$T,18,0)/VLOOKUP(F92,'[7]Sheet 2'!$B:$U,20,0)</f>
        <v>#N/A</v>
      </c>
      <c r="AU92" s="8" t="e">
        <f t="shared" si="54"/>
        <v>#N/A</v>
      </c>
      <c r="AV92" s="57"/>
      <c r="AW92" s="3"/>
      <c r="AX92" s="3"/>
      <c r="AY92" s="3"/>
      <c r="AZ92" s="3"/>
      <c r="BA92" s="3"/>
      <c r="BB92" s="3"/>
      <c r="BC92" s="3"/>
      <c r="BD92" s="8" t="e">
        <f t="shared" si="55"/>
        <v>#DIV/0!</v>
      </c>
      <c r="BE92" s="8" t="e">
        <f>VLOOKUP(F92,'[8]Sheet 2'!$B:$T,18,0)/VLOOKUP(F92,'[8]Sheet 2'!$B:$U,20,0)</f>
        <v>#N/A</v>
      </c>
      <c r="BF92" s="8" t="e">
        <f t="shared" si="56"/>
        <v>#N/A</v>
      </c>
      <c r="BG92" s="3"/>
      <c r="BH92" s="3"/>
      <c r="BI92" s="3"/>
      <c r="BJ92" s="3"/>
      <c r="BK92" s="3"/>
      <c r="BL92" s="3"/>
      <c r="BM92" s="3"/>
      <c r="BN92" s="3"/>
      <c r="BO92" s="8" t="e">
        <f t="shared" si="57"/>
        <v>#DIV/0!</v>
      </c>
      <c r="BP92" s="8" t="e">
        <f>VLOOKUP(F92,'[9]Sheet 2'!$B:$T,18,0)/VLOOKUP(F92,'[9]Sheet 2'!$B:$U,20,0)</f>
        <v>#N/A</v>
      </c>
      <c r="BQ92" s="8" t="e">
        <f t="shared" si="58"/>
        <v>#N/A</v>
      </c>
      <c r="BR92" s="3"/>
      <c r="BS92" s="3"/>
      <c r="BT92" s="3"/>
      <c r="BU92" s="3"/>
      <c r="BV92" s="3"/>
      <c r="BW92" s="3"/>
      <c r="BX92" s="3"/>
      <c r="BY92" s="3"/>
      <c r="BZ92" s="8" t="e">
        <f t="shared" si="59"/>
        <v>#DIV/0!</v>
      </c>
      <c r="CA92" s="8" t="e">
        <f>VLOOKUP(F92,'[10]Sheet 2'!$B:$T,18,0)/VLOOKUP(F92,'[10]Sheet 2'!$B:$U,20,0)</f>
        <v>#N/A</v>
      </c>
      <c r="CB92" s="8" t="e">
        <f t="shared" si="60"/>
        <v>#N/A</v>
      </c>
      <c r="CC92" s="23">
        <f t="shared" si="67"/>
        <v>25.133333333333333</v>
      </c>
      <c r="CD92" s="23">
        <f t="shared" si="68"/>
        <v>83.016666666666666</v>
      </c>
      <c r="CE92" s="20">
        <f t="shared" si="69"/>
        <v>41979</v>
      </c>
      <c r="CF92" s="20">
        <v>42114</v>
      </c>
      <c r="CG92" s="20">
        <f t="shared" si="70"/>
        <v>41999</v>
      </c>
      <c r="CH92" s="20">
        <v>42114</v>
      </c>
      <c r="CI92" s="21">
        <f t="shared" si="71"/>
        <v>-25</v>
      </c>
      <c r="CJ92" s="21">
        <f t="shared" si="72"/>
        <v>110</v>
      </c>
      <c r="CK92" s="30">
        <f t="shared" si="73"/>
        <v>136</v>
      </c>
      <c r="CL92" s="21">
        <f t="shared" si="74"/>
        <v>-5</v>
      </c>
      <c r="CM92" s="21">
        <f t="shared" si="42"/>
        <v>110</v>
      </c>
      <c r="CN92" s="19">
        <f t="shared" si="43"/>
        <v>116</v>
      </c>
    </row>
    <row r="93" spans="1:92" s="42" customFormat="1" hidden="1" x14ac:dyDescent="0.3">
      <c r="A93" s="31">
        <v>1</v>
      </c>
      <c r="B93" s="31"/>
      <c r="C93" s="31">
        <v>66</v>
      </c>
      <c r="D93" s="31" t="s">
        <v>97</v>
      </c>
      <c r="E93" s="43" t="s">
        <v>98</v>
      </c>
      <c r="F93" s="34" t="str">
        <f t="shared" si="49"/>
        <v>2019-35HU252015OTC</v>
      </c>
      <c r="G93" s="31" t="s">
        <v>99</v>
      </c>
      <c r="H93" s="31" t="s">
        <v>93</v>
      </c>
      <c r="I93" s="31" t="s">
        <v>93</v>
      </c>
      <c r="J93" s="31" t="s">
        <v>94</v>
      </c>
      <c r="K93" s="31" t="s">
        <v>108</v>
      </c>
      <c r="L93" s="31">
        <v>2015</v>
      </c>
      <c r="M93" s="31" t="s">
        <v>95</v>
      </c>
      <c r="N93" s="32" t="s">
        <v>49</v>
      </c>
      <c r="O93" s="31" t="s">
        <v>101</v>
      </c>
      <c r="P93" s="32" t="s">
        <v>267</v>
      </c>
      <c r="Q93" s="31"/>
      <c r="R93" s="31">
        <v>8</v>
      </c>
      <c r="S93" s="31"/>
      <c r="T93" s="31">
        <v>8</v>
      </c>
      <c r="U93" s="31">
        <v>120</v>
      </c>
      <c r="V93" s="31">
        <v>9</v>
      </c>
      <c r="W93" s="31">
        <f t="shared" si="65"/>
        <v>6</v>
      </c>
      <c r="X93" s="31" t="s">
        <v>63</v>
      </c>
      <c r="Y93" s="31"/>
      <c r="Z93" s="31">
        <v>310.34482758620697</v>
      </c>
      <c r="AA93" s="31" t="s">
        <v>78</v>
      </c>
      <c r="AB93" s="31"/>
      <c r="AC93" s="31"/>
      <c r="AD93" s="31">
        <v>310.34482758620697</v>
      </c>
      <c r="AE93" s="31" t="s">
        <v>78</v>
      </c>
      <c r="AF93" s="31"/>
      <c r="AG93" s="31"/>
      <c r="AH93" s="8">
        <f t="shared" si="51"/>
        <v>0</v>
      </c>
      <c r="AI93" s="8">
        <f>VLOOKUP(F93,'[6]Sheet 2'!$B:$T,18,0)/VLOOKUP(F93,'[6]Sheet 2'!$B:$U,20,0)</f>
        <v>382.34866510652739</v>
      </c>
      <c r="AJ93" s="8">
        <f t="shared" si="52"/>
        <v>-0.18831983498689395</v>
      </c>
      <c r="AK93" s="31"/>
      <c r="AL93" s="31"/>
      <c r="AM93" s="31"/>
      <c r="AN93" s="31"/>
      <c r="AO93" s="31"/>
      <c r="AP93" s="31"/>
      <c r="AQ93" s="31"/>
      <c r="AR93" s="31"/>
      <c r="AS93" s="8" t="e">
        <f t="shared" si="53"/>
        <v>#DIV/0!</v>
      </c>
      <c r="AT93" s="8" t="e">
        <f>VLOOKUP(F93,'[7]Sheet 2'!$B:$T,18,0)/VLOOKUP(F93,'[7]Sheet 2'!$B:$U,20,0)</f>
        <v>#N/A</v>
      </c>
      <c r="AU93" s="8" t="e">
        <f t="shared" si="54"/>
        <v>#N/A</v>
      </c>
      <c r="AV93" s="57"/>
      <c r="AW93" s="31"/>
      <c r="AX93" s="31"/>
      <c r="AY93" s="31"/>
      <c r="AZ93" s="31"/>
      <c r="BA93" s="31"/>
      <c r="BB93" s="31"/>
      <c r="BC93" s="31"/>
      <c r="BD93" s="8" t="e">
        <f t="shared" si="55"/>
        <v>#DIV/0!</v>
      </c>
      <c r="BE93" s="8" t="e">
        <f>VLOOKUP(F93,'[8]Sheet 2'!$B:$T,18,0)/VLOOKUP(F93,'[8]Sheet 2'!$B:$U,20,0)</f>
        <v>#N/A</v>
      </c>
      <c r="BF93" s="8" t="e">
        <f t="shared" si="56"/>
        <v>#N/A</v>
      </c>
      <c r="BG93" s="31"/>
      <c r="BH93" s="31"/>
      <c r="BI93" s="31"/>
      <c r="BJ93" s="31"/>
      <c r="BK93" s="31"/>
      <c r="BL93" s="31"/>
      <c r="BM93" s="31"/>
      <c r="BN93" s="31"/>
      <c r="BO93" s="8" t="e">
        <f t="shared" si="57"/>
        <v>#DIV/0!</v>
      </c>
      <c r="BP93" s="8" t="e">
        <f>VLOOKUP(F93,'[9]Sheet 2'!$B:$T,18,0)/VLOOKUP(F93,'[9]Sheet 2'!$B:$U,20,0)</f>
        <v>#N/A</v>
      </c>
      <c r="BQ93" s="8" t="e">
        <f t="shared" si="58"/>
        <v>#N/A</v>
      </c>
      <c r="BR93" s="31"/>
      <c r="BS93" s="31"/>
      <c r="BT93" s="31"/>
      <c r="BU93" s="31"/>
      <c r="BV93" s="31"/>
      <c r="BW93" s="31"/>
      <c r="BX93" s="31"/>
      <c r="BY93" s="31"/>
      <c r="BZ93" s="8" t="e">
        <f t="shared" si="59"/>
        <v>#DIV/0!</v>
      </c>
      <c r="CA93" s="8" t="e">
        <f>VLOOKUP(F93,'[10]Sheet 2'!$B:$T,18,0)/VLOOKUP(F93,'[10]Sheet 2'!$B:$U,20,0)</f>
        <v>#N/A</v>
      </c>
      <c r="CB93" s="8" t="e">
        <f t="shared" si="60"/>
        <v>#N/A</v>
      </c>
      <c r="CC93" s="54">
        <f t="shared" si="67"/>
        <v>25.133333333333333</v>
      </c>
      <c r="CD93" s="54">
        <f t="shared" si="68"/>
        <v>83.016666666666666</v>
      </c>
      <c r="CE93" s="38">
        <f t="shared" si="69"/>
        <v>41979</v>
      </c>
      <c r="CF93" s="38">
        <v>42114</v>
      </c>
      <c r="CG93" s="38">
        <f t="shared" si="70"/>
        <v>41999</v>
      </c>
      <c r="CH93" s="38">
        <v>42114</v>
      </c>
      <c r="CI93" s="40">
        <f t="shared" si="71"/>
        <v>-25</v>
      </c>
      <c r="CJ93" s="40">
        <f t="shared" si="72"/>
        <v>110</v>
      </c>
      <c r="CK93" s="41">
        <f t="shared" si="73"/>
        <v>136</v>
      </c>
      <c r="CL93" s="40">
        <f t="shared" si="74"/>
        <v>-5</v>
      </c>
      <c r="CM93" s="40">
        <f t="shared" si="42"/>
        <v>110</v>
      </c>
      <c r="CN93" s="42">
        <f t="shared" si="43"/>
        <v>116</v>
      </c>
    </row>
    <row r="94" spans="1:92" s="42" customFormat="1" hidden="1" x14ac:dyDescent="0.3">
      <c r="A94" s="31">
        <v>1</v>
      </c>
      <c r="B94" s="31"/>
      <c r="C94" s="31">
        <v>66</v>
      </c>
      <c r="D94" s="31" t="s">
        <v>97</v>
      </c>
      <c r="E94" s="43" t="s">
        <v>98</v>
      </c>
      <c r="F94" s="34" t="str">
        <f t="shared" si="49"/>
        <v>2019-35HU252015OTC</v>
      </c>
      <c r="G94" s="31" t="s">
        <v>99</v>
      </c>
      <c r="H94" s="31" t="s">
        <v>93</v>
      </c>
      <c r="I94" s="31" t="s">
        <v>93</v>
      </c>
      <c r="J94" s="31" t="s">
        <v>94</v>
      </c>
      <c r="K94" s="31" t="s">
        <v>108</v>
      </c>
      <c r="L94" s="31">
        <v>2015</v>
      </c>
      <c r="M94" s="31" t="s">
        <v>95</v>
      </c>
      <c r="N94" s="32" t="s">
        <v>49</v>
      </c>
      <c r="O94" s="31" t="s">
        <v>73</v>
      </c>
      <c r="P94" s="31"/>
      <c r="Q94" s="31"/>
      <c r="R94" s="31">
        <v>21.7</v>
      </c>
      <c r="S94" s="31"/>
      <c r="T94" s="31">
        <v>8</v>
      </c>
      <c r="U94" s="31">
        <v>120</v>
      </c>
      <c r="V94" s="31">
        <v>9</v>
      </c>
      <c r="W94" s="31">
        <f t="shared" si="65"/>
        <v>16.274999999999999</v>
      </c>
      <c r="X94" s="31" t="s">
        <v>63</v>
      </c>
      <c r="Y94" s="31"/>
      <c r="Z94" s="31">
        <v>248.76847290640401</v>
      </c>
      <c r="AA94" s="31" t="s">
        <v>78</v>
      </c>
      <c r="AB94" s="31"/>
      <c r="AC94" s="31"/>
      <c r="AD94" s="31">
        <v>310.34482758620697</v>
      </c>
      <c r="AE94" s="31" t="s">
        <v>78</v>
      </c>
      <c r="AF94" s="31"/>
      <c r="AG94" s="31"/>
      <c r="AH94" s="8">
        <f t="shared" si="51"/>
        <v>-0.19841269841269837</v>
      </c>
      <c r="AI94" s="8">
        <f>VLOOKUP(F94,'[6]Sheet 2'!$B:$T,18,0)/VLOOKUP(F94,'[6]Sheet 2'!$B:$U,20,0)</f>
        <v>382.34866510652739</v>
      </c>
      <c r="AJ94" s="8">
        <f t="shared" si="52"/>
        <v>-0.34936748677520862</v>
      </c>
      <c r="AK94" s="31"/>
      <c r="AL94" s="31"/>
      <c r="AM94" s="31"/>
      <c r="AN94" s="31"/>
      <c r="AO94" s="31"/>
      <c r="AP94" s="31"/>
      <c r="AQ94" s="31"/>
      <c r="AR94" s="31"/>
      <c r="AS94" s="8" t="e">
        <f t="shared" si="53"/>
        <v>#DIV/0!</v>
      </c>
      <c r="AT94" s="8" t="e">
        <f>VLOOKUP(F94,'[7]Sheet 2'!$B:$T,18,0)/VLOOKUP(F94,'[7]Sheet 2'!$B:$U,20,0)</f>
        <v>#N/A</v>
      </c>
      <c r="AU94" s="8" t="e">
        <f t="shared" si="54"/>
        <v>#N/A</v>
      </c>
      <c r="AV94" s="57"/>
      <c r="AW94" s="31"/>
      <c r="AX94" s="31"/>
      <c r="AY94" s="31"/>
      <c r="AZ94" s="31"/>
      <c r="BA94" s="31"/>
      <c r="BB94" s="31"/>
      <c r="BC94" s="31"/>
      <c r="BD94" s="8" t="e">
        <f t="shared" si="55"/>
        <v>#DIV/0!</v>
      </c>
      <c r="BE94" s="8" t="e">
        <f>VLOOKUP(F94,'[8]Sheet 2'!$B:$T,18,0)/VLOOKUP(F94,'[8]Sheet 2'!$B:$U,20,0)</f>
        <v>#N/A</v>
      </c>
      <c r="BF94" s="8" t="e">
        <f t="shared" si="56"/>
        <v>#N/A</v>
      </c>
      <c r="BG94" s="31"/>
      <c r="BH94" s="31"/>
      <c r="BI94" s="31"/>
      <c r="BJ94" s="31"/>
      <c r="BK94" s="31"/>
      <c r="BL94" s="31"/>
      <c r="BM94" s="31"/>
      <c r="BN94" s="31"/>
      <c r="BO94" s="8" t="e">
        <f t="shared" si="57"/>
        <v>#DIV/0!</v>
      </c>
      <c r="BP94" s="8" t="e">
        <f>VLOOKUP(F94,'[9]Sheet 2'!$B:$T,18,0)/VLOOKUP(F94,'[9]Sheet 2'!$B:$U,20,0)</f>
        <v>#N/A</v>
      </c>
      <c r="BQ94" s="8" t="e">
        <f t="shared" si="58"/>
        <v>#N/A</v>
      </c>
      <c r="BR94" s="31"/>
      <c r="BS94" s="31"/>
      <c r="BT94" s="31"/>
      <c r="BU94" s="31"/>
      <c r="BV94" s="31"/>
      <c r="BW94" s="31"/>
      <c r="BX94" s="31"/>
      <c r="BY94" s="31"/>
      <c r="BZ94" s="8" t="e">
        <f t="shared" si="59"/>
        <v>#DIV/0!</v>
      </c>
      <c r="CA94" s="8" t="e">
        <f>VLOOKUP(F94,'[10]Sheet 2'!$B:$T,18,0)/VLOOKUP(F94,'[10]Sheet 2'!$B:$U,20,0)</f>
        <v>#N/A</v>
      </c>
      <c r="CB94" s="8" t="e">
        <f t="shared" si="60"/>
        <v>#N/A</v>
      </c>
      <c r="CC94" s="54">
        <f t="shared" si="67"/>
        <v>25.133333333333333</v>
      </c>
      <c r="CD94" s="54">
        <f t="shared" si="68"/>
        <v>83.016666666666666</v>
      </c>
      <c r="CE94" s="38">
        <f t="shared" si="69"/>
        <v>41979</v>
      </c>
      <c r="CF94" s="38">
        <v>42114</v>
      </c>
      <c r="CG94" s="38">
        <f t="shared" si="70"/>
        <v>41999</v>
      </c>
      <c r="CH94" s="38">
        <v>42114</v>
      </c>
      <c r="CI94" s="40">
        <f t="shared" si="71"/>
        <v>-25</v>
      </c>
      <c r="CJ94" s="40">
        <f t="shared" si="72"/>
        <v>110</v>
      </c>
      <c r="CK94" s="41">
        <f t="shared" si="73"/>
        <v>136</v>
      </c>
      <c r="CL94" s="40">
        <f t="shared" si="74"/>
        <v>-5</v>
      </c>
      <c r="CM94" s="40">
        <f t="shared" si="42"/>
        <v>110</v>
      </c>
      <c r="CN94" s="42">
        <f t="shared" si="43"/>
        <v>116</v>
      </c>
    </row>
    <row r="95" spans="1:92" s="19" customFormat="1" hidden="1" x14ac:dyDescent="0.3">
      <c r="A95" s="3">
        <v>1</v>
      </c>
      <c r="B95" s="3"/>
      <c r="C95" s="3">
        <v>66</v>
      </c>
      <c r="D95" s="3" t="s">
        <v>97</v>
      </c>
      <c r="E95" s="9" t="s">
        <v>98</v>
      </c>
      <c r="F95" s="6" t="str">
        <f t="shared" si="49"/>
        <v>2019-35HU552015OTC</v>
      </c>
      <c r="G95" s="3" t="s">
        <v>99</v>
      </c>
      <c r="H95" s="3" t="s">
        <v>93</v>
      </c>
      <c r="I95" s="3" t="s">
        <v>93</v>
      </c>
      <c r="J95" s="3" t="s">
        <v>94</v>
      </c>
      <c r="K95" s="3" t="s">
        <v>109</v>
      </c>
      <c r="L95" s="3">
        <v>2015</v>
      </c>
      <c r="M95" s="3" t="s">
        <v>95</v>
      </c>
      <c r="N95" s="4" t="s">
        <v>49</v>
      </c>
      <c r="O95" s="3" t="s">
        <v>101</v>
      </c>
      <c r="P95" s="32" t="s">
        <v>267</v>
      </c>
      <c r="Q95" s="3"/>
      <c r="R95" s="3">
        <v>8</v>
      </c>
      <c r="S95" s="3"/>
      <c r="T95" s="3">
        <v>8</v>
      </c>
      <c r="U95" s="3">
        <v>120</v>
      </c>
      <c r="V95" s="3">
        <v>9</v>
      </c>
      <c r="W95" s="3">
        <f t="shared" si="65"/>
        <v>6</v>
      </c>
      <c r="X95" s="3" t="s">
        <v>63</v>
      </c>
      <c r="Y95" s="3"/>
      <c r="Z95" s="3">
        <v>347.290640394089</v>
      </c>
      <c r="AA95" s="3" t="s">
        <v>78</v>
      </c>
      <c r="AB95" s="3"/>
      <c r="AC95" s="3"/>
      <c r="AD95" s="3">
        <v>347.290640394089</v>
      </c>
      <c r="AE95" s="3" t="s">
        <v>78</v>
      </c>
      <c r="AF95" s="3"/>
      <c r="AG95" s="3"/>
      <c r="AH95" s="8">
        <f t="shared" si="51"/>
        <v>0</v>
      </c>
      <c r="AI95" s="8">
        <f>VLOOKUP(F95,'[6]Sheet 2'!$B:$T,18,0)/VLOOKUP(F95,'[6]Sheet 2'!$B:$U,20,0)</f>
        <v>425.92407263719252</v>
      </c>
      <c r="AJ95" s="8">
        <f t="shared" si="52"/>
        <v>-0.18461842683891802</v>
      </c>
      <c r="AK95" s="3"/>
      <c r="AL95" s="3"/>
      <c r="AM95" s="3"/>
      <c r="AN95" s="3"/>
      <c r="AO95" s="3"/>
      <c r="AP95" s="3"/>
      <c r="AQ95" s="3"/>
      <c r="AR95" s="3"/>
      <c r="AS95" s="8" t="e">
        <f t="shared" si="53"/>
        <v>#DIV/0!</v>
      </c>
      <c r="AT95" s="8" t="e">
        <f>VLOOKUP(F95,'[7]Sheet 2'!$B:$T,18,0)/VLOOKUP(F95,'[7]Sheet 2'!$B:$U,20,0)</f>
        <v>#N/A</v>
      </c>
      <c r="AU95" s="8" t="e">
        <f t="shared" si="54"/>
        <v>#N/A</v>
      </c>
      <c r="AV95" s="57"/>
      <c r="AW95" s="3"/>
      <c r="AX95" s="3"/>
      <c r="AY95" s="3"/>
      <c r="AZ95" s="3"/>
      <c r="BA95" s="3"/>
      <c r="BB95" s="3"/>
      <c r="BC95" s="3"/>
      <c r="BD95" s="8" t="e">
        <f t="shared" si="55"/>
        <v>#DIV/0!</v>
      </c>
      <c r="BE95" s="8" t="e">
        <f>VLOOKUP(F95,'[8]Sheet 2'!$B:$T,18,0)/VLOOKUP(F95,'[8]Sheet 2'!$B:$U,20,0)</f>
        <v>#N/A</v>
      </c>
      <c r="BF95" s="8" t="e">
        <f t="shared" si="56"/>
        <v>#N/A</v>
      </c>
      <c r="BG95" s="3"/>
      <c r="BH95" s="3"/>
      <c r="BI95" s="3"/>
      <c r="BJ95" s="3"/>
      <c r="BK95" s="3"/>
      <c r="BL95" s="3"/>
      <c r="BM95" s="3"/>
      <c r="BN95" s="3"/>
      <c r="BO95" s="8" t="e">
        <f t="shared" si="57"/>
        <v>#DIV/0!</v>
      </c>
      <c r="BP95" s="8" t="e">
        <f>VLOOKUP(F95,'[9]Sheet 2'!$B:$T,18,0)/VLOOKUP(F95,'[9]Sheet 2'!$B:$U,20,0)</f>
        <v>#N/A</v>
      </c>
      <c r="BQ95" s="8" t="e">
        <f t="shared" si="58"/>
        <v>#N/A</v>
      </c>
      <c r="BR95" s="3"/>
      <c r="BS95" s="3"/>
      <c r="BT95" s="3"/>
      <c r="BU95" s="3"/>
      <c r="BV95" s="3"/>
      <c r="BW95" s="3"/>
      <c r="BX95" s="3"/>
      <c r="BY95" s="3"/>
      <c r="BZ95" s="8" t="e">
        <f t="shared" si="59"/>
        <v>#DIV/0!</v>
      </c>
      <c r="CA95" s="8" t="e">
        <f>VLOOKUP(F95,'[10]Sheet 2'!$B:$T,18,0)/VLOOKUP(F95,'[10]Sheet 2'!$B:$U,20,0)</f>
        <v>#N/A</v>
      </c>
      <c r="CB95" s="8" t="e">
        <f t="shared" si="60"/>
        <v>#N/A</v>
      </c>
      <c r="CC95" s="23">
        <f t="shared" si="67"/>
        <v>25.133333333333333</v>
      </c>
      <c r="CD95" s="23">
        <f t="shared" si="68"/>
        <v>83.016666666666666</v>
      </c>
      <c r="CE95" s="20">
        <f t="shared" si="69"/>
        <v>41979</v>
      </c>
      <c r="CF95" s="20">
        <v>42114</v>
      </c>
      <c r="CG95" s="20">
        <f t="shared" si="70"/>
        <v>41999</v>
      </c>
      <c r="CH95" s="20">
        <v>42114</v>
      </c>
      <c r="CI95" s="21">
        <f t="shared" si="71"/>
        <v>-25</v>
      </c>
      <c r="CJ95" s="21">
        <f t="shared" si="72"/>
        <v>110</v>
      </c>
      <c r="CK95" s="30">
        <f t="shared" si="73"/>
        <v>136</v>
      </c>
      <c r="CL95" s="21">
        <f t="shared" si="74"/>
        <v>-5</v>
      </c>
      <c r="CM95" s="21">
        <f t="shared" si="42"/>
        <v>110</v>
      </c>
      <c r="CN95" s="19">
        <f t="shared" si="43"/>
        <v>116</v>
      </c>
    </row>
    <row r="96" spans="1:92" s="19" customFormat="1" hidden="1" x14ac:dyDescent="0.3">
      <c r="A96" s="3">
        <v>1</v>
      </c>
      <c r="B96" s="3"/>
      <c r="C96" s="3">
        <v>66</v>
      </c>
      <c r="D96" s="3" t="s">
        <v>97</v>
      </c>
      <c r="E96" s="9" t="s">
        <v>98</v>
      </c>
      <c r="F96" s="6" t="str">
        <f t="shared" si="49"/>
        <v>2019-35HU552015OTC</v>
      </c>
      <c r="G96" s="3" t="s">
        <v>99</v>
      </c>
      <c r="H96" s="3" t="s">
        <v>93</v>
      </c>
      <c r="I96" s="3" t="s">
        <v>93</v>
      </c>
      <c r="J96" s="3" t="s">
        <v>94</v>
      </c>
      <c r="K96" s="3" t="s">
        <v>109</v>
      </c>
      <c r="L96" s="3">
        <v>2015</v>
      </c>
      <c r="M96" s="3" t="s">
        <v>95</v>
      </c>
      <c r="N96" s="4" t="s">
        <v>49</v>
      </c>
      <c r="O96" s="3" t="s">
        <v>73</v>
      </c>
      <c r="P96" s="3"/>
      <c r="Q96" s="3"/>
      <c r="R96" s="3">
        <v>21.7</v>
      </c>
      <c r="S96" s="3"/>
      <c r="T96" s="3">
        <v>8</v>
      </c>
      <c r="U96" s="3">
        <v>120</v>
      </c>
      <c r="V96" s="3">
        <v>9</v>
      </c>
      <c r="W96" s="3">
        <f t="shared" si="65"/>
        <v>16.274999999999999</v>
      </c>
      <c r="X96" s="3" t="s">
        <v>63</v>
      </c>
      <c r="Y96" s="3"/>
      <c r="Z96" s="3">
        <v>275.86206896551698</v>
      </c>
      <c r="AA96" s="3" t="s">
        <v>78</v>
      </c>
      <c r="AB96" s="3"/>
      <c r="AC96" s="3"/>
      <c r="AD96" s="3">
        <v>347.290640394089</v>
      </c>
      <c r="AE96" s="3" t="s">
        <v>78</v>
      </c>
      <c r="AF96" s="3"/>
      <c r="AG96" s="3"/>
      <c r="AH96" s="8">
        <f t="shared" si="51"/>
        <v>-0.20567375886524972</v>
      </c>
      <c r="AI96" s="8">
        <f>VLOOKUP(F96,'[6]Sheet 2'!$B:$T,18,0)/VLOOKUP(F96,'[6]Sheet 2'!$B:$U,20,0)</f>
        <v>425.92407263719252</v>
      </c>
      <c r="AJ96" s="8">
        <f t="shared" si="52"/>
        <v>-0.35232101990041836</v>
      </c>
      <c r="AK96" s="3"/>
      <c r="AL96" s="3"/>
      <c r="AM96" s="3"/>
      <c r="AN96" s="3"/>
      <c r="AO96" s="3"/>
      <c r="AP96" s="3"/>
      <c r="AQ96" s="3"/>
      <c r="AR96" s="3"/>
      <c r="AS96" s="8" t="e">
        <f t="shared" si="53"/>
        <v>#DIV/0!</v>
      </c>
      <c r="AT96" s="8" t="e">
        <f>VLOOKUP(F96,'[7]Sheet 2'!$B:$T,18,0)/VLOOKUP(F96,'[7]Sheet 2'!$B:$U,20,0)</f>
        <v>#N/A</v>
      </c>
      <c r="AU96" s="8" t="e">
        <f t="shared" si="54"/>
        <v>#N/A</v>
      </c>
      <c r="AV96" s="57"/>
      <c r="AW96" s="3"/>
      <c r="AX96" s="3"/>
      <c r="AY96" s="3"/>
      <c r="AZ96" s="3"/>
      <c r="BA96" s="3"/>
      <c r="BB96" s="3"/>
      <c r="BC96" s="3"/>
      <c r="BD96" s="8" t="e">
        <f t="shared" si="55"/>
        <v>#DIV/0!</v>
      </c>
      <c r="BE96" s="8" t="e">
        <f>VLOOKUP(F96,'[8]Sheet 2'!$B:$T,18,0)/VLOOKUP(F96,'[8]Sheet 2'!$B:$U,20,0)</f>
        <v>#N/A</v>
      </c>
      <c r="BF96" s="8" t="e">
        <f t="shared" si="56"/>
        <v>#N/A</v>
      </c>
      <c r="BG96" s="3"/>
      <c r="BH96" s="3"/>
      <c r="BI96" s="3"/>
      <c r="BJ96" s="3"/>
      <c r="BK96" s="3"/>
      <c r="BL96" s="3"/>
      <c r="BM96" s="3"/>
      <c r="BN96" s="3"/>
      <c r="BO96" s="8" t="e">
        <f t="shared" si="57"/>
        <v>#DIV/0!</v>
      </c>
      <c r="BP96" s="8" t="e">
        <f>VLOOKUP(F96,'[9]Sheet 2'!$B:$T,18,0)/VLOOKUP(F96,'[9]Sheet 2'!$B:$U,20,0)</f>
        <v>#N/A</v>
      </c>
      <c r="BQ96" s="8" t="e">
        <f t="shared" si="58"/>
        <v>#N/A</v>
      </c>
      <c r="BR96" s="3"/>
      <c r="BS96" s="3"/>
      <c r="BT96" s="3"/>
      <c r="BU96" s="3"/>
      <c r="BV96" s="3"/>
      <c r="BW96" s="3"/>
      <c r="BX96" s="3"/>
      <c r="BY96" s="3"/>
      <c r="BZ96" s="8" t="e">
        <f t="shared" si="59"/>
        <v>#DIV/0!</v>
      </c>
      <c r="CA96" s="8" t="e">
        <f>VLOOKUP(F96,'[10]Sheet 2'!$B:$T,18,0)/VLOOKUP(F96,'[10]Sheet 2'!$B:$U,20,0)</f>
        <v>#N/A</v>
      </c>
      <c r="CB96" s="8" t="e">
        <f t="shared" si="60"/>
        <v>#N/A</v>
      </c>
      <c r="CC96" s="23">
        <f t="shared" si="67"/>
        <v>25.133333333333333</v>
      </c>
      <c r="CD96" s="23">
        <f t="shared" si="68"/>
        <v>83.016666666666666</v>
      </c>
      <c r="CE96" s="20">
        <f t="shared" si="69"/>
        <v>41979</v>
      </c>
      <c r="CF96" s="20">
        <v>42114</v>
      </c>
      <c r="CG96" s="20">
        <f t="shared" si="70"/>
        <v>41999</v>
      </c>
      <c r="CH96" s="20">
        <v>42114</v>
      </c>
      <c r="CI96" s="21">
        <f t="shared" si="71"/>
        <v>-25</v>
      </c>
      <c r="CJ96" s="21">
        <f t="shared" si="72"/>
        <v>110</v>
      </c>
      <c r="CK96" s="30">
        <f t="shared" si="73"/>
        <v>136</v>
      </c>
      <c r="CL96" s="21">
        <f t="shared" si="74"/>
        <v>-5</v>
      </c>
      <c r="CM96" s="21">
        <f t="shared" si="42"/>
        <v>110</v>
      </c>
      <c r="CN96" s="19">
        <f t="shared" si="43"/>
        <v>116</v>
      </c>
    </row>
    <row r="97" spans="1:95" s="42" customFormat="1" hidden="1" x14ac:dyDescent="0.3">
      <c r="A97" s="31">
        <v>1</v>
      </c>
      <c r="B97" s="31"/>
      <c r="C97" s="31">
        <v>66</v>
      </c>
      <c r="D97" s="31" t="s">
        <v>97</v>
      </c>
      <c r="E97" s="43" t="s">
        <v>98</v>
      </c>
      <c r="F97" s="34" t="str">
        <f t="shared" si="49"/>
        <v>2019-35KH652015OTC</v>
      </c>
      <c r="G97" s="31" t="s">
        <v>99</v>
      </c>
      <c r="H97" s="31" t="s">
        <v>93</v>
      </c>
      <c r="I97" s="31" t="s">
        <v>93</v>
      </c>
      <c r="J97" s="31" t="s">
        <v>94</v>
      </c>
      <c r="K97" s="31" t="s">
        <v>110</v>
      </c>
      <c r="L97" s="31">
        <v>2015</v>
      </c>
      <c r="M97" s="31" t="s">
        <v>95</v>
      </c>
      <c r="N97" s="32" t="s">
        <v>49</v>
      </c>
      <c r="O97" s="31" t="s">
        <v>101</v>
      </c>
      <c r="P97" s="32" t="s">
        <v>267</v>
      </c>
      <c r="Q97" s="31"/>
      <c r="R97" s="31">
        <v>8</v>
      </c>
      <c r="S97" s="31"/>
      <c r="T97" s="31">
        <v>8</v>
      </c>
      <c r="U97" s="31">
        <v>120</v>
      </c>
      <c r="V97" s="31">
        <v>9</v>
      </c>
      <c r="W97" s="31">
        <f t="shared" si="65"/>
        <v>6</v>
      </c>
      <c r="X97" s="31" t="s">
        <v>63</v>
      </c>
      <c r="Y97" s="31"/>
      <c r="Z97" s="31">
        <v>500</v>
      </c>
      <c r="AA97" s="31" t="s">
        <v>78</v>
      </c>
      <c r="AB97" s="31"/>
      <c r="AC97" s="31"/>
      <c r="AD97" s="31">
        <v>500</v>
      </c>
      <c r="AE97" s="31" t="s">
        <v>78</v>
      </c>
      <c r="AF97" s="31"/>
      <c r="AG97" s="31"/>
      <c r="AH97" s="8">
        <f t="shared" si="51"/>
        <v>0</v>
      </c>
      <c r="AI97" s="8">
        <f>VLOOKUP(F97,'[6]Sheet 2'!$B:$T,18,0)/VLOOKUP(F97,'[6]Sheet 2'!$B:$U,20,0)</f>
        <v>650.71844866588469</v>
      </c>
      <c r="AJ97" s="8">
        <f t="shared" si="52"/>
        <v>-0.23161852714471293</v>
      </c>
      <c r="AK97" s="31"/>
      <c r="AL97" s="31"/>
      <c r="AM97" s="31"/>
      <c r="AN97" s="31"/>
      <c r="AO97" s="31"/>
      <c r="AP97" s="31"/>
      <c r="AQ97" s="31"/>
      <c r="AR97" s="31"/>
      <c r="AS97" s="8" t="e">
        <f t="shared" si="53"/>
        <v>#DIV/0!</v>
      </c>
      <c r="AT97" s="8" t="e">
        <f>VLOOKUP(F97,'[7]Sheet 2'!$B:$T,18,0)/VLOOKUP(F97,'[7]Sheet 2'!$B:$U,20,0)</f>
        <v>#N/A</v>
      </c>
      <c r="AU97" s="8" t="e">
        <f t="shared" si="54"/>
        <v>#N/A</v>
      </c>
      <c r="AV97" s="57"/>
      <c r="AW97" s="31"/>
      <c r="AX97" s="31"/>
      <c r="AY97" s="31"/>
      <c r="AZ97" s="31"/>
      <c r="BA97" s="31"/>
      <c r="BB97" s="31"/>
      <c r="BC97" s="31"/>
      <c r="BD97" s="8" t="e">
        <f t="shared" si="55"/>
        <v>#DIV/0!</v>
      </c>
      <c r="BE97" s="8" t="e">
        <f>VLOOKUP(F97,'[8]Sheet 2'!$B:$T,18,0)/VLOOKUP(F97,'[8]Sheet 2'!$B:$U,20,0)</f>
        <v>#N/A</v>
      </c>
      <c r="BF97" s="8" t="e">
        <f t="shared" si="56"/>
        <v>#N/A</v>
      </c>
      <c r="BG97" s="31"/>
      <c r="BH97" s="31"/>
      <c r="BI97" s="31"/>
      <c r="BJ97" s="31"/>
      <c r="BK97" s="31"/>
      <c r="BL97" s="31"/>
      <c r="BM97" s="31"/>
      <c r="BN97" s="31"/>
      <c r="BO97" s="8" t="e">
        <f t="shared" si="57"/>
        <v>#DIV/0!</v>
      </c>
      <c r="BP97" s="8" t="e">
        <f>VLOOKUP(F97,'[9]Sheet 2'!$B:$T,18,0)/VLOOKUP(F97,'[9]Sheet 2'!$B:$U,20,0)</f>
        <v>#N/A</v>
      </c>
      <c r="BQ97" s="8" t="e">
        <f t="shared" si="58"/>
        <v>#N/A</v>
      </c>
      <c r="BR97" s="31"/>
      <c r="BS97" s="31"/>
      <c r="BT97" s="31"/>
      <c r="BU97" s="31"/>
      <c r="BV97" s="31"/>
      <c r="BW97" s="31"/>
      <c r="BX97" s="31"/>
      <c r="BY97" s="31"/>
      <c r="BZ97" s="8" t="e">
        <f t="shared" si="59"/>
        <v>#DIV/0!</v>
      </c>
      <c r="CA97" s="8" t="e">
        <f>VLOOKUP(F97,'[10]Sheet 2'!$B:$T,18,0)/VLOOKUP(F97,'[10]Sheet 2'!$B:$U,20,0)</f>
        <v>#N/A</v>
      </c>
      <c r="CB97" s="8" t="e">
        <f t="shared" si="60"/>
        <v>#N/A</v>
      </c>
      <c r="CC97" s="54">
        <f t="shared" si="67"/>
        <v>25.133333333333333</v>
      </c>
      <c r="CD97" s="54">
        <f t="shared" si="68"/>
        <v>83.016666666666666</v>
      </c>
      <c r="CE97" s="38">
        <f t="shared" si="69"/>
        <v>41979</v>
      </c>
      <c r="CF97" s="38">
        <v>42114</v>
      </c>
      <c r="CG97" s="38">
        <f t="shared" si="70"/>
        <v>41999</v>
      </c>
      <c r="CH97" s="38">
        <v>42114</v>
      </c>
      <c r="CI97" s="40">
        <f t="shared" si="71"/>
        <v>-25</v>
      </c>
      <c r="CJ97" s="40">
        <f t="shared" si="72"/>
        <v>110</v>
      </c>
      <c r="CK97" s="41">
        <f t="shared" si="73"/>
        <v>136</v>
      </c>
      <c r="CL97" s="40">
        <f t="shared" si="74"/>
        <v>-5</v>
      </c>
      <c r="CM97" s="40">
        <f t="shared" si="42"/>
        <v>110</v>
      </c>
      <c r="CN97" s="42">
        <f t="shared" si="43"/>
        <v>116</v>
      </c>
    </row>
    <row r="98" spans="1:95" s="42" customFormat="1" hidden="1" x14ac:dyDescent="0.3">
      <c r="A98" s="31">
        <v>1</v>
      </c>
      <c r="B98" s="31"/>
      <c r="C98" s="31">
        <v>66</v>
      </c>
      <c r="D98" s="31" t="s">
        <v>97</v>
      </c>
      <c r="E98" s="43" t="s">
        <v>98</v>
      </c>
      <c r="F98" s="34" t="str">
        <f t="shared" si="49"/>
        <v>2019-35KH652015OTC</v>
      </c>
      <c r="G98" s="31" t="s">
        <v>99</v>
      </c>
      <c r="H98" s="31" t="s">
        <v>93</v>
      </c>
      <c r="I98" s="31" t="s">
        <v>93</v>
      </c>
      <c r="J98" s="31" t="s">
        <v>94</v>
      </c>
      <c r="K98" s="31" t="s">
        <v>110</v>
      </c>
      <c r="L98" s="31">
        <v>2015</v>
      </c>
      <c r="M98" s="31" t="s">
        <v>95</v>
      </c>
      <c r="N98" s="32" t="s">
        <v>49</v>
      </c>
      <c r="O98" s="31" t="s">
        <v>73</v>
      </c>
      <c r="P98" s="31"/>
      <c r="Q98" s="31"/>
      <c r="R98" s="31">
        <v>21.7</v>
      </c>
      <c r="S98" s="31"/>
      <c r="T98" s="31">
        <v>8</v>
      </c>
      <c r="U98" s="31">
        <v>120</v>
      </c>
      <c r="V98" s="31">
        <v>9</v>
      </c>
      <c r="W98" s="31">
        <f t="shared" si="65"/>
        <v>16.274999999999999</v>
      </c>
      <c r="X98" s="31" t="s">
        <v>63</v>
      </c>
      <c r="Y98" s="31"/>
      <c r="Z98" s="31">
        <v>447.236180904523</v>
      </c>
      <c r="AA98" s="31" t="s">
        <v>78</v>
      </c>
      <c r="AB98" s="31"/>
      <c r="AC98" s="31"/>
      <c r="AD98" s="31">
        <v>500</v>
      </c>
      <c r="AE98" s="31" t="s">
        <v>78</v>
      </c>
      <c r="AF98" s="31"/>
      <c r="AG98" s="31"/>
      <c r="AH98" s="8">
        <f t="shared" si="51"/>
        <v>-0.10552763819095401</v>
      </c>
      <c r="AI98" s="8">
        <f>VLOOKUP(F98,'[6]Sheet 2'!$B:$T,18,0)/VLOOKUP(F98,'[6]Sheet 2'!$B:$U,20,0)</f>
        <v>650.71844866588469</v>
      </c>
      <c r="AJ98" s="8">
        <f t="shared" si="52"/>
        <v>-0.312704009204818</v>
      </c>
      <c r="AK98" s="31"/>
      <c r="AL98" s="31"/>
      <c r="AM98" s="31"/>
      <c r="AN98" s="31"/>
      <c r="AO98" s="31"/>
      <c r="AP98" s="31"/>
      <c r="AQ98" s="31"/>
      <c r="AR98" s="31"/>
      <c r="AS98" s="8" t="e">
        <f t="shared" si="53"/>
        <v>#DIV/0!</v>
      </c>
      <c r="AT98" s="8" t="e">
        <f>VLOOKUP(F98,'[7]Sheet 2'!$B:$T,18,0)/VLOOKUP(F98,'[7]Sheet 2'!$B:$U,20,0)</f>
        <v>#N/A</v>
      </c>
      <c r="AU98" s="8" t="e">
        <f t="shared" si="54"/>
        <v>#N/A</v>
      </c>
      <c r="AV98" s="57"/>
      <c r="AW98" s="31"/>
      <c r="AX98" s="31"/>
      <c r="AY98" s="31"/>
      <c r="AZ98" s="31"/>
      <c r="BA98" s="31"/>
      <c r="BB98" s="31"/>
      <c r="BC98" s="31"/>
      <c r="BD98" s="8" t="e">
        <f t="shared" si="55"/>
        <v>#DIV/0!</v>
      </c>
      <c r="BE98" s="8" t="e">
        <f>VLOOKUP(F98,'[8]Sheet 2'!$B:$T,18,0)/VLOOKUP(F98,'[8]Sheet 2'!$B:$U,20,0)</f>
        <v>#N/A</v>
      </c>
      <c r="BF98" s="8" t="e">
        <f t="shared" si="56"/>
        <v>#N/A</v>
      </c>
      <c r="BG98" s="31"/>
      <c r="BH98" s="31"/>
      <c r="BI98" s="31"/>
      <c r="BJ98" s="31"/>
      <c r="BK98" s="31"/>
      <c r="BL98" s="31"/>
      <c r="BM98" s="31"/>
      <c r="BN98" s="31"/>
      <c r="BO98" s="8" t="e">
        <f t="shared" si="57"/>
        <v>#DIV/0!</v>
      </c>
      <c r="BP98" s="8" t="e">
        <f>VLOOKUP(F98,'[9]Sheet 2'!$B:$T,18,0)/VLOOKUP(F98,'[9]Sheet 2'!$B:$U,20,0)</f>
        <v>#N/A</v>
      </c>
      <c r="BQ98" s="8" t="e">
        <f t="shared" si="58"/>
        <v>#N/A</v>
      </c>
      <c r="BR98" s="31"/>
      <c r="BS98" s="31"/>
      <c r="BT98" s="31"/>
      <c r="BU98" s="31"/>
      <c r="BV98" s="31"/>
      <c r="BW98" s="31"/>
      <c r="BX98" s="31"/>
      <c r="BY98" s="31"/>
      <c r="BZ98" s="8" t="e">
        <f t="shared" si="59"/>
        <v>#DIV/0!</v>
      </c>
      <c r="CA98" s="8" t="e">
        <f>VLOOKUP(F98,'[10]Sheet 2'!$B:$T,18,0)/VLOOKUP(F98,'[10]Sheet 2'!$B:$U,20,0)</f>
        <v>#N/A</v>
      </c>
      <c r="CB98" s="8" t="e">
        <f t="shared" si="60"/>
        <v>#N/A</v>
      </c>
      <c r="CC98" s="54">
        <f t="shared" si="67"/>
        <v>25.133333333333333</v>
      </c>
      <c r="CD98" s="54">
        <f t="shared" si="68"/>
        <v>83.016666666666666</v>
      </c>
      <c r="CE98" s="38">
        <f t="shared" si="69"/>
        <v>41979</v>
      </c>
      <c r="CF98" s="38">
        <v>42114</v>
      </c>
      <c r="CG98" s="38">
        <f t="shared" si="70"/>
        <v>41999</v>
      </c>
      <c r="CH98" s="38">
        <v>42114</v>
      </c>
      <c r="CI98" s="40">
        <f t="shared" si="71"/>
        <v>-25</v>
      </c>
      <c r="CJ98" s="40">
        <f t="shared" si="72"/>
        <v>110</v>
      </c>
      <c r="CK98" s="41">
        <f t="shared" si="73"/>
        <v>136</v>
      </c>
      <c r="CL98" s="40">
        <f t="shared" si="74"/>
        <v>-5</v>
      </c>
      <c r="CM98" s="40">
        <f t="shared" si="42"/>
        <v>110</v>
      </c>
      <c r="CN98" s="42">
        <f t="shared" si="43"/>
        <v>116</v>
      </c>
    </row>
    <row r="99" spans="1:95" s="19" customFormat="1" hidden="1" x14ac:dyDescent="0.3">
      <c r="A99" s="3">
        <v>1</v>
      </c>
      <c r="B99" s="3"/>
      <c r="C99" s="3">
        <v>66</v>
      </c>
      <c r="D99" s="3" t="s">
        <v>97</v>
      </c>
      <c r="E99" s="9" t="s">
        <v>98</v>
      </c>
      <c r="F99" s="6" t="str">
        <f t="shared" si="49"/>
        <v>2019-35KUND2015OTC</v>
      </c>
      <c r="G99" s="3" t="s">
        <v>99</v>
      </c>
      <c r="H99" s="3" t="s">
        <v>93</v>
      </c>
      <c r="I99" s="3" t="s">
        <v>93</v>
      </c>
      <c r="J99" s="3" t="s">
        <v>94</v>
      </c>
      <c r="K99" s="3" t="s">
        <v>111</v>
      </c>
      <c r="L99" s="3">
        <v>2015</v>
      </c>
      <c r="M99" s="3" t="s">
        <v>95</v>
      </c>
      <c r="N99" s="4" t="s">
        <v>49</v>
      </c>
      <c r="O99" s="3" t="s">
        <v>101</v>
      </c>
      <c r="P99" s="32" t="s">
        <v>267</v>
      </c>
      <c r="Q99" s="3"/>
      <c r="R99" s="3">
        <v>8</v>
      </c>
      <c r="S99" s="3"/>
      <c r="T99" s="3">
        <v>8</v>
      </c>
      <c r="U99" s="3">
        <v>120</v>
      </c>
      <c r="V99" s="3">
        <v>9</v>
      </c>
      <c r="W99" s="3">
        <f t="shared" si="65"/>
        <v>6</v>
      </c>
      <c r="X99" s="3" t="s">
        <v>63</v>
      </c>
      <c r="Y99" s="3"/>
      <c r="Z99" s="3">
        <v>280.78817733990098</v>
      </c>
      <c r="AA99" s="3" t="s">
        <v>78</v>
      </c>
      <c r="AB99" s="3"/>
      <c r="AC99" s="3"/>
      <c r="AD99" s="3">
        <v>280.78817733990098</v>
      </c>
      <c r="AE99" s="3" t="s">
        <v>78</v>
      </c>
      <c r="AF99" s="3"/>
      <c r="AG99" s="3"/>
      <c r="AH99" s="8">
        <f t="shared" si="51"/>
        <v>0</v>
      </c>
      <c r="AI99" s="8">
        <f>VLOOKUP(F99,'[6]Sheet 2'!$B:$T,18,0)/VLOOKUP(F99,'[6]Sheet 2'!$B:$U,20,0)</f>
        <v>361.88121893531218</v>
      </c>
      <c r="AJ99" s="8">
        <f t="shared" si="52"/>
        <v>-0.224087455640816</v>
      </c>
      <c r="AK99" s="3"/>
      <c r="AL99" s="3"/>
      <c r="AM99" s="3"/>
      <c r="AN99" s="3"/>
      <c r="AO99" s="3"/>
      <c r="AP99" s="3"/>
      <c r="AQ99" s="3"/>
      <c r="AR99" s="3"/>
      <c r="AS99" s="8" t="e">
        <f t="shared" si="53"/>
        <v>#DIV/0!</v>
      </c>
      <c r="AT99" s="8" t="e">
        <f>VLOOKUP(F99,'[7]Sheet 2'!$B:$T,18,0)/VLOOKUP(F99,'[7]Sheet 2'!$B:$U,20,0)</f>
        <v>#N/A</v>
      </c>
      <c r="AU99" s="8" t="e">
        <f t="shared" si="54"/>
        <v>#N/A</v>
      </c>
      <c r="AV99" s="57"/>
      <c r="AW99" s="3"/>
      <c r="AX99" s="3"/>
      <c r="AY99" s="3"/>
      <c r="AZ99" s="3"/>
      <c r="BA99" s="3"/>
      <c r="BB99" s="3"/>
      <c r="BC99" s="3"/>
      <c r="BD99" s="8" t="e">
        <f t="shared" si="55"/>
        <v>#DIV/0!</v>
      </c>
      <c r="BE99" s="8" t="e">
        <f>VLOOKUP(F99,'[8]Sheet 2'!$B:$T,18,0)/VLOOKUP(F99,'[8]Sheet 2'!$B:$U,20,0)</f>
        <v>#N/A</v>
      </c>
      <c r="BF99" s="8" t="e">
        <f t="shared" si="56"/>
        <v>#N/A</v>
      </c>
      <c r="BG99" s="3"/>
      <c r="BH99" s="3"/>
      <c r="BI99" s="3"/>
      <c r="BJ99" s="3"/>
      <c r="BK99" s="3"/>
      <c r="BL99" s="3"/>
      <c r="BM99" s="3"/>
      <c r="BN99" s="3"/>
      <c r="BO99" s="8" t="e">
        <f t="shared" si="57"/>
        <v>#DIV/0!</v>
      </c>
      <c r="BP99" s="8" t="e">
        <f>VLOOKUP(F99,'[9]Sheet 2'!$B:$T,18,0)/VLOOKUP(F99,'[9]Sheet 2'!$B:$U,20,0)</f>
        <v>#N/A</v>
      </c>
      <c r="BQ99" s="8" t="e">
        <f t="shared" si="58"/>
        <v>#N/A</v>
      </c>
      <c r="BR99" s="3"/>
      <c r="BS99" s="3"/>
      <c r="BT99" s="3"/>
      <c r="BU99" s="3"/>
      <c r="BV99" s="3"/>
      <c r="BW99" s="3"/>
      <c r="BX99" s="3"/>
      <c r="BY99" s="3"/>
      <c r="BZ99" s="8" t="e">
        <f t="shared" si="59"/>
        <v>#DIV/0!</v>
      </c>
      <c r="CA99" s="8" t="e">
        <f>VLOOKUP(F99,'[10]Sheet 2'!$B:$T,18,0)/VLOOKUP(F99,'[10]Sheet 2'!$B:$U,20,0)</f>
        <v>#N/A</v>
      </c>
      <c r="CB99" s="8" t="e">
        <f t="shared" si="60"/>
        <v>#N/A</v>
      </c>
      <c r="CC99" s="23">
        <f t="shared" si="67"/>
        <v>25.133333333333333</v>
      </c>
      <c r="CD99" s="23">
        <f t="shared" si="68"/>
        <v>83.016666666666666</v>
      </c>
      <c r="CE99" s="20">
        <f t="shared" si="69"/>
        <v>41979</v>
      </c>
      <c r="CF99" s="20">
        <v>42114</v>
      </c>
      <c r="CG99" s="20">
        <f t="shared" si="70"/>
        <v>41999</v>
      </c>
      <c r="CH99" s="20">
        <v>42114</v>
      </c>
      <c r="CI99" s="21">
        <f t="shared" si="71"/>
        <v>-25</v>
      </c>
      <c r="CJ99" s="21">
        <f t="shared" si="72"/>
        <v>110</v>
      </c>
      <c r="CK99" s="30">
        <f t="shared" si="73"/>
        <v>136</v>
      </c>
      <c r="CL99" s="21">
        <f t="shared" si="74"/>
        <v>-5</v>
      </c>
      <c r="CM99" s="21">
        <f t="shared" si="42"/>
        <v>110</v>
      </c>
      <c r="CN99" s="19">
        <f t="shared" si="43"/>
        <v>116</v>
      </c>
    </row>
    <row r="100" spans="1:95" s="19" customFormat="1" hidden="1" x14ac:dyDescent="0.3">
      <c r="A100" s="3">
        <v>1</v>
      </c>
      <c r="B100" s="3"/>
      <c r="C100" s="3">
        <v>66</v>
      </c>
      <c r="D100" s="3" t="s">
        <v>97</v>
      </c>
      <c r="E100" s="9" t="s">
        <v>98</v>
      </c>
      <c r="F100" s="6" t="str">
        <f t="shared" si="49"/>
        <v>2019-35KUND2015OTC</v>
      </c>
      <c r="G100" s="3" t="s">
        <v>99</v>
      </c>
      <c r="H100" s="3" t="s">
        <v>93</v>
      </c>
      <c r="I100" s="3" t="s">
        <v>93</v>
      </c>
      <c r="J100" s="3" t="s">
        <v>94</v>
      </c>
      <c r="K100" s="3" t="s">
        <v>111</v>
      </c>
      <c r="L100" s="3">
        <v>2015</v>
      </c>
      <c r="M100" s="3" t="s">
        <v>95</v>
      </c>
      <c r="N100" s="4" t="s">
        <v>49</v>
      </c>
      <c r="O100" s="3" t="s">
        <v>73</v>
      </c>
      <c r="P100" s="3"/>
      <c r="Q100" s="3"/>
      <c r="R100" s="3">
        <v>21.7</v>
      </c>
      <c r="S100" s="3"/>
      <c r="T100" s="3">
        <v>8</v>
      </c>
      <c r="U100" s="3">
        <v>120</v>
      </c>
      <c r="V100" s="3">
        <v>9</v>
      </c>
      <c r="W100" s="3">
        <f t="shared" si="65"/>
        <v>16.274999999999999</v>
      </c>
      <c r="X100" s="3" t="s">
        <v>63</v>
      </c>
      <c r="Y100" s="3"/>
      <c r="Z100" s="3">
        <v>246.30541871921201</v>
      </c>
      <c r="AA100" s="3" t="s">
        <v>78</v>
      </c>
      <c r="AB100" s="3"/>
      <c r="AC100" s="3"/>
      <c r="AD100" s="3">
        <v>280.78817733990098</v>
      </c>
      <c r="AE100" s="3" t="s">
        <v>78</v>
      </c>
      <c r="AF100" s="3"/>
      <c r="AG100" s="3"/>
      <c r="AH100" s="8">
        <f t="shared" si="51"/>
        <v>-0.12280701754385742</v>
      </c>
      <c r="AI100" s="8">
        <f>VLOOKUP(F100,'[6]Sheet 2'!$B:$T,18,0)/VLOOKUP(F100,'[6]Sheet 2'!$B:$U,20,0)</f>
        <v>361.88121893531218</v>
      </c>
      <c r="AJ100" s="8">
        <f t="shared" si="52"/>
        <v>-0.31937496108843338</v>
      </c>
      <c r="AK100" s="3"/>
      <c r="AL100" s="3"/>
      <c r="AM100" s="3"/>
      <c r="AN100" s="3"/>
      <c r="AO100" s="3"/>
      <c r="AP100" s="3"/>
      <c r="AQ100" s="3"/>
      <c r="AR100" s="3"/>
      <c r="AS100" s="8" t="e">
        <f t="shared" si="53"/>
        <v>#DIV/0!</v>
      </c>
      <c r="AT100" s="8" t="e">
        <f>VLOOKUP(F100,'[7]Sheet 2'!$B:$T,18,0)/VLOOKUP(F100,'[7]Sheet 2'!$B:$U,20,0)</f>
        <v>#N/A</v>
      </c>
      <c r="AU100" s="8" t="e">
        <f t="shared" si="54"/>
        <v>#N/A</v>
      </c>
      <c r="AV100" s="57"/>
      <c r="AW100" s="3"/>
      <c r="AX100" s="3"/>
      <c r="AY100" s="3"/>
      <c r="AZ100" s="3"/>
      <c r="BA100" s="3"/>
      <c r="BB100" s="3"/>
      <c r="BC100" s="3"/>
      <c r="BD100" s="8" t="e">
        <f t="shared" si="55"/>
        <v>#DIV/0!</v>
      </c>
      <c r="BE100" s="8" t="e">
        <f>VLOOKUP(F100,'[8]Sheet 2'!$B:$T,18,0)/VLOOKUP(F100,'[8]Sheet 2'!$B:$U,20,0)</f>
        <v>#N/A</v>
      </c>
      <c r="BF100" s="8" t="e">
        <f t="shared" si="56"/>
        <v>#N/A</v>
      </c>
      <c r="BG100" s="3"/>
      <c r="BH100" s="3"/>
      <c r="BI100" s="3"/>
      <c r="BJ100" s="3"/>
      <c r="BK100" s="3"/>
      <c r="BL100" s="3"/>
      <c r="BM100" s="3"/>
      <c r="BN100" s="3"/>
      <c r="BO100" s="8" t="e">
        <f t="shared" si="57"/>
        <v>#DIV/0!</v>
      </c>
      <c r="BP100" s="8" t="e">
        <f>VLOOKUP(F100,'[9]Sheet 2'!$B:$T,18,0)/VLOOKUP(F100,'[9]Sheet 2'!$B:$U,20,0)</f>
        <v>#N/A</v>
      </c>
      <c r="BQ100" s="8" t="e">
        <f t="shared" si="58"/>
        <v>#N/A</v>
      </c>
      <c r="BR100" s="3"/>
      <c r="BS100" s="3"/>
      <c r="BT100" s="3"/>
      <c r="BU100" s="3"/>
      <c r="BV100" s="3"/>
      <c r="BW100" s="3"/>
      <c r="BX100" s="3"/>
      <c r="BY100" s="3"/>
      <c r="BZ100" s="8" t="e">
        <f t="shared" si="59"/>
        <v>#DIV/0!</v>
      </c>
      <c r="CA100" s="8" t="e">
        <f>VLOOKUP(F100,'[10]Sheet 2'!$B:$T,18,0)/VLOOKUP(F100,'[10]Sheet 2'!$B:$U,20,0)</f>
        <v>#N/A</v>
      </c>
      <c r="CB100" s="8" t="e">
        <f t="shared" si="60"/>
        <v>#N/A</v>
      </c>
      <c r="CC100" s="23">
        <f t="shared" si="67"/>
        <v>25.133333333333333</v>
      </c>
      <c r="CD100" s="23">
        <f t="shared" si="68"/>
        <v>83.016666666666666</v>
      </c>
      <c r="CE100" s="20">
        <f t="shared" si="69"/>
        <v>41979</v>
      </c>
      <c r="CF100" s="20">
        <v>42114</v>
      </c>
      <c r="CG100" s="20">
        <f t="shared" si="70"/>
        <v>41999</v>
      </c>
      <c r="CH100" s="20">
        <v>42114</v>
      </c>
      <c r="CI100" s="21">
        <f t="shared" si="71"/>
        <v>-25</v>
      </c>
      <c r="CJ100" s="21">
        <f t="shared" si="72"/>
        <v>110</v>
      </c>
      <c r="CK100" s="30">
        <f t="shared" si="73"/>
        <v>136</v>
      </c>
      <c r="CL100" s="21">
        <f t="shared" si="74"/>
        <v>-5</v>
      </c>
      <c r="CM100" s="21">
        <f t="shared" si="42"/>
        <v>110</v>
      </c>
      <c r="CN100" s="19">
        <f t="shared" si="43"/>
        <v>116</v>
      </c>
    </row>
    <row r="101" spans="1:95" s="42" customFormat="1" hidden="1" x14ac:dyDescent="0.3">
      <c r="A101" s="31">
        <v>1</v>
      </c>
      <c r="B101" s="31"/>
      <c r="C101" s="31">
        <v>66</v>
      </c>
      <c r="D101" s="31" t="s">
        <v>97</v>
      </c>
      <c r="E101" s="43" t="s">
        <v>98</v>
      </c>
      <c r="F101" s="34" t="str">
        <f t="shared" si="49"/>
        <v>2019-35NI342015OTC</v>
      </c>
      <c r="G101" s="31" t="s">
        <v>99</v>
      </c>
      <c r="H101" s="31" t="s">
        <v>93</v>
      </c>
      <c r="I101" s="31" t="s">
        <v>93</v>
      </c>
      <c r="J101" s="31" t="s">
        <v>94</v>
      </c>
      <c r="K101" s="31" t="s">
        <v>112</v>
      </c>
      <c r="L101" s="31">
        <v>2015</v>
      </c>
      <c r="M101" s="31" t="s">
        <v>95</v>
      </c>
      <c r="N101" s="32" t="s">
        <v>49</v>
      </c>
      <c r="O101" s="31" t="s">
        <v>101</v>
      </c>
      <c r="P101" s="32" t="s">
        <v>267</v>
      </c>
      <c r="Q101" s="31"/>
      <c r="R101" s="31">
        <v>8</v>
      </c>
      <c r="S101" s="31"/>
      <c r="T101" s="31">
        <v>8</v>
      </c>
      <c r="U101" s="31">
        <v>120</v>
      </c>
      <c r="V101" s="31">
        <v>9</v>
      </c>
      <c r="W101" s="31">
        <f t="shared" si="65"/>
        <v>6</v>
      </c>
      <c r="X101" s="31" t="s">
        <v>63</v>
      </c>
      <c r="Y101" s="31"/>
      <c r="Z101" s="31">
        <v>258.79396984924603</v>
      </c>
      <c r="AA101" s="31" t="s">
        <v>78</v>
      </c>
      <c r="AB101" s="31"/>
      <c r="AC101" s="31"/>
      <c r="AD101" s="31">
        <v>258.79396984924603</v>
      </c>
      <c r="AE101" s="31" t="s">
        <v>78</v>
      </c>
      <c r="AF101" s="31"/>
      <c r="AG101" s="31"/>
      <c r="AH101" s="8">
        <f t="shared" si="51"/>
        <v>0</v>
      </c>
      <c r="AI101" s="8">
        <f>VLOOKUP(F101,'[6]Sheet 2'!$B:$T,18,0)/VLOOKUP(F101,'[6]Sheet 2'!$B:$U,20,0)</f>
        <v>309.90065490821047</v>
      </c>
      <c r="AJ101" s="8">
        <f t="shared" si="52"/>
        <v>-0.16491312376897604</v>
      </c>
      <c r="AK101" s="31"/>
      <c r="AL101" s="31"/>
      <c r="AM101" s="31"/>
      <c r="AN101" s="31"/>
      <c r="AO101" s="31"/>
      <c r="AP101" s="31"/>
      <c r="AQ101" s="31"/>
      <c r="AR101" s="31"/>
      <c r="AS101" s="8" t="e">
        <f t="shared" si="53"/>
        <v>#DIV/0!</v>
      </c>
      <c r="AT101" s="8" t="e">
        <f>VLOOKUP(F101,'[7]Sheet 2'!$B:$T,18,0)/VLOOKUP(F101,'[7]Sheet 2'!$B:$U,20,0)</f>
        <v>#N/A</v>
      </c>
      <c r="AU101" s="8" t="e">
        <f t="shared" si="54"/>
        <v>#N/A</v>
      </c>
      <c r="AV101" s="57"/>
      <c r="AW101" s="31"/>
      <c r="AX101" s="31"/>
      <c r="AY101" s="31"/>
      <c r="AZ101" s="31"/>
      <c r="BA101" s="31"/>
      <c r="BB101" s="31"/>
      <c r="BC101" s="31"/>
      <c r="BD101" s="8" t="e">
        <f t="shared" si="55"/>
        <v>#DIV/0!</v>
      </c>
      <c r="BE101" s="8" t="e">
        <f>VLOOKUP(F101,'[8]Sheet 2'!$B:$T,18,0)/VLOOKUP(F101,'[8]Sheet 2'!$B:$U,20,0)</f>
        <v>#N/A</v>
      </c>
      <c r="BF101" s="8" t="e">
        <f t="shared" si="56"/>
        <v>#N/A</v>
      </c>
      <c r="BG101" s="31"/>
      <c r="BH101" s="31"/>
      <c r="BI101" s="31"/>
      <c r="BJ101" s="31"/>
      <c r="BK101" s="31"/>
      <c r="BL101" s="31"/>
      <c r="BM101" s="31"/>
      <c r="BN101" s="31"/>
      <c r="BO101" s="8" t="e">
        <f t="shared" si="57"/>
        <v>#DIV/0!</v>
      </c>
      <c r="BP101" s="8" t="e">
        <f>VLOOKUP(F101,'[9]Sheet 2'!$B:$T,18,0)/VLOOKUP(F101,'[9]Sheet 2'!$B:$U,20,0)</f>
        <v>#N/A</v>
      </c>
      <c r="BQ101" s="8" t="e">
        <f t="shared" si="58"/>
        <v>#N/A</v>
      </c>
      <c r="BR101" s="31"/>
      <c r="BS101" s="31"/>
      <c r="BT101" s="31"/>
      <c r="BU101" s="31"/>
      <c r="BV101" s="31"/>
      <c r="BW101" s="31"/>
      <c r="BX101" s="31"/>
      <c r="BY101" s="31"/>
      <c r="BZ101" s="8" t="e">
        <f t="shared" si="59"/>
        <v>#DIV/0!</v>
      </c>
      <c r="CA101" s="8" t="e">
        <f>VLOOKUP(F101,'[10]Sheet 2'!$B:$T,18,0)/VLOOKUP(F101,'[10]Sheet 2'!$B:$U,20,0)</f>
        <v>#N/A</v>
      </c>
      <c r="CB101" s="8" t="e">
        <f t="shared" si="60"/>
        <v>#N/A</v>
      </c>
      <c r="CC101" s="54">
        <f t="shared" si="67"/>
        <v>25.133333333333333</v>
      </c>
      <c r="CD101" s="54">
        <f t="shared" si="68"/>
        <v>83.016666666666666</v>
      </c>
      <c r="CE101" s="38">
        <f t="shared" si="69"/>
        <v>41979</v>
      </c>
      <c r="CF101" s="38">
        <v>42114</v>
      </c>
      <c r="CG101" s="38">
        <f t="shared" si="70"/>
        <v>41999</v>
      </c>
      <c r="CH101" s="38">
        <v>42114</v>
      </c>
      <c r="CI101" s="40">
        <f t="shared" si="71"/>
        <v>-25</v>
      </c>
      <c r="CJ101" s="40">
        <f t="shared" si="72"/>
        <v>110</v>
      </c>
      <c r="CK101" s="41">
        <f t="shared" si="73"/>
        <v>136</v>
      </c>
      <c r="CL101" s="40">
        <f t="shared" si="74"/>
        <v>-5</v>
      </c>
      <c r="CM101" s="40">
        <f t="shared" si="42"/>
        <v>110</v>
      </c>
      <c r="CN101" s="42">
        <f t="shared" si="43"/>
        <v>116</v>
      </c>
    </row>
    <row r="102" spans="1:95" s="42" customFormat="1" hidden="1" x14ac:dyDescent="0.3">
      <c r="A102" s="31">
        <v>1</v>
      </c>
      <c r="B102" s="31"/>
      <c r="C102" s="31">
        <v>66</v>
      </c>
      <c r="D102" s="31" t="s">
        <v>97</v>
      </c>
      <c r="E102" s="43" t="s">
        <v>98</v>
      </c>
      <c r="F102" s="34" t="str">
        <f t="shared" si="49"/>
        <v>2019-35NI342015OTC</v>
      </c>
      <c r="G102" s="31" t="s">
        <v>99</v>
      </c>
      <c r="H102" s="31" t="s">
        <v>93</v>
      </c>
      <c r="I102" s="31" t="s">
        <v>93</v>
      </c>
      <c r="J102" s="31" t="s">
        <v>94</v>
      </c>
      <c r="K102" s="31" t="s">
        <v>112</v>
      </c>
      <c r="L102" s="31">
        <v>2015</v>
      </c>
      <c r="M102" s="31" t="s">
        <v>95</v>
      </c>
      <c r="N102" s="32" t="s">
        <v>49</v>
      </c>
      <c r="O102" s="31" t="s">
        <v>73</v>
      </c>
      <c r="P102" s="31"/>
      <c r="Q102" s="31"/>
      <c r="R102" s="31">
        <v>21.7</v>
      </c>
      <c r="S102" s="31"/>
      <c r="T102" s="31">
        <v>8</v>
      </c>
      <c r="U102" s="31">
        <v>120</v>
      </c>
      <c r="V102" s="31">
        <v>9</v>
      </c>
      <c r="W102" s="31">
        <f t="shared" si="65"/>
        <v>16.274999999999999</v>
      </c>
      <c r="X102" s="31" t="s">
        <v>63</v>
      </c>
      <c r="Y102" s="31"/>
      <c r="Z102" s="31">
        <v>195.979899497487</v>
      </c>
      <c r="AA102" s="31" t="s">
        <v>78</v>
      </c>
      <c r="AB102" s="31"/>
      <c r="AC102" s="31"/>
      <c r="AD102" s="31">
        <v>258.79396984924603</v>
      </c>
      <c r="AE102" s="31" t="s">
        <v>78</v>
      </c>
      <c r="AF102" s="31"/>
      <c r="AG102" s="31"/>
      <c r="AH102" s="8">
        <f t="shared" si="51"/>
        <v>-0.24271844660194283</v>
      </c>
      <c r="AI102" s="8">
        <f>VLOOKUP(F102,'[6]Sheet 2'!$B:$T,18,0)/VLOOKUP(F102,'[6]Sheet 2'!$B:$U,20,0)</f>
        <v>309.90065490821047</v>
      </c>
      <c r="AJ102" s="8">
        <f t="shared" si="52"/>
        <v>-0.36760411314543906</v>
      </c>
      <c r="AK102" s="31"/>
      <c r="AL102" s="31"/>
      <c r="AM102" s="31"/>
      <c r="AN102" s="31"/>
      <c r="AO102" s="31"/>
      <c r="AP102" s="31"/>
      <c r="AQ102" s="31"/>
      <c r="AR102" s="31"/>
      <c r="AS102" s="8" t="e">
        <f t="shared" si="53"/>
        <v>#DIV/0!</v>
      </c>
      <c r="AT102" s="8" t="e">
        <f>VLOOKUP(F102,'[7]Sheet 2'!$B:$T,18,0)/VLOOKUP(F102,'[7]Sheet 2'!$B:$U,20,0)</f>
        <v>#N/A</v>
      </c>
      <c r="AU102" s="8" t="e">
        <f t="shared" si="54"/>
        <v>#N/A</v>
      </c>
      <c r="AV102" s="57"/>
      <c r="AW102" s="31"/>
      <c r="AX102" s="31"/>
      <c r="AY102" s="31"/>
      <c r="AZ102" s="31"/>
      <c r="BA102" s="31"/>
      <c r="BB102" s="31"/>
      <c r="BC102" s="31"/>
      <c r="BD102" s="8" t="e">
        <f t="shared" si="55"/>
        <v>#DIV/0!</v>
      </c>
      <c r="BE102" s="8" t="e">
        <f>VLOOKUP(F102,'[8]Sheet 2'!$B:$T,18,0)/VLOOKUP(F102,'[8]Sheet 2'!$B:$U,20,0)</f>
        <v>#N/A</v>
      </c>
      <c r="BF102" s="8" t="e">
        <f t="shared" si="56"/>
        <v>#N/A</v>
      </c>
      <c r="BG102" s="31"/>
      <c r="BH102" s="31"/>
      <c r="BI102" s="31"/>
      <c r="BJ102" s="31"/>
      <c r="BK102" s="31"/>
      <c r="BL102" s="31"/>
      <c r="BM102" s="31"/>
      <c r="BN102" s="31"/>
      <c r="BO102" s="8" t="e">
        <f t="shared" si="57"/>
        <v>#DIV/0!</v>
      </c>
      <c r="BP102" s="8" t="e">
        <f>VLOOKUP(F102,'[9]Sheet 2'!$B:$T,18,0)/VLOOKUP(F102,'[9]Sheet 2'!$B:$U,20,0)</f>
        <v>#N/A</v>
      </c>
      <c r="BQ102" s="8" t="e">
        <f t="shared" si="58"/>
        <v>#N/A</v>
      </c>
      <c r="BR102" s="31"/>
      <c r="BS102" s="31"/>
      <c r="BT102" s="31"/>
      <c r="BU102" s="31"/>
      <c r="BV102" s="31"/>
      <c r="BW102" s="31"/>
      <c r="BX102" s="31"/>
      <c r="BY102" s="31"/>
      <c r="BZ102" s="8" t="e">
        <f t="shared" si="59"/>
        <v>#DIV/0!</v>
      </c>
      <c r="CA102" s="8" t="e">
        <f>VLOOKUP(F102,'[10]Sheet 2'!$B:$T,18,0)/VLOOKUP(F102,'[10]Sheet 2'!$B:$U,20,0)</f>
        <v>#N/A</v>
      </c>
      <c r="CB102" s="8" t="e">
        <f t="shared" si="60"/>
        <v>#N/A</v>
      </c>
      <c r="CC102" s="54">
        <f t="shared" si="67"/>
        <v>25.133333333333333</v>
      </c>
      <c r="CD102" s="54">
        <f t="shared" si="68"/>
        <v>83.016666666666666</v>
      </c>
      <c r="CE102" s="38">
        <f t="shared" si="69"/>
        <v>41979</v>
      </c>
      <c r="CF102" s="38">
        <v>42114</v>
      </c>
      <c r="CG102" s="38">
        <f t="shared" si="70"/>
        <v>41999</v>
      </c>
      <c r="CH102" s="38">
        <v>42114</v>
      </c>
      <c r="CI102" s="40">
        <f t="shared" si="71"/>
        <v>-25</v>
      </c>
      <c r="CJ102" s="40">
        <f t="shared" si="72"/>
        <v>110</v>
      </c>
      <c r="CK102" s="41">
        <f t="shared" si="73"/>
        <v>136</v>
      </c>
      <c r="CL102" s="40">
        <f t="shared" si="74"/>
        <v>-5</v>
      </c>
      <c r="CM102" s="40">
        <f t="shared" si="42"/>
        <v>110</v>
      </c>
      <c r="CN102" s="42">
        <f t="shared" si="43"/>
        <v>116</v>
      </c>
    </row>
    <row r="103" spans="1:95" s="19" customFormat="1" hidden="1" x14ac:dyDescent="0.3">
      <c r="A103" s="3">
        <v>1</v>
      </c>
      <c r="B103" s="3"/>
      <c r="C103" s="3">
        <v>66</v>
      </c>
      <c r="D103" s="3" t="s">
        <v>97</v>
      </c>
      <c r="E103" s="9" t="s">
        <v>98</v>
      </c>
      <c r="F103" s="6" t="str">
        <f t="shared" si="49"/>
        <v>2019-35P5022015OTC</v>
      </c>
      <c r="G103" s="3" t="s">
        <v>99</v>
      </c>
      <c r="H103" s="3" t="s">
        <v>93</v>
      </c>
      <c r="I103" s="3" t="s">
        <v>93</v>
      </c>
      <c r="J103" s="3" t="s">
        <v>94</v>
      </c>
      <c r="K103" s="3" t="s">
        <v>113</v>
      </c>
      <c r="L103" s="3">
        <v>2015</v>
      </c>
      <c r="M103" s="3" t="s">
        <v>95</v>
      </c>
      <c r="N103" s="4" t="s">
        <v>49</v>
      </c>
      <c r="O103" s="3" t="s">
        <v>101</v>
      </c>
      <c r="P103" s="32" t="s">
        <v>267</v>
      </c>
      <c r="Q103" s="3"/>
      <c r="R103" s="3">
        <v>8</v>
      </c>
      <c r="S103" s="3"/>
      <c r="T103" s="3">
        <v>8</v>
      </c>
      <c r="U103" s="3">
        <v>120</v>
      </c>
      <c r="V103" s="3">
        <v>9</v>
      </c>
      <c r="W103" s="3">
        <f t="shared" si="65"/>
        <v>6</v>
      </c>
      <c r="X103" s="3" t="s">
        <v>63</v>
      </c>
      <c r="Y103" s="3"/>
      <c r="Z103" s="3">
        <v>329.14572864321599</v>
      </c>
      <c r="AA103" s="3" t="s">
        <v>78</v>
      </c>
      <c r="AB103" s="3"/>
      <c r="AC103" s="3"/>
      <c r="AD103" s="3">
        <v>329.14572864321599</v>
      </c>
      <c r="AE103" s="3" t="s">
        <v>78</v>
      </c>
      <c r="AF103" s="3"/>
      <c r="AG103" s="3"/>
      <c r="AH103" s="8">
        <f t="shared" si="51"/>
        <v>0</v>
      </c>
      <c r="AI103" s="8">
        <f>VLOOKUP(F103,'[6]Sheet 2'!$B:$T,18,0)/VLOOKUP(F103,'[6]Sheet 2'!$B:$U,20,0)</f>
        <v>395.7238522574637</v>
      </c>
      <c r="AJ103" s="8">
        <f t="shared" si="52"/>
        <v>-0.16824389845202209</v>
      </c>
      <c r="AK103" s="3"/>
      <c r="AL103" s="3"/>
      <c r="AM103" s="3"/>
      <c r="AN103" s="3"/>
      <c r="AO103" s="3"/>
      <c r="AP103" s="3"/>
      <c r="AQ103" s="3"/>
      <c r="AR103" s="3"/>
      <c r="AS103" s="8" t="e">
        <f t="shared" si="53"/>
        <v>#DIV/0!</v>
      </c>
      <c r="AT103" s="8" t="e">
        <f>VLOOKUP(F103,'[7]Sheet 2'!$B:$T,18,0)/VLOOKUP(F103,'[7]Sheet 2'!$B:$U,20,0)</f>
        <v>#N/A</v>
      </c>
      <c r="AU103" s="8" t="e">
        <f t="shared" si="54"/>
        <v>#N/A</v>
      </c>
      <c r="AV103" s="57"/>
      <c r="AW103" s="3"/>
      <c r="AX103" s="3"/>
      <c r="AY103" s="3"/>
      <c r="AZ103" s="3"/>
      <c r="BA103" s="3"/>
      <c r="BB103" s="3"/>
      <c r="BC103" s="3"/>
      <c r="BD103" s="8" t="e">
        <f t="shared" si="55"/>
        <v>#DIV/0!</v>
      </c>
      <c r="BE103" s="8" t="e">
        <f>VLOOKUP(F103,'[8]Sheet 2'!$B:$T,18,0)/VLOOKUP(F103,'[8]Sheet 2'!$B:$U,20,0)</f>
        <v>#N/A</v>
      </c>
      <c r="BF103" s="8" t="e">
        <f t="shared" si="56"/>
        <v>#N/A</v>
      </c>
      <c r="BG103" s="3"/>
      <c r="BH103" s="3"/>
      <c r="BI103" s="3"/>
      <c r="BJ103" s="3"/>
      <c r="BK103" s="3"/>
      <c r="BL103" s="3"/>
      <c r="BM103" s="3"/>
      <c r="BN103" s="3"/>
      <c r="BO103" s="8" t="e">
        <f t="shared" si="57"/>
        <v>#DIV/0!</v>
      </c>
      <c r="BP103" s="8" t="e">
        <f>VLOOKUP(F103,'[9]Sheet 2'!$B:$T,18,0)/VLOOKUP(F103,'[9]Sheet 2'!$B:$U,20,0)</f>
        <v>#N/A</v>
      </c>
      <c r="BQ103" s="8" t="e">
        <f t="shared" si="58"/>
        <v>#N/A</v>
      </c>
      <c r="BR103" s="3"/>
      <c r="BS103" s="3"/>
      <c r="BT103" s="3"/>
      <c r="BU103" s="3"/>
      <c r="BV103" s="3"/>
      <c r="BW103" s="3"/>
      <c r="BX103" s="3"/>
      <c r="BY103" s="3"/>
      <c r="BZ103" s="8" t="e">
        <f t="shared" si="59"/>
        <v>#DIV/0!</v>
      </c>
      <c r="CA103" s="8" t="e">
        <f>VLOOKUP(F103,'[10]Sheet 2'!$B:$T,18,0)/VLOOKUP(F103,'[10]Sheet 2'!$B:$U,20,0)</f>
        <v>#N/A</v>
      </c>
      <c r="CB103" s="8" t="e">
        <f t="shared" si="60"/>
        <v>#N/A</v>
      </c>
      <c r="CC103" s="23">
        <f t="shared" si="67"/>
        <v>25.133333333333333</v>
      </c>
      <c r="CD103" s="23">
        <f t="shared" si="68"/>
        <v>83.016666666666666</v>
      </c>
      <c r="CE103" s="20">
        <f t="shared" si="69"/>
        <v>41979</v>
      </c>
      <c r="CF103" s="20">
        <v>42114</v>
      </c>
      <c r="CG103" s="20">
        <f t="shared" si="70"/>
        <v>41999</v>
      </c>
      <c r="CH103" s="20">
        <v>42114</v>
      </c>
      <c r="CI103" s="21">
        <f t="shared" si="71"/>
        <v>-25</v>
      </c>
      <c r="CJ103" s="21">
        <f t="shared" si="72"/>
        <v>110</v>
      </c>
      <c r="CK103" s="30">
        <f t="shared" si="73"/>
        <v>136</v>
      </c>
      <c r="CL103" s="21">
        <f t="shared" si="74"/>
        <v>-5</v>
      </c>
      <c r="CM103" s="21">
        <f t="shared" si="42"/>
        <v>110</v>
      </c>
      <c r="CN103" s="19">
        <f t="shared" si="43"/>
        <v>116</v>
      </c>
    </row>
    <row r="104" spans="1:95" s="19" customFormat="1" hidden="1" x14ac:dyDescent="0.3">
      <c r="A104" s="3">
        <v>1</v>
      </c>
      <c r="B104" s="3"/>
      <c r="C104" s="3">
        <v>66</v>
      </c>
      <c r="D104" s="3" t="s">
        <v>97</v>
      </c>
      <c r="E104" s="9" t="s">
        <v>98</v>
      </c>
      <c r="F104" s="6" t="str">
        <f t="shared" si="49"/>
        <v>2019-35P5022015OTC</v>
      </c>
      <c r="G104" s="3" t="s">
        <v>99</v>
      </c>
      <c r="H104" s="3" t="s">
        <v>93</v>
      </c>
      <c r="I104" s="3" t="s">
        <v>93</v>
      </c>
      <c r="J104" s="3" t="s">
        <v>94</v>
      </c>
      <c r="K104" s="3" t="s">
        <v>113</v>
      </c>
      <c r="L104" s="3">
        <v>2015</v>
      </c>
      <c r="M104" s="3" t="s">
        <v>95</v>
      </c>
      <c r="N104" s="4" t="s">
        <v>49</v>
      </c>
      <c r="O104" s="3" t="s">
        <v>73</v>
      </c>
      <c r="P104" s="3"/>
      <c r="Q104" s="3"/>
      <c r="R104" s="3">
        <v>21.7</v>
      </c>
      <c r="S104" s="3"/>
      <c r="T104" s="3">
        <v>8</v>
      </c>
      <c r="U104" s="3">
        <v>120</v>
      </c>
      <c r="V104" s="3">
        <v>9</v>
      </c>
      <c r="W104" s="3">
        <f t="shared" si="65"/>
        <v>16.274999999999999</v>
      </c>
      <c r="X104" s="3" t="s">
        <v>63</v>
      </c>
      <c r="Y104" s="3"/>
      <c r="Z104" s="3">
        <v>251.256281407035</v>
      </c>
      <c r="AA104" s="3" t="s">
        <v>78</v>
      </c>
      <c r="AB104" s="3"/>
      <c r="AC104" s="3"/>
      <c r="AD104" s="3">
        <v>329.14572864321599</v>
      </c>
      <c r="AE104" s="3" t="s">
        <v>78</v>
      </c>
      <c r="AF104" s="3"/>
      <c r="AG104" s="3"/>
      <c r="AH104" s="8">
        <f t="shared" si="51"/>
        <v>-0.23664122137404611</v>
      </c>
      <c r="AI104" s="8">
        <f>VLOOKUP(F104,'[6]Sheet 2'!$B:$T,18,0)/VLOOKUP(F104,'[6]Sheet 2'!$B:$U,20,0)</f>
        <v>395.7238522574637</v>
      </c>
      <c r="AJ104" s="8">
        <f t="shared" si="52"/>
        <v>-0.36507167820765068</v>
      </c>
      <c r="AK104" s="3"/>
      <c r="AL104" s="3"/>
      <c r="AM104" s="3"/>
      <c r="AN104" s="3"/>
      <c r="AO104" s="3"/>
      <c r="AP104" s="3"/>
      <c r="AQ104" s="3"/>
      <c r="AR104" s="3"/>
      <c r="AS104" s="8" t="e">
        <f t="shared" si="53"/>
        <v>#DIV/0!</v>
      </c>
      <c r="AT104" s="8" t="e">
        <f>VLOOKUP(F104,'[7]Sheet 2'!$B:$T,18,0)/VLOOKUP(F104,'[7]Sheet 2'!$B:$U,20,0)</f>
        <v>#N/A</v>
      </c>
      <c r="AU104" s="8" t="e">
        <f t="shared" si="54"/>
        <v>#N/A</v>
      </c>
      <c r="AV104" s="57"/>
      <c r="AW104" s="3"/>
      <c r="AX104" s="3"/>
      <c r="AY104" s="3"/>
      <c r="AZ104" s="3"/>
      <c r="BA104" s="3"/>
      <c r="BB104" s="3"/>
      <c r="BC104" s="3"/>
      <c r="BD104" s="8" t="e">
        <f t="shared" si="55"/>
        <v>#DIV/0!</v>
      </c>
      <c r="BE104" s="8" t="e">
        <f>VLOOKUP(F104,'[8]Sheet 2'!$B:$T,18,0)/VLOOKUP(F104,'[8]Sheet 2'!$B:$U,20,0)</f>
        <v>#N/A</v>
      </c>
      <c r="BF104" s="8" t="e">
        <f t="shared" si="56"/>
        <v>#N/A</v>
      </c>
      <c r="BG104" s="3"/>
      <c r="BH104" s="3"/>
      <c r="BI104" s="3"/>
      <c r="BJ104" s="3"/>
      <c r="BK104" s="3"/>
      <c r="BL104" s="3"/>
      <c r="BM104" s="3"/>
      <c r="BN104" s="3"/>
      <c r="BO104" s="8" t="e">
        <f t="shared" si="57"/>
        <v>#DIV/0!</v>
      </c>
      <c r="BP104" s="8" t="e">
        <f>VLOOKUP(F104,'[9]Sheet 2'!$B:$T,18,0)/VLOOKUP(F104,'[9]Sheet 2'!$B:$U,20,0)</f>
        <v>#N/A</v>
      </c>
      <c r="BQ104" s="8" t="e">
        <f t="shared" si="58"/>
        <v>#N/A</v>
      </c>
      <c r="BR104" s="3"/>
      <c r="BS104" s="3"/>
      <c r="BT104" s="3"/>
      <c r="BU104" s="3"/>
      <c r="BV104" s="3"/>
      <c r="BW104" s="3"/>
      <c r="BX104" s="3"/>
      <c r="BY104" s="3"/>
      <c r="BZ104" s="8" t="e">
        <f t="shared" si="59"/>
        <v>#DIV/0!</v>
      </c>
      <c r="CA104" s="8" t="e">
        <f>VLOOKUP(F104,'[10]Sheet 2'!$B:$T,18,0)/VLOOKUP(F104,'[10]Sheet 2'!$B:$U,20,0)</f>
        <v>#N/A</v>
      </c>
      <c r="CB104" s="8" t="e">
        <f t="shared" si="60"/>
        <v>#N/A</v>
      </c>
      <c r="CC104" s="23">
        <f t="shared" si="67"/>
        <v>25.133333333333333</v>
      </c>
      <c r="CD104" s="23">
        <f t="shared" si="68"/>
        <v>83.016666666666666</v>
      </c>
      <c r="CE104" s="20">
        <f t="shared" si="69"/>
        <v>41979</v>
      </c>
      <c r="CF104" s="20">
        <v>42114</v>
      </c>
      <c r="CG104" s="20">
        <f t="shared" si="70"/>
        <v>41999</v>
      </c>
      <c r="CH104" s="20">
        <v>42114</v>
      </c>
      <c r="CI104" s="21">
        <f t="shared" si="71"/>
        <v>-25</v>
      </c>
      <c r="CJ104" s="21">
        <f t="shared" si="72"/>
        <v>110</v>
      </c>
      <c r="CK104" s="30">
        <f t="shared" si="73"/>
        <v>136</v>
      </c>
      <c r="CL104" s="21">
        <f t="shared" si="74"/>
        <v>-5</v>
      </c>
      <c r="CM104" s="21">
        <f t="shared" si="42"/>
        <v>110</v>
      </c>
      <c r="CN104" s="19">
        <f t="shared" si="43"/>
        <v>116</v>
      </c>
    </row>
    <row r="105" spans="1:95" s="42" customFormat="1" hidden="1" x14ac:dyDescent="0.3">
      <c r="A105" s="31">
        <v>1</v>
      </c>
      <c r="B105" s="31"/>
      <c r="C105" s="31">
        <v>66</v>
      </c>
      <c r="D105" s="31" t="s">
        <v>97</v>
      </c>
      <c r="E105" s="43" t="s">
        <v>98</v>
      </c>
      <c r="F105" s="34" t="str">
        <f t="shared" si="49"/>
        <v>2019-35P5502015OTC</v>
      </c>
      <c r="G105" s="31" t="s">
        <v>99</v>
      </c>
      <c r="H105" s="31" t="s">
        <v>93</v>
      </c>
      <c r="I105" s="31" t="s">
        <v>93</v>
      </c>
      <c r="J105" s="31" t="s">
        <v>94</v>
      </c>
      <c r="K105" s="31" t="s">
        <v>114</v>
      </c>
      <c r="L105" s="31">
        <v>2015</v>
      </c>
      <c r="M105" s="31" t="s">
        <v>95</v>
      </c>
      <c r="N105" s="32" t="s">
        <v>49</v>
      </c>
      <c r="O105" s="31" t="s">
        <v>101</v>
      </c>
      <c r="P105" s="32" t="s">
        <v>267</v>
      </c>
      <c r="Q105" s="31"/>
      <c r="R105" s="31">
        <v>8</v>
      </c>
      <c r="S105" s="31"/>
      <c r="T105" s="31">
        <v>8</v>
      </c>
      <c r="U105" s="31">
        <v>120</v>
      </c>
      <c r="V105" s="31">
        <v>9</v>
      </c>
      <c r="W105" s="31">
        <f t="shared" si="65"/>
        <v>6</v>
      </c>
      <c r="X105" s="31" t="s">
        <v>63</v>
      </c>
      <c r="Y105" s="31"/>
      <c r="Z105" s="31">
        <v>331.658291457286</v>
      </c>
      <c r="AA105" s="31" t="s">
        <v>78</v>
      </c>
      <c r="AB105" s="31"/>
      <c r="AC105" s="31"/>
      <c r="AD105" s="31">
        <v>331.658291457286</v>
      </c>
      <c r="AE105" s="31" t="s">
        <v>78</v>
      </c>
      <c r="AF105" s="31"/>
      <c r="AG105" s="31"/>
      <c r="AH105" s="8">
        <f t="shared" si="51"/>
        <v>0</v>
      </c>
      <c r="AI105" s="8">
        <f>VLOOKUP(F105,'[6]Sheet 2'!$B:$T,18,0)/VLOOKUP(F105,'[6]Sheet 2'!$B:$U,20,0)</f>
        <v>389.20567353959626</v>
      </c>
      <c r="AJ105" s="8">
        <f t="shared" si="52"/>
        <v>-0.14785853854326103</v>
      </c>
      <c r="AK105" s="31"/>
      <c r="AL105" s="31"/>
      <c r="AM105" s="31"/>
      <c r="AN105" s="31"/>
      <c r="AO105" s="31"/>
      <c r="AP105" s="31"/>
      <c r="AQ105" s="31"/>
      <c r="AR105" s="31"/>
      <c r="AS105" s="8" t="e">
        <f t="shared" si="53"/>
        <v>#DIV/0!</v>
      </c>
      <c r="AT105" s="8" t="e">
        <f>VLOOKUP(F105,'[7]Sheet 2'!$B:$T,18,0)/VLOOKUP(F105,'[7]Sheet 2'!$B:$U,20,0)</f>
        <v>#N/A</v>
      </c>
      <c r="AU105" s="8" t="e">
        <f t="shared" si="54"/>
        <v>#N/A</v>
      </c>
      <c r="AV105" s="57"/>
      <c r="AW105" s="31"/>
      <c r="AX105" s="31"/>
      <c r="AY105" s="31"/>
      <c r="AZ105" s="31"/>
      <c r="BA105" s="31"/>
      <c r="BB105" s="31"/>
      <c r="BC105" s="31"/>
      <c r="BD105" s="8" t="e">
        <f t="shared" si="55"/>
        <v>#DIV/0!</v>
      </c>
      <c r="BE105" s="8" t="e">
        <f>VLOOKUP(F105,'[8]Sheet 2'!$B:$T,18,0)/VLOOKUP(F105,'[8]Sheet 2'!$B:$U,20,0)</f>
        <v>#N/A</v>
      </c>
      <c r="BF105" s="8" t="e">
        <f t="shared" si="56"/>
        <v>#N/A</v>
      </c>
      <c r="BG105" s="31"/>
      <c r="BH105" s="31"/>
      <c r="BI105" s="31"/>
      <c r="BJ105" s="31"/>
      <c r="BK105" s="31"/>
      <c r="BL105" s="31"/>
      <c r="BM105" s="31"/>
      <c r="BN105" s="31"/>
      <c r="BO105" s="8" t="e">
        <f t="shared" si="57"/>
        <v>#DIV/0!</v>
      </c>
      <c r="BP105" s="8" t="e">
        <f>VLOOKUP(F105,'[9]Sheet 2'!$B:$T,18,0)/VLOOKUP(F105,'[9]Sheet 2'!$B:$U,20,0)</f>
        <v>#N/A</v>
      </c>
      <c r="BQ105" s="8" t="e">
        <f t="shared" si="58"/>
        <v>#N/A</v>
      </c>
      <c r="BR105" s="31"/>
      <c r="BS105" s="31"/>
      <c r="BT105" s="31"/>
      <c r="BU105" s="31"/>
      <c r="BV105" s="31"/>
      <c r="BW105" s="31"/>
      <c r="BX105" s="31"/>
      <c r="BY105" s="31"/>
      <c r="BZ105" s="8" t="e">
        <f t="shared" si="59"/>
        <v>#DIV/0!</v>
      </c>
      <c r="CA105" s="8" t="e">
        <f>VLOOKUP(F105,'[10]Sheet 2'!$B:$T,18,0)/VLOOKUP(F105,'[10]Sheet 2'!$B:$U,20,0)</f>
        <v>#N/A</v>
      </c>
      <c r="CB105" s="8" t="e">
        <f t="shared" si="60"/>
        <v>#N/A</v>
      </c>
      <c r="CC105" s="54">
        <f t="shared" si="67"/>
        <v>25.133333333333333</v>
      </c>
      <c r="CD105" s="54">
        <f t="shared" si="68"/>
        <v>83.016666666666666</v>
      </c>
      <c r="CE105" s="38">
        <f t="shared" si="69"/>
        <v>41979</v>
      </c>
      <c r="CF105" s="38">
        <v>42114</v>
      </c>
      <c r="CG105" s="38">
        <f t="shared" si="70"/>
        <v>41999</v>
      </c>
      <c r="CH105" s="38">
        <v>42114</v>
      </c>
      <c r="CI105" s="40">
        <f t="shared" si="71"/>
        <v>-25</v>
      </c>
      <c r="CJ105" s="40">
        <f t="shared" si="72"/>
        <v>110</v>
      </c>
      <c r="CK105" s="41">
        <f t="shared" si="73"/>
        <v>136</v>
      </c>
      <c r="CL105" s="40">
        <f t="shared" si="74"/>
        <v>-5</v>
      </c>
      <c r="CM105" s="40">
        <f t="shared" si="42"/>
        <v>110</v>
      </c>
      <c r="CN105" s="42">
        <f t="shared" si="43"/>
        <v>116</v>
      </c>
    </row>
    <row r="106" spans="1:95" s="42" customFormat="1" hidden="1" x14ac:dyDescent="0.3">
      <c r="A106" s="31">
        <v>1</v>
      </c>
      <c r="B106" s="31"/>
      <c r="C106" s="31">
        <v>66</v>
      </c>
      <c r="D106" s="31" t="s">
        <v>97</v>
      </c>
      <c r="E106" s="43" t="s">
        <v>98</v>
      </c>
      <c r="F106" s="34" t="str">
        <f t="shared" si="49"/>
        <v>2019-35P5502015OTC</v>
      </c>
      <c r="G106" s="31" t="s">
        <v>99</v>
      </c>
      <c r="H106" s="31" t="s">
        <v>93</v>
      </c>
      <c r="I106" s="31" t="s">
        <v>93</v>
      </c>
      <c r="J106" s="31" t="s">
        <v>94</v>
      </c>
      <c r="K106" s="31" t="s">
        <v>114</v>
      </c>
      <c r="L106" s="31">
        <v>2015</v>
      </c>
      <c r="M106" s="31" t="s">
        <v>95</v>
      </c>
      <c r="N106" s="32" t="s">
        <v>49</v>
      </c>
      <c r="O106" s="31" t="s">
        <v>73</v>
      </c>
      <c r="P106" s="31"/>
      <c r="Q106" s="31"/>
      <c r="R106" s="31">
        <v>21.7</v>
      </c>
      <c r="S106" s="31"/>
      <c r="T106" s="31">
        <v>8</v>
      </c>
      <c r="U106" s="31">
        <v>120</v>
      </c>
      <c r="V106" s="31">
        <v>9</v>
      </c>
      <c r="W106" s="31">
        <f t="shared" si="65"/>
        <v>16.274999999999999</v>
      </c>
      <c r="X106" s="31" t="s">
        <v>63</v>
      </c>
      <c r="Y106" s="31"/>
      <c r="Z106" s="31">
        <v>241.206030150754</v>
      </c>
      <c r="AA106" s="31" t="s">
        <v>78</v>
      </c>
      <c r="AB106" s="31"/>
      <c r="AC106" s="31"/>
      <c r="AD106" s="31">
        <v>331.658291457286</v>
      </c>
      <c r="AE106" s="31" t="s">
        <v>78</v>
      </c>
      <c r="AF106" s="31"/>
      <c r="AG106" s="31"/>
      <c r="AH106" s="8">
        <f t="shared" si="51"/>
        <v>-0.27272727272727104</v>
      </c>
      <c r="AI106" s="8">
        <f>VLOOKUP(F106,'[6]Sheet 2'!$B:$T,18,0)/VLOOKUP(F106,'[6]Sheet 2'!$B:$U,20,0)</f>
        <v>389.20567353959626</v>
      </c>
      <c r="AJ106" s="8">
        <f t="shared" si="52"/>
        <v>-0.3802607553041884</v>
      </c>
      <c r="AK106" s="31"/>
      <c r="AL106" s="31"/>
      <c r="AM106" s="31"/>
      <c r="AN106" s="31"/>
      <c r="AO106" s="31"/>
      <c r="AP106" s="31"/>
      <c r="AQ106" s="31"/>
      <c r="AR106" s="31"/>
      <c r="AS106" s="8" t="e">
        <f t="shared" si="53"/>
        <v>#DIV/0!</v>
      </c>
      <c r="AT106" s="8" t="e">
        <f>VLOOKUP(F106,'[7]Sheet 2'!$B:$T,18,0)/VLOOKUP(F106,'[7]Sheet 2'!$B:$U,20,0)</f>
        <v>#N/A</v>
      </c>
      <c r="AU106" s="8" t="e">
        <f t="shared" si="54"/>
        <v>#N/A</v>
      </c>
      <c r="AV106" s="57"/>
      <c r="AW106" s="31"/>
      <c r="AX106" s="31"/>
      <c r="AY106" s="31"/>
      <c r="AZ106" s="31"/>
      <c r="BA106" s="31"/>
      <c r="BB106" s="31"/>
      <c r="BC106" s="31"/>
      <c r="BD106" s="8" t="e">
        <f t="shared" si="55"/>
        <v>#DIV/0!</v>
      </c>
      <c r="BE106" s="8" t="e">
        <f>VLOOKUP(F106,'[8]Sheet 2'!$B:$T,18,0)/VLOOKUP(F106,'[8]Sheet 2'!$B:$U,20,0)</f>
        <v>#N/A</v>
      </c>
      <c r="BF106" s="8" t="e">
        <f t="shared" si="56"/>
        <v>#N/A</v>
      </c>
      <c r="BG106" s="31"/>
      <c r="BH106" s="31"/>
      <c r="BI106" s="31"/>
      <c r="BJ106" s="31"/>
      <c r="BK106" s="31"/>
      <c r="BL106" s="31"/>
      <c r="BM106" s="31"/>
      <c r="BN106" s="31"/>
      <c r="BO106" s="8" t="e">
        <f t="shared" si="57"/>
        <v>#DIV/0!</v>
      </c>
      <c r="BP106" s="8" t="e">
        <f>VLOOKUP(F106,'[9]Sheet 2'!$B:$T,18,0)/VLOOKUP(F106,'[9]Sheet 2'!$B:$U,20,0)</f>
        <v>#N/A</v>
      </c>
      <c r="BQ106" s="8" t="e">
        <f t="shared" si="58"/>
        <v>#N/A</v>
      </c>
      <c r="BR106" s="31"/>
      <c r="BS106" s="31"/>
      <c r="BT106" s="31"/>
      <c r="BU106" s="31"/>
      <c r="BV106" s="31"/>
      <c r="BW106" s="31"/>
      <c r="BX106" s="31"/>
      <c r="BY106" s="31"/>
      <c r="BZ106" s="8" t="e">
        <f t="shared" si="59"/>
        <v>#DIV/0!</v>
      </c>
      <c r="CA106" s="8" t="e">
        <f>VLOOKUP(F106,'[10]Sheet 2'!$B:$T,18,0)/VLOOKUP(F106,'[10]Sheet 2'!$B:$U,20,0)</f>
        <v>#N/A</v>
      </c>
      <c r="CB106" s="8" t="e">
        <f t="shared" si="60"/>
        <v>#N/A</v>
      </c>
      <c r="CC106" s="54">
        <f t="shared" si="67"/>
        <v>25.133333333333333</v>
      </c>
      <c r="CD106" s="54">
        <f t="shared" si="68"/>
        <v>83.016666666666666</v>
      </c>
      <c r="CE106" s="38">
        <f t="shared" si="69"/>
        <v>41979</v>
      </c>
      <c r="CF106" s="38">
        <v>42114</v>
      </c>
      <c r="CG106" s="38">
        <f t="shared" si="70"/>
        <v>41999</v>
      </c>
      <c r="CH106" s="38">
        <v>42114</v>
      </c>
      <c r="CI106" s="40">
        <f t="shared" si="71"/>
        <v>-25</v>
      </c>
      <c r="CJ106" s="40">
        <f t="shared" si="72"/>
        <v>110</v>
      </c>
      <c r="CK106" s="41">
        <f t="shared" si="73"/>
        <v>136</v>
      </c>
      <c r="CL106" s="40">
        <f t="shared" si="74"/>
        <v>-5</v>
      </c>
      <c r="CM106" s="40">
        <f t="shared" si="42"/>
        <v>110</v>
      </c>
      <c r="CN106" s="42">
        <f t="shared" si="43"/>
        <v>116</v>
      </c>
    </row>
    <row r="107" spans="1:95" s="19" customFormat="1" hidden="1" x14ac:dyDescent="0.3">
      <c r="A107" s="3">
        <v>1</v>
      </c>
      <c r="B107" s="3"/>
      <c r="C107" s="3">
        <v>68</v>
      </c>
      <c r="D107" s="3" t="s">
        <v>115</v>
      </c>
      <c r="E107" s="9" t="s">
        <v>116</v>
      </c>
      <c r="F107" s="6" t="str">
        <f t="shared" si="49"/>
        <v>2020-48HD31182016OTC</v>
      </c>
      <c r="G107" s="3" t="s">
        <v>117</v>
      </c>
      <c r="H107" s="3" t="s">
        <v>93</v>
      </c>
      <c r="I107" s="3" t="s">
        <v>93</v>
      </c>
      <c r="J107" s="3" t="s">
        <v>94</v>
      </c>
      <c r="K107" s="3" t="s">
        <v>118</v>
      </c>
      <c r="L107" s="3">
        <v>2016</v>
      </c>
      <c r="M107" s="3" t="s">
        <v>95</v>
      </c>
      <c r="N107" s="4" t="s">
        <v>49</v>
      </c>
      <c r="O107" s="3" t="s">
        <v>101</v>
      </c>
      <c r="P107" s="32" t="s">
        <v>267</v>
      </c>
      <c r="Q107" s="4">
        <f>S107/1.01*1.08</f>
        <v>55.283168316831691</v>
      </c>
      <c r="R107" s="3"/>
      <c r="S107" s="3">
        <v>51.7</v>
      </c>
      <c r="T107" s="3">
        <v>8</v>
      </c>
      <c r="U107" s="3">
        <v>100</v>
      </c>
      <c r="V107" s="3">
        <v>5</v>
      </c>
      <c r="W107" s="9">
        <v>16.635934586368901</v>
      </c>
      <c r="X107" s="3" t="s">
        <v>50</v>
      </c>
      <c r="Y107" s="7"/>
      <c r="Z107" s="3">
        <v>364.5</v>
      </c>
      <c r="AA107" s="3" t="s">
        <v>78</v>
      </c>
      <c r="AB107" s="3"/>
      <c r="AC107" s="3"/>
      <c r="AD107" s="3">
        <v>364.5</v>
      </c>
      <c r="AE107" s="3" t="s">
        <v>78</v>
      </c>
      <c r="AF107" s="3"/>
      <c r="AG107" s="3"/>
      <c r="AH107" s="8">
        <f t="shared" si="51"/>
        <v>0</v>
      </c>
      <c r="AI107" s="8">
        <f>VLOOKUP(F107,'[6]Sheet 2'!$B:$T,18,0)/VLOOKUP(F107,'[6]Sheet 2'!$B:$U,20,0)</f>
        <v>576.6898850960747</v>
      </c>
      <c r="AJ107" s="8">
        <f t="shared" si="52"/>
        <v>-0.36794452370310698</v>
      </c>
      <c r="AK107" s="3">
        <v>35.4</v>
      </c>
      <c r="AL107" s="4" t="s">
        <v>37</v>
      </c>
      <c r="AM107" s="3"/>
      <c r="AN107" s="3"/>
      <c r="AO107" s="3">
        <v>35.4</v>
      </c>
      <c r="AP107" s="4" t="s">
        <v>37</v>
      </c>
      <c r="AQ107" s="3"/>
      <c r="AR107" s="3"/>
      <c r="AS107" s="8">
        <f t="shared" si="53"/>
        <v>0</v>
      </c>
      <c r="AT107" s="8">
        <f>VLOOKUP(F107,'[7]Sheet 2'!$B:$T,18,0)/VLOOKUP(F107,'[7]Sheet 2'!$B:$U,20,0)</f>
        <v>42.70373915642886</v>
      </c>
      <c r="AU107" s="8">
        <f t="shared" si="54"/>
        <v>-0.17103277841020897</v>
      </c>
      <c r="AV107" s="57">
        <v>94.291301918420572</v>
      </c>
      <c r="AW107" s="57" t="s">
        <v>271</v>
      </c>
      <c r="AX107" s="3"/>
      <c r="AY107" s="3"/>
      <c r="AZ107" s="57">
        <v>94.291301918420572</v>
      </c>
      <c r="BA107" s="57" t="s">
        <v>271</v>
      </c>
      <c r="BB107" s="3"/>
      <c r="BC107" s="3"/>
      <c r="BD107" s="8">
        <f t="shared" si="55"/>
        <v>0</v>
      </c>
      <c r="BE107" s="8">
        <f>VLOOKUP(F107,'[8]Sheet 2'!$B:$T,18,0)/VLOOKUP(F107,'[8]Sheet 2'!$B:$U,20,0)</f>
        <v>92.314553357920843</v>
      </c>
      <c r="BF107" s="8">
        <f t="shared" si="56"/>
        <v>2.1413184471959733E-2</v>
      </c>
      <c r="BG107" s="3">
        <v>4.55</v>
      </c>
      <c r="BH107" s="3" t="s">
        <v>65</v>
      </c>
      <c r="BI107" s="3"/>
      <c r="BJ107" s="3"/>
      <c r="BK107" s="3">
        <v>4.55</v>
      </c>
      <c r="BL107" s="3" t="s">
        <v>65</v>
      </c>
      <c r="BM107" s="3"/>
      <c r="BN107" s="3"/>
      <c r="BO107" s="8">
        <f t="shared" si="57"/>
        <v>0</v>
      </c>
      <c r="BP107" s="8">
        <f>VLOOKUP(F107,'[9]Sheet 2'!$B:$T,18,0)/VLOOKUP(F107,'[9]Sheet 2'!$B:$U,20,0)</f>
        <v>6.3828467563784423</v>
      </c>
      <c r="BQ107" s="8">
        <f t="shared" si="58"/>
        <v>-0.28715192865109296</v>
      </c>
      <c r="BR107" s="3">
        <f t="shared" ref="BR107:BR126" si="75">Z107/AK107*1000</f>
        <v>10296.610169491525</v>
      </c>
      <c r="BS107" s="3" t="s">
        <v>52</v>
      </c>
      <c r="BT107" s="3"/>
      <c r="BU107" s="3"/>
      <c r="BV107" s="3">
        <f t="shared" ref="BV107:BV126" si="76">AD107/AO107*1000</f>
        <v>10296.610169491525</v>
      </c>
      <c r="BW107" s="3" t="s">
        <v>52</v>
      </c>
      <c r="BX107" s="3"/>
      <c r="BY107" s="3"/>
      <c r="BZ107" s="8">
        <f t="shared" si="59"/>
        <v>0</v>
      </c>
      <c r="CA107" s="8">
        <f>VLOOKUP(F107,'[10]Sheet 2'!$B:$T,18,0)/VLOOKUP(F107,'[10]Sheet 2'!$B:$U,20,0)</f>
        <v>13229.903870431728</v>
      </c>
      <c r="CB107" s="8">
        <f t="shared" si="60"/>
        <v>-0.22171693231241005</v>
      </c>
      <c r="CC107" s="23">
        <f>25+16/60+3.6/3600</f>
        <v>25.267666666666667</v>
      </c>
      <c r="CD107" s="23">
        <f>82+59/60+20.7/3600</f>
        <v>82.98908333333334</v>
      </c>
      <c r="CE107" s="20">
        <v>42348</v>
      </c>
      <c r="CF107" s="20">
        <v>42448</v>
      </c>
      <c r="CG107" s="20">
        <v>42348</v>
      </c>
      <c r="CH107" s="20">
        <v>42448</v>
      </c>
      <c r="CI107" s="21">
        <f t="shared" si="71"/>
        <v>-21</v>
      </c>
      <c r="CJ107" s="21">
        <f t="shared" si="72"/>
        <v>79</v>
      </c>
      <c r="CK107" s="30">
        <f t="shared" si="73"/>
        <v>101</v>
      </c>
      <c r="CL107" s="21">
        <f t="shared" si="74"/>
        <v>-21</v>
      </c>
      <c r="CM107" s="21">
        <f t="shared" si="42"/>
        <v>79</v>
      </c>
      <c r="CN107" s="19">
        <f t="shared" si="43"/>
        <v>101</v>
      </c>
      <c r="CP107" s="29">
        <f>CE107+60+5</f>
        <v>42413</v>
      </c>
      <c r="CQ107" s="19">
        <f t="shared" ref="CQ107:CQ126" si="77">CF107-CP107+1</f>
        <v>36</v>
      </c>
    </row>
    <row r="108" spans="1:95" s="19" customFormat="1" hidden="1" x14ac:dyDescent="0.3">
      <c r="A108" s="3">
        <v>1</v>
      </c>
      <c r="B108" s="3"/>
      <c r="C108" s="3">
        <v>68</v>
      </c>
      <c r="D108" s="3" t="s">
        <v>115</v>
      </c>
      <c r="E108" s="9" t="s">
        <v>116</v>
      </c>
      <c r="F108" s="6" t="str">
        <f t="shared" si="49"/>
        <v>2020-48HD31182016OTC</v>
      </c>
      <c r="G108" s="3" t="s">
        <v>117</v>
      </c>
      <c r="H108" s="3" t="s">
        <v>93</v>
      </c>
      <c r="I108" s="3" t="s">
        <v>93</v>
      </c>
      <c r="J108" s="3" t="s">
        <v>94</v>
      </c>
      <c r="K108" s="3" t="s">
        <v>118</v>
      </c>
      <c r="L108" s="3">
        <v>2016</v>
      </c>
      <c r="M108" s="3" t="s">
        <v>95</v>
      </c>
      <c r="N108" s="4" t="s">
        <v>49</v>
      </c>
      <c r="O108" s="3" t="s">
        <v>73</v>
      </c>
      <c r="P108" s="3"/>
      <c r="Q108" s="4">
        <f>(8 * S108+ 4 * 0.97*S107) / 12*1.08</f>
        <v>69.677640000000011</v>
      </c>
      <c r="R108" s="3"/>
      <c r="S108" s="3">
        <v>71.7</v>
      </c>
      <c r="T108" s="3">
        <v>8</v>
      </c>
      <c r="U108" s="3">
        <v>100</v>
      </c>
      <c r="V108" s="3">
        <v>5</v>
      </c>
      <c r="W108" s="9">
        <v>29.338133020351801</v>
      </c>
      <c r="X108" s="3" t="s">
        <v>50</v>
      </c>
      <c r="Y108" s="3"/>
      <c r="Z108" s="3">
        <v>277.5</v>
      </c>
      <c r="AA108" s="3" t="s">
        <v>78</v>
      </c>
      <c r="AB108" s="3"/>
      <c r="AC108" s="3"/>
      <c r="AD108" s="3">
        <v>364.5</v>
      </c>
      <c r="AE108" s="3" t="s">
        <v>78</v>
      </c>
      <c r="AF108" s="3"/>
      <c r="AG108" s="3"/>
      <c r="AH108" s="8">
        <f t="shared" si="51"/>
        <v>-0.23868312757201646</v>
      </c>
      <c r="AI108" s="8">
        <f>VLOOKUP(F108,'[6]Sheet 2'!$B:$T,18,0)/VLOOKUP(F108,'[6]Sheet 2'!$B:$U,20,0)</f>
        <v>576.6898850960747</v>
      </c>
      <c r="AJ108" s="8">
        <f t="shared" si="52"/>
        <v>-0.51880550158466998</v>
      </c>
      <c r="AK108" s="3">
        <v>33.1</v>
      </c>
      <c r="AL108" s="4" t="s">
        <v>37</v>
      </c>
      <c r="AM108" s="3"/>
      <c r="AN108" s="3"/>
      <c r="AO108" s="3">
        <v>35.4</v>
      </c>
      <c r="AP108" s="4" t="s">
        <v>37</v>
      </c>
      <c r="AQ108" s="3"/>
      <c r="AR108" s="3"/>
      <c r="AS108" s="8">
        <f t="shared" si="53"/>
        <v>-6.4971751412429307E-2</v>
      </c>
      <c r="AT108" s="8">
        <f>VLOOKUP(F108,'[7]Sheet 2'!$B:$T,18,0)/VLOOKUP(F108,'[7]Sheet 2'!$B:$U,20,0)</f>
        <v>42.70373915642886</v>
      </c>
      <c r="AU108" s="8">
        <f t="shared" si="54"/>
        <v>-0.22489223066039307</v>
      </c>
      <c r="AV108" s="57">
        <v>88.435504225783006</v>
      </c>
      <c r="AW108" s="57" t="s">
        <v>271</v>
      </c>
      <c r="AX108" s="3"/>
      <c r="AY108" s="3"/>
      <c r="AZ108" s="57">
        <v>94.291301918420572</v>
      </c>
      <c r="BA108" s="57" t="s">
        <v>271</v>
      </c>
      <c r="BB108" s="3"/>
      <c r="BC108" s="3"/>
      <c r="BD108" s="8">
        <f t="shared" si="55"/>
        <v>-6.2103264813374991E-2</v>
      </c>
      <c r="BE108" s="8">
        <f>VLOOKUP(F108,'[8]Sheet 2'!$B:$T,18,0)/VLOOKUP(F108,'[8]Sheet 2'!$B:$U,20,0)</f>
        <v>92.314553357920843</v>
      </c>
      <c r="BF108" s="8">
        <f t="shared" si="56"/>
        <v>-4.2019909007175019E-2</v>
      </c>
      <c r="BG108" s="3">
        <v>3.95</v>
      </c>
      <c r="BH108" s="3" t="s">
        <v>65</v>
      </c>
      <c r="BI108" s="3"/>
      <c r="BJ108" s="3"/>
      <c r="BK108" s="3">
        <v>4.55</v>
      </c>
      <c r="BL108" s="3" t="s">
        <v>65</v>
      </c>
      <c r="BM108" s="3"/>
      <c r="BN108" s="3"/>
      <c r="BO108" s="8">
        <f t="shared" si="57"/>
        <v>-0.13186813186813179</v>
      </c>
      <c r="BP108" s="8">
        <f>VLOOKUP(F108,'[9]Sheet 2'!$B:$T,18,0)/VLOOKUP(F108,'[9]Sheet 2'!$B:$U,20,0)</f>
        <v>6.3828467563784423</v>
      </c>
      <c r="BQ108" s="8">
        <f t="shared" si="58"/>
        <v>-0.38115387212567403</v>
      </c>
      <c r="BR108" s="3">
        <f t="shared" si="75"/>
        <v>8383.6858006042294</v>
      </c>
      <c r="BS108" s="3" t="s">
        <v>52</v>
      </c>
      <c r="BT108" s="3"/>
      <c r="BU108" s="3"/>
      <c r="BV108" s="3">
        <f t="shared" si="76"/>
        <v>10296.610169491525</v>
      </c>
      <c r="BW108" s="3" t="s">
        <v>52</v>
      </c>
      <c r="BX108" s="3"/>
      <c r="BY108" s="3"/>
      <c r="BZ108" s="8">
        <f t="shared" si="59"/>
        <v>-0.18578195516765506</v>
      </c>
      <c r="CA108" s="8">
        <f>VLOOKUP(F108,'[10]Sheet 2'!$B:$T,18,0)/VLOOKUP(F108,'[10]Sheet 2'!$B:$U,20,0)</f>
        <v>13229.903870431728</v>
      </c>
      <c r="CB108" s="8">
        <f t="shared" si="60"/>
        <v>-0.36630788230129091</v>
      </c>
      <c r="CC108" s="23">
        <f>25+16/60+3.6/3600</f>
        <v>25.267666666666667</v>
      </c>
      <c r="CD108" s="23">
        <f>82+59/60+20.7/3600</f>
        <v>82.98908333333334</v>
      </c>
      <c r="CE108" s="20">
        <v>42348</v>
      </c>
      <c r="CF108" s="20">
        <v>42448</v>
      </c>
      <c r="CG108" s="20">
        <v>42348</v>
      </c>
      <c r="CH108" s="20">
        <v>42448</v>
      </c>
      <c r="CI108" s="21">
        <f t="shared" si="71"/>
        <v>-21</v>
      </c>
      <c r="CJ108" s="21">
        <f t="shared" si="72"/>
        <v>79</v>
      </c>
      <c r="CK108" s="30">
        <f t="shared" si="73"/>
        <v>101</v>
      </c>
      <c r="CL108" s="21">
        <f t="shared" si="74"/>
        <v>-21</v>
      </c>
      <c r="CM108" s="21">
        <f t="shared" si="42"/>
        <v>79</v>
      </c>
      <c r="CN108" s="19">
        <f t="shared" si="43"/>
        <v>101</v>
      </c>
      <c r="CP108" s="29">
        <f>CE108+60+5</f>
        <v>42413</v>
      </c>
      <c r="CQ108" s="19">
        <f t="shared" si="77"/>
        <v>36</v>
      </c>
    </row>
    <row r="109" spans="1:95" s="42" customFormat="1" hidden="1" x14ac:dyDescent="0.3">
      <c r="A109" s="31">
        <v>1</v>
      </c>
      <c r="B109" s="31"/>
      <c r="C109" s="31">
        <v>68</v>
      </c>
      <c r="D109" s="31" t="s">
        <v>115</v>
      </c>
      <c r="E109" s="43" t="s">
        <v>116</v>
      </c>
      <c r="F109" s="34" t="str">
        <f t="shared" si="49"/>
        <v>2020-48HUW2342016OTC</v>
      </c>
      <c r="G109" s="31" t="s">
        <v>117</v>
      </c>
      <c r="H109" s="31" t="s">
        <v>93</v>
      </c>
      <c r="I109" s="31" t="s">
        <v>93</v>
      </c>
      <c r="J109" s="31" t="s">
        <v>94</v>
      </c>
      <c r="K109" s="31" t="s">
        <v>119</v>
      </c>
      <c r="L109" s="31">
        <v>2016</v>
      </c>
      <c r="M109" s="31" t="s">
        <v>95</v>
      </c>
      <c r="N109" s="32" t="s">
        <v>49</v>
      </c>
      <c r="O109" s="31" t="s">
        <v>101</v>
      </c>
      <c r="P109" s="32" t="s">
        <v>267</v>
      </c>
      <c r="Q109" s="32">
        <f>S109/1.01*1.08</f>
        <v>55.283168316831691</v>
      </c>
      <c r="R109" s="31"/>
      <c r="S109" s="31">
        <v>51.7</v>
      </c>
      <c r="T109" s="31">
        <v>8</v>
      </c>
      <c r="U109" s="31">
        <v>100</v>
      </c>
      <c r="V109" s="31">
        <v>5</v>
      </c>
      <c r="W109" s="43">
        <v>16.635934586368901</v>
      </c>
      <c r="X109" s="31" t="s">
        <v>50</v>
      </c>
      <c r="Y109" s="31"/>
      <c r="Z109" s="31">
        <v>435.5</v>
      </c>
      <c r="AA109" s="31" t="s">
        <v>78</v>
      </c>
      <c r="AB109" s="31"/>
      <c r="AC109" s="31"/>
      <c r="AD109" s="31">
        <v>435.5</v>
      </c>
      <c r="AE109" s="31" t="s">
        <v>78</v>
      </c>
      <c r="AF109" s="31"/>
      <c r="AG109" s="31"/>
      <c r="AH109" s="8">
        <f t="shared" si="51"/>
        <v>0</v>
      </c>
      <c r="AI109" s="8">
        <f>VLOOKUP(F109,'[6]Sheet 2'!$B:$T,18,0)/VLOOKUP(F109,'[6]Sheet 2'!$B:$U,20,0)</f>
        <v>696.71635076478435</v>
      </c>
      <c r="AJ109" s="8">
        <f t="shared" si="52"/>
        <v>-0.37492496118118601</v>
      </c>
      <c r="AK109" s="31">
        <v>38.5</v>
      </c>
      <c r="AL109" s="32" t="s">
        <v>37</v>
      </c>
      <c r="AM109" s="31"/>
      <c r="AN109" s="31"/>
      <c r="AO109" s="31">
        <v>38.5</v>
      </c>
      <c r="AP109" s="32" t="s">
        <v>37</v>
      </c>
      <c r="AQ109" s="31"/>
      <c r="AR109" s="31"/>
      <c r="AS109" s="8">
        <f t="shared" si="53"/>
        <v>0</v>
      </c>
      <c r="AT109" s="8">
        <f>VLOOKUP(F109,'[7]Sheet 2'!$B:$T,18,0)/VLOOKUP(F109,'[7]Sheet 2'!$B:$U,20,0)</f>
        <v>47.716923905100018</v>
      </c>
      <c r="AU109" s="8">
        <f t="shared" si="54"/>
        <v>-0.19315838387719092</v>
      </c>
      <c r="AV109" s="57">
        <v>79.21350358325148</v>
      </c>
      <c r="AW109" s="57" t="s">
        <v>271</v>
      </c>
      <c r="AX109" s="31"/>
      <c r="AY109" s="31"/>
      <c r="AZ109" s="57">
        <v>79.21350358325148</v>
      </c>
      <c r="BA109" s="57" t="s">
        <v>271</v>
      </c>
      <c r="BB109" s="31"/>
      <c r="BC109" s="31"/>
      <c r="BD109" s="8">
        <f t="shared" si="55"/>
        <v>0</v>
      </c>
      <c r="BE109" s="8">
        <f>VLOOKUP(F109,'[8]Sheet 2'!$B:$T,18,0)/VLOOKUP(F109,'[8]Sheet 2'!$B:$U,20,0)</f>
        <v>80.444543807614508</v>
      </c>
      <c r="BF109" s="8">
        <f t="shared" si="56"/>
        <v>-1.5302967312576186E-2</v>
      </c>
      <c r="BG109" s="31">
        <v>5.95</v>
      </c>
      <c r="BH109" s="31" t="s">
        <v>65</v>
      </c>
      <c r="BI109" s="31"/>
      <c r="BJ109" s="31"/>
      <c r="BK109" s="31">
        <v>5.95</v>
      </c>
      <c r="BL109" s="31" t="s">
        <v>65</v>
      </c>
      <c r="BM109" s="31"/>
      <c r="BN109" s="31"/>
      <c r="BO109" s="8">
        <f t="shared" si="57"/>
        <v>0</v>
      </c>
      <c r="BP109" s="8">
        <f>VLOOKUP(F109,'[9]Sheet 2'!$B:$T,18,0)/VLOOKUP(F109,'[9]Sheet 2'!$B:$U,20,0)</f>
        <v>7.9194520002019679</v>
      </c>
      <c r="BQ109" s="8">
        <f t="shared" si="58"/>
        <v>-0.24868538885667105</v>
      </c>
      <c r="BR109" s="31">
        <f t="shared" si="75"/>
        <v>11311.688311688311</v>
      </c>
      <c r="BS109" s="31" t="s">
        <v>52</v>
      </c>
      <c r="BT109" s="31"/>
      <c r="BU109" s="31"/>
      <c r="BV109" s="31">
        <f t="shared" si="76"/>
        <v>11311.688311688311</v>
      </c>
      <c r="BW109" s="31" t="s">
        <v>52</v>
      </c>
      <c r="BX109" s="31"/>
      <c r="BY109" s="31"/>
      <c r="BZ109" s="8">
        <f t="shared" si="59"/>
        <v>0</v>
      </c>
      <c r="CA109" s="8">
        <f>VLOOKUP(F109,'[10]Sheet 2'!$B:$T,18,0)/VLOOKUP(F109,'[10]Sheet 2'!$B:$U,20,0)</f>
        <v>14304.208180646456</v>
      </c>
      <c r="CB109" s="8">
        <f t="shared" si="60"/>
        <v>-0.20920555903311125</v>
      </c>
      <c r="CC109" s="54">
        <f>25+16/60+3.6/3600</f>
        <v>25.267666666666667</v>
      </c>
      <c r="CD109" s="54">
        <f>82+59/60+20.7/3600</f>
        <v>82.98908333333334</v>
      </c>
      <c r="CE109" s="38">
        <v>42348</v>
      </c>
      <c r="CF109" s="38">
        <v>42448</v>
      </c>
      <c r="CG109" s="38">
        <v>42348</v>
      </c>
      <c r="CH109" s="38">
        <v>42448</v>
      </c>
      <c r="CI109" s="40">
        <f t="shared" si="71"/>
        <v>-21</v>
      </c>
      <c r="CJ109" s="40">
        <f t="shared" si="72"/>
        <v>79</v>
      </c>
      <c r="CK109" s="41">
        <f t="shared" si="73"/>
        <v>101</v>
      </c>
      <c r="CL109" s="40">
        <f t="shared" si="74"/>
        <v>-21</v>
      </c>
      <c r="CM109" s="40">
        <f t="shared" si="42"/>
        <v>79</v>
      </c>
      <c r="CN109" s="42">
        <f t="shared" si="43"/>
        <v>101</v>
      </c>
      <c r="CP109" s="47">
        <f>CE109+60+5</f>
        <v>42413</v>
      </c>
      <c r="CQ109" s="42">
        <f t="shared" si="77"/>
        <v>36</v>
      </c>
    </row>
    <row r="110" spans="1:95" s="42" customFormat="1" hidden="1" x14ac:dyDescent="0.3">
      <c r="A110" s="31">
        <v>1</v>
      </c>
      <c r="B110" s="31"/>
      <c r="C110" s="31">
        <v>68</v>
      </c>
      <c r="D110" s="31" t="s">
        <v>115</v>
      </c>
      <c r="E110" s="43" t="s">
        <v>116</v>
      </c>
      <c r="F110" s="34" t="str">
        <f t="shared" si="49"/>
        <v>2020-48HUW2342016OTC</v>
      </c>
      <c r="G110" s="31" t="s">
        <v>117</v>
      </c>
      <c r="H110" s="31" t="s">
        <v>93</v>
      </c>
      <c r="I110" s="31" t="s">
        <v>93</v>
      </c>
      <c r="J110" s="31" t="s">
        <v>94</v>
      </c>
      <c r="K110" s="31" t="s">
        <v>119</v>
      </c>
      <c r="L110" s="31">
        <v>2016</v>
      </c>
      <c r="M110" s="31" t="s">
        <v>95</v>
      </c>
      <c r="N110" s="32" t="s">
        <v>49</v>
      </c>
      <c r="O110" s="31" t="s">
        <v>73</v>
      </c>
      <c r="P110" s="31"/>
      <c r="Q110" s="32">
        <f>(8 * S110+ 4 * 0.97*S109) / 12*1.08</f>
        <v>69.677640000000011</v>
      </c>
      <c r="R110" s="31"/>
      <c r="S110" s="31">
        <v>71.7</v>
      </c>
      <c r="T110" s="31">
        <v>8</v>
      </c>
      <c r="U110" s="31">
        <v>100</v>
      </c>
      <c r="V110" s="31">
        <v>5</v>
      </c>
      <c r="W110" s="43">
        <v>29.338133020351801</v>
      </c>
      <c r="X110" s="31" t="s">
        <v>50</v>
      </c>
      <c r="Y110" s="31"/>
      <c r="Z110" s="31">
        <v>339</v>
      </c>
      <c r="AA110" s="31" t="s">
        <v>78</v>
      </c>
      <c r="AB110" s="31"/>
      <c r="AC110" s="31"/>
      <c r="AD110" s="31">
        <v>435.5</v>
      </c>
      <c r="AE110" s="31" t="s">
        <v>78</v>
      </c>
      <c r="AF110" s="31"/>
      <c r="AG110" s="31"/>
      <c r="AH110" s="8">
        <f t="shared" si="51"/>
        <v>-0.22158438576349024</v>
      </c>
      <c r="AI110" s="8">
        <f>VLOOKUP(F110,'[6]Sheet 2'!$B:$T,18,0)/VLOOKUP(F110,'[6]Sheet 2'!$B:$U,20,0)</f>
        <v>696.71635076478435</v>
      </c>
      <c r="AJ110" s="8">
        <f t="shared" si="52"/>
        <v>-0.51343182971394274</v>
      </c>
      <c r="AK110" s="31">
        <v>38</v>
      </c>
      <c r="AL110" s="32" t="s">
        <v>37</v>
      </c>
      <c r="AM110" s="31"/>
      <c r="AN110" s="31"/>
      <c r="AO110" s="31">
        <v>38.5</v>
      </c>
      <c r="AP110" s="32" t="s">
        <v>37</v>
      </c>
      <c r="AQ110" s="31"/>
      <c r="AR110" s="31"/>
      <c r="AS110" s="8">
        <f t="shared" si="53"/>
        <v>-1.2987012987012988E-2</v>
      </c>
      <c r="AT110" s="8">
        <f>VLOOKUP(F110,'[7]Sheet 2'!$B:$T,18,0)/VLOOKUP(F110,'[7]Sheet 2'!$B:$U,20,0)</f>
        <v>47.716923905100018</v>
      </c>
      <c r="AU110" s="8">
        <f t="shared" si="54"/>
        <v>-0.2036368464242404</v>
      </c>
      <c r="AV110" s="57">
        <v>79.937747594793422</v>
      </c>
      <c r="AW110" s="57" t="s">
        <v>271</v>
      </c>
      <c r="AX110" s="31"/>
      <c r="AY110" s="31"/>
      <c r="AZ110" s="57">
        <v>79.21350358325148</v>
      </c>
      <c r="BA110" s="57" t="s">
        <v>271</v>
      </c>
      <c r="BB110" s="31"/>
      <c r="BC110" s="31"/>
      <c r="BD110" s="8">
        <f t="shared" si="55"/>
        <v>9.1429362265333745E-3</v>
      </c>
      <c r="BE110" s="8">
        <f>VLOOKUP(F110,'[8]Sheet 2'!$B:$T,18,0)/VLOOKUP(F110,'[8]Sheet 2'!$B:$U,20,0)</f>
        <v>80.444543807614508</v>
      </c>
      <c r="BF110" s="8">
        <f t="shared" si="56"/>
        <v>-6.2999451402584198E-3</v>
      </c>
      <c r="BG110" s="31">
        <v>4.6500000000000004</v>
      </c>
      <c r="BH110" s="31" t="s">
        <v>65</v>
      </c>
      <c r="BI110" s="31"/>
      <c r="BJ110" s="31"/>
      <c r="BK110" s="31">
        <v>5.95</v>
      </c>
      <c r="BL110" s="31" t="s">
        <v>65</v>
      </c>
      <c r="BM110" s="31"/>
      <c r="BN110" s="31"/>
      <c r="BO110" s="8">
        <f t="shared" si="57"/>
        <v>-0.21848739495798317</v>
      </c>
      <c r="BP110" s="8">
        <f>VLOOKUP(F110,'[9]Sheet 2'!$B:$T,18,0)/VLOOKUP(F110,'[9]Sheet 2'!$B:$U,20,0)</f>
        <v>7.9194520002019679</v>
      </c>
      <c r="BQ110" s="8">
        <f t="shared" si="58"/>
        <v>-0.41283816103924709</v>
      </c>
      <c r="BR110" s="31">
        <f t="shared" si="75"/>
        <v>8921.0526315789466</v>
      </c>
      <c r="BS110" s="31" t="s">
        <v>52</v>
      </c>
      <c r="BT110" s="31"/>
      <c r="BU110" s="31"/>
      <c r="BV110" s="31">
        <f t="shared" si="76"/>
        <v>11311.688311688311</v>
      </c>
      <c r="BW110" s="31" t="s">
        <v>52</v>
      </c>
      <c r="BX110" s="31"/>
      <c r="BY110" s="31"/>
      <c r="BZ110" s="8">
        <f t="shared" si="59"/>
        <v>-0.21134207504985197</v>
      </c>
      <c r="CA110" s="8">
        <f>VLOOKUP(F110,'[10]Sheet 2'!$B:$T,18,0)/VLOOKUP(F110,'[10]Sheet 2'!$B:$U,20,0)</f>
        <v>14304.208180646456</v>
      </c>
      <c r="CB110" s="8">
        <f t="shared" si="60"/>
        <v>-0.37633369712494119</v>
      </c>
      <c r="CC110" s="54">
        <f>25+16/60+3.6/3600</f>
        <v>25.267666666666667</v>
      </c>
      <c r="CD110" s="54">
        <f>82+59/60+20.7/3600</f>
        <v>82.98908333333334</v>
      </c>
      <c r="CE110" s="38">
        <v>42348</v>
      </c>
      <c r="CF110" s="38">
        <v>42448</v>
      </c>
      <c r="CG110" s="38">
        <v>42348</v>
      </c>
      <c r="CH110" s="38">
        <v>42448</v>
      </c>
      <c r="CI110" s="40">
        <f t="shared" si="71"/>
        <v>-21</v>
      </c>
      <c r="CJ110" s="40">
        <f t="shared" si="72"/>
        <v>79</v>
      </c>
      <c r="CK110" s="41">
        <f t="shared" si="73"/>
        <v>101</v>
      </c>
      <c r="CL110" s="40">
        <f t="shared" si="74"/>
        <v>-21</v>
      </c>
      <c r="CM110" s="40">
        <f t="shared" si="42"/>
        <v>79</v>
      </c>
      <c r="CN110" s="42">
        <f t="shared" si="43"/>
        <v>101</v>
      </c>
      <c r="CP110" s="47">
        <f>CE110+60+5</f>
        <v>42413</v>
      </c>
      <c r="CQ110" s="42">
        <f t="shared" si="77"/>
        <v>36</v>
      </c>
    </row>
    <row r="111" spans="1:95" s="19" customFormat="1" hidden="1" x14ac:dyDescent="0.3">
      <c r="A111" s="3">
        <v>1</v>
      </c>
      <c r="B111" s="3"/>
      <c r="C111" s="3">
        <v>71</v>
      </c>
      <c r="D111" s="3" t="s">
        <v>120</v>
      </c>
      <c r="E111" s="9" t="s">
        <v>121</v>
      </c>
      <c r="F111" s="6" t="str">
        <f t="shared" si="49"/>
        <v>2021-X140HD30862017OTC</v>
      </c>
      <c r="G111" s="3" t="s">
        <v>117</v>
      </c>
      <c r="H111" s="3" t="s">
        <v>93</v>
      </c>
      <c r="I111" s="3" t="s">
        <v>93</v>
      </c>
      <c r="J111" s="3" t="s">
        <v>94</v>
      </c>
      <c r="K111" s="3" t="s">
        <v>122</v>
      </c>
      <c r="L111" s="3">
        <v>2017</v>
      </c>
      <c r="M111" s="3" t="s">
        <v>95</v>
      </c>
      <c r="N111" s="4" t="s">
        <v>49</v>
      </c>
      <c r="O111" s="3" t="s">
        <v>101</v>
      </c>
      <c r="P111" s="32" t="s">
        <v>267</v>
      </c>
      <c r="Q111" s="4">
        <f>S111/1.01*1.08</f>
        <v>54.748514851485155</v>
      </c>
      <c r="R111" s="3">
        <v>11.78</v>
      </c>
      <c r="S111" s="3">
        <v>51.2</v>
      </c>
      <c r="T111" s="3">
        <v>8</v>
      </c>
      <c r="U111" s="3">
        <v>150</v>
      </c>
      <c r="V111" s="3">
        <v>3</v>
      </c>
      <c r="W111" s="3">
        <f t="shared" ref="W111:W130" si="78">IF(U111&lt;=90,R111,R111/U111*90)</f>
        <v>7.0679999999999996</v>
      </c>
      <c r="X111" s="3" t="s">
        <v>63</v>
      </c>
      <c r="Y111" s="3"/>
      <c r="Z111" s="3">
        <v>554</v>
      </c>
      <c r="AA111" s="3" t="s">
        <v>78</v>
      </c>
      <c r="AB111" s="3"/>
      <c r="AC111" s="3">
        <v>26</v>
      </c>
      <c r="AD111" s="3">
        <v>554</v>
      </c>
      <c r="AE111" s="3" t="s">
        <v>78</v>
      </c>
      <c r="AF111" s="3"/>
      <c r="AG111" s="3">
        <v>26</v>
      </c>
      <c r="AH111" s="8">
        <f t="shared" si="51"/>
        <v>0</v>
      </c>
      <c r="AI111" s="8">
        <f>VLOOKUP(F111,'[6]Sheet 2'!$B:$T,18,0)/VLOOKUP(F111,'[6]Sheet 2'!$B:$U,20,0)</f>
        <v>617.83727688635724</v>
      </c>
      <c r="AJ111" s="8">
        <f t="shared" si="52"/>
        <v>-0.10332377031063997</v>
      </c>
      <c r="AK111" s="3">
        <v>45.4</v>
      </c>
      <c r="AL111" s="4" t="s">
        <v>37</v>
      </c>
      <c r="AM111" s="3"/>
      <c r="AN111" s="3">
        <v>0.9</v>
      </c>
      <c r="AO111" s="3">
        <v>45.4</v>
      </c>
      <c r="AP111" s="4" t="s">
        <v>37</v>
      </c>
      <c r="AQ111" s="3"/>
      <c r="AR111" s="3">
        <v>0.9</v>
      </c>
      <c r="AS111" s="8">
        <f t="shared" si="53"/>
        <v>0</v>
      </c>
      <c r="AT111" s="8">
        <f>VLOOKUP(F111,'[7]Sheet 2'!$B:$T,18,0)/VLOOKUP(F111,'[7]Sheet 2'!$B:$U,20,0)</f>
        <v>49.017563006053216</v>
      </c>
      <c r="AU111" s="8">
        <f t="shared" si="54"/>
        <v>-7.3801363923508015E-2</v>
      </c>
      <c r="AV111" s="57"/>
      <c r="AW111" s="3"/>
      <c r="AX111" s="3"/>
      <c r="AY111" s="3"/>
      <c r="AZ111" s="3"/>
      <c r="BA111" s="3"/>
      <c r="BB111" s="3"/>
      <c r="BC111" s="3"/>
      <c r="BD111" s="8" t="e">
        <f t="shared" si="55"/>
        <v>#DIV/0!</v>
      </c>
      <c r="BE111" s="8" t="e">
        <f>VLOOKUP(F111,'[8]Sheet 2'!$B:$T,18,0)/VLOOKUP(F111,'[8]Sheet 2'!$B:$U,20,0)</f>
        <v>#N/A</v>
      </c>
      <c r="BF111" s="8" t="e">
        <f t="shared" si="56"/>
        <v>#N/A</v>
      </c>
      <c r="BG111" s="3"/>
      <c r="BH111" s="3"/>
      <c r="BI111" s="3"/>
      <c r="BJ111" s="3"/>
      <c r="BK111" s="3"/>
      <c r="BL111" s="3"/>
      <c r="BM111" s="3"/>
      <c r="BN111" s="3"/>
      <c r="BO111" s="8" t="e">
        <f t="shared" si="57"/>
        <v>#DIV/0!</v>
      </c>
      <c r="BP111" s="8" t="e">
        <f>VLOOKUP(F111,'[9]Sheet 2'!$B:$T,18,0)/VLOOKUP(F111,'[9]Sheet 2'!$B:$U,20,0)</f>
        <v>#N/A</v>
      </c>
      <c r="BQ111" s="8" t="e">
        <f t="shared" si="58"/>
        <v>#N/A</v>
      </c>
      <c r="BR111" s="3">
        <f t="shared" si="75"/>
        <v>12202.643171806169</v>
      </c>
      <c r="BS111" s="3" t="s">
        <v>52</v>
      </c>
      <c r="BT111" s="3"/>
      <c r="BU111" s="3"/>
      <c r="BV111" s="3">
        <f t="shared" si="76"/>
        <v>12202.643171806169</v>
      </c>
      <c r="BW111" s="3" t="s">
        <v>52</v>
      </c>
      <c r="BX111" s="3"/>
      <c r="BY111" s="3"/>
      <c r="BZ111" s="8">
        <f t="shared" si="59"/>
        <v>0</v>
      </c>
      <c r="CA111" s="8">
        <f>VLOOKUP(F111,'[10]Sheet 2'!$B:$T,18,0)/VLOOKUP(F111,'[10]Sheet 2'!$B:$U,20,0)</f>
        <v>12808.538955925022</v>
      </c>
      <c r="CB111" s="8">
        <f t="shared" si="60"/>
        <v>-4.7304051321058402E-2</v>
      </c>
      <c r="CC111" s="23">
        <f t="shared" ref="CC111:CC126" si="79">25+16/60</f>
        <v>25.266666666666666</v>
      </c>
      <c r="CD111" s="23">
        <f t="shared" ref="CD111:CD126" si="80">82+59/60</f>
        <v>82.983333333333334</v>
      </c>
      <c r="CE111" s="18">
        <v>42683</v>
      </c>
      <c r="CF111" s="20">
        <v>42823</v>
      </c>
      <c r="CG111" s="18">
        <v>42683</v>
      </c>
      <c r="CH111" s="20">
        <v>42823</v>
      </c>
      <c r="CI111" s="21">
        <f t="shared" si="71"/>
        <v>-52</v>
      </c>
      <c r="CJ111" s="21">
        <f t="shared" si="72"/>
        <v>88</v>
      </c>
      <c r="CK111" s="30">
        <f t="shared" si="73"/>
        <v>141</v>
      </c>
      <c r="CL111" s="21">
        <f t="shared" si="74"/>
        <v>-52</v>
      </c>
      <c r="CM111" s="21">
        <f t="shared" si="42"/>
        <v>88</v>
      </c>
      <c r="CN111" s="19">
        <f t="shared" si="43"/>
        <v>141</v>
      </c>
      <c r="CP111" s="29">
        <v>42772</v>
      </c>
      <c r="CQ111" s="19">
        <f t="shared" si="77"/>
        <v>52</v>
      </c>
    </row>
    <row r="112" spans="1:95" s="19" customFormat="1" hidden="1" x14ac:dyDescent="0.3">
      <c r="A112" s="3">
        <v>1</v>
      </c>
      <c r="B112" s="3"/>
      <c r="C112" s="3">
        <v>71</v>
      </c>
      <c r="D112" s="3" t="s">
        <v>120</v>
      </c>
      <c r="E112" s="9" t="s">
        <v>121</v>
      </c>
      <c r="F112" s="6" t="str">
        <f t="shared" si="49"/>
        <v>2021-X140HD30862017OTC</v>
      </c>
      <c r="G112" s="3" t="s">
        <v>117</v>
      </c>
      <c r="H112" s="3" t="s">
        <v>93</v>
      </c>
      <c r="I112" s="3" t="s">
        <v>93</v>
      </c>
      <c r="J112" s="3" t="s">
        <v>94</v>
      </c>
      <c r="K112" s="3" t="s">
        <v>122</v>
      </c>
      <c r="L112" s="3">
        <v>2017</v>
      </c>
      <c r="M112" s="3" t="s">
        <v>95</v>
      </c>
      <c r="N112" s="4" t="s">
        <v>49</v>
      </c>
      <c r="O112" s="3" t="s">
        <v>73</v>
      </c>
      <c r="P112" s="3"/>
      <c r="Q112" s="4">
        <f>(8 * S112+ 4 * 0.97*S111) / 12*1.08</f>
        <v>69.863040000000012</v>
      </c>
      <c r="R112" s="3">
        <v>21.6</v>
      </c>
      <c r="S112" s="3">
        <v>72.2</v>
      </c>
      <c r="T112" s="3">
        <v>8</v>
      </c>
      <c r="U112" s="3">
        <v>150</v>
      </c>
      <c r="V112" s="3">
        <v>3</v>
      </c>
      <c r="W112" s="3">
        <f t="shared" si="78"/>
        <v>12.96</v>
      </c>
      <c r="X112" s="3" t="s">
        <v>63</v>
      </c>
      <c r="Y112" s="3"/>
      <c r="Z112" s="3">
        <v>381</v>
      </c>
      <c r="AA112" s="3" t="s">
        <v>78</v>
      </c>
      <c r="AB112" s="3"/>
      <c r="AC112" s="3">
        <v>21</v>
      </c>
      <c r="AD112" s="3">
        <v>554</v>
      </c>
      <c r="AE112" s="3" t="s">
        <v>78</v>
      </c>
      <c r="AF112" s="3"/>
      <c r="AG112" s="3">
        <v>26</v>
      </c>
      <c r="AH112" s="8">
        <f t="shared" si="51"/>
        <v>-0.31227436823104693</v>
      </c>
      <c r="AI112" s="8">
        <f>VLOOKUP(F112,'[6]Sheet 2'!$B:$T,18,0)/VLOOKUP(F112,'[6]Sheet 2'!$B:$U,20,0)</f>
        <v>617.83727688635724</v>
      </c>
      <c r="AJ112" s="8">
        <f t="shared" si="52"/>
        <v>-0.38333277344468197</v>
      </c>
      <c r="AK112" s="3">
        <v>41.7</v>
      </c>
      <c r="AL112" s="4" t="s">
        <v>37</v>
      </c>
      <c r="AM112" s="3"/>
      <c r="AN112" s="3">
        <v>0.53</v>
      </c>
      <c r="AO112" s="3">
        <v>45.4</v>
      </c>
      <c r="AP112" s="4" t="s">
        <v>37</v>
      </c>
      <c r="AQ112" s="3"/>
      <c r="AR112" s="3">
        <v>0.9</v>
      </c>
      <c r="AS112" s="8">
        <f t="shared" si="53"/>
        <v>-8.1497797356828106E-2</v>
      </c>
      <c r="AT112" s="8">
        <f>VLOOKUP(F112,'[7]Sheet 2'!$B:$T,18,0)/VLOOKUP(F112,'[7]Sheet 2'!$B:$U,20,0)</f>
        <v>49.017563006053216</v>
      </c>
      <c r="AU112" s="8">
        <f t="shared" si="54"/>
        <v>-0.14928451267864054</v>
      </c>
      <c r="AV112" s="57"/>
      <c r="AW112" s="3"/>
      <c r="AX112" s="3"/>
      <c r="AY112" s="3"/>
      <c r="AZ112" s="3"/>
      <c r="BA112" s="3"/>
      <c r="BB112" s="3"/>
      <c r="BC112" s="3"/>
      <c r="BD112" s="8" t="e">
        <f t="shared" si="55"/>
        <v>#DIV/0!</v>
      </c>
      <c r="BE112" s="8" t="e">
        <f>VLOOKUP(F112,'[8]Sheet 2'!$B:$T,18,0)/VLOOKUP(F112,'[8]Sheet 2'!$B:$U,20,0)</f>
        <v>#N/A</v>
      </c>
      <c r="BF112" s="8" t="e">
        <f t="shared" si="56"/>
        <v>#N/A</v>
      </c>
      <c r="BG112" s="3"/>
      <c r="BH112" s="3"/>
      <c r="BI112" s="3"/>
      <c r="BJ112" s="3"/>
      <c r="BK112" s="3"/>
      <c r="BL112" s="3"/>
      <c r="BM112" s="3"/>
      <c r="BN112" s="3"/>
      <c r="BO112" s="8" t="e">
        <f t="shared" si="57"/>
        <v>#DIV/0!</v>
      </c>
      <c r="BP112" s="8" t="e">
        <f>VLOOKUP(F112,'[9]Sheet 2'!$B:$T,18,0)/VLOOKUP(F112,'[9]Sheet 2'!$B:$U,20,0)</f>
        <v>#N/A</v>
      </c>
      <c r="BQ112" s="8" t="e">
        <f t="shared" si="58"/>
        <v>#N/A</v>
      </c>
      <c r="BR112" s="3">
        <f t="shared" si="75"/>
        <v>9136.6906474820153</v>
      </c>
      <c r="BS112" s="3" t="s">
        <v>52</v>
      </c>
      <c r="BT112" s="3"/>
      <c r="BU112" s="3"/>
      <c r="BV112" s="3">
        <f t="shared" si="76"/>
        <v>12202.643171806169</v>
      </c>
      <c r="BW112" s="3" t="s">
        <v>52</v>
      </c>
      <c r="BX112" s="3"/>
      <c r="BY112" s="3"/>
      <c r="BZ112" s="8">
        <f t="shared" si="59"/>
        <v>-0.25125314910526453</v>
      </c>
      <c r="CA112" s="8">
        <f>VLOOKUP(F112,'[10]Sheet 2'!$B:$T,18,0)/VLOOKUP(F112,'[10]Sheet 2'!$B:$U,20,0)</f>
        <v>12808.538955925022</v>
      </c>
      <c r="CB112" s="8">
        <f t="shared" si="60"/>
        <v>-0.28667190856646996</v>
      </c>
      <c r="CC112" s="23">
        <f t="shared" si="79"/>
        <v>25.266666666666666</v>
      </c>
      <c r="CD112" s="23">
        <f t="shared" si="80"/>
        <v>82.983333333333334</v>
      </c>
      <c r="CE112" s="18">
        <v>42683</v>
      </c>
      <c r="CF112" s="20">
        <v>42823</v>
      </c>
      <c r="CG112" s="18">
        <v>42683</v>
      </c>
      <c r="CH112" s="20">
        <v>42823</v>
      </c>
      <c r="CI112" s="21">
        <f t="shared" si="71"/>
        <v>-52</v>
      </c>
      <c r="CJ112" s="21">
        <f t="shared" si="72"/>
        <v>88</v>
      </c>
      <c r="CK112" s="30">
        <f t="shared" si="73"/>
        <v>141</v>
      </c>
      <c r="CL112" s="21">
        <f t="shared" si="74"/>
        <v>-52</v>
      </c>
      <c r="CM112" s="21">
        <f t="shared" si="42"/>
        <v>88</v>
      </c>
      <c r="CN112" s="19">
        <f t="shared" si="43"/>
        <v>141</v>
      </c>
      <c r="CP112" s="29">
        <v>42772</v>
      </c>
      <c r="CQ112" s="19">
        <f t="shared" si="77"/>
        <v>52</v>
      </c>
    </row>
    <row r="113" spans="1:95" s="42" customFormat="1" hidden="1" x14ac:dyDescent="0.3">
      <c r="A113" s="31">
        <v>1</v>
      </c>
      <c r="B113" s="31"/>
      <c r="C113" s="31">
        <v>71</v>
      </c>
      <c r="D113" s="31" t="s">
        <v>120</v>
      </c>
      <c r="E113" s="43" t="s">
        <v>121</v>
      </c>
      <c r="F113" s="34" t="str">
        <f t="shared" si="49"/>
        <v>2021-X140HD31182017OTC</v>
      </c>
      <c r="G113" s="31" t="s">
        <v>117</v>
      </c>
      <c r="H113" s="31" t="s">
        <v>93</v>
      </c>
      <c r="I113" s="31" t="s">
        <v>93</v>
      </c>
      <c r="J113" s="31" t="s">
        <v>94</v>
      </c>
      <c r="K113" s="31" t="s">
        <v>118</v>
      </c>
      <c r="L113" s="31">
        <v>2017</v>
      </c>
      <c r="M113" s="31" t="s">
        <v>95</v>
      </c>
      <c r="N113" s="32" t="s">
        <v>49</v>
      </c>
      <c r="O113" s="31" t="s">
        <v>101</v>
      </c>
      <c r="P113" s="32" t="s">
        <v>267</v>
      </c>
      <c r="Q113" s="32">
        <f>S113/1.01*1.08</f>
        <v>55.325940594059418</v>
      </c>
      <c r="R113" s="31">
        <v>8.4</v>
      </c>
      <c r="S113" s="31">
        <v>51.74</v>
      </c>
      <c r="T113" s="31">
        <v>8</v>
      </c>
      <c r="U113" s="31">
        <v>131</v>
      </c>
      <c r="V113" s="31">
        <v>3</v>
      </c>
      <c r="W113" s="31">
        <f t="shared" si="78"/>
        <v>5.770992366412214</v>
      </c>
      <c r="X113" s="31" t="s">
        <v>63</v>
      </c>
      <c r="Y113" s="31"/>
      <c r="Z113" s="31">
        <v>542</v>
      </c>
      <c r="AA113" s="31" t="s">
        <v>78</v>
      </c>
      <c r="AB113" s="31"/>
      <c r="AC113" s="31">
        <v>25</v>
      </c>
      <c r="AD113" s="31">
        <v>542</v>
      </c>
      <c r="AE113" s="31" t="s">
        <v>78</v>
      </c>
      <c r="AF113" s="31"/>
      <c r="AG113" s="31">
        <v>25</v>
      </c>
      <c r="AH113" s="8">
        <f t="shared" si="51"/>
        <v>0</v>
      </c>
      <c r="AI113" s="8">
        <f>VLOOKUP(F113,'[6]Sheet 2'!$B:$T,18,0)/VLOOKUP(F113,'[6]Sheet 2'!$B:$U,20,0)</f>
        <v>606.80485652718744</v>
      </c>
      <c r="AJ113" s="8">
        <f t="shared" si="52"/>
        <v>-0.10679686530208894</v>
      </c>
      <c r="AK113" s="31">
        <v>38.4</v>
      </c>
      <c r="AL113" s="32" t="s">
        <v>37</v>
      </c>
      <c r="AM113" s="31"/>
      <c r="AN113" s="31">
        <v>0.66</v>
      </c>
      <c r="AO113" s="31">
        <v>38.4</v>
      </c>
      <c r="AP113" s="32" t="s">
        <v>37</v>
      </c>
      <c r="AQ113" s="31"/>
      <c r="AR113" s="31">
        <v>0.66</v>
      </c>
      <c r="AS113" s="8">
        <f t="shared" si="53"/>
        <v>0</v>
      </c>
      <c r="AT113" s="8">
        <f>VLOOKUP(F113,'[7]Sheet 2'!$B:$T,18,0)/VLOOKUP(F113,'[7]Sheet 2'!$B:$U,20,0)</f>
        <v>39.467021298139024</v>
      </c>
      <c r="AU113" s="8">
        <f t="shared" si="54"/>
        <v>-2.7035769689295958E-2</v>
      </c>
      <c r="AV113" s="57"/>
      <c r="AW113" s="31"/>
      <c r="AX113" s="31"/>
      <c r="AY113" s="31"/>
      <c r="AZ113" s="31"/>
      <c r="BA113" s="31"/>
      <c r="BB113" s="31"/>
      <c r="BC113" s="31"/>
      <c r="BD113" s="8" t="e">
        <f t="shared" si="55"/>
        <v>#DIV/0!</v>
      </c>
      <c r="BE113" s="8" t="e">
        <f>VLOOKUP(F113,'[8]Sheet 2'!$B:$T,18,0)/VLOOKUP(F113,'[8]Sheet 2'!$B:$U,20,0)</f>
        <v>#N/A</v>
      </c>
      <c r="BF113" s="8" t="e">
        <f t="shared" si="56"/>
        <v>#N/A</v>
      </c>
      <c r="BG113" s="31"/>
      <c r="BH113" s="31"/>
      <c r="BI113" s="31"/>
      <c r="BJ113" s="31"/>
      <c r="BK113" s="31"/>
      <c r="BL113" s="31"/>
      <c r="BM113" s="31"/>
      <c r="BN113" s="31"/>
      <c r="BO113" s="8" t="e">
        <f t="shared" si="57"/>
        <v>#DIV/0!</v>
      </c>
      <c r="BP113" s="8" t="e">
        <f>VLOOKUP(F113,'[9]Sheet 2'!$B:$T,18,0)/VLOOKUP(F113,'[9]Sheet 2'!$B:$U,20,0)</f>
        <v>#N/A</v>
      </c>
      <c r="BQ113" s="8" t="e">
        <f t="shared" si="58"/>
        <v>#N/A</v>
      </c>
      <c r="BR113" s="31">
        <f t="shared" si="75"/>
        <v>14114.583333333334</v>
      </c>
      <c r="BS113" s="31" t="s">
        <v>52</v>
      </c>
      <c r="BT113" s="31"/>
      <c r="BU113" s="31"/>
      <c r="BV113" s="31">
        <f t="shared" si="76"/>
        <v>14114.583333333334</v>
      </c>
      <c r="BW113" s="31" t="s">
        <v>52</v>
      </c>
      <c r="BX113" s="31"/>
      <c r="BY113" s="31"/>
      <c r="BZ113" s="8">
        <f t="shared" si="59"/>
        <v>0</v>
      </c>
      <c r="CA113" s="8">
        <f>VLOOKUP(F113,'[10]Sheet 2'!$B:$T,18,0)/VLOOKUP(F113,'[10]Sheet 2'!$B:$U,20,0)</f>
        <v>15636.94680552249</v>
      </c>
      <c r="CB113" s="8">
        <f t="shared" si="60"/>
        <v>-9.7356823625664807E-2</v>
      </c>
      <c r="CC113" s="54">
        <f t="shared" si="79"/>
        <v>25.266666666666666</v>
      </c>
      <c r="CD113" s="54">
        <f t="shared" si="80"/>
        <v>82.983333333333334</v>
      </c>
      <c r="CE113" s="39">
        <v>42709</v>
      </c>
      <c r="CF113" s="38">
        <v>42824</v>
      </c>
      <c r="CG113" s="39">
        <v>42709</v>
      </c>
      <c r="CH113" s="38">
        <v>42824</v>
      </c>
      <c r="CI113" s="40">
        <f t="shared" si="71"/>
        <v>-26</v>
      </c>
      <c r="CJ113" s="40">
        <f t="shared" si="72"/>
        <v>89</v>
      </c>
      <c r="CK113" s="41">
        <f t="shared" si="73"/>
        <v>116</v>
      </c>
      <c r="CL113" s="40">
        <f t="shared" si="74"/>
        <v>-26</v>
      </c>
      <c r="CM113" s="40">
        <f t="shared" si="42"/>
        <v>89</v>
      </c>
      <c r="CN113" s="42">
        <f t="shared" si="43"/>
        <v>116</v>
      </c>
      <c r="CP113" s="47">
        <v>42793</v>
      </c>
      <c r="CQ113" s="42">
        <f t="shared" si="77"/>
        <v>32</v>
      </c>
    </row>
    <row r="114" spans="1:95" s="42" customFormat="1" hidden="1" x14ac:dyDescent="0.3">
      <c r="A114" s="31">
        <v>1</v>
      </c>
      <c r="B114" s="31"/>
      <c r="C114" s="31">
        <v>71</v>
      </c>
      <c r="D114" s="31" t="s">
        <v>120</v>
      </c>
      <c r="E114" s="43" t="s">
        <v>121</v>
      </c>
      <c r="F114" s="34" t="str">
        <f t="shared" si="49"/>
        <v>2021-X140HD31182017OTC</v>
      </c>
      <c r="G114" s="31" t="s">
        <v>117</v>
      </c>
      <c r="H114" s="31" t="s">
        <v>93</v>
      </c>
      <c r="I114" s="31" t="s">
        <v>93</v>
      </c>
      <c r="J114" s="31" t="s">
        <v>94</v>
      </c>
      <c r="K114" s="31" t="s">
        <v>118</v>
      </c>
      <c r="L114" s="31">
        <v>2017</v>
      </c>
      <c r="M114" s="31" t="s">
        <v>95</v>
      </c>
      <c r="N114" s="32" t="s">
        <v>49</v>
      </c>
      <c r="O114" s="31" t="s">
        <v>73</v>
      </c>
      <c r="P114" s="31"/>
      <c r="Q114" s="32">
        <f>(8 * S114+ 4 * 0.97*S113) / 12*1.08</f>
        <v>71.534808000000012</v>
      </c>
      <c r="R114" s="31">
        <v>16.5</v>
      </c>
      <c r="S114" s="31">
        <v>74.260000000000005</v>
      </c>
      <c r="T114" s="31">
        <v>8</v>
      </c>
      <c r="U114" s="31">
        <v>131</v>
      </c>
      <c r="V114" s="31">
        <v>3</v>
      </c>
      <c r="W114" s="31">
        <f t="shared" si="78"/>
        <v>11.335877862595419</v>
      </c>
      <c r="X114" s="31" t="s">
        <v>63</v>
      </c>
      <c r="Y114" s="31"/>
      <c r="Z114" s="31">
        <v>402</v>
      </c>
      <c r="AA114" s="31" t="s">
        <v>78</v>
      </c>
      <c r="AB114" s="31"/>
      <c r="AC114" s="31">
        <v>24</v>
      </c>
      <c r="AD114" s="31">
        <v>542</v>
      </c>
      <c r="AE114" s="31" t="s">
        <v>78</v>
      </c>
      <c r="AF114" s="31"/>
      <c r="AG114" s="31">
        <v>25</v>
      </c>
      <c r="AH114" s="8">
        <f t="shared" si="51"/>
        <v>-0.25830258302583026</v>
      </c>
      <c r="AI114" s="8">
        <f>VLOOKUP(F114,'[6]Sheet 2'!$B:$T,18,0)/VLOOKUP(F114,'[6]Sheet 2'!$B:$U,20,0)</f>
        <v>606.80485652718744</v>
      </c>
      <c r="AJ114" s="8">
        <f t="shared" si="52"/>
        <v>-0.33751354216132795</v>
      </c>
      <c r="AK114" s="31">
        <v>32.799999999999997</v>
      </c>
      <c r="AL114" s="32" t="s">
        <v>37</v>
      </c>
      <c r="AM114" s="31"/>
      <c r="AN114" s="31">
        <v>0.73</v>
      </c>
      <c r="AO114" s="31">
        <v>38.4</v>
      </c>
      <c r="AP114" s="32" t="s">
        <v>37</v>
      </c>
      <c r="AQ114" s="31"/>
      <c r="AR114" s="31">
        <v>0.66</v>
      </c>
      <c r="AS114" s="8">
        <f t="shared" si="53"/>
        <v>-0.14583333333333337</v>
      </c>
      <c r="AT114" s="8">
        <f>VLOOKUP(F114,'[7]Sheet 2'!$B:$T,18,0)/VLOOKUP(F114,'[7]Sheet 2'!$B:$U,20,0)</f>
        <v>39.467021298139024</v>
      </c>
      <c r="AU114" s="8">
        <f t="shared" si="54"/>
        <v>-0.16892638660960702</v>
      </c>
      <c r="AV114" s="57"/>
      <c r="AW114" s="31"/>
      <c r="AX114" s="31"/>
      <c r="AY114" s="31"/>
      <c r="AZ114" s="31"/>
      <c r="BA114" s="31"/>
      <c r="BB114" s="31"/>
      <c r="BC114" s="31"/>
      <c r="BD114" s="8" t="e">
        <f t="shared" si="55"/>
        <v>#DIV/0!</v>
      </c>
      <c r="BE114" s="8" t="e">
        <f>VLOOKUP(F114,'[8]Sheet 2'!$B:$T,18,0)/VLOOKUP(F114,'[8]Sheet 2'!$B:$U,20,0)</f>
        <v>#N/A</v>
      </c>
      <c r="BF114" s="8" t="e">
        <f t="shared" si="56"/>
        <v>#N/A</v>
      </c>
      <c r="BG114" s="31"/>
      <c r="BH114" s="31"/>
      <c r="BI114" s="31"/>
      <c r="BJ114" s="31"/>
      <c r="BK114" s="31"/>
      <c r="BL114" s="31"/>
      <c r="BM114" s="31"/>
      <c r="BN114" s="31"/>
      <c r="BO114" s="8" t="e">
        <f t="shared" si="57"/>
        <v>#DIV/0!</v>
      </c>
      <c r="BP114" s="8" t="e">
        <f>VLOOKUP(F114,'[9]Sheet 2'!$B:$T,18,0)/VLOOKUP(F114,'[9]Sheet 2'!$B:$U,20,0)</f>
        <v>#N/A</v>
      </c>
      <c r="BQ114" s="8" t="e">
        <f t="shared" si="58"/>
        <v>#N/A</v>
      </c>
      <c r="BR114" s="31">
        <f t="shared" si="75"/>
        <v>12256.097560975611</v>
      </c>
      <c r="BS114" s="31" t="s">
        <v>52</v>
      </c>
      <c r="BT114" s="31"/>
      <c r="BU114" s="31"/>
      <c r="BV114" s="31">
        <f t="shared" si="76"/>
        <v>14114.583333333334</v>
      </c>
      <c r="BW114" s="31" t="s">
        <v>52</v>
      </c>
      <c r="BX114" s="31"/>
      <c r="BY114" s="31"/>
      <c r="BZ114" s="8">
        <f t="shared" si="59"/>
        <v>-0.13167131671316704</v>
      </c>
      <c r="CA114" s="8">
        <f>VLOOKUP(F114,'[10]Sheet 2'!$B:$T,18,0)/VLOOKUP(F114,'[10]Sheet 2'!$B:$U,20,0)</f>
        <v>15636.94680552249</v>
      </c>
      <c r="CB114" s="8">
        <f t="shared" si="60"/>
        <v>-0.21620903918102899</v>
      </c>
      <c r="CC114" s="54">
        <f t="shared" si="79"/>
        <v>25.266666666666666</v>
      </c>
      <c r="CD114" s="54">
        <f t="shared" si="80"/>
        <v>82.983333333333334</v>
      </c>
      <c r="CE114" s="39">
        <v>42709</v>
      </c>
      <c r="CF114" s="38">
        <v>42824</v>
      </c>
      <c r="CG114" s="39">
        <v>42709</v>
      </c>
      <c r="CH114" s="38">
        <v>42824</v>
      </c>
      <c r="CI114" s="40">
        <f t="shared" si="71"/>
        <v>-26</v>
      </c>
      <c r="CJ114" s="40">
        <f t="shared" si="72"/>
        <v>89</v>
      </c>
      <c r="CK114" s="41">
        <f t="shared" si="73"/>
        <v>116</v>
      </c>
      <c r="CL114" s="40">
        <f t="shared" si="74"/>
        <v>-26</v>
      </c>
      <c r="CM114" s="40">
        <f t="shared" si="42"/>
        <v>89</v>
      </c>
      <c r="CN114" s="42">
        <f t="shared" si="43"/>
        <v>116</v>
      </c>
      <c r="CP114" s="47">
        <v>42793</v>
      </c>
      <c r="CQ114" s="42">
        <f t="shared" si="77"/>
        <v>32</v>
      </c>
    </row>
    <row r="115" spans="1:95" s="19" customFormat="1" hidden="1" x14ac:dyDescent="0.3">
      <c r="A115" s="3">
        <v>1</v>
      </c>
      <c r="B115" s="3"/>
      <c r="C115" s="3">
        <v>71</v>
      </c>
      <c r="D115" s="3" t="s">
        <v>120</v>
      </c>
      <c r="E115" s="9" t="s">
        <v>121</v>
      </c>
      <c r="F115" s="6" t="str">
        <f t="shared" si="49"/>
        <v>2021-X140HUW2342017OTC</v>
      </c>
      <c r="G115" s="3" t="s">
        <v>117</v>
      </c>
      <c r="H115" s="3" t="s">
        <v>93</v>
      </c>
      <c r="I115" s="3" t="s">
        <v>93</v>
      </c>
      <c r="J115" s="3" t="s">
        <v>94</v>
      </c>
      <c r="K115" s="3" t="s">
        <v>119</v>
      </c>
      <c r="L115" s="3">
        <v>2017</v>
      </c>
      <c r="M115" s="3" t="s">
        <v>95</v>
      </c>
      <c r="N115" s="4" t="s">
        <v>49</v>
      </c>
      <c r="O115" s="3" t="s">
        <v>101</v>
      </c>
      <c r="P115" s="32" t="s">
        <v>267</v>
      </c>
      <c r="Q115" s="4">
        <f>S115/1.01*1.08</f>
        <v>55.325940594059418</v>
      </c>
      <c r="R115" s="3">
        <v>8.4</v>
      </c>
      <c r="S115" s="3">
        <v>51.74</v>
      </c>
      <c r="T115" s="3">
        <v>8</v>
      </c>
      <c r="U115" s="3">
        <v>131</v>
      </c>
      <c r="V115" s="3">
        <v>3</v>
      </c>
      <c r="W115" s="3">
        <f t="shared" si="78"/>
        <v>5.770992366412214</v>
      </c>
      <c r="X115" s="3" t="s">
        <v>63</v>
      </c>
      <c r="Y115" s="3"/>
      <c r="Z115" s="3">
        <v>521</v>
      </c>
      <c r="AA115" s="3" t="s">
        <v>78</v>
      </c>
      <c r="AB115" s="3"/>
      <c r="AC115" s="3">
        <v>28</v>
      </c>
      <c r="AD115" s="3">
        <v>521</v>
      </c>
      <c r="AE115" s="3" t="s">
        <v>78</v>
      </c>
      <c r="AF115" s="3"/>
      <c r="AG115" s="3">
        <v>28</v>
      </c>
      <c r="AH115" s="8">
        <f t="shared" si="51"/>
        <v>0</v>
      </c>
      <c r="AI115" s="8">
        <f>VLOOKUP(F115,'[6]Sheet 2'!$B:$T,18,0)/VLOOKUP(F115,'[6]Sheet 2'!$B:$U,20,0)</f>
        <v>606.65723407730297</v>
      </c>
      <c r="AJ115" s="8">
        <f t="shared" si="52"/>
        <v>-0.14119543832290005</v>
      </c>
      <c r="AK115" s="3">
        <v>36.9</v>
      </c>
      <c r="AL115" s="4" t="s">
        <v>37</v>
      </c>
      <c r="AM115" s="3"/>
      <c r="AN115" s="3">
        <v>1</v>
      </c>
      <c r="AO115" s="3">
        <v>36.9</v>
      </c>
      <c r="AP115" s="4" t="s">
        <v>37</v>
      </c>
      <c r="AQ115" s="3"/>
      <c r="AR115" s="3">
        <v>1</v>
      </c>
      <c r="AS115" s="8">
        <f t="shared" si="53"/>
        <v>0</v>
      </c>
      <c r="AT115" s="8">
        <f>VLOOKUP(F115,'[7]Sheet 2'!$B:$T,18,0)/VLOOKUP(F115,'[7]Sheet 2'!$B:$U,20,0)</f>
        <v>38.92369321653517</v>
      </c>
      <c r="AU115" s="8">
        <f t="shared" si="54"/>
        <v>-5.1991295000636963E-2</v>
      </c>
      <c r="AV115" s="57"/>
      <c r="AW115" s="3"/>
      <c r="AX115" s="3"/>
      <c r="AY115" s="3"/>
      <c r="AZ115" s="3"/>
      <c r="BA115" s="3"/>
      <c r="BB115" s="3"/>
      <c r="BC115" s="3"/>
      <c r="BD115" s="8" t="e">
        <f t="shared" si="55"/>
        <v>#DIV/0!</v>
      </c>
      <c r="BE115" s="8" t="e">
        <f>VLOOKUP(F115,'[8]Sheet 2'!$B:$T,18,0)/VLOOKUP(F115,'[8]Sheet 2'!$B:$U,20,0)</f>
        <v>#N/A</v>
      </c>
      <c r="BF115" s="8" t="e">
        <f t="shared" si="56"/>
        <v>#N/A</v>
      </c>
      <c r="BG115" s="3"/>
      <c r="BH115" s="3"/>
      <c r="BI115" s="3"/>
      <c r="BJ115" s="3"/>
      <c r="BK115" s="3"/>
      <c r="BL115" s="3"/>
      <c r="BM115" s="3"/>
      <c r="BN115" s="3"/>
      <c r="BO115" s="8" t="e">
        <f t="shared" si="57"/>
        <v>#DIV/0!</v>
      </c>
      <c r="BP115" s="8" t="e">
        <f>VLOOKUP(F115,'[9]Sheet 2'!$B:$T,18,0)/VLOOKUP(F115,'[9]Sheet 2'!$B:$U,20,0)</f>
        <v>#N/A</v>
      </c>
      <c r="BQ115" s="8" t="e">
        <f t="shared" si="58"/>
        <v>#N/A</v>
      </c>
      <c r="BR115" s="3">
        <f t="shared" si="75"/>
        <v>14119.241192411926</v>
      </c>
      <c r="BS115" s="3" t="s">
        <v>52</v>
      </c>
      <c r="BT115" s="3"/>
      <c r="BU115" s="3"/>
      <c r="BV115" s="3">
        <f t="shared" si="76"/>
        <v>14119.241192411926</v>
      </c>
      <c r="BW115" s="3" t="s">
        <v>52</v>
      </c>
      <c r="BX115" s="3"/>
      <c r="BY115" s="3"/>
      <c r="BZ115" s="8">
        <f t="shared" si="59"/>
        <v>0</v>
      </c>
      <c r="CA115" s="8">
        <f>VLOOKUP(F115,'[10]Sheet 2'!$B:$T,18,0)/VLOOKUP(F115,'[10]Sheet 2'!$B:$U,20,0)</f>
        <v>15851.362600892857</v>
      </c>
      <c r="CB115" s="8">
        <f t="shared" si="60"/>
        <v>-0.10927271377814333</v>
      </c>
      <c r="CC115" s="23">
        <f t="shared" si="79"/>
        <v>25.266666666666666</v>
      </c>
      <c r="CD115" s="23">
        <f t="shared" si="80"/>
        <v>82.983333333333334</v>
      </c>
      <c r="CE115" s="18">
        <v>42709</v>
      </c>
      <c r="CF115" s="20">
        <v>42824</v>
      </c>
      <c r="CG115" s="18">
        <v>42709</v>
      </c>
      <c r="CH115" s="20">
        <v>42824</v>
      </c>
      <c r="CI115" s="21">
        <f t="shared" si="71"/>
        <v>-26</v>
      </c>
      <c r="CJ115" s="21">
        <f t="shared" si="72"/>
        <v>89</v>
      </c>
      <c r="CK115" s="30">
        <f t="shared" si="73"/>
        <v>116</v>
      </c>
      <c r="CL115" s="21">
        <f t="shared" si="74"/>
        <v>-26</v>
      </c>
      <c r="CM115" s="21">
        <f t="shared" si="42"/>
        <v>89</v>
      </c>
      <c r="CN115" s="19">
        <f t="shared" si="43"/>
        <v>116</v>
      </c>
      <c r="CP115" s="29">
        <v>42793</v>
      </c>
      <c r="CQ115" s="19">
        <f t="shared" si="77"/>
        <v>32</v>
      </c>
    </row>
    <row r="116" spans="1:95" s="19" customFormat="1" hidden="1" x14ac:dyDescent="0.3">
      <c r="A116" s="3">
        <v>1</v>
      </c>
      <c r="B116" s="3"/>
      <c r="C116" s="3">
        <v>71</v>
      </c>
      <c r="D116" s="3" t="s">
        <v>120</v>
      </c>
      <c r="E116" s="9" t="s">
        <v>121</v>
      </c>
      <c r="F116" s="6" t="str">
        <f t="shared" si="49"/>
        <v>2021-X140HUW2342017OTC</v>
      </c>
      <c r="G116" s="3" t="s">
        <v>117</v>
      </c>
      <c r="H116" s="3" t="s">
        <v>93</v>
      </c>
      <c r="I116" s="3" t="s">
        <v>93</v>
      </c>
      <c r="J116" s="3" t="s">
        <v>94</v>
      </c>
      <c r="K116" s="3" t="s">
        <v>119</v>
      </c>
      <c r="L116" s="3">
        <v>2017</v>
      </c>
      <c r="M116" s="3" t="s">
        <v>95</v>
      </c>
      <c r="N116" s="4" t="s">
        <v>49</v>
      </c>
      <c r="O116" s="3" t="s">
        <v>73</v>
      </c>
      <c r="P116" s="3"/>
      <c r="Q116" s="4">
        <f>(8 * S116+ 4 * 0.97*S115) / 12*1.08</f>
        <v>71.534808000000012</v>
      </c>
      <c r="R116" s="3">
        <v>16.5</v>
      </c>
      <c r="S116" s="3">
        <v>74.260000000000005</v>
      </c>
      <c r="T116" s="3">
        <v>8</v>
      </c>
      <c r="U116" s="3">
        <v>131</v>
      </c>
      <c r="V116" s="3">
        <v>3</v>
      </c>
      <c r="W116" s="3">
        <f t="shared" si="78"/>
        <v>11.335877862595419</v>
      </c>
      <c r="X116" s="3" t="s">
        <v>63</v>
      </c>
      <c r="Y116" s="3"/>
      <c r="Z116" s="3">
        <v>418</v>
      </c>
      <c r="AA116" s="3" t="s">
        <v>78</v>
      </c>
      <c r="AB116" s="3"/>
      <c r="AC116" s="3">
        <v>21</v>
      </c>
      <c r="AD116" s="3">
        <v>521</v>
      </c>
      <c r="AE116" s="3" t="s">
        <v>78</v>
      </c>
      <c r="AF116" s="3"/>
      <c r="AG116" s="3">
        <v>28</v>
      </c>
      <c r="AH116" s="8">
        <f t="shared" si="51"/>
        <v>-0.19769673704414586</v>
      </c>
      <c r="AI116" s="8">
        <f>VLOOKUP(F116,'[6]Sheet 2'!$B:$T,18,0)/VLOOKUP(F116,'[6]Sheet 2'!$B:$U,20,0)</f>
        <v>606.65723407730297</v>
      </c>
      <c r="AJ116" s="8">
        <f t="shared" si="52"/>
        <v>-0.31097829792509063</v>
      </c>
      <c r="AK116" s="3">
        <v>33.200000000000003</v>
      </c>
      <c r="AL116" s="4" t="s">
        <v>37</v>
      </c>
      <c r="AM116" s="3"/>
      <c r="AN116" s="3">
        <v>0.1</v>
      </c>
      <c r="AO116" s="3">
        <v>36.9</v>
      </c>
      <c r="AP116" s="4" t="s">
        <v>37</v>
      </c>
      <c r="AQ116" s="3"/>
      <c r="AR116" s="3">
        <v>1</v>
      </c>
      <c r="AS116" s="8">
        <f t="shared" si="53"/>
        <v>-0.10027100271002699</v>
      </c>
      <c r="AT116" s="8">
        <f>VLOOKUP(F116,'[7]Sheet 2'!$B:$T,18,0)/VLOOKUP(F116,'[7]Sheet 2'!$B:$U,20,0)</f>
        <v>38.92369321653517</v>
      </c>
      <c r="AU116" s="8">
        <f t="shared" si="54"/>
        <v>-0.14704907842875728</v>
      </c>
      <c r="AV116" s="57"/>
      <c r="AW116" s="3"/>
      <c r="AX116" s="3"/>
      <c r="AY116" s="3"/>
      <c r="AZ116" s="3"/>
      <c r="BA116" s="3"/>
      <c r="BB116" s="3"/>
      <c r="BC116" s="3"/>
      <c r="BD116" s="8" t="e">
        <f t="shared" si="55"/>
        <v>#DIV/0!</v>
      </c>
      <c r="BE116" s="8" t="e">
        <f>VLOOKUP(F116,'[8]Sheet 2'!$B:$T,18,0)/VLOOKUP(F116,'[8]Sheet 2'!$B:$U,20,0)</f>
        <v>#N/A</v>
      </c>
      <c r="BF116" s="8" t="e">
        <f t="shared" si="56"/>
        <v>#N/A</v>
      </c>
      <c r="BG116" s="3"/>
      <c r="BH116" s="3"/>
      <c r="BI116" s="3"/>
      <c r="BJ116" s="3"/>
      <c r="BK116" s="3"/>
      <c r="BL116" s="3"/>
      <c r="BM116" s="3"/>
      <c r="BN116" s="3"/>
      <c r="BO116" s="8" t="e">
        <f t="shared" si="57"/>
        <v>#DIV/0!</v>
      </c>
      <c r="BP116" s="8" t="e">
        <f>VLOOKUP(F116,'[9]Sheet 2'!$B:$T,18,0)/VLOOKUP(F116,'[9]Sheet 2'!$B:$U,20,0)</f>
        <v>#N/A</v>
      </c>
      <c r="BQ116" s="8" t="e">
        <f t="shared" si="58"/>
        <v>#N/A</v>
      </c>
      <c r="BR116" s="3">
        <f t="shared" si="75"/>
        <v>12590.361445783132</v>
      </c>
      <c r="BS116" s="3" t="s">
        <v>52</v>
      </c>
      <c r="BT116" s="3"/>
      <c r="BU116" s="3"/>
      <c r="BV116" s="3">
        <f t="shared" si="76"/>
        <v>14119.241192411926</v>
      </c>
      <c r="BW116" s="3" t="s">
        <v>52</v>
      </c>
      <c r="BX116" s="3"/>
      <c r="BY116" s="3"/>
      <c r="BZ116" s="8">
        <f t="shared" si="59"/>
        <v>-0.10828342159424664</v>
      </c>
      <c r="CA116" s="8">
        <f>VLOOKUP(F116,'[10]Sheet 2'!$B:$T,18,0)/VLOOKUP(F116,'[10]Sheet 2'!$B:$U,20,0)</f>
        <v>15851.362600892857</v>
      </c>
      <c r="CB116" s="8">
        <f t="shared" si="60"/>
        <v>-0.20572371203760384</v>
      </c>
      <c r="CC116" s="23">
        <f t="shared" si="79"/>
        <v>25.266666666666666</v>
      </c>
      <c r="CD116" s="23">
        <f t="shared" si="80"/>
        <v>82.983333333333334</v>
      </c>
      <c r="CE116" s="18">
        <v>42709</v>
      </c>
      <c r="CF116" s="20">
        <v>42824</v>
      </c>
      <c r="CG116" s="18">
        <v>42709</v>
      </c>
      <c r="CH116" s="20">
        <v>42824</v>
      </c>
      <c r="CI116" s="21">
        <f t="shared" si="71"/>
        <v>-26</v>
      </c>
      <c r="CJ116" s="21">
        <f t="shared" si="72"/>
        <v>89</v>
      </c>
      <c r="CK116" s="30">
        <f t="shared" si="73"/>
        <v>116</v>
      </c>
      <c r="CL116" s="21">
        <f t="shared" si="74"/>
        <v>-26</v>
      </c>
      <c r="CM116" s="21">
        <f t="shared" si="42"/>
        <v>89</v>
      </c>
      <c r="CN116" s="19">
        <f t="shared" si="43"/>
        <v>116</v>
      </c>
      <c r="CP116" s="29">
        <v>42793</v>
      </c>
      <c r="CQ116" s="19">
        <f t="shared" si="77"/>
        <v>32</v>
      </c>
    </row>
    <row r="117" spans="1:95" s="42" customFormat="1" hidden="1" x14ac:dyDescent="0.3">
      <c r="A117" s="31">
        <v>1</v>
      </c>
      <c r="B117" s="31"/>
      <c r="C117" s="31">
        <v>71</v>
      </c>
      <c r="D117" s="31" t="s">
        <v>120</v>
      </c>
      <c r="E117" s="43" t="s">
        <v>121</v>
      </c>
      <c r="F117" s="34" t="str">
        <f t="shared" si="49"/>
        <v>2021-X140HUW4682017OTC</v>
      </c>
      <c r="G117" s="31" t="s">
        <v>117</v>
      </c>
      <c r="H117" s="31" t="s">
        <v>93</v>
      </c>
      <c r="I117" s="31" t="s">
        <v>93</v>
      </c>
      <c r="J117" s="31" t="s">
        <v>94</v>
      </c>
      <c r="K117" s="31" t="s">
        <v>123</v>
      </c>
      <c r="L117" s="31">
        <v>2017</v>
      </c>
      <c r="M117" s="31" t="s">
        <v>95</v>
      </c>
      <c r="N117" s="32" t="s">
        <v>49</v>
      </c>
      <c r="O117" s="31" t="s">
        <v>101</v>
      </c>
      <c r="P117" s="32" t="s">
        <v>267</v>
      </c>
      <c r="Q117" s="32">
        <f>S117/1.01*1.08</f>
        <v>54.748514851485155</v>
      </c>
      <c r="R117" s="31">
        <v>11.78</v>
      </c>
      <c r="S117" s="31">
        <v>51.2</v>
      </c>
      <c r="T117" s="31">
        <v>8</v>
      </c>
      <c r="U117" s="31">
        <v>150</v>
      </c>
      <c r="V117" s="31">
        <v>3</v>
      </c>
      <c r="W117" s="31">
        <f t="shared" si="78"/>
        <v>7.0679999999999996</v>
      </c>
      <c r="X117" s="31" t="s">
        <v>63</v>
      </c>
      <c r="Y117" s="31"/>
      <c r="Z117" s="31">
        <v>545</v>
      </c>
      <c r="AA117" s="31" t="s">
        <v>78</v>
      </c>
      <c r="AB117" s="31"/>
      <c r="AC117" s="31">
        <v>26</v>
      </c>
      <c r="AD117" s="31">
        <v>545</v>
      </c>
      <c r="AE117" s="31" t="s">
        <v>78</v>
      </c>
      <c r="AF117" s="31"/>
      <c r="AG117" s="31">
        <v>26</v>
      </c>
      <c r="AH117" s="8">
        <f t="shared" si="51"/>
        <v>0</v>
      </c>
      <c r="AI117" s="8">
        <f>VLOOKUP(F117,'[6]Sheet 2'!$B:$T,18,0)/VLOOKUP(F117,'[6]Sheet 2'!$B:$U,20,0)</f>
        <v>599.7930385505091</v>
      </c>
      <c r="AJ117" s="8">
        <f t="shared" si="52"/>
        <v>-9.1353241916453026E-2</v>
      </c>
      <c r="AK117" s="31">
        <v>37.1</v>
      </c>
      <c r="AL117" s="32" t="s">
        <v>37</v>
      </c>
      <c r="AM117" s="31"/>
      <c r="AN117" s="31">
        <v>0.7</v>
      </c>
      <c r="AO117" s="31">
        <v>37.1</v>
      </c>
      <c r="AP117" s="32" t="s">
        <v>37</v>
      </c>
      <c r="AQ117" s="31"/>
      <c r="AR117" s="31">
        <v>0.7</v>
      </c>
      <c r="AS117" s="8">
        <f t="shared" si="53"/>
        <v>0</v>
      </c>
      <c r="AT117" s="8">
        <f>VLOOKUP(F117,'[7]Sheet 2'!$B:$T,18,0)/VLOOKUP(F117,'[7]Sheet 2'!$B:$U,20,0)</f>
        <v>39.418463023458123</v>
      </c>
      <c r="AU117" s="8">
        <f t="shared" si="54"/>
        <v>-5.8816677405163997E-2</v>
      </c>
      <c r="AV117" s="57"/>
      <c r="AW117" s="31"/>
      <c r="AX117" s="31"/>
      <c r="AY117" s="31"/>
      <c r="AZ117" s="31"/>
      <c r="BA117" s="31"/>
      <c r="BB117" s="31"/>
      <c r="BC117" s="31"/>
      <c r="BD117" s="8" t="e">
        <f t="shared" si="55"/>
        <v>#DIV/0!</v>
      </c>
      <c r="BE117" s="8" t="e">
        <f>VLOOKUP(F117,'[8]Sheet 2'!$B:$T,18,0)/VLOOKUP(F117,'[8]Sheet 2'!$B:$U,20,0)</f>
        <v>#N/A</v>
      </c>
      <c r="BF117" s="8" t="e">
        <f t="shared" si="56"/>
        <v>#N/A</v>
      </c>
      <c r="BG117" s="31"/>
      <c r="BH117" s="31"/>
      <c r="BI117" s="31"/>
      <c r="BJ117" s="31"/>
      <c r="BK117" s="31"/>
      <c r="BL117" s="31"/>
      <c r="BM117" s="31"/>
      <c r="BN117" s="31"/>
      <c r="BO117" s="8" t="e">
        <f t="shared" si="57"/>
        <v>#DIV/0!</v>
      </c>
      <c r="BP117" s="8" t="e">
        <f>VLOOKUP(F117,'[9]Sheet 2'!$B:$T,18,0)/VLOOKUP(F117,'[9]Sheet 2'!$B:$U,20,0)</f>
        <v>#N/A</v>
      </c>
      <c r="BQ117" s="8" t="e">
        <f t="shared" si="58"/>
        <v>#N/A</v>
      </c>
      <c r="BR117" s="31">
        <f t="shared" si="75"/>
        <v>14690.026954177898</v>
      </c>
      <c r="BS117" s="31" t="s">
        <v>52</v>
      </c>
      <c r="BT117" s="31"/>
      <c r="BU117" s="31"/>
      <c r="BV117" s="31">
        <f t="shared" si="76"/>
        <v>14690.026954177898</v>
      </c>
      <c r="BW117" s="31" t="s">
        <v>52</v>
      </c>
      <c r="BX117" s="31"/>
      <c r="BY117" s="31"/>
      <c r="BZ117" s="8">
        <f t="shared" si="59"/>
        <v>0</v>
      </c>
      <c r="CA117" s="8">
        <f>VLOOKUP(F117,'[10]Sheet 2'!$B:$T,18,0)/VLOOKUP(F117,'[10]Sheet 2'!$B:$U,20,0)</f>
        <v>15462.472342162948</v>
      </c>
      <c r="CB117" s="8">
        <f t="shared" si="60"/>
        <v>-4.9956137084155153E-2</v>
      </c>
      <c r="CC117" s="54">
        <f t="shared" si="79"/>
        <v>25.266666666666666</v>
      </c>
      <c r="CD117" s="54">
        <f t="shared" si="80"/>
        <v>82.983333333333334</v>
      </c>
      <c r="CE117" s="39">
        <v>43048</v>
      </c>
      <c r="CF117" s="38">
        <v>43188</v>
      </c>
      <c r="CG117" s="39">
        <v>43048</v>
      </c>
      <c r="CH117" s="38">
        <v>43188</v>
      </c>
      <c r="CI117" s="40">
        <f t="shared" si="71"/>
        <v>-52</v>
      </c>
      <c r="CJ117" s="40">
        <f t="shared" si="72"/>
        <v>88</v>
      </c>
      <c r="CK117" s="41">
        <f t="shared" si="73"/>
        <v>141</v>
      </c>
      <c r="CL117" s="40">
        <f t="shared" si="74"/>
        <v>-52</v>
      </c>
      <c r="CM117" s="40">
        <f t="shared" si="42"/>
        <v>88</v>
      </c>
      <c r="CN117" s="42">
        <f t="shared" si="43"/>
        <v>141</v>
      </c>
      <c r="CP117" s="47">
        <v>43137</v>
      </c>
      <c r="CQ117" s="42">
        <f t="shared" si="77"/>
        <v>52</v>
      </c>
    </row>
    <row r="118" spans="1:95" s="42" customFormat="1" hidden="1" x14ac:dyDescent="0.3">
      <c r="A118" s="31">
        <v>1</v>
      </c>
      <c r="B118" s="31"/>
      <c r="C118" s="31">
        <v>71</v>
      </c>
      <c r="D118" s="31" t="s">
        <v>120</v>
      </c>
      <c r="E118" s="43" t="s">
        <v>121</v>
      </c>
      <c r="F118" s="34" t="str">
        <f t="shared" si="49"/>
        <v>2021-X140HUW4682017OTC</v>
      </c>
      <c r="G118" s="31" t="s">
        <v>117</v>
      </c>
      <c r="H118" s="31" t="s">
        <v>93</v>
      </c>
      <c r="I118" s="31" t="s">
        <v>93</v>
      </c>
      <c r="J118" s="31" t="s">
        <v>94</v>
      </c>
      <c r="K118" s="31" t="s">
        <v>123</v>
      </c>
      <c r="L118" s="31">
        <v>2017</v>
      </c>
      <c r="M118" s="31" t="s">
        <v>95</v>
      </c>
      <c r="N118" s="32" t="s">
        <v>49</v>
      </c>
      <c r="O118" s="31" t="s">
        <v>73</v>
      </c>
      <c r="P118" s="31"/>
      <c r="Q118" s="32">
        <f>(8 * S118+ 4 * 0.97*S117) / 12*1.08</f>
        <v>69.863040000000012</v>
      </c>
      <c r="R118" s="31">
        <v>21.6</v>
      </c>
      <c r="S118" s="31">
        <v>72.2</v>
      </c>
      <c r="T118" s="31">
        <v>8</v>
      </c>
      <c r="U118" s="31">
        <v>150</v>
      </c>
      <c r="V118" s="31">
        <v>3</v>
      </c>
      <c r="W118" s="31">
        <f t="shared" si="78"/>
        <v>12.96</v>
      </c>
      <c r="X118" s="31" t="s">
        <v>63</v>
      </c>
      <c r="Y118" s="31"/>
      <c r="Z118" s="31">
        <v>365</v>
      </c>
      <c r="AA118" s="31" t="s">
        <v>78</v>
      </c>
      <c r="AB118" s="31"/>
      <c r="AC118" s="31">
        <v>16</v>
      </c>
      <c r="AD118" s="31">
        <v>545</v>
      </c>
      <c r="AE118" s="31" t="s">
        <v>78</v>
      </c>
      <c r="AF118" s="31"/>
      <c r="AG118" s="31">
        <v>26</v>
      </c>
      <c r="AH118" s="8">
        <f t="shared" si="51"/>
        <v>-0.33027522935779818</v>
      </c>
      <c r="AI118" s="8">
        <f>VLOOKUP(F118,'[6]Sheet 2'!$B:$T,18,0)/VLOOKUP(F118,'[6]Sheet 2'!$B:$U,20,0)</f>
        <v>599.7930385505091</v>
      </c>
      <c r="AJ118" s="8">
        <f t="shared" si="52"/>
        <v>-0.39145675834771626</v>
      </c>
      <c r="AK118" s="31">
        <v>33</v>
      </c>
      <c r="AL118" s="32" t="s">
        <v>37</v>
      </c>
      <c r="AM118" s="31"/>
      <c r="AN118" s="31">
        <v>0.67</v>
      </c>
      <c r="AO118" s="31">
        <v>37.1</v>
      </c>
      <c r="AP118" s="32" t="s">
        <v>37</v>
      </c>
      <c r="AQ118" s="31"/>
      <c r="AR118" s="31">
        <v>0.7</v>
      </c>
      <c r="AS118" s="8">
        <f t="shared" si="53"/>
        <v>-0.11051212938005395</v>
      </c>
      <c r="AT118" s="8">
        <f>VLOOKUP(F118,'[7]Sheet 2'!$B:$T,18,0)/VLOOKUP(F118,'[7]Sheet 2'!$B:$U,20,0)</f>
        <v>39.418463023458123</v>
      </c>
      <c r="AU118" s="8">
        <f t="shared" si="54"/>
        <v>-0.16282885052211357</v>
      </c>
      <c r="AV118" s="57"/>
      <c r="AW118" s="31"/>
      <c r="AX118" s="31"/>
      <c r="AY118" s="31"/>
      <c r="AZ118" s="31"/>
      <c r="BA118" s="31"/>
      <c r="BB118" s="31"/>
      <c r="BC118" s="31"/>
      <c r="BD118" s="8" t="e">
        <f t="shared" si="55"/>
        <v>#DIV/0!</v>
      </c>
      <c r="BE118" s="8" t="e">
        <f>VLOOKUP(F118,'[8]Sheet 2'!$B:$T,18,0)/VLOOKUP(F118,'[8]Sheet 2'!$B:$U,20,0)</f>
        <v>#N/A</v>
      </c>
      <c r="BF118" s="8" t="e">
        <f t="shared" si="56"/>
        <v>#N/A</v>
      </c>
      <c r="BG118" s="31"/>
      <c r="BH118" s="31"/>
      <c r="BI118" s="31"/>
      <c r="BJ118" s="31"/>
      <c r="BK118" s="31"/>
      <c r="BL118" s="31"/>
      <c r="BM118" s="31"/>
      <c r="BN118" s="31"/>
      <c r="BO118" s="8" t="e">
        <f t="shared" si="57"/>
        <v>#DIV/0!</v>
      </c>
      <c r="BP118" s="8" t="e">
        <f>VLOOKUP(F118,'[9]Sheet 2'!$B:$T,18,0)/VLOOKUP(F118,'[9]Sheet 2'!$B:$U,20,0)</f>
        <v>#N/A</v>
      </c>
      <c r="BQ118" s="8" t="e">
        <f t="shared" si="58"/>
        <v>#N/A</v>
      </c>
      <c r="BR118" s="31">
        <f t="shared" si="75"/>
        <v>11060.60606060606</v>
      </c>
      <c r="BS118" s="31" t="s">
        <v>52</v>
      </c>
      <c r="BT118" s="31"/>
      <c r="BU118" s="31"/>
      <c r="BV118" s="31">
        <f t="shared" si="76"/>
        <v>14690.026954177898</v>
      </c>
      <c r="BW118" s="31" t="s">
        <v>52</v>
      </c>
      <c r="BX118" s="31"/>
      <c r="BY118" s="31"/>
      <c r="BZ118" s="8">
        <f t="shared" si="59"/>
        <v>-0.24706700027800951</v>
      </c>
      <c r="CA118" s="8">
        <f>VLOOKUP(F118,'[10]Sheet 2'!$B:$T,18,0)/VLOOKUP(F118,'[10]Sheet 2'!$B:$U,20,0)</f>
        <v>15462.472342162948</v>
      </c>
      <c r="CB118" s="8">
        <f t="shared" si="60"/>
        <v>-0.28468062442730541</v>
      </c>
      <c r="CC118" s="54">
        <f t="shared" si="79"/>
        <v>25.266666666666666</v>
      </c>
      <c r="CD118" s="54">
        <f t="shared" si="80"/>
        <v>82.983333333333334</v>
      </c>
      <c r="CE118" s="39">
        <v>43048</v>
      </c>
      <c r="CF118" s="38">
        <v>43188</v>
      </c>
      <c r="CG118" s="39">
        <v>43048</v>
      </c>
      <c r="CH118" s="38">
        <v>43188</v>
      </c>
      <c r="CI118" s="40">
        <f t="shared" si="71"/>
        <v>-52</v>
      </c>
      <c r="CJ118" s="40">
        <f t="shared" si="72"/>
        <v>88</v>
      </c>
      <c r="CK118" s="41">
        <f t="shared" si="73"/>
        <v>141</v>
      </c>
      <c r="CL118" s="40">
        <f t="shared" si="74"/>
        <v>-52</v>
      </c>
      <c r="CM118" s="40">
        <f t="shared" si="42"/>
        <v>88</v>
      </c>
      <c r="CN118" s="42">
        <f t="shared" si="43"/>
        <v>141</v>
      </c>
      <c r="CP118" s="47">
        <v>43137</v>
      </c>
      <c r="CQ118" s="42">
        <f t="shared" si="77"/>
        <v>52</v>
      </c>
    </row>
    <row r="119" spans="1:95" s="19" customFormat="1" hidden="1" x14ac:dyDescent="0.3">
      <c r="A119" s="3">
        <v>1</v>
      </c>
      <c r="B119" s="3"/>
      <c r="C119" s="3">
        <v>71</v>
      </c>
      <c r="D119" s="3" t="s">
        <v>120</v>
      </c>
      <c r="E119" s="9" t="s">
        <v>121</v>
      </c>
      <c r="F119" s="6" t="str">
        <f t="shared" si="49"/>
        <v>2021-X140HD30862018OTC</v>
      </c>
      <c r="G119" s="3" t="s">
        <v>117</v>
      </c>
      <c r="H119" s="3" t="s">
        <v>93</v>
      </c>
      <c r="I119" s="3" t="s">
        <v>93</v>
      </c>
      <c r="J119" s="3" t="s">
        <v>94</v>
      </c>
      <c r="K119" s="3" t="s">
        <v>122</v>
      </c>
      <c r="L119" s="3">
        <v>2018</v>
      </c>
      <c r="M119" s="3" t="s">
        <v>95</v>
      </c>
      <c r="N119" s="4" t="s">
        <v>49</v>
      </c>
      <c r="O119" s="3" t="s">
        <v>101</v>
      </c>
      <c r="P119" s="32" t="s">
        <v>267</v>
      </c>
      <c r="Q119" s="4">
        <f>S119/1.01*1.08</f>
        <v>49.049108910891093</v>
      </c>
      <c r="R119" s="3">
        <v>6.8</v>
      </c>
      <c r="S119" s="3">
        <v>45.87</v>
      </c>
      <c r="T119" s="3">
        <v>8</v>
      </c>
      <c r="U119" s="3">
        <v>150</v>
      </c>
      <c r="V119" s="3">
        <v>3</v>
      </c>
      <c r="W119" s="3">
        <f t="shared" si="78"/>
        <v>4.08</v>
      </c>
      <c r="X119" s="3" t="s">
        <v>63</v>
      </c>
      <c r="Y119" s="3"/>
      <c r="Z119" s="3">
        <v>524</v>
      </c>
      <c r="AA119" s="3" t="s">
        <v>78</v>
      </c>
      <c r="AB119" s="3"/>
      <c r="AC119" s="3">
        <v>13</v>
      </c>
      <c r="AD119" s="3">
        <v>524</v>
      </c>
      <c r="AE119" s="3" t="s">
        <v>78</v>
      </c>
      <c r="AF119" s="3"/>
      <c r="AG119" s="3">
        <v>13</v>
      </c>
      <c r="AH119" s="8">
        <f t="shared" si="51"/>
        <v>0</v>
      </c>
      <c r="AI119" s="8">
        <f>VLOOKUP(F119,'[6]Sheet 2'!$B:$T,18,0)/VLOOKUP(F119,'[6]Sheet 2'!$B:$U,20,0)</f>
        <v>560.9657474380233</v>
      </c>
      <c r="AJ119" s="8">
        <f t="shared" si="52"/>
        <v>-6.5896621329999044E-2</v>
      </c>
      <c r="AK119" s="3">
        <v>41.2</v>
      </c>
      <c r="AL119" s="4" t="s">
        <v>37</v>
      </c>
      <c r="AM119" s="3"/>
      <c r="AN119" s="3">
        <v>0.67</v>
      </c>
      <c r="AO119" s="3">
        <v>41.2</v>
      </c>
      <c r="AP119" s="4" t="s">
        <v>37</v>
      </c>
      <c r="AQ119" s="3"/>
      <c r="AR119" s="3">
        <v>0.67</v>
      </c>
      <c r="AS119" s="8">
        <f t="shared" si="53"/>
        <v>0</v>
      </c>
      <c r="AT119" s="8">
        <f>VLOOKUP(F119,'[7]Sheet 2'!$B:$T,18,0)/VLOOKUP(F119,'[7]Sheet 2'!$B:$U,20,0)</f>
        <v>42.437893928379935</v>
      </c>
      <c r="AU119" s="8">
        <f t="shared" si="54"/>
        <v>-2.9169541977484958E-2</v>
      </c>
      <c r="AV119" s="57"/>
      <c r="AW119" s="3"/>
      <c r="AX119" s="3"/>
      <c r="AY119" s="3"/>
      <c r="AZ119" s="3"/>
      <c r="BA119" s="3"/>
      <c r="BB119" s="3"/>
      <c r="BC119" s="3"/>
      <c r="BD119" s="8" t="e">
        <f t="shared" si="55"/>
        <v>#DIV/0!</v>
      </c>
      <c r="BE119" s="8" t="e">
        <f>VLOOKUP(F119,'[8]Sheet 2'!$B:$T,18,0)/VLOOKUP(F119,'[8]Sheet 2'!$B:$U,20,0)</f>
        <v>#N/A</v>
      </c>
      <c r="BF119" s="8" t="e">
        <f t="shared" si="56"/>
        <v>#N/A</v>
      </c>
      <c r="BG119" s="3"/>
      <c r="BH119" s="3"/>
      <c r="BI119" s="3"/>
      <c r="BJ119" s="3"/>
      <c r="BK119" s="3"/>
      <c r="BL119" s="3"/>
      <c r="BM119" s="3"/>
      <c r="BN119" s="3"/>
      <c r="BO119" s="8" t="e">
        <f t="shared" si="57"/>
        <v>#DIV/0!</v>
      </c>
      <c r="BP119" s="8" t="e">
        <f>VLOOKUP(F119,'[9]Sheet 2'!$B:$T,18,0)/VLOOKUP(F119,'[9]Sheet 2'!$B:$U,20,0)</f>
        <v>#N/A</v>
      </c>
      <c r="BQ119" s="8" t="e">
        <f t="shared" si="58"/>
        <v>#N/A</v>
      </c>
      <c r="BR119" s="3">
        <f t="shared" si="75"/>
        <v>12718.446601941747</v>
      </c>
      <c r="BS119" s="3" t="s">
        <v>52</v>
      </c>
      <c r="BT119" s="3"/>
      <c r="BU119" s="3"/>
      <c r="BV119" s="3">
        <f t="shared" si="76"/>
        <v>12718.446601941747</v>
      </c>
      <c r="BW119" s="3" t="s">
        <v>52</v>
      </c>
      <c r="BX119" s="3"/>
      <c r="BY119" s="3"/>
      <c r="BZ119" s="8">
        <f t="shared" si="59"/>
        <v>0</v>
      </c>
      <c r="CA119" s="8">
        <f>VLOOKUP(F119,'[10]Sheet 2'!$B:$T,18,0)/VLOOKUP(F119,'[10]Sheet 2'!$B:$U,20,0)</f>
        <v>13440.612098833943</v>
      </c>
      <c r="CB119" s="8">
        <f t="shared" si="60"/>
        <v>-5.3730104818280423E-2</v>
      </c>
      <c r="CC119" s="23">
        <f t="shared" si="79"/>
        <v>25.266666666666666</v>
      </c>
      <c r="CD119" s="23">
        <f t="shared" si="80"/>
        <v>82.983333333333334</v>
      </c>
      <c r="CE119" s="18">
        <v>43048</v>
      </c>
      <c r="CF119" s="20">
        <v>43188</v>
      </c>
      <c r="CG119" s="18">
        <v>43048</v>
      </c>
      <c r="CH119" s="20">
        <v>43188</v>
      </c>
      <c r="CI119" s="21">
        <f t="shared" ref="CI119:CI155" si="81">CE119-INT(YEAR(CF119)&amp;"/1/1")+1</f>
        <v>-52</v>
      </c>
      <c r="CJ119" s="21">
        <f t="shared" ref="CJ119:CJ150" si="82">CF119-INT(YEAR(CF119)&amp;"/1/1")+1</f>
        <v>88</v>
      </c>
      <c r="CK119" s="30">
        <f t="shared" ref="CK119:CK150" si="83">CJ119-CI119+1</f>
        <v>141</v>
      </c>
      <c r="CL119" s="21">
        <f t="shared" ref="CL119:CL155" si="84">CG119-INT(YEAR(CH119)&amp;"/1/1")+1</f>
        <v>-52</v>
      </c>
      <c r="CM119" s="21">
        <f t="shared" ref="CM119:CM182" si="85">CH119-INT(YEAR(CH119)&amp;"/1/1")+1</f>
        <v>88</v>
      </c>
      <c r="CN119" s="19">
        <f t="shared" ref="CN119:CN182" si="86">CM119-CL119+1</f>
        <v>141</v>
      </c>
      <c r="CP119" s="29">
        <v>43137</v>
      </c>
      <c r="CQ119" s="19">
        <f t="shared" si="77"/>
        <v>52</v>
      </c>
    </row>
    <row r="120" spans="1:95" s="19" customFormat="1" hidden="1" x14ac:dyDescent="0.3">
      <c r="A120" s="3">
        <v>1</v>
      </c>
      <c r="B120" s="3"/>
      <c r="C120" s="3">
        <v>71</v>
      </c>
      <c r="D120" s="3" t="s">
        <v>120</v>
      </c>
      <c r="E120" s="9" t="s">
        <v>121</v>
      </c>
      <c r="F120" s="6" t="str">
        <f t="shared" si="49"/>
        <v>2021-X140HD30862018OTC</v>
      </c>
      <c r="G120" s="3" t="s">
        <v>117</v>
      </c>
      <c r="H120" s="3" t="s">
        <v>93</v>
      </c>
      <c r="I120" s="3" t="s">
        <v>93</v>
      </c>
      <c r="J120" s="3" t="s">
        <v>94</v>
      </c>
      <c r="K120" s="3" t="s">
        <v>122</v>
      </c>
      <c r="L120" s="3">
        <v>2018</v>
      </c>
      <c r="M120" s="3" t="s">
        <v>95</v>
      </c>
      <c r="N120" s="4" t="s">
        <v>49</v>
      </c>
      <c r="O120" s="3" t="s">
        <v>73</v>
      </c>
      <c r="P120" s="3"/>
      <c r="Q120" s="4">
        <f>(8 * S120+ 4 * 0.97*S119) / 12*1.08</f>
        <v>64.380204000000006</v>
      </c>
      <c r="R120" s="3">
        <v>16.7</v>
      </c>
      <c r="S120" s="3">
        <v>67.17</v>
      </c>
      <c r="T120" s="3">
        <v>8</v>
      </c>
      <c r="U120" s="3">
        <v>150</v>
      </c>
      <c r="V120" s="3">
        <v>3</v>
      </c>
      <c r="W120" s="3">
        <f t="shared" si="78"/>
        <v>10.02</v>
      </c>
      <c r="X120" s="3" t="s">
        <v>63</v>
      </c>
      <c r="Y120" s="3"/>
      <c r="Z120" s="3">
        <v>383</v>
      </c>
      <c r="AA120" s="3" t="s">
        <v>78</v>
      </c>
      <c r="AB120" s="3"/>
      <c r="AC120" s="3">
        <v>8</v>
      </c>
      <c r="AD120" s="3">
        <v>524</v>
      </c>
      <c r="AE120" s="3" t="s">
        <v>78</v>
      </c>
      <c r="AF120" s="3"/>
      <c r="AG120" s="3">
        <v>13</v>
      </c>
      <c r="AH120" s="8">
        <f t="shared" si="51"/>
        <v>-0.26908396946564883</v>
      </c>
      <c r="AI120" s="8">
        <f>VLOOKUP(F120,'[6]Sheet 2'!$B:$T,18,0)/VLOOKUP(F120,'[6]Sheet 2'!$B:$U,20,0)</f>
        <v>560.9657474380233</v>
      </c>
      <c r="AJ120" s="8">
        <f t="shared" si="52"/>
        <v>-0.31724886635379701</v>
      </c>
      <c r="AK120" s="3">
        <v>36.4</v>
      </c>
      <c r="AL120" s="4" t="s">
        <v>37</v>
      </c>
      <c r="AM120" s="3"/>
      <c r="AN120" s="3">
        <v>0.64</v>
      </c>
      <c r="AO120" s="3">
        <v>41.2</v>
      </c>
      <c r="AP120" s="4" t="s">
        <v>37</v>
      </c>
      <c r="AQ120" s="3"/>
      <c r="AR120" s="3">
        <v>0.67</v>
      </c>
      <c r="AS120" s="8">
        <f t="shared" si="53"/>
        <v>-0.11650485436893214</v>
      </c>
      <c r="AT120" s="8">
        <f>VLOOKUP(F120,'[7]Sheet 2'!$B:$T,18,0)/VLOOKUP(F120,'[7]Sheet 2'!$B:$U,20,0)</f>
        <v>42.437893928379935</v>
      </c>
      <c r="AU120" s="8">
        <f t="shared" si="54"/>
        <v>-0.14227600310632177</v>
      </c>
      <c r="AV120" s="57"/>
      <c r="AW120" s="3"/>
      <c r="AX120" s="3"/>
      <c r="AY120" s="3"/>
      <c r="AZ120" s="3"/>
      <c r="BA120" s="3"/>
      <c r="BB120" s="3"/>
      <c r="BC120" s="3"/>
      <c r="BD120" s="8" t="e">
        <f t="shared" si="55"/>
        <v>#DIV/0!</v>
      </c>
      <c r="BE120" s="8" t="e">
        <f>VLOOKUP(F120,'[8]Sheet 2'!$B:$T,18,0)/VLOOKUP(F120,'[8]Sheet 2'!$B:$U,20,0)</f>
        <v>#N/A</v>
      </c>
      <c r="BF120" s="8" t="e">
        <f t="shared" si="56"/>
        <v>#N/A</v>
      </c>
      <c r="BG120" s="3"/>
      <c r="BH120" s="3"/>
      <c r="BI120" s="3"/>
      <c r="BJ120" s="3"/>
      <c r="BK120" s="3"/>
      <c r="BL120" s="3"/>
      <c r="BM120" s="3"/>
      <c r="BN120" s="3"/>
      <c r="BO120" s="8" t="e">
        <f t="shared" si="57"/>
        <v>#DIV/0!</v>
      </c>
      <c r="BP120" s="8" t="e">
        <f>VLOOKUP(F120,'[9]Sheet 2'!$B:$T,18,0)/VLOOKUP(F120,'[9]Sheet 2'!$B:$U,20,0)</f>
        <v>#N/A</v>
      </c>
      <c r="BQ120" s="8" t="e">
        <f t="shared" si="58"/>
        <v>#N/A</v>
      </c>
      <c r="BR120" s="3">
        <f t="shared" si="75"/>
        <v>10521.978021978022</v>
      </c>
      <c r="BS120" s="3" t="s">
        <v>52</v>
      </c>
      <c r="BT120" s="3"/>
      <c r="BU120" s="3"/>
      <c r="BV120" s="3">
        <f t="shared" si="76"/>
        <v>12718.446601941747</v>
      </c>
      <c r="BW120" s="3" t="s">
        <v>52</v>
      </c>
      <c r="BX120" s="3"/>
      <c r="BY120" s="3"/>
      <c r="BZ120" s="8">
        <f t="shared" si="59"/>
        <v>-0.17269943796661347</v>
      </c>
      <c r="CA120" s="8">
        <f>VLOOKUP(F120,'[10]Sheet 2'!$B:$T,18,0)/VLOOKUP(F120,'[10]Sheet 2'!$B:$U,20,0)</f>
        <v>13440.612098833943</v>
      </c>
      <c r="CB120" s="8">
        <f t="shared" si="60"/>
        <v>-0.21715038388088964</v>
      </c>
      <c r="CC120" s="23">
        <f t="shared" si="79"/>
        <v>25.266666666666666</v>
      </c>
      <c r="CD120" s="23">
        <f t="shared" si="80"/>
        <v>82.983333333333334</v>
      </c>
      <c r="CE120" s="18">
        <v>43048</v>
      </c>
      <c r="CF120" s="20">
        <v>43188</v>
      </c>
      <c r="CG120" s="18">
        <v>43048</v>
      </c>
      <c r="CH120" s="20">
        <v>43188</v>
      </c>
      <c r="CI120" s="21">
        <f t="shared" si="81"/>
        <v>-52</v>
      </c>
      <c r="CJ120" s="21">
        <f t="shared" si="82"/>
        <v>88</v>
      </c>
      <c r="CK120" s="30">
        <f t="shared" si="83"/>
        <v>141</v>
      </c>
      <c r="CL120" s="21">
        <f t="shared" si="84"/>
        <v>-52</v>
      </c>
      <c r="CM120" s="21">
        <f t="shared" si="85"/>
        <v>88</v>
      </c>
      <c r="CN120" s="19">
        <f t="shared" si="86"/>
        <v>141</v>
      </c>
      <c r="CP120" s="29">
        <v>43137</v>
      </c>
      <c r="CQ120" s="19">
        <f t="shared" si="77"/>
        <v>52</v>
      </c>
    </row>
    <row r="121" spans="1:95" s="42" customFormat="1" hidden="1" x14ac:dyDescent="0.3">
      <c r="A121" s="31">
        <v>1</v>
      </c>
      <c r="B121" s="31"/>
      <c r="C121" s="31">
        <v>71</v>
      </c>
      <c r="D121" s="31" t="s">
        <v>120</v>
      </c>
      <c r="E121" s="43" t="s">
        <v>121</v>
      </c>
      <c r="F121" s="34" t="str">
        <f t="shared" si="49"/>
        <v>2021-X140HD31182018OTC</v>
      </c>
      <c r="G121" s="31" t="s">
        <v>117</v>
      </c>
      <c r="H121" s="31" t="s">
        <v>93</v>
      </c>
      <c r="I121" s="31" t="s">
        <v>93</v>
      </c>
      <c r="J121" s="31" t="s">
        <v>94</v>
      </c>
      <c r="K121" s="31" t="s">
        <v>118</v>
      </c>
      <c r="L121" s="31">
        <v>2018</v>
      </c>
      <c r="M121" s="31" t="s">
        <v>95</v>
      </c>
      <c r="N121" s="32" t="s">
        <v>49</v>
      </c>
      <c r="O121" s="31" t="s">
        <v>101</v>
      </c>
      <c r="P121" s="32" t="s">
        <v>267</v>
      </c>
      <c r="Q121" s="32">
        <f>S121/1.01*1.08</f>
        <v>48.300594059405945</v>
      </c>
      <c r="R121" s="31">
        <v>6.2</v>
      </c>
      <c r="S121" s="31">
        <v>45.17</v>
      </c>
      <c r="T121" s="31">
        <v>8</v>
      </c>
      <c r="U121" s="31">
        <v>131</v>
      </c>
      <c r="V121" s="31">
        <v>3</v>
      </c>
      <c r="W121" s="31">
        <f t="shared" si="78"/>
        <v>4.2595419847328246</v>
      </c>
      <c r="X121" s="31" t="s">
        <v>63</v>
      </c>
      <c r="Y121" s="31"/>
      <c r="Z121" s="31">
        <v>463</v>
      </c>
      <c r="AA121" s="31" t="s">
        <v>78</v>
      </c>
      <c r="AB121" s="31"/>
      <c r="AC121" s="31">
        <v>9</v>
      </c>
      <c r="AD121" s="31">
        <v>463</v>
      </c>
      <c r="AE121" s="31" t="s">
        <v>78</v>
      </c>
      <c r="AF121" s="31"/>
      <c r="AG121" s="31">
        <v>9</v>
      </c>
      <c r="AH121" s="8">
        <f t="shared" si="51"/>
        <v>0</v>
      </c>
      <c r="AI121" s="8">
        <f>VLOOKUP(F121,'[6]Sheet 2'!$B:$T,18,0)/VLOOKUP(F121,'[6]Sheet 2'!$B:$U,20,0)</f>
        <v>504.84612108850223</v>
      </c>
      <c r="AJ121" s="8">
        <f t="shared" si="52"/>
        <v>-8.2888863240698996E-2</v>
      </c>
      <c r="AK121" s="31">
        <v>38.94</v>
      </c>
      <c r="AL121" s="32" t="s">
        <v>37</v>
      </c>
      <c r="AM121" s="31"/>
      <c r="AN121" s="31">
        <v>0.67</v>
      </c>
      <c r="AO121" s="31">
        <v>38.94</v>
      </c>
      <c r="AP121" s="32" t="s">
        <v>37</v>
      </c>
      <c r="AQ121" s="31"/>
      <c r="AR121" s="31">
        <v>0.67</v>
      </c>
      <c r="AS121" s="8">
        <f t="shared" si="53"/>
        <v>0</v>
      </c>
      <c r="AT121" s="8">
        <f>VLOOKUP(F121,'[7]Sheet 2'!$B:$T,18,0)/VLOOKUP(F121,'[7]Sheet 2'!$B:$U,20,0)</f>
        <v>40.221396124751337</v>
      </c>
      <c r="AU121" s="8">
        <f t="shared" si="54"/>
        <v>-3.1858569025723024E-2</v>
      </c>
      <c r="AV121" s="57"/>
      <c r="AW121" s="31"/>
      <c r="AX121" s="31"/>
      <c r="AY121" s="31"/>
      <c r="AZ121" s="31"/>
      <c r="BA121" s="31"/>
      <c r="BB121" s="31"/>
      <c r="BC121" s="31"/>
      <c r="BD121" s="8" t="e">
        <f t="shared" si="55"/>
        <v>#DIV/0!</v>
      </c>
      <c r="BE121" s="8" t="e">
        <f>VLOOKUP(F121,'[8]Sheet 2'!$B:$T,18,0)/VLOOKUP(F121,'[8]Sheet 2'!$B:$U,20,0)</f>
        <v>#N/A</v>
      </c>
      <c r="BF121" s="8" t="e">
        <f t="shared" si="56"/>
        <v>#N/A</v>
      </c>
      <c r="BG121" s="31"/>
      <c r="BH121" s="31"/>
      <c r="BI121" s="31"/>
      <c r="BJ121" s="31"/>
      <c r="BK121" s="31"/>
      <c r="BL121" s="31"/>
      <c r="BM121" s="31"/>
      <c r="BN121" s="31"/>
      <c r="BO121" s="8" t="e">
        <f t="shared" si="57"/>
        <v>#DIV/0!</v>
      </c>
      <c r="BP121" s="8" t="e">
        <f>VLOOKUP(F121,'[9]Sheet 2'!$B:$T,18,0)/VLOOKUP(F121,'[9]Sheet 2'!$B:$U,20,0)</f>
        <v>#N/A</v>
      </c>
      <c r="BQ121" s="8" t="e">
        <f t="shared" si="58"/>
        <v>#N/A</v>
      </c>
      <c r="BR121" s="31">
        <f t="shared" si="75"/>
        <v>11890.087313816128</v>
      </c>
      <c r="BS121" s="31" t="s">
        <v>52</v>
      </c>
      <c r="BT121" s="31"/>
      <c r="BU121" s="31"/>
      <c r="BV121" s="31">
        <f t="shared" si="76"/>
        <v>11890.087313816128</v>
      </c>
      <c r="BW121" s="31" t="s">
        <v>52</v>
      </c>
      <c r="BX121" s="31"/>
      <c r="BY121" s="31"/>
      <c r="BZ121" s="8">
        <f t="shared" si="59"/>
        <v>0</v>
      </c>
      <c r="CA121" s="8">
        <f>VLOOKUP(F121,'[10]Sheet 2'!$B:$T,18,0)/VLOOKUP(F121,'[10]Sheet 2'!$B:$U,20,0)</f>
        <v>12762.004119899002</v>
      </c>
      <c r="CB121" s="8">
        <f t="shared" si="60"/>
        <v>-6.8321307366085895E-2</v>
      </c>
      <c r="CC121" s="54">
        <f t="shared" si="79"/>
        <v>25.266666666666666</v>
      </c>
      <c r="CD121" s="54">
        <f t="shared" si="80"/>
        <v>82.983333333333334</v>
      </c>
      <c r="CE121" s="39">
        <v>42709</v>
      </c>
      <c r="CF121" s="38">
        <v>42824</v>
      </c>
      <c r="CG121" s="39">
        <v>42709</v>
      </c>
      <c r="CH121" s="38">
        <v>42824</v>
      </c>
      <c r="CI121" s="40">
        <f t="shared" si="81"/>
        <v>-26</v>
      </c>
      <c r="CJ121" s="40">
        <f t="shared" si="82"/>
        <v>89</v>
      </c>
      <c r="CK121" s="41">
        <f t="shared" si="83"/>
        <v>116</v>
      </c>
      <c r="CL121" s="40">
        <f t="shared" si="84"/>
        <v>-26</v>
      </c>
      <c r="CM121" s="40">
        <f t="shared" si="85"/>
        <v>89</v>
      </c>
      <c r="CN121" s="42">
        <f t="shared" si="86"/>
        <v>116</v>
      </c>
      <c r="CP121" s="47">
        <v>42793</v>
      </c>
      <c r="CQ121" s="42">
        <f t="shared" si="77"/>
        <v>32</v>
      </c>
    </row>
    <row r="122" spans="1:95" s="42" customFormat="1" hidden="1" x14ac:dyDescent="0.3">
      <c r="A122" s="31">
        <v>1</v>
      </c>
      <c r="B122" s="31"/>
      <c r="C122" s="31">
        <v>71</v>
      </c>
      <c r="D122" s="31" t="s">
        <v>120</v>
      </c>
      <c r="E122" s="43" t="s">
        <v>121</v>
      </c>
      <c r="F122" s="34" t="str">
        <f t="shared" si="49"/>
        <v>2021-X140HD31182018OTC</v>
      </c>
      <c r="G122" s="31" t="s">
        <v>117</v>
      </c>
      <c r="H122" s="31" t="s">
        <v>93</v>
      </c>
      <c r="I122" s="31" t="s">
        <v>93</v>
      </c>
      <c r="J122" s="31" t="s">
        <v>94</v>
      </c>
      <c r="K122" s="31" t="s">
        <v>118</v>
      </c>
      <c r="L122" s="31">
        <v>2018</v>
      </c>
      <c r="M122" s="31" t="s">
        <v>95</v>
      </c>
      <c r="N122" s="32" t="s">
        <v>49</v>
      </c>
      <c r="O122" s="31" t="s">
        <v>73</v>
      </c>
      <c r="P122" s="31"/>
      <c r="Q122" s="32">
        <f>(8 * S122+ 4 * 0.97*S121) / 12*1.08</f>
        <v>65.402964000000011</v>
      </c>
      <c r="R122" s="31">
        <v>15.2</v>
      </c>
      <c r="S122" s="31">
        <v>68.930000000000007</v>
      </c>
      <c r="T122" s="31">
        <v>8</v>
      </c>
      <c r="U122" s="31">
        <v>131</v>
      </c>
      <c r="V122" s="31">
        <v>3</v>
      </c>
      <c r="W122" s="31">
        <f t="shared" si="78"/>
        <v>10.442748091603054</v>
      </c>
      <c r="X122" s="31" t="s">
        <v>63</v>
      </c>
      <c r="Y122" s="31"/>
      <c r="Z122" s="31">
        <v>346</v>
      </c>
      <c r="AA122" s="31" t="s">
        <v>78</v>
      </c>
      <c r="AB122" s="31"/>
      <c r="AC122" s="31">
        <v>10</v>
      </c>
      <c r="AD122" s="31">
        <v>463</v>
      </c>
      <c r="AE122" s="31" t="s">
        <v>78</v>
      </c>
      <c r="AF122" s="31"/>
      <c r="AG122" s="31">
        <v>9</v>
      </c>
      <c r="AH122" s="8">
        <f t="shared" si="51"/>
        <v>-0.25269978401727861</v>
      </c>
      <c r="AI122" s="8">
        <f>VLOOKUP(F122,'[6]Sheet 2'!$B:$T,18,0)/VLOOKUP(F122,'[6]Sheet 2'!$B:$U,20,0)</f>
        <v>504.84612108850223</v>
      </c>
      <c r="AJ122" s="8">
        <f t="shared" si="52"/>
        <v>-0.31464264941961523</v>
      </c>
      <c r="AK122" s="31">
        <v>34.4</v>
      </c>
      <c r="AL122" s="32" t="s">
        <v>37</v>
      </c>
      <c r="AM122" s="31"/>
      <c r="AN122" s="31">
        <v>1.0900000000000001</v>
      </c>
      <c r="AO122" s="31">
        <v>38.94</v>
      </c>
      <c r="AP122" s="32" t="s">
        <v>37</v>
      </c>
      <c r="AQ122" s="31"/>
      <c r="AR122" s="31">
        <v>0.67</v>
      </c>
      <c r="AS122" s="8">
        <f t="shared" si="53"/>
        <v>-0.11658962506420133</v>
      </c>
      <c r="AT122" s="8">
        <f>VLOOKUP(F122,'[7]Sheet 2'!$B:$T,18,0)/VLOOKUP(F122,'[7]Sheet 2'!$B:$U,20,0)</f>
        <v>40.221396124751337</v>
      </c>
      <c r="AU122" s="8">
        <f t="shared" si="54"/>
        <v>-0.14473381547213332</v>
      </c>
      <c r="AV122" s="57"/>
      <c r="AW122" s="31"/>
      <c r="AX122" s="31"/>
      <c r="AY122" s="31"/>
      <c r="AZ122" s="31"/>
      <c r="BA122" s="31"/>
      <c r="BB122" s="31"/>
      <c r="BC122" s="31"/>
      <c r="BD122" s="8" t="e">
        <f t="shared" si="55"/>
        <v>#DIV/0!</v>
      </c>
      <c r="BE122" s="8" t="e">
        <f>VLOOKUP(F122,'[8]Sheet 2'!$B:$T,18,0)/VLOOKUP(F122,'[8]Sheet 2'!$B:$U,20,0)</f>
        <v>#N/A</v>
      </c>
      <c r="BF122" s="8" t="e">
        <f t="shared" si="56"/>
        <v>#N/A</v>
      </c>
      <c r="BG122" s="31"/>
      <c r="BH122" s="31"/>
      <c r="BI122" s="31"/>
      <c r="BJ122" s="31"/>
      <c r="BK122" s="31"/>
      <c r="BL122" s="31"/>
      <c r="BM122" s="31"/>
      <c r="BN122" s="31"/>
      <c r="BO122" s="8" t="e">
        <f t="shared" si="57"/>
        <v>#DIV/0!</v>
      </c>
      <c r="BP122" s="8" t="e">
        <f>VLOOKUP(F122,'[9]Sheet 2'!$B:$T,18,0)/VLOOKUP(F122,'[9]Sheet 2'!$B:$U,20,0)</f>
        <v>#N/A</v>
      </c>
      <c r="BQ122" s="8" t="e">
        <f t="shared" si="58"/>
        <v>#N/A</v>
      </c>
      <c r="BR122" s="31">
        <f t="shared" si="75"/>
        <v>10058.139534883721</v>
      </c>
      <c r="BS122" s="31" t="s">
        <v>52</v>
      </c>
      <c r="BT122" s="31"/>
      <c r="BU122" s="31"/>
      <c r="BV122" s="31">
        <f t="shared" si="76"/>
        <v>11890.087313816128</v>
      </c>
      <c r="BW122" s="31" t="s">
        <v>52</v>
      </c>
      <c r="BX122" s="31"/>
      <c r="BY122" s="31"/>
      <c r="BZ122" s="8">
        <f t="shared" si="59"/>
        <v>-0.15407353458234968</v>
      </c>
      <c r="CA122" s="8">
        <f>VLOOKUP(F122,'[10]Sheet 2'!$B:$T,18,0)/VLOOKUP(F122,'[10]Sheet 2'!$B:$U,20,0)</f>
        <v>12762.004119899002</v>
      </c>
      <c r="CB122" s="8">
        <f t="shared" si="60"/>
        <v>-0.21186833663525562</v>
      </c>
      <c r="CC122" s="54">
        <f t="shared" si="79"/>
        <v>25.266666666666666</v>
      </c>
      <c r="CD122" s="54">
        <f t="shared" si="80"/>
        <v>82.983333333333334</v>
      </c>
      <c r="CE122" s="39">
        <v>42709</v>
      </c>
      <c r="CF122" s="38">
        <v>42824</v>
      </c>
      <c r="CG122" s="39">
        <v>42709</v>
      </c>
      <c r="CH122" s="38">
        <v>42824</v>
      </c>
      <c r="CI122" s="40">
        <f t="shared" si="81"/>
        <v>-26</v>
      </c>
      <c r="CJ122" s="40">
        <f t="shared" si="82"/>
        <v>89</v>
      </c>
      <c r="CK122" s="41">
        <f t="shared" si="83"/>
        <v>116</v>
      </c>
      <c r="CL122" s="40">
        <f t="shared" si="84"/>
        <v>-26</v>
      </c>
      <c r="CM122" s="40">
        <f t="shared" si="85"/>
        <v>89</v>
      </c>
      <c r="CN122" s="42">
        <f t="shared" si="86"/>
        <v>116</v>
      </c>
      <c r="CP122" s="47">
        <v>42793</v>
      </c>
      <c r="CQ122" s="42">
        <f t="shared" si="77"/>
        <v>32</v>
      </c>
    </row>
    <row r="123" spans="1:95" s="19" customFormat="1" hidden="1" x14ac:dyDescent="0.3">
      <c r="A123" s="3">
        <v>1</v>
      </c>
      <c r="B123" s="3"/>
      <c r="C123" s="3">
        <v>71</v>
      </c>
      <c r="D123" s="3" t="s">
        <v>120</v>
      </c>
      <c r="E123" s="9" t="s">
        <v>121</v>
      </c>
      <c r="F123" s="6" t="str">
        <f t="shared" si="49"/>
        <v>2021-X140HUW2342018OTC</v>
      </c>
      <c r="G123" s="3" t="s">
        <v>117</v>
      </c>
      <c r="H123" s="3" t="s">
        <v>93</v>
      </c>
      <c r="I123" s="3" t="s">
        <v>93</v>
      </c>
      <c r="J123" s="3" t="s">
        <v>94</v>
      </c>
      <c r="K123" s="3" t="s">
        <v>119</v>
      </c>
      <c r="L123" s="3">
        <v>2018</v>
      </c>
      <c r="M123" s="3" t="s">
        <v>95</v>
      </c>
      <c r="N123" s="4" t="s">
        <v>49</v>
      </c>
      <c r="O123" s="3" t="s">
        <v>101</v>
      </c>
      <c r="P123" s="32" t="s">
        <v>267</v>
      </c>
      <c r="Q123" s="4">
        <f>S123/1.01*1.08</f>
        <v>48.300594059405945</v>
      </c>
      <c r="R123" s="3">
        <v>6.2</v>
      </c>
      <c r="S123" s="3">
        <v>45.17</v>
      </c>
      <c r="T123" s="3">
        <v>8</v>
      </c>
      <c r="U123" s="3">
        <v>131</v>
      </c>
      <c r="V123" s="3">
        <v>3</v>
      </c>
      <c r="W123" s="3">
        <f t="shared" si="78"/>
        <v>4.2595419847328246</v>
      </c>
      <c r="X123" s="3" t="s">
        <v>63</v>
      </c>
      <c r="Y123" s="3"/>
      <c r="Z123" s="3">
        <v>478</v>
      </c>
      <c r="AA123" s="3" t="s">
        <v>78</v>
      </c>
      <c r="AB123" s="3"/>
      <c r="AC123" s="3">
        <v>13</v>
      </c>
      <c r="AD123" s="3">
        <v>478</v>
      </c>
      <c r="AE123" s="3" t="s">
        <v>78</v>
      </c>
      <c r="AF123" s="3"/>
      <c r="AG123" s="3">
        <v>13</v>
      </c>
      <c r="AH123" s="8">
        <f t="shared" si="51"/>
        <v>0</v>
      </c>
      <c r="AI123" s="8">
        <f>VLOOKUP(F123,'[6]Sheet 2'!$B:$T,18,0)/VLOOKUP(F123,'[6]Sheet 2'!$B:$U,20,0)</f>
        <v>534.02312153922958</v>
      </c>
      <c r="AJ123" s="8">
        <f t="shared" si="52"/>
        <v>-0.10490767024797089</v>
      </c>
      <c r="AK123" s="3">
        <v>39.64</v>
      </c>
      <c r="AL123" s="4" t="s">
        <v>37</v>
      </c>
      <c r="AM123" s="3"/>
      <c r="AN123" s="3">
        <v>1.1200000000000001</v>
      </c>
      <c r="AO123" s="3">
        <v>39.64</v>
      </c>
      <c r="AP123" s="4" t="s">
        <v>37</v>
      </c>
      <c r="AQ123" s="3"/>
      <c r="AR123" s="3">
        <v>1.1200000000000001</v>
      </c>
      <c r="AS123" s="8">
        <f t="shared" si="53"/>
        <v>0</v>
      </c>
      <c r="AT123" s="8">
        <f>VLOOKUP(F123,'[7]Sheet 2'!$B:$T,18,0)/VLOOKUP(F123,'[7]Sheet 2'!$B:$U,20,0)</f>
        <v>41.473947916976272</v>
      </c>
      <c r="AU123" s="8">
        <f t="shared" si="54"/>
        <v>-4.4219275209765901E-2</v>
      </c>
      <c r="AV123" s="57"/>
      <c r="AW123" s="3"/>
      <c r="AX123" s="3"/>
      <c r="AY123" s="3"/>
      <c r="AZ123" s="3"/>
      <c r="BA123" s="3"/>
      <c r="BB123" s="3"/>
      <c r="BC123" s="3"/>
      <c r="BD123" s="8" t="e">
        <f t="shared" si="55"/>
        <v>#DIV/0!</v>
      </c>
      <c r="BE123" s="8" t="e">
        <f>VLOOKUP(F123,'[8]Sheet 2'!$B:$T,18,0)/VLOOKUP(F123,'[8]Sheet 2'!$B:$U,20,0)</f>
        <v>#N/A</v>
      </c>
      <c r="BF123" s="8" t="e">
        <f t="shared" si="56"/>
        <v>#N/A</v>
      </c>
      <c r="BG123" s="3"/>
      <c r="BH123" s="3"/>
      <c r="BI123" s="3"/>
      <c r="BJ123" s="3"/>
      <c r="BK123" s="3"/>
      <c r="BL123" s="3"/>
      <c r="BM123" s="3"/>
      <c r="BN123" s="3"/>
      <c r="BO123" s="8" t="e">
        <f t="shared" si="57"/>
        <v>#DIV/0!</v>
      </c>
      <c r="BP123" s="8" t="e">
        <f>VLOOKUP(F123,'[9]Sheet 2'!$B:$T,18,0)/VLOOKUP(F123,'[9]Sheet 2'!$B:$U,20,0)</f>
        <v>#N/A</v>
      </c>
      <c r="BQ123" s="8" t="e">
        <f t="shared" si="58"/>
        <v>#N/A</v>
      </c>
      <c r="BR123" s="3">
        <f t="shared" si="75"/>
        <v>12058.526740665993</v>
      </c>
      <c r="BS123" s="3" t="s">
        <v>52</v>
      </c>
      <c r="BT123" s="3"/>
      <c r="BU123" s="3"/>
      <c r="BV123" s="3">
        <f t="shared" si="76"/>
        <v>12058.526740665993</v>
      </c>
      <c r="BW123" s="3" t="s">
        <v>52</v>
      </c>
      <c r="BX123" s="3"/>
      <c r="BY123" s="3"/>
      <c r="BZ123" s="8">
        <f t="shared" si="59"/>
        <v>0</v>
      </c>
      <c r="CA123" s="8">
        <f>VLOOKUP(F123,'[10]Sheet 2'!$B:$T,18,0)/VLOOKUP(F123,'[10]Sheet 2'!$B:$U,20,0)</f>
        <v>13091.869912483198</v>
      </c>
      <c r="CB123" s="8">
        <f t="shared" si="60"/>
        <v>-7.8930143571920491E-2</v>
      </c>
      <c r="CC123" s="23">
        <f t="shared" si="79"/>
        <v>25.266666666666666</v>
      </c>
      <c r="CD123" s="23">
        <f t="shared" si="80"/>
        <v>82.983333333333334</v>
      </c>
      <c r="CE123" s="18">
        <v>42709</v>
      </c>
      <c r="CF123" s="20">
        <v>42824</v>
      </c>
      <c r="CG123" s="18">
        <v>42709</v>
      </c>
      <c r="CH123" s="20">
        <v>42824</v>
      </c>
      <c r="CI123" s="21">
        <f t="shared" si="81"/>
        <v>-26</v>
      </c>
      <c r="CJ123" s="21">
        <f t="shared" si="82"/>
        <v>89</v>
      </c>
      <c r="CK123" s="30">
        <f t="shared" si="83"/>
        <v>116</v>
      </c>
      <c r="CL123" s="21">
        <f t="shared" si="84"/>
        <v>-26</v>
      </c>
      <c r="CM123" s="21">
        <f t="shared" si="85"/>
        <v>89</v>
      </c>
      <c r="CN123" s="19">
        <f t="shared" si="86"/>
        <v>116</v>
      </c>
      <c r="CP123" s="29">
        <v>42793</v>
      </c>
      <c r="CQ123" s="19">
        <f t="shared" si="77"/>
        <v>32</v>
      </c>
    </row>
    <row r="124" spans="1:95" s="19" customFormat="1" hidden="1" x14ac:dyDescent="0.3">
      <c r="A124" s="3">
        <v>1</v>
      </c>
      <c r="B124" s="3"/>
      <c r="C124" s="3">
        <v>71</v>
      </c>
      <c r="D124" s="3" t="s">
        <v>120</v>
      </c>
      <c r="E124" s="9" t="s">
        <v>121</v>
      </c>
      <c r="F124" s="6" t="str">
        <f t="shared" si="49"/>
        <v>2021-X140HUW2342018OTC</v>
      </c>
      <c r="G124" s="3" t="s">
        <v>117</v>
      </c>
      <c r="H124" s="3" t="s">
        <v>93</v>
      </c>
      <c r="I124" s="3" t="s">
        <v>93</v>
      </c>
      <c r="J124" s="3" t="s">
        <v>94</v>
      </c>
      <c r="K124" s="3" t="s">
        <v>119</v>
      </c>
      <c r="L124" s="3">
        <v>2018</v>
      </c>
      <c r="M124" s="3" t="s">
        <v>95</v>
      </c>
      <c r="N124" s="4" t="s">
        <v>49</v>
      </c>
      <c r="O124" s="3" t="s">
        <v>73</v>
      </c>
      <c r="P124" s="3"/>
      <c r="Q124" s="4">
        <f>(8 * S124+ 4 * 0.97*S123) / 12*1.08</f>
        <v>65.402964000000011</v>
      </c>
      <c r="R124" s="3">
        <v>15.2</v>
      </c>
      <c r="S124" s="3">
        <v>68.930000000000007</v>
      </c>
      <c r="T124" s="3">
        <v>8</v>
      </c>
      <c r="U124" s="3">
        <v>131</v>
      </c>
      <c r="V124" s="3">
        <v>3</v>
      </c>
      <c r="W124" s="3">
        <f t="shared" si="78"/>
        <v>10.442748091603054</v>
      </c>
      <c r="X124" s="3" t="s">
        <v>63</v>
      </c>
      <c r="Y124" s="3"/>
      <c r="Z124" s="3">
        <v>375</v>
      </c>
      <c r="AA124" s="3" t="s">
        <v>78</v>
      </c>
      <c r="AB124" s="3"/>
      <c r="AC124" s="3">
        <v>9</v>
      </c>
      <c r="AD124" s="3">
        <v>478</v>
      </c>
      <c r="AE124" s="3" t="s">
        <v>78</v>
      </c>
      <c r="AF124" s="3"/>
      <c r="AG124" s="3">
        <v>13</v>
      </c>
      <c r="AH124" s="8">
        <f t="shared" si="51"/>
        <v>-0.21548117154811716</v>
      </c>
      <c r="AI124" s="8">
        <f>VLOOKUP(F124,'[6]Sheet 2'!$B:$T,18,0)/VLOOKUP(F124,'[6]Sheet 2'!$B:$U,20,0)</f>
        <v>534.02312153922958</v>
      </c>
      <c r="AJ124" s="8">
        <f t="shared" si="52"/>
        <v>-0.29778321410667175</v>
      </c>
      <c r="AK124" s="3">
        <v>35.93</v>
      </c>
      <c r="AL124" s="4" t="s">
        <v>37</v>
      </c>
      <c r="AM124" s="3"/>
      <c r="AN124" s="3">
        <v>0.49</v>
      </c>
      <c r="AO124" s="3">
        <v>39.64</v>
      </c>
      <c r="AP124" s="4" t="s">
        <v>37</v>
      </c>
      <c r="AQ124" s="3"/>
      <c r="AR124" s="3">
        <v>1.1200000000000001</v>
      </c>
      <c r="AS124" s="8">
        <f t="shared" si="53"/>
        <v>-9.3592330978809299E-2</v>
      </c>
      <c r="AT124" s="8">
        <f>VLOOKUP(F124,'[7]Sheet 2'!$B:$T,18,0)/VLOOKUP(F124,'[7]Sheet 2'!$B:$U,20,0)</f>
        <v>41.473947916976272</v>
      </c>
      <c r="AU124" s="8">
        <f t="shared" si="54"/>
        <v>-0.13367302114749974</v>
      </c>
      <c r="AV124" s="57"/>
      <c r="AW124" s="3"/>
      <c r="AX124" s="3"/>
      <c r="AY124" s="3"/>
      <c r="AZ124" s="3"/>
      <c r="BA124" s="3"/>
      <c r="BB124" s="3"/>
      <c r="BC124" s="3"/>
      <c r="BD124" s="8" t="e">
        <f t="shared" si="55"/>
        <v>#DIV/0!</v>
      </c>
      <c r="BE124" s="8" t="e">
        <f>VLOOKUP(F124,'[8]Sheet 2'!$B:$T,18,0)/VLOOKUP(F124,'[8]Sheet 2'!$B:$U,20,0)</f>
        <v>#N/A</v>
      </c>
      <c r="BF124" s="8" t="e">
        <f t="shared" si="56"/>
        <v>#N/A</v>
      </c>
      <c r="BG124" s="3"/>
      <c r="BH124" s="3"/>
      <c r="BI124" s="3"/>
      <c r="BJ124" s="3"/>
      <c r="BK124" s="3"/>
      <c r="BL124" s="3"/>
      <c r="BM124" s="3"/>
      <c r="BN124" s="3"/>
      <c r="BO124" s="8" t="e">
        <f t="shared" si="57"/>
        <v>#DIV/0!</v>
      </c>
      <c r="BP124" s="8" t="e">
        <f>VLOOKUP(F124,'[9]Sheet 2'!$B:$T,18,0)/VLOOKUP(F124,'[9]Sheet 2'!$B:$U,20,0)</f>
        <v>#N/A</v>
      </c>
      <c r="BQ124" s="8" t="e">
        <f t="shared" si="58"/>
        <v>#N/A</v>
      </c>
      <c r="BR124" s="3">
        <f t="shared" si="75"/>
        <v>10436.960757027555</v>
      </c>
      <c r="BS124" s="3" t="s">
        <v>52</v>
      </c>
      <c r="BT124" s="3"/>
      <c r="BU124" s="3"/>
      <c r="BV124" s="3">
        <f t="shared" si="76"/>
        <v>12058.526740665993</v>
      </c>
      <c r="BW124" s="3" t="s">
        <v>52</v>
      </c>
      <c r="BX124" s="3"/>
      <c r="BY124" s="3"/>
      <c r="BZ124" s="8">
        <f t="shared" si="59"/>
        <v>-0.13447463512850985</v>
      </c>
      <c r="CA124" s="8">
        <f>VLOOKUP(F124,'[10]Sheet 2'!$B:$T,18,0)/VLOOKUP(F124,'[10]Sheet 2'!$B:$U,20,0)</f>
        <v>13091.869912483198</v>
      </c>
      <c r="CB124" s="8">
        <f t="shared" si="60"/>
        <v>-0.20279067644295543</v>
      </c>
      <c r="CC124" s="23">
        <f t="shared" si="79"/>
        <v>25.266666666666666</v>
      </c>
      <c r="CD124" s="23">
        <f t="shared" si="80"/>
        <v>82.983333333333334</v>
      </c>
      <c r="CE124" s="18">
        <v>42709</v>
      </c>
      <c r="CF124" s="20">
        <v>42824</v>
      </c>
      <c r="CG124" s="18">
        <v>42709</v>
      </c>
      <c r="CH124" s="20">
        <v>42824</v>
      </c>
      <c r="CI124" s="21">
        <f t="shared" si="81"/>
        <v>-26</v>
      </c>
      <c r="CJ124" s="21">
        <f t="shared" si="82"/>
        <v>89</v>
      </c>
      <c r="CK124" s="30">
        <f t="shared" si="83"/>
        <v>116</v>
      </c>
      <c r="CL124" s="21">
        <f t="shared" si="84"/>
        <v>-26</v>
      </c>
      <c r="CM124" s="21">
        <f t="shared" si="85"/>
        <v>89</v>
      </c>
      <c r="CN124" s="19">
        <f t="shared" si="86"/>
        <v>116</v>
      </c>
      <c r="CP124" s="29">
        <v>42793</v>
      </c>
      <c r="CQ124" s="19">
        <f t="shared" si="77"/>
        <v>32</v>
      </c>
    </row>
    <row r="125" spans="1:95" s="42" customFormat="1" hidden="1" x14ac:dyDescent="0.3">
      <c r="A125" s="31">
        <v>1</v>
      </c>
      <c r="B125" s="31"/>
      <c r="C125" s="31">
        <v>71</v>
      </c>
      <c r="D125" s="31" t="s">
        <v>120</v>
      </c>
      <c r="E125" s="43" t="s">
        <v>121</v>
      </c>
      <c r="F125" s="34" t="str">
        <f t="shared" si="49"/>
        <v>2021-X140HUW4682018OTC</v>
      </c>
      <c r="G125" s="31" t="s">
        <v>117</v>
      </c>
      <c r="H125" s="31" t="s">
        <v>93</v>
      </c>
      <c r="I125" s="31" t="s">
        <v>93</v>
      </c>
      <c r="J125" s="31" t="s">
        <v>94</v>
      </c>
      <c r="K125" s="31" t="s">
        <v>123</v>
      </c>
      <c r="L125" s="31">
        <v>2018</v>
      </c>
      <c r="M125" s="31" t="s">
        <v>95</v>
      </c>
      <c r="N125" s="32" t="s">
        <v>49</v>
      </c>
      <c r="O125" s="31" t="s">
        <v>101</v>
      </c>
      <c r="P125" s="32" t="s">
        <v>267</v>
      </c>
      <c r="Q125" s="32">
        <f>S125/1.01*1.08</f>
        <v>49.049108910891093</v>
      </c>
      <c r="R125" s="31">
        <v>6.8</v>
      </c>
      <c r="S125" s="31">
        <v>45.87</v>
      </c>
      <c r="T125" s="31">
        <v>8</v>
      </c>
      <c r="U125" s="31">
        <v>150</v>
      </c>
      <c r="V125" s="31">
        <v>3</v>
      </c>
      <c r="W125" s="31">
        <f t="shared" si="78"/>
        <v>4.08</v>
      </c>
      <c r="X125" s="31" t="s">
        <v>63</v>
      </c>
      <c r="Y125" s="31"/>
      <c r="Z125" s="31">
        <v>514</v>
      </c>
      <c r="AA125" s="31" t="s">
        <v>78</v>
      </c>
      <c r="AB125" s="31"/>
      <c r="AC125" s="31">
        <v>17</v>
      </c>
      <c r="AD125" s="31">
        <v>514</v>
      </c>
      <c r="AE125" s="31" t="s">
        <v>78</v>
      </c>
      <c r="AF125" s="31"/>
      <c r="AG125" s="31">
        <v>17</v>
      </c>
      <c r="AH125" s="8">
        <f t="shared" si="51"/>
        <v>0</v>
      </c>
      <c r="AI125" s="8">
        <f>VLOOKUP(F125,'[6]Sheet 2'!$B:$T,18,0)/VLOOKUP(F125,'[6]Sheet 2'!$B:$U,20,0)</f>
        <v>540.88655427474123</v>
      </c>
      <c r="AJ125" s="8">
        <f t="shared" si="52"/>
        <v>-4.970830585868901E-2</v>
      </c>
      <c r="AK125" s="31">
        <v>33.9</v>
      </c>
      <c r="AL125" s="32" t="s">
        <v>37</v>
      </c>
      <c r="AM125" s="31"/>
      <c r="AN125" s="31">
        <v>0.9</v>
      </c>
      <c r="AO125" s="31">
        <v>33.9</v>
      </c>
      <c r="AP125" s="32" t="s">
        <v>37</v>
      </c>
      <c r="AQ125" s="31"/>
      <c r="AR125" s="31">
        <v>0.9</v>
      </c>
      <c r="AS125" s="8">
        <f t="shared" si="53"/>
        <v>0</v>
      </c>
      <c r="AT125" s="8">
        <f>VLOOKUP(F125,'[7]Sheet 2'!$B:$T,18,0)/VLOOKUP(F125,'[7]Sheet 2'!$B:$U,20,0)</f>
        <v>34.062522165751034</v>
      </c>
      <c r="AU125" s="8">
        <f t="shared" si="54"/>
        <v>-4.7712898346220214E-3</v>
      </c>
      <c r="AV125" s="57"/>
      <c r="AW125" s="31"/>
      <c r="AX125" s="31"/>
      <c r="AY125" s="31"/>
      <c r="AZ125" s="31"/>
      <c r="BA125" s="31"/>
      <c r="BB125" s="31"/>
      <c r="BC125" s="31"/>
      <c r="BD125" s="8" t="e">
        <f t="shared" si="55"/>
        <v>#DIV/0!</v>
      </c>
      <c r="BE125" s="8" t="e">
        <f>VLOOKUP(F125,'[8]Sheet 2'!$B:$T,18,0)/VLOOKUP(F125,'[8]Sheet 2'!$B:$U,20,0)</f>
        <v>#N/A</v>
      </c>
      <c r="BF125" s="8" t="e">
        <f t="shared" si="56"/>
        <v>#N/A</v>
      </c>
      <c r="BG125" s="31"/>
      <c r="BH125" s="31"/>
      <c r="BI125" s="31"/>
      <c r="BJ125" s="31"/>
      <c r="BK125" s="31"/>
      <c r="BL125" s="31"/>
      <c r="BM125" s="31"/>
      <c r="BN125" s="31"/>
      <c r="BO125" s="8" t="e">
        <f t="shared" si="57"/>
        <v>#DIV/0!</v>
      </c>
      <c r="BP125" s="8" t="e">
        <f>VLOOKUP(F125,'[9]Sheet 2'!$B:$T,18,0)/VLOOKUP(F125,'[9]Sheet 2'!$B:$U,20,0)</f>
        <v>#N/A</v>
      </c>
      <c r="BQ125" s="8" t="e">
        <f t="shared" si="58"/>
        <v>#N/A</v>
      </c>
      <c r="BR125" s="31">
        <f t="shared" si="75"/>
        <v>15162.241887905604</v>
      </c>
      <c r="BS125" s="31" t="s">
        <v>52</v>
      </c>
      <c r="BT125" s="31"/>
      <c r="BU125" s="31"/>
      <c r="BV125" s="31">
        <f t="shared" si="76"/>
        <v>15162.241887905604</v>
      </c>
      <c r="BW125" s="31" t="s">
        <v>52</v>
      </c>
      <c r="BX125" s="31"/>
      <c r="BY125" s="31"/>
      <c r="BZ125" s="8">
        <f t="shared" si="59"/>
        <v>0</v>
      </c>
      <c r="CA125" s="8">
        <f>VLOOKUP(F125,'[10]Sheet 2'!$B:$T,18,0)/VLOOKUP(F125,'[10]Sheet 2'!$B:$U,20,0)</f>
        <v>16146.035751137699</v>
      </c>
      <c r="CB125" s="8">
        <f t="shared" si="60"/>
        <v>-6.0930985066273848E-2</v>
      </c>
      <c r="CC125" s="54">
        <f t="shared" si="79"/>
        <v>25.266666666666666</v>
      </c>
      <c r="CD125" s="54">
        <f t="shared" si="80"/>
        <v>82.983333333333334</v>
      </c>
      <c r="CE125" s="39">
        <v>43048</v>
      </c>
      <c r="CF125" s="38">
        <v>43188</v>
      </c>
      <c r="CG125" s="39">
        <v>43048</v>
      </c>
      <c r="CH125" s="38">
        <v>43188</v>
      </c>
      <c r="CI125" s="40">
        <f t="shared" si="81"/>
        <v>-52</v>
      </c>
      <c r="CJ125" s="40">
        <f t="shared" si="82"/>
        <v>88</v>
      </c>
      <c r="CK125" s="41">
        <f t="shared" si="83"/>
        <v>141</v>
      </c>
      <c r="CL125" s="40">
        <f t="shared" si="84"/>
        <v>-52</v>
      </c>
      <c r="CM125" s="40">
        <f t="shared" si="85"/>
        <v>88</v>
      </c>
      <c r="CN125" s="42">
        <f t="shared" si="86"/>
        <v>141</v>
      </c>
      <c r="CP125" s="47">
        <v>43137</v>
      </c>
      <c r="CQ125" s="42">
        <f t="shared" si="77"/>
        <v>52</v>
      </c>
    </row>
    <row r="126" spans="1:95" s="42" customFormat="1" hidden="1" x14ac:dyDescent="0.3">
      <c r="A126" s="31">
        <v>1</v>
      </c>
      <c r="B126" s="31"/>
      <c r="C126" s="31">
        <v>71</v>
      </c>
      <c r="D126" s="31" t="s">
        <v>120</v>
      </c>
      <c r="E126" s="43" t="s">
        <v>121</v>
      </c>
      <c r="F126" s="34" t="str">
        <f t="shared" si="49"/>
        <v>2021-X140HUW4682018OTC</v>
      </c>
      <c r="G126" s="31" t="s">
        <v>117</v>
      </c>
      <c r="H126" s="31" t="s">
        <v>93</v>
      </c>
      <c r="I126" s="31" t="s">
        <v>93</v>
      </c>
      <c r="J126" s="31" t="s">
        <v>94</v>
      </c>
      <c r="K126" s="31" t="s">
        <v>123</v>
      </c>
      <c r="L126" s="31">
        <v>2018</v>
      </c>
      <c r="M126" s="31" t="s">
        <v>95</v>
      </c>
      <c r="N126" s="32" t="s">
        <v>49</v>
      </c>
      <c r="O126" s="31" t="s">
        <v>73</v>
      </c>
      <c r="P126" s="31"/>
      <c r="Q126" s="32">
        <f>(8 * S126+ 4 * 0.97*S125) / 12*1.08</f>
        <v>64.380204000000006</v>
      </c>
      <c r="R126" s="31">
        <v>16.7</v>
      </c>
      <c r="S126" s="31">
        <v>67.17</v>
      </c>
      <c r="T126" s="31">
        <v>8</v>
      </c>
      <c r="U126" s="31">
        <v>150</v>
      </c>
      <c r="V126" s="31">
        <v>3</v>
      </c>
      <c r="W126" s="31">
        <f t="shared" si="78"/>
        <v>10.02</v>
      </c>
      <c r="X126" s="31" t="s">
        <v>63</v>
      </c>
      <c r="Y126" s="31"/>
      <c r="Z126" s="31">
        <v>363</v>
      </c>
      <c r="AA126" s="31" t="s">
        <v>78</v>
      </c>
      <c r="AB126" s="31"/>
      <c r="AC126" s="31">
        <v>7</v>
      </c>
      <c r="AD126" s="31">
        <v>514</v>
      </c>
      <c r="AE126" s="31" t="s">
        <v>78</v>
      </c>
      <c r="AF126" s="31"/>
      <c r="AG126" s="31">
        <v>17</v>
      </c>
      <c r="AH126" s="8">
        <f t="shared" si="51"/>
        <v>-0.29377431906614787</v>
      </c>
      <c r="AI126" s="8">
        <f>VLOOKUP(F126,'[6]Sheet 2'!$B:$T,18,0)/VLOOKUP(F126,'[6]Sheet 2'!$B:$U,20,0)</f>
        <v>540.88655427474123</v>
      </c>
      <c r="AJ126" s="8">
        <f t="shared" si="52"/>
        <v>-0.32887960121926868</v>
      </c>
      <c r="AK126" s="31">
        <v>28.5</v>
      </c>
      <c r="AL126" s="32" t="s">
        <v>37</v>
      </c>
      <c r="AM126" s="31"/>
      <c r="AN126" s="31">
        <v>0.5</v>
      </c>
      <c r="AO126" s="31">
        <v>33.9</v>
      </c>
      <c r="AP126" s="32" t="s">
        <v>37</v>
      </c>
      <c r="AQ126" s="31"/>
      <c r="AR126" s="31">
        <v>0.9</v>
      </c>
      <c r="AS126" s="8">
        <f t="shared" si="53"/>
        <v>-0.15929203539823006</v>
      </c>
      <c r="AT126" s="8">
        <f>VLOOKUP(F126,'[7]Sheet 2'!$B:$T,18,0)/VLOOKUP(F126,'[7]Sheet 2'!$B:$U,20,0)</f>
        <v>34.062522165751034</v>
      </c>
      <c r="AU126" s="8">
        <f t="shared" si="54"/>
        <v>-0.16330329676362024</v>
      </c>
      <c r="AV126" s="57"/>
      <c r="AW126" s="31"/>
      <c r="AX126" s="31"/>
      <c r="AY126" s="31"/>
      <c r="AZ126" s="31"/>
      <c r="BA126" s="31"/>
      <c r="BB126" s="31"/>
      <c r="BC126" s="31"/>
      <c r="BD126" s="8" t="e">
        <f t="shared" si="55"/>
        <v>#DIV/0!</v>
      </c>
      <c r="BE126" s="8" t="e">
        <f>VLOOKUP(F126,'[8]Sheet 2'!$B:$T,18,0)/VLOOKUP(F126,'[8]Sheet 2'!$B:$U,20,0)</f>
        <v>#N/A</v>
      </c>
      <c r="BF126" s="8" t="e">
        <f t="shared" si="56"/>
        <v>#N/A</v>
      </c>
      <c r="BG126" s="31"/>
      <c r="BH126" s="31"/>
      <c r="BI126" s="31"/>
      <c r="BJ126" s="31"/>
      <c r="BK126" s="31"/>
      <c r="BL126" s="31"/>
      <c r="BM126" s="31"/>
      <c r="BN126" s="31"/>
      <c r="BO126" s="8" t="e">
        <f t="shared" si="57"/>
        <v>#DIV/0!</v>
      </c>
      <c r="BP126" s="8" t="e">
        <f>VLOOKUP(F126,'[9]Sheet 2'!$B:$T,18,0)/VLOOKUP(F126,'[9]Sheet 2'!$B:$U,20,0)</f>
        <v>#N/A</v>
      </c>
      <c r="BQ126" s="8" t="e">
        <f t="shared" si="58"/>
        <v>#N/A</v>
      </c>
      <c r="BR126" s="31">
        <f t="shared" si="75"/>
        <v>12736.842105263158</v>
      </c>
      <c r="BS126" s="31" t="s">
        <v>52</v>
      </c>
      <c r="BT126" s="31"/>
      <c r="BU126" s="31"/>
      <c r="BV126" s="31">
        <f t="shared" si="76"/>
        <v>15162.241887905604</v>
      </c>
      <c r="BW126" s="31" t="s">
        <v>52</v>
      </c>
      <c r="BX126" s="31"/>
      <c r="BY126" s="31"/>
      <c r="BZ126" s="8">
        <f t="shared" si="59"/>
        <v>-0.15996313741552318</v>
      </c>
      <c r="CA126" s="8">
        <f>VLOOKUP(F126,'[10]Sheet 2'!$B:$T,18,0)/VLOOKUP(F126,'[10]Sheet 2'!$B:$U,20,0)</f>
        <v>16146.035751137699</v>
      </c>
      <c r="CB126" s="8">
        <f t="shared" si="60"/>
        <v>-0.21114741094477746</v>
      </c>
      <c r="CC126" s="54">
        <f t="shared" si="79"/>
        <v>25.266666666666666</v>
      </c>
      <c r="CD126" s="54">
        <f t="shared" si="80"/>
        <v>82.983333333333334</v>
      </c>
      <c r="CE126" s="39">
        <v>43048</v>
      </c>
      <c r="CF126" s="38">
        <v>43188</v>
      </c>
      <c r="CG126" s="39">
        <v>43048</v>
      </c>
      <c r="CH126" s="38">
        <v>43188</v>
      </c>
      <c r="CI126" s="40">
        <f t="shared" si="81"/>
        <v>-52</v>
      </c>
      <c r="CJ126" s="40">
        <f t="shared" si="82"/>
        <v>88</v>
      </c>
      <c r="CK126" s="41">
        <f t="shared" si="83"/>
        <v>141</v>
      </c>
      <c r="CL126" s="40">
        <f t="shared" si="84"/>
        <v>-52</v>
      </c>
      <c r="CM126" s="40">
        <f t="shared" si="85"/>
        <v>88</v>
      </c>
      <c r="CN126" s="42">
        <f t="shared" si="86"/>
        <v>141</v>
      </c>
      <c r="CP126" s="47">
        <v>43137</v>
      </c>
      <c r="CQ126" s="42">
        <f t="shared" si="77"/>
        <v>52</v>
      </c>
    </row>
    <row r="127" spans="1:95" s="19" customFormat="1" hidden="1" x14ac:dyDescent="0.3">
      <c r="A127" s="3">
        <v>1</v>
      </c>
      <c r="B127" s="3"/>
      <c r="C127" s="3">
        <v>77</v>
      </c>
      <c r="D127" s="9" t="s">
        <v>124</v>
      </c>
      <c r="E127" s="9" t="s">
        <v>91</v>
      </c>
      <c r="F127" s="6" t="str">
        <f t="shared" si="49"/>
        <v>2020-13HD29672017OTC</v>
      </c>
      <c r="G127" s="3" t="s">
        <v>92</v>
      </c>
      <c r="H127" s="3" t="s">
        <v>93</v>
      </c>
      <c r="I127" s="3" t="s">
        <v>93</v>
      </c>
      <c r="J127" s="3" t="s">
        <v>94</v>
      </c>
      <c r="K127" s="3" t="s">
        <v>88</v>
      </c>
      <c r="L127" s="3">
        <v>2017</v>
      </c>
      <c r="M127" s="3" t="s">
        <v>95</v>
      </c>
      <c r="N127" s="4" t="s">
        <v>49</v>
      </c>
      <c r="O127" s="3" t="s">
        <v>101</v>
      </c>
      <c r="P127" s="32" t="s">
        <v>267</v>
      </c>
      <c r="Q127" s="3">
        <f>S127/1.01*U127*12/1000+S127/1.01*(90-U127)*12/1000</f>
        <v>56.031683168316825</v>
      </c>
      <c r="R127" s="3">
        <v>11.9</v>
      </c>
      <c r="S127" s="3">
        <v>52.4</v>
      </c>
      <c r="T127" s="3">
        <v>8</v>
      </c>
      <c r="U127" s="3">
        <v>88</v>
      </c>
      <c r="V127" s="3">
        <v>3</v>
      </c>
      <c r="W127" s="3">
        <f t="shared" si="78"/>
        <v>11.9</v>
      </c>
      <c r="X127" s="10" t="s">
        <v>63</v>
      </c>
      <c r="Y127" s="3"/>
      <c r="Z127" s="3"/>
      <c r="AA127" s="3"/>
      <c r="AB127" s="3"/>
      <c r="AC127" s="3"/>
      <c r="AD127" s="3"/>
      <c r="AE127" s="3"/>
      <c r="AF127" s="3"/>
      <c r="AG127" s="3"/>
      <c r="AH127" s="8" t="e">
        <f t="shared" si="51"/>
        <v>#DIV/0!</v>
      </c>
      <c r="AI127" s="8" t="e">
        <f>VLOOKUP(F127,'[6]Sheet 2'!$B:$T,18,0)/VLOOKUP(F127,'[6]Sheet 2'!$B:$U,20,0)</f>
        <v>#N/A</v>
      </c>
      <c r="AJ127" s="8" t="e">
        <f t="shared" si="52"/>
        <v>#N/A</v>
      </c>
      <c r="AK127" s="3">
        <v>49.15</v>
      </c>
      <c r="AL127" s="4" t="s">
        <v>37</v>
      </c>
      <c r="AM127" s="3"/>
      <c r="AN127" s="3">
        <v>0.87</v>
      </c>
      <c r="AO127" s="3">
        <v>49.15</v>
      </c>
      <c r="AP127" s="4" t="s">
        <v>37</v>
      </c>
      <c r="AQ127" s="3"/>
      <c r="AR127" s="3">
        <v>0.87</v>
      </c>
      <c r="AS127" s="8">
        <f t="shared" si="53"/>
        <v>0</v>
      </c>
      <c r="AT127" s="8">
        <f>VLOOKUP(F127,'[7]Sheet 2'!$B:$T,18,0)/VLOOKUP(F127,'[7]Sheet 2'!$B:$U,20,0)</f>
        <v>52.959194949322871</v>
      </c>
      <c r="AU127" s="8">
        <f t="shared" si="54"/>
        <v>-7.1926979875126973E-2</v>
      </c>
      <c r="AV127" s="57"/>
      <c r="AW127" s="3"/>
      <c r="AX127" s="3"/>
      <c r="AY127" s="3"/>
      <c r="AZ127" s="3"/>
      <c r="BA127" s="3"/>
      <c r="BB127" s="3"/>
      <c r="BC127" s="3"/>
      <c r="BD127" s="8" t="e">
        <f t="shared" si="55"/>
        <v>#DIV/0!</v>
      </c>
      <c r="BE127" s="8" t="e">
        <f>VLOOKUP(F127,'[8]Sheet 2'!$B:$T,18,0)/VLOOKUP(F127,'[8]Sheet 2'!$B:$U,20,0)</f>
        <v>#N/A</v>
      </c>
      <c r="BF127" s="8" t="e">
        <f t="shared" si="56"/>
        <v>#N/A</v>
      </c>
      <c r="BG127" s="3"/>
      <c r="BH127" s="3"/>
      <c r="BI127" s="3"/>
      <c r="BJ127" s="3"/>
      <c r="BK127" s="3"/>
      <c r="BL127" s="3"/>
      <c r="BM127" s="3"/>
      <c r="BN127" s="3"/>
      <c r="BO127" s="8" t="e">
        <f t="shared" si="57"/>
        <v>#DIV/0!</v>
      </c>
      <c r="BP127" s="8" t="e">
        <f>VLOOKUP(F127,'[9]Sheet 2'!$B:$T,18,0)/VLOOKUP(F127,'[9]Sheet 2'!$B:$U,20,0)</f>
        <v>#N/A</v>
      </c>
      <c r="BQ127" s="8" t="e">
        <f t="shared" si="58"/>
        <v>#N/A</v>
      </c>
      <c r="BR127" s="3"/>
      <c r="BS127" s="3"/>
      <c r="BT127" s="3"/>
      <c r="BU127" s="3"/>
      <c r="BV127" s="3"/>
      <c r="BW127" s="3"/>
      <c r="BX127" s="3"/>
      <c r="BY127" s="3"/>
      <c r="BZ127" s="8" t="e">
        <f t="shared" si="59"/>
        <v>#DIV/0!</v>
      </c>
      <c r="CA127" s="8" t="e">
        <f>VLOOKUP(F127,'[10]Sheet 2'!$B:$T,18,0)/VLOOKUP(F127,'[10]Sheet 2'!$B:$U,20,0)</f>
        <v>#N/A</v>
      </c>
      <c r="CB127" s="8" t="e">
        <f t="shared" si="60"/>
        <v>#N/A</v>
      </c>
      <c r="CC127" s="19">
        <v>25.133333333333333</v>
      </c>
      <c r="CD127" s="19">
        <v>83.016666666666666</v>
      </c>
      <c r="CE127" s="20">
        <v>42687</v>
      </c>
      <c r="CF127" s="20">
        <v>42843</v>
      </c>
      <c r="CG127" s="18">
        <v>42695</v>
      </c>
      <c r="CH127" s="18">
        <v>42788</v>
      </c>
      <c r="CI127" s="21">
        <f t="shared" si="81"/>
        <v>-48</v>
      </c>
      <c r="CJ127" s="21">
        <f t="shared" si="82"/>
        <v>108</v>
      </c>
      <c r="CK127" s="30">
        <f t="shared" si="83"/>
        <v>157</v>
      </c>
      <c r="CL127" s="21">
        <f t="shared" si="84"/>
        <v>-40</v>
      </c>
      <c r="CM127" s="21">
        <f t="shared" si="85"/>
        <v>53</v>
      </c>
      <c r="CN127" s="19">
        <f t="shared" si="86"/>
        <v>94</v>
      </c>
    </row>
    <row r="128" spans="1:95" s="19" customFormat="1" hidden="1" x14ac:dyDescent="0.3">
      <c r="A128" s="3">
        <v>1</v>
      </c>
      <c r="B128" s="3"/>
      <c r="C128" s="3">
        <v>77</v>
      </c>
      <c r="D128" s="9" t="s">
        <v>124</v>
      </c>
      <c r="E128" s="9" t="s">
        <v>91</v>
      </c>
      <c r="F128" s="6" t="str">
        <f t="shared" si="49"/>
        <v>2020-13HD29672017OTC</v>
      </c>
      <c r="G128" s="3" t="s">
        <v>92</v>
      </c>
      <c r="H128" s="3" t="s">
        <v>93</v>
      </c>
      <c r="I128" s="3" t="s">
        <v>93</v>
      </c>
      <c r="J128" s="3" t="s">
        <v>94</v>
      </c>
      <c r="K128" s="3" t="s">
        <v>88</v>
      </c>
      <c r="L128" s="3">
        <v>2017</v>
      </c>
      <c r="M128" s="3" t="s">
        <v>95</v>
      </c>
      <c r="N128" s="4" t="s">
        <v>49</v>
      </c>
      <c r="O128" s="3" t="s">
        <v>73</v>
      </c>
      <c r="P128" s="3"/>
      <c r="Q128" s="3">
        <f>(8 * S128+ 4 * 0.97*S127) / 12*U128*12/1000+S127/1.01*(90-U128)*12/1000</f>
        <v>61.376604514851486</v>
      </c>
      <c r="R128" s="3">
        <v>18.3</v>
      </c>
      <c r="S128" s="3">
        <v>60</v>
      </c>
      <c r="T128" s="3">
        <v>8</v>
      </c>
      <c r="U128" s="3">
        <v>88</v>
      </c>
      <c r="V128" s="3">
        <v>3</v>
      </c>
      <c r="W128" s="3">
        <f t="shared" si="78"/>
        <v>18.3</v>
      </c>
      <c r="X128" s="10" t="s">
        <v>63</v>
      </c>
      <c r="Y128" s="3"/>
      <c r="Z128" s="3"/>
      <c r="AA128" s="3"/>
      <c r="AB128" s="3"/>
      <c r="AC128" s="3"/>
      <c r="AD128" s="3"/>
      <c r="AE128" s="3"/>
      <c r="AF128" s="3"/>
      <c r="AG128" s="3"/>
      <c r="AH128" s="8" t="e">
        <f t="shared" si="51"/>
        <v>#DIV/0!</v>
      </c>
      <c r="AI128" s="8" t="e">
        <f>VLOOKUP(F128,'[6]Sheet 2'!$B:$T,18,0)/VLOOKUP(F128,'[6]Sheet 2'!$B:$U,20,0)</f>
        <v>#N/A</v>
      </c>
      <c r="AJ128" s="8" t="e">
        <f t="shared" si="52"/>
        <v>#N/A</v>
      </c>
      <c r="AK128" s="3">
        <v>46.93</v>
      </c>
      <c r="AL128" s="4" t="s">
        <v>37</v>
      </c>
      <c r="AM128" s="3"/>
      <c r="AN128" s="3">
        <v>0.57999999999999996</v>
      </c>
      <c r="AO128" s="3">
        <v>49.15</v>
      </c>
      <c r="AP128" s="4" t="s">
        <v>37</v>
      </c>
      <c r="AQ128" s="3"/>
      <c r="AR128" s="3">
        <v>0.87</v>
      </c>
      <c r="AS128" s="8">
        <f t="shared" si="53"/>
        <v>-4.516785350966427E-2</v>
      </c>
      <c r="AT128" s="8">
        <f>VLOOKUP(F128,'[7]Sheet 2'!$B:$T,18,0)/VLOOKUP(F128,'[7]Sheet 2'!$B:$U,20,0)</f>
        <v>52.959194949322871</v>
      </c>
      <c r="AU128" s="8">
        <f t="shared" si="54"/>
        <v>-0.11384604609439894</v>
      </c>
      <c r="AV128" s="57"/>
      <c r="AW128" s="3"/>
      <c r="AX128" s="3"/>
      <c r="AY128" s="3"/>
      <c r="AZ128" s="3"/>
      <c r="BA128" s="3"/>
      <c r="BB128" s="3"/>
      <c r="BC128" s="3"/>
      <c r="BD128" s="8" t="e">
        <f t="shared" si="55"/>
        <v>#DIV/0!</v>
      </c>
      <c r="BE128" s="8" t="e">
        <f>VLOOKUP(F128,'[8]Sheet 2'!$B:$T,18,0)/VLOOKUP(F128,'[8]Sheet 2'!$B:$U,20,0)</f>
        <v>#N/A</v>
      </c>
      <c r="BF128" s="8" t="e">
        <f t="shared" si="56"/>
        <v>#N/A</v>
      </c>
      <c r="BG128" s="3"/>
      <c r="BH128" s="3"/>
      <c r="BI128" s="3"/>
      <c r="BJ128" s="3"/>
      <c r="BK128" s="3"/>
      <c r="BL128" s="3"/>
      <c r="BM128" s="3"/>
      <c r="BN128" s="3"/>
      <c r="BO128" s="8" t="e">
        <f t="shared" si="57"/>
        <v>#DIV/0!</v>
      </c>
      <c r="BP128" s="8" t="e">
        <f>VLOOKUP(F128,'[9]Sheet 2'!$B:$T,18,0)/VLOOKUP(F128,'[9]Sheet 2'!$B:$U,20,0)</f>
        <v>#N/A</v>
      </c>
      <c r="BQ128" s="8" t="e">
        <f t="shared" si="58"/>
        <v>#N/A</v>
      </c>
      <c r="BR128" s="3"/>
      <c r="BS128" s="3"/>
      <c r="BT128" s="3"/>
      <c r="BU128" s="3"/>
      <c r="BV128" s="3"/>
      <c r="BW128" s="3"/>
      <c r="BX128" s="3"/>
      <c r="BY128" s="3"/>
      <c r="BZ128" s="8" t="e">
        <f t="shared" si="59"/>
        <v>#DIV/0!</v>
      </c>
      <c r="CA128" s="8" t="e">
        <f>VLOOKUP(F128,'[10]Sheet 2'!$B:$T,18,0)/VLOOKUP(F128,'[10]Sheet 2'!$B:$U,20,0)</f>
        <v>#N/A</v>
      </c>
      <c r="CB128" s="8" t="e">
        <f t="shared" si="60"/>
        <v>#N/A</v>
      </c>
      <c r="CC128" s="19">
        <v>25.133333333333333</v>
      </c>
      <c r="CD128" s="19">
        <v>83.016666666666666</v>
      </c>
      <c r="CE128" s="20">
        <v>42687</v>
      </c>
      <c r="CF128" s="20">
        <v>42843</v>
      </c>
      <c r="CG128" s="18">
        <v>42695</v>
      </c>
      <c r="CH128" s="18">
        <v>42788</v>
      </c>
      <c r="CI128" s="21">
        <f t="shared" si="81"/>
        <v>-48</v>
      </c>
      <c r="CJ128" s="21">
        <f t="shared" si="82"/>
        <v>108</v>
      </c>
      <c r="CK128" s="30">
        <f t="shared" si="83"/>
        <v>157</v>
      </c>
      <c r="CL128" s="21">
        <f t="shared" si="84"/>
        <v>-40</v>
      </c>
      <c r="CM128" s="21">
        <f t="shared" si="85"/>
        <v>53</v>
      </c>
      <c r="CN128" s="19">
        <f t="shared" si="86"/>
        <v>94</v>
      </c>
    </row>
    <row r="129" spans="1:95" s="42" customFormat="1" hidden="1" x14ac:dyDescent="0.3">
      <c r="A129" s="31">
        <v>1</v>
      </c>
      <c r="B129" s="31"/>
      <c r="C129" s="31">
        <v>77</v>
      </c>
      <c r="D129" s="43" t="s">
        <v>124</v>
      </c>
      <c r="E129" s="43" t="s">
        <v>91</v>
      </c>
      <c r="F129" s="34" t="str">
        <f t="shared" si="49"/>
        <v>2020-13HD29672017OTC</v>
      </c>
      <c r="G129" s="31" t="s">
        <v>92</v>
      </c>
      <c r="H129" s="31" t="s">
        <v>93</v>
      </c>
      <c r="I129" s="31" t="s">
        <v>93</v>
      </c>
      <c r="J129" s="31" t="s">
        <v>94</v>
      </c>
      <c r="K129" s="31" t="s">
        <v>88</v>
      </c>
      <c r="L129" s="31">
        <v>2017</v>
      </c>
      <c r="M129" s="31" t="s">
        <v>95</v>
      </c>
      <c r="N129" s="32" t="s">
        <v>49</v>
      </c>
      <c r="O129" s="31" t="s">
        <v>101</v>
      </c>
      <c r="P129" s="32" t="s">
        <v>267</v>
      </c>
      <c r="Q129" s="32">
        <f>S129/1.01*1.08</f>
        <v>59.560396039603972</v>
      </c>
      <c r="R129" s="31">
        <v>13</v>
      </c>
      <c r="S129" s="31">
        <v>55.7</v>
      </c>
      <c r="T129" s="31">
        <v>8</v>
      </c>
      <c r="U129" s="31">
        <v>99</v>
      </c>
      <c r="V129" s="31">
        <v>3</v>
      </c>
      <c r="W129" s="31">
        <f t="shared" si="78"/>
        <v>11.81818181818182</v>
      </c>
      <c r="X129" s="48" t="s">
        <v>63</v>
      </c>
      <c r="Y129" s="31"/>
      <c r="Z129" s="31"/>
      <c r="AA129" s="31"/>
      <c r="AB129" s="31"/>
      <c r="AC129" s="31"/>
      <c r="AD129" s="31"/>
      <c r="AE129" s="31"/>
      <c r="AF129" s="31"/>
      <c r="AG129" s="31"/>
      <c r="AH129" s="8" t="e">
        <f t="shared" si="51"/>
        <v>#DIV/0!</v>
      </c>
      <c r="AI129" s="8" t="e">
        <f>VLOOKUP(F129,'[6]Sheet 2'!$B:$T,18,0)/VLOOKUP(F129,'[6]Sheet 2'!$B:$U,20,0)</f>
        <v>#N/A</v>
      </c>
      <c r="AJ129" s="8" t="e">
        <f t="shared" si="52"/>
        <v>#N/A</v>
      </c>
      <c r="AK129" s="31">
        <v>45.11</v>
      </c>
      <c r="AL129" s="32" t="s">
        <v>37</v>
      </c>
      <c r="AM129" s="31"/>
      <c r="AN129" s="31">
        <v>0.88</v>
      </c>
      <c r="AO129" s="31">
        <v>45.11</v>
      </c>
      <c r="AP129" s="32" t="s">
        <v>37</v>
      </c>
      <c r="AQ129" s="31"/>
      <c r="AR129" s="31">
        <v>0.88</v>
      </c>
      <c r="AS129" s="8">
        <f t="shared" si="53"/>
        <v>0</v>
      </c>
      <c r="AT129" s="8">
        <f>VLOOKUP(F129,'[7]Sheet 2'!$B:$T,18,0)/VLOOKUP(F129,'[7]Sheet 2'!$B:$U,20,0)</f>
        <v>52.959194949322871</v>
      </c>
      <c r="AU129" s="8">
        <f t="shared" si="54"/>
        <v>-0.14821212740929759</v>
      </c>
      <c r="AV129" s="57"/>
      <c r="AW129" s="31"/>
      <c r="AX129" s="31"/>
      <c r="AY129" s="31"/>
      <c r="AZ129" s="31"/>
      <c r="BA129" s="31"/>
      <c r="BB129" s="31"/>
      <c r="BC129" s="31"/>
      <c r="BD129" s="8" t="e">
        <f t="shared" si="55"/>
        <v>#DIV/0!</v>
      </c>
      <c r="BE129" s="8" t="e">
        <f>VLOOKUP(F129,'[8]Sheet 2'!$B:$T,18,0)/VLOOKUP(F129,'[8]Sheet 2'!$B:$U,20,0)</f>
        <v>#N/A</v>
      </c>
      <c r="BF129" s="8" t="e">
        <f t="shared" si="56"/>
        <v>#N/A</v>
      </c>
      <c r="BG129" s="31"/>
      <c r="BH129" s="31"/>
      <c r="BI129" s="31"/>
      <c r="BJ129" s="31"/>
      <c r="BK129" s="31"/>
      <c r="BL129" s="31"/>
      <c r="BM129" s="31"/>
      <c r="BN129" s="31"/>
      <c r="BO129" s="8" t="e">
        <f t="shared" si="57"/>
        <v>#DIV/0!</v>
      </c>
      <c r="BP129" s="8" t="e">
        <f>VLOOKUP(F129,'[9]Sheet 2'!$B:$T,18,0)/VLOOKUP(F129,'[9]Sheet 2'!$B:$U,20,0)</f>
        <v>#N/A</v>
      </c>
      <c r="BQ129" s="8" t="e">
        <f t="shared" si="58"/>
        <v>#N/A</v>
      </c>
      <c r="BR129" s="31"/>
      <c r="BS129" s="31"/>
      <c r="BT129" s="31"/>
      <c r="BU129" s="31"/>
      <c r="BV129" s="31"/>
      <c r="BW129" s="31"/>
      <c r="BX129" s="31"/>
      <c r="BY129" s="31"/>
      <c r="BZ129" s="8" t="e">
        <f t="shared" si="59"/>
        <v>#DIV/0!</v>
      </c>
      <c r="CA129" s="8" t="e">
        <f>VLOOKUP(F129,'[10]Sheet 2'!$B:$T,18,0)/VLOOKUP(F129,'[10]Sheet 2'!$B:$U,20,0)</f>
        <v>#N/A</v>
      </c>
      <c r="CB129" s="8" t="e">
        <f t="shared" si="60"/>
        <v>#N/A</v>
      </c>
      <c r="CC129" s="42">
        <v>25.133333333333333</v>
      </c>
      <c r="CD129" s="42">
        <v>83.016666666666666</v>
      </c>
      <c r="CE129" s="38">
        <v>42711</v>
      </c>
      <c r="CF129" s="38">
        <v>42840</v>
      </c>
      <c r="CG129" s="39">
        <v>42725</v>
      </c>
      <c r="CH129" s="39">
        <v>42826</v>
      </c>
      <c r="CI129" s="40">
        <f t="shared" si="81"/>
        <v>-24</v>
      </c>
      <c r="CJ129" s="40">
        <f t="shared" si="82"/>
        <v>105</v>
      </c>
      <c r="CK129" s="41">
        <f t="shared" si="83"/>
        <v>130</v>
      </c>
      <c r="CL129" s="40">
        <f t="shared" si="84"/>
        <v>-10</v>
      </c>
      <c r="CM129" s="40">
        <f t="shared" si="85"/>
        <v>91</v>
      </c>
      <c r="CN129" s="42">
        <f t="shared" si="86"/>
        <v>102</v>
      </c>
    </row>
    <row r="130" spans="1:95" s="42" customFormat="1" hidden="1" x14ac:dyDescent="0.3">
      <c r="A130" s="31">
        <v>1</v>
      </c>
      <c r="B130" s="31"/>
      <c r="C130" s="31">
        <v>77</v>
      </c>
      <c r="D130" s="43" t="s">
        <v>124</v>
      </c>
      <c r="E130" s="43" t="s">
        <v>91</v>
      </c>
      <c r="F130" s="34" t="str">
        <f t="shared" ref="F130:F193" si="87">D130&amp;K130&amp;L130&amp;M130</f>
        <v>2020-13HD29672017OTC</v>
      </c>
      <c r="G130" s="31" t="s">
        <v>92</v>
      </c>
      <c r="H130" s="31" t="s">
        <v>93</v>
      </c>
      <c r="I130" s="31" t="s">
        <v>93</v>
      </c>
      <c r="J130" s="31" t="s">
        <v>94</v>
      </c>
      <c r="K130" s="31" t="s">
        <v>88</v>
      </c>
      <c r="L130" s="31">
        <v>2017</v>
      </c>
      <c r="M130" s="31" t="s">
        <v>95</v>
      </c>
      <c r="N130" s="32" t="s">
        <v>49</v>
      </c>
      <c r="O130" s="31" t="s">
        <v>73</v>
      </c>
      <c r="P130" s="31"/>
      <c r="Q130" s="32">
        <f>(8 * S130+ 4 * 0.97*S129) / 12*1.08</f>
        <v>65.45844000000001</v>
      </c>
      <c r="R130" s="31">
        <v>21.5</v>
      </c>
      <c r="S130" s="31">
        <v>63.9</v>
      </c>
      <c r="T130" s="31">
        <v>8</v>
      </c>
      <c r="U130" s="31">
        <v>99</v>
      </c>
      <c r="V130" s="31">
        <v>3</v>
      </c>
      <c r="W130" s="31">
        <f t="shared" si="78"/>
        <v>19.545454545454547</v>
      </c>
      <c r="X130" s="48" t="s">
        <v>63</v>
      </c>
      <c r="Y130" s="31"/>
      <c r="Z130" s="31"/>
      <c r="AA130" s="31"/>
      <c r="AB130" s="31"/>
      <c r="AC130" s="31"/>
      <c r="AD130" s="31"/>
      <c r="AE130" s="31"/>
      <c r="AF130" s="31"/>
      <c r="AG130" s="31"/>
      <c r="AH130" s="8" t="e">
        <f t="shared" si="51"/>
        <v>#DIV/0!</v>
      </c>
      <c r="AI130" s="8" t="e">
        <f>VLOOKUP(F130,'[6]Sheet 2'!$B:$T,18,0)/VLOOKUP(F130,'[6]Sheet 2'!$B:$U,20,0)</f>
        <v>#N/A</v>
      </c>
      <c r="AJ130" s="8" t="e">
        <f t="shared" si="52"/>
        <v>#N/A</v>
      </c>
      <c r="AK130" s="31">
        <v>39.380000000000003</v>
      </c>
      <c r="AL130" s="32" t="s">
        <v>37</v>
      </c>
      <c r="AM130" s="31"/>
      <c r="AN130" s="31">
        <v>0.94</v>
      </c>
      <c r="AO130" s="31">
        <v>45.11</v>
      </c>
      <c r="AP130" s="32" t="s">
        <v>37</v>
      </c>
      <c r="AQ130" s="31"/>
      <c r="AR130" s="31">
        <v>0.88</v>
      </c>
      <c r="AS130" s="8">
        <f t="shared" si="53"/>
        <v>-0.12702283307470622</v>
      </c>
      <c r="AT130" s="8">
        <f>VLOOKUP(F130,'[7]Sheet 2'!$B:$T,18,0)/VLOOKUP(F130,'[7]Sheet 2'!$B:$U,20,0)</f>
        <v>52.959194949322871</v>
      </c>
      <c r="AU130" s="8">
        <f t="shared" si="54"/>
        <v>-0.25640863616444554</v>
      </c>
      <c r="AV130" s="57"/>
      <c r="AW130" s="31"/>
      <c r="AX130" s="31"/>
      <c r="AY130" s="31"/>
      <c r="AZ130" s="31"/>
      <c r="BA130" s="31"/>
      <c r="BB130" s="31"/>
      <c r="BC130" s="31"/>
      <c r="BD130" s="8" t="e">
        <f t="shared" si="55"/>
        <v>#DIV/0!</v>
      </c>
      <c r="BE130" s="8" t="e">
        <f>VLOOKUP(F130,'[8]Sheet 2'!$B:$T,18,0)/VLOOKUP(F130,'[8]Sheet 2'!$B:$U,20,0)</f>
        <v>#N/A</v>
      </c>
      <c r="BF130" s="8" t="e">
        <f t="shared" si="56"/>
        <v>#N/A</v>
      </c>
      <c r="BG130" s="31"/>
      <c r="BH130" s="31"/>
      <c r="BI130" s="31"/>
      <c r="BJ130" s="31"/>
      <c r="BK130" s="31"/>
      <c r="BL130" s="31"/>
      <c r="BM130" s="31"/>
      <c r="BN130" s="31"/>
      <c r="BO130" s="8" t="e">
        <f t="shared" si="57"/>
        <v>#DIV/0!</v>
      </c>
      <c r="BP130" s="8" t="e">
        <f>VLOOKUP(F130,'[9]Sheet 2'!$B:$T,18,0)/VLOOKUP(F130,'[9]Sheet 2'!$B:$U,20,0)</f>
        <v>#N/A</v>
      </c>
      <c r="BQ130" s="8" t="e">
        <f t="shared" si="58"/>
        <v>#N/A</v>
      </c>
      <c r="BR130" s="31"/>
      <c r="BS130" s="31"/>
      <c r="BT130" s="31"/>
      <c r="BU130" s="31"/>
      <c r="BV130" s="31"/>
      <c r="BW130" s="31"/>
      <c r="BX130" s="31"/>
      <c r="BY130" s="31"/>
      <c r="BZ130" s="8" t="e">
        <f t="shared" si="59"/>
        <v>#DIV/0!</v>
      </c>
      <c r="CA130" s="8" t="e">
        <f>VLOOKUP(F130,'[10]Sheet 2'!$B:$T,18,0)/VLOOKUP(F130,'[10]Sheet 2'!$B:$U,20,0)</f>
        <v>#N/A</v>
      </c>
      <c r="CB130" s="8" t="e">
        <f t="shared" si="60"/>
        <v>#N/A</v>
      </c>
      <c r="CC130" s="42">
        <v>25.133333333333333</v>
      </c>
      <c r="CD130" s="42">
        <v>83.016666666666666</v>
      </c>
      <c r="CE130" s="38">
        <v>42711</v>
      </c>
      <c r="CF130" s="38">
        <v>42840</v>
      </c>
      <c r="CG130" s="39">
        <v>42725</v>
      </c>
      <c r="CH130" s="39">
        <v>42826</v>
      </c>
      <c r="CI130" s="40">
        <f t="shared" si="81"/>
        <v>-24</v>
      </c>
      <c r="CJ130" s="40">
        <f t="shared" si="82"/>
        <v>105</v>
      </c>
      <c r="CK130" s="41">
        <f t="shared" si="83"/>
        <v>130</v>
      </c>
      <c r="CL130" s="40">
        <f t="shared" si="84"/>
        <v>-10</v>
      </c>
      <c r="CM130" s="40">
        <f t="shared" si="85"/>
        <v>91</v>
      </c>
      <c r="CN130" s="42">
        <f t="shared" si="86"/>
        <v>102</v>
      </c>
    </row>
    <row r="131" spans="1:95" s="19" customFormat="1" hidden="1" x14ac:dyDescent="0.3">
      <c r="A131" s="3">
        <v>1</v>
      </c>
      <c r="B131" s="3"/>
      <c r="C131" s="3"/>
      <c r="D131" s="9" t="s">
        <v>234</v>
      </c>
      <c r="E131" s="9" t="s">
        <v>235</v>
      </c>
      <c r="F131" s="6" t="str">
        <f t="shared" si="87"/>
        <v>Heagle1979Blueboy1977OTC</v>
      </c>
      <c r="G131" s="3" t="s">
        <v>236</v>
      </c>
      <c r="H131" s="3" t="s">
        <v>128</v>
      </c>
      <c r="I131" s="3" t="s">
        <v>128</v>
      </c>
      <c r="J131" s="3" t="s">
        <v>237</v>
      </c>
      <c r="K131" s="3" t="s">
        <v>238</v>
      </c>
      <c r="L131" s="3">
        <v>1977</v>
      </c>
      <c r="M131" s="3" t="s">
        <v>95</v>
      </c>
      <c r="N131" s="4" t="s">
        <v>49</v>
      </c>
      <c r="O131" s="3" t="s">
        <v>130</v>
      </c>
      <c r="P131" s="32" t="s">
        <v>267</v>
      </c>
      <c r="Q131" s="3">
        <f>(7*S131+5*0.976*S131)/12*U131*12/1000+S132/1.01*(90-U131)*12/1000</f>
        <v>45.265437623762374</v>
      </c>
      <c r="R131" s="3"/>
      <c r="S131" s="3">
        <v>30</v>
      </c>
      <c r="T131" s="3">
        <v>7</v>
      </c>
      <c r="U131" s="3">
        <f t="shared" ref="U131:U162" si="88">Y131-X131+1</f>
        <v>53</v>
      </c>
      <c r="V131" s="3">
        <v>4</v>
      </c>
      <c r="W131" s="3">
        <v>6.4205589999999999</v>
      </c>
      <c r="X131" s="18">
        <v>28224</v>
      </c>
      <c r="Y131" s="18">
        <v>28276</v>
      </c>
      <c r="Z131" s="3">
        <v>5.84</v>
      </c>
      <c r="AA131" s="3"/>
      <c r="AB131" s="3"/>
      <c r="AC131" s="3"/>
      <c r="AD131" s="3">
        <v>5.84</v>
      </c>
      <c r="AE131" s="3"/>
      <c r="AF131" s="3"/>
      <c r="AG131" s="3"/>
      <c r="AH131" s="8">
        <f t="shared" ref="AH131:AH194" si="89">(Z131-AD131)/AD131</f>
        <v>0</v>
      </c>
      <c r="AI131" s="8">
        <f>VLOOKUP(F131,'[11]Sheet 2'!$A:$S,18,0)/VLOOKUP(F131,'[11]Sheet 2'!$A:$U,20,0)</f>
        <v>7.856657907271579</v>
      </c>
      <c r="AJ131" s="8">
        <f t="shared" ref="AJ131:AJ194" si="90">(Z131-AI131)/AI131</f>
        <v>-0.25668139443937099</v>
      </c>
      <c r="AK131" s="3"/>
      <c r="AL131" s="4"/>
      <c r="AM131" s="3"/>
      <c r="AN131" s="3"/>
      <c r="AO131" s="3"/>
      <c r="AP131" s="3"/>
      <c r="AQ131" s="3"/>
      <c r="AR131" s="3"/>
      <c r="AS131" s="8" t="e">
        <f t="shared" ref="AS131:AS194" si="91">(AK131-AO131)/AO131</f>
        <v>#DIV/0!</v>
      </c>
      <c r="AT131" s="8" t="e">
        <f>VLOOKUP(F131,'[12]Sheet 2'!$A:$S,18,0)/VLOOKUP(F131,'[12]Sheet 2'!$A:$U,20,0)</f>
        <v>#N/A</v>
      </c>
      <c r="AU131" s="8" t="e">
        <f t="shared" ref="AU131:AU194" si="92">(AK131-AT131)/AT131</f>
        <v>#N/A</v>
      </c>
      <c r="AV131" s="57"/>
      <c r="AW131" s="3"/>
      <c r="AX131" s="3"/>
      <c r="AY131" s="3"/>
      <c r="AZ131" s="3"/>
      <c r="BA131" s="3"/>
      <c r="BB131" s="3"/>
      <c r="BC131" s="3"/>
      <c r="BD131" s="8" t="e">
        <f t="shared" ref="BD131:BD194" si="93">(AV131-AZ131)/AZ131</f>
        <v>#DIV/0!</v>
      </c>
      <c r="BE131" s="8" t="e">
        <f>VLOOKUP(F131,'[13]Sheet 2'!$A:$S,18,0)/VLOOKUP(F131,'[13]Sheet 2'!$A:$U,20,0)</f>
        <v>#N/A</v>
      </c>
      <c r="BF131" s="8" t="e">
        <f t="shared" ref="BF131:BF194" si="94">(AV131-BE131)/BE131</f>
        <v>#N/A</v>
      </c>
      <c r="BG131" s="3"/>
      <c r="BH131" s="3"/>
      <c r="BI131" s="3"/>
      <c r="BJ131" s="3"/>
      <c r="BK131" s="3"/>
      <c r="BL131" s="3"/>
      <c r="BM131" s="3"/>
      <c r="BN131" s="3"/>
      <c r="BO131" s="8" t="e">
        <f t="shared" ref="BO131:BO194" si="95">(BG131-BK131)/BK131</f>
        <v>#DIV/0!</v>
      </c>
      <c r="BP131" s="8" t="e">
        <f>VLOOKUP(F131,'[14]Sheet 2'!$A:$V,18,0)/VLOOKUP(F131,'[14]Sheet 2'!$A:$V,20,0)</f>
        <v>#N/A</v>
      </c>
      <c r="BQ131" s="8" t="e">
        <f t="shared" ref="BQ131:BQ194" si="96">(BG131-BP131)/BP131</f>
        <v>#N/A</v>
      </c>
      <c r="BR131" s="3"/>
      <c r="BS131" s="3"/>
      <c r="BT131" s="3"/>
      <c r="BU131" s="3"/>
      <c r="BV131" s="3"/>
      <c r="BW131" s="3"/>
      <c r="BX131" s="3"/>
      <c r="BY131" s="3"/>
      <c r="BZ131" s="8" t="e">
        <f t="shared" ref="BZ131:BZ194" si="97">(BR131-BV131)/BV131</f>
        <v>#DIV/0!</v>
      </c>
      <c r="CA131" s="8" t="e">
        <f>VLOOKUP(F131,'[15]Sheet 2'!$A:$S,18,0)/VLOOKUP(F131,'[15]Sheet 2'!$A:$U,20,0)</f>
        <v>#N/A</v>
      </c>
      <c r="CB131" s="8" t="e">
        <f t="shared" ref="CB131:CB194" si="98">(BR131-CA131)/CA131</f>
        <v>#N/A</v>
      </c>
      <c r="CC131" s="19">
        <v>35.794889233112599</v>
      </c>
      <c r="CD131" s="19">
        <v>-78.694466693999303</v>
      </c>
      <c r="CE131" s="20">
        <v>28066</v>
      </c>
      <c r="CF131" s="20">
        <v>28285</v>
      </c>
      <c r="CG131" s="18">
        <v>28224</v>
      </c>
      <c r="CH131" s="18">
        <v>28276</v>
      </c>
      <c r="CI131" s="21">
        <f t="shared" si="81"/>
        <v>-59</v>
      </c>
      <c r="CJ131" s="21">
        <f t="shared" si="82"/>
        <v>160</v>
      </c>
      <c r="CK131" s="30">
        <f t="shared" si="83"/>
        <v>220</v>
      </c>
      <c r="CL131" s="21">
        <f t="shared" si="84"/>
        <v>99</v>
      </c>
      <c r="CM131" s="21">
        <f t="shared" si="85"/>
        <v>151</v>
      </c>
      <c r="CN131" s="19">
        <f t="shared" si="86"/>
        <v>53</v>
      </c>
      <c r="CP131" s="29">
        <f t="shared" ref="CP131:CP155" si="99">CG131+9+5</f>
        <v>28238</v>
      </c>
      <c r="CQ131" s="19">
        <f t="shared" ref="CQ131:CQ162" si="100">CF131-CP131+1</f>
        <v>48</v>
      </c>
    </row>
    <row r="132" spans="1:95" s="19" customFormat="1" hidden="1" x14ac:dyDescent="0.3">
      <c r="A132" s="3">
        <v>1</v>
      </c>
      <c r="B132" s="3"/>
      <c r="C132" s="3"/>
      <c r="D132" s="9" t="s">
        <v>234</v>
      </c>
      <c r="E132" s="9" t="s">
        <v>235</v>
      </c>
      <c r="F132" s="6" t="str">
        <f t="shared" si="87"/>
        <v>Heagle1979Blueboy1977OTC</v>
      </c>
      <c r="G132" s="3" t="s">
        <v>236</v>
      </c>
      <c r="H132" s="3" t="s">
        <v>128</v>
      </c>
      <c r="I132" s="3" t="s">
        <v>128</v>
      </c>
      <c r="J132" s="3" t="s">
        <v>237</v>
      </c>
      <c r="K132" s="3" t="s">
        <v>238</v>
      </c>
      <c r="L132" s="3">
        <v>1977</v>
      </c>
      <c r="M132" s="3" t="s">
        <v>95</v>
      </c>
      <c r="N132" s="4" t="s">
        <v>49</v>
      </c>
      <c r="O132" s="3" t="s">
        <v>72</v>
      </c>
      <c r="P132" s="3"/>
      <c r="Q132" s="4">
        <f>S132/1.01*1.08</f>
        <v>64.158415841584173</v>
      </c>
      <c r="R132" s="3"/>
      <c r="S132" s="3">
        <v>60</v>
      </c>
      <c r="T132" s="3">
        <v>7</v>
      </c>
      <c r="U132" s="3">
        <f t="shared" si="88"/>
        <v>53</v>
      </c>
      <c r="V132" s="3">
        <v>4</v>
      </c>
      <c r="W132" s="3">
        <v>22.414709999999999</v>
      </c>
      <c r="X132" s="18">
        <v>28224</v>
      </c>
      <c r="Y132" s="18">
        <v>28276</v>
      </c>
      <c r="Z132" s="3"/>
      <c r="AA132" s="3"/>
      <c r="AB132" s="3"/>
      <c r="AC132" s="3"/>
      <c r="AD132" s="3"/>
      <c r="AE132" s="3"/>
      <c r="AF132" s="3"/>
      <c r="AG132" s="3"/>
      <c r="AH132" s="8" t="e">
        <f t="shared" si="89"/>
        <v>#DIV/0!</v>
      </c>
      <c r="AI132" s="8">
        <f>VLOOKUP(F132,'[11]Sheet 2'!$A:$S,18,0)/VLOOKUP(F132,'[11]Sheet 2'!$A:$U,20,0)</f>
        <v>7.856657907271579</v>
      </c>
      <c r="AJ132" s="8"/>
      <c r="AK132" s="3"/>
      <c r="AL132" s="4"/>
      <c r="AM132" s="3"/>
      <c r="AN132" s="3"/>
      <c r="AO132" s="3"/>
      <c r="AP132" s="3"/>
      <c r="AQ132" s="3"/>
      <c r="AR132" s="3"/>
      <c r="AS132" s="8" t="e">
        <f t="shared" si="91"/>
        <v>#DIV/0!</v>
      </c>
      <c r="AT132" s="8" t="e">
        <f>VLOOKUP(F132,'[12]Sheet 2'!$A:$S,18,0)/VLOOKUP(F132,'[12]Sheet 2'!$A:$U,20,0)</f>
        <v>#N/A</v>
      </c>
      <c r="AU132" s="8" t="e">
        <f t="shared" si="92"/>
        <v>#N/A</v>
      </c>
      <c r="AV132" s="57"/>
      <c r="AW132" s="3"/>
      <c r="AX132" s="3"/>
      <c r="AY132" s="3"/>
      <c r="AZ132" s="3"/>
      <c r="BA132" s="3"/>
      <c r="BB132" s="3"/>
      <c r="BC132" s="3"/>
      <c r="BD132" s="8" t="e">
        <f t="shared" si="93"/>
        <v>#DIV/0!</v>
      </c>
      <c r="BE132" s="8" t="e">
        <f>VLOOKUP(F132,'[13]Sheet 2'!$A:$S,18,0)/VLOOKUP(F132,'[13]Sheet 2'!$A:$U,20,0)</f>
        <v>#N/A</v>
      </c>
      <c r="BF132" s="8" t="e">
        <f t="shared" si="94"/>
        <v>#N/A</v>
      </c>
      <c r="BG132" s="3"/>
      <c r="BH132" s="3"/>
      <c r="BI132" s="3"/>
      <c r="BJ132" s="3"/>
      <c r="BK132" s="3"/>
      <c r="BL132" s="3"/>
      <c r="BM132" s="3"/>
      <c r="BN132" s="3"/>
      <c r="BO132" s="8" t="e">
        <f t="shared" si="95"/>
        <v>#DIV/0!</v>
      </c>
      <c r="BP132" s="8" t="e">
        <f>VLOOKUP(F132,'[14]Sheet 2'!$A:$V,18,0)/VLOOKUP(F132,'[14]Sheet 2'!$A:$V,20,0)</f>
        <v>#N/A</v>
      </c>
      <c r="BQ132" s="8" t="e">
        <f t="shared" si="96"/>
        <v>#N/A</v>
      </c>
      <c r="BR132" s="3"/>
      <c r="BS132" s="3"/>
      <c r="BT132" s="3"/>
      <c r="BU132" s="3"/>
      <c r="BV132" s="3"/>
      <c r="BW132" s="3"/>
      <c r="BX132" s="3"/>
      <c r="BY132" s="3"/>
      <c r="BZ132" s="8" t="e">
        <f t="shared" si="97"/>
        <v>#DIV/0!</v>
      </c>
      <c r="CA132" s="8" t="e">
        <f>VLOOKUP(F132,'[15]Sheet 2'!$A:$S,18,0)/VLOOKUP(F132,'[15]Sheet 2'!$A:$U,20,0)</f>
        <v>#N/A</v>
      </c>
      <c r="CB132" s="8" t="e">
        <f t="shared" si="98"/>
        <v>#N/A</v>
      </c>
      <c r="CC132" s="19">
        <v>35.794889233112599</v>
      </c>
      <c r="CD132" s="19">
        <v>-78.694466693999303</v>
      </c>
      <c r="CE132" s="20">
        <v>28066</v>
      </c>
      <c r="CF132" s="20">
        <v>28285</v>
      </c>
      <c r="CG132" s="18">
        <v>28224</v>
      </c>
      <c r="CH132" s="18">
        <v>28276</v>
      </c>
      <c r="CI132" s="21">
        <f t="shared" si="81"/>
        <v>-59</v>
      </c>
      <c r="CJ132" s="21">
        <f t="shared" si="82"/>
        <v>160</v>
      </c>
      <c r="CK132" s="30">
        <f t="shared" si="83"/>
        <v>220</v>
      </c>
      <c r="CL132" s="21">
        <f t="shared" si="84"/>
        <v>99</v>
      </c>
      <c r="CM132" s="21">
        <f t="shared" si="85"/>
        <v>151</v>
      </c>
      <c r="CN132" s="19">
        <f t="shared" si="86"/>
        <v>53</v>
      </c>
      <c r="CP132" s="29">
        <f t="shared" si="99"/>
        <v>28238</v>
      </c>
      <c r="CQ132" s="19">
        <f t="shared" si="100"/>
        <v>48</v>
      </c>
    </row>
    <row r="133" spans="1:95" s="19" customFormat="1" hidden="1" x14ac:dyDescent="0.3">
      <c r="A133" s="3">
        <v>1</v>
      </c>
      <c r="B133" s="3"/>
      <c r="C133" s="3"/>
      <c r="D133" s="9" t="s">
        <v>234</v>
      </c>
      <c r="E133" s="9" t="s">
        <v>235</v>
      </c>
      <c r="F133" s="6" t="str">
        <f t="shared" si="87"/>
        <v>Heagle1979Blueboy1977OTC</v>
      </c>
      <c r="G133" s="3" t="s">
        <v>236</v>
      </c>
      <c r="H133" s="3" t="s">
        <v>128</v>
      </c>
      <c r="I133" s="3" t="s">
        <v>128</v>
      </c>
      <c r="J133" s="3" t="s">
        <v>237</v>
      </c>
      <c r="K133" s="3" t="s">
        <v>238</v>
      </c>
      <c r="L133" s="3">
        <v>1977</v>
      </c>
      <c r="M133" s="3" t="s">
        <v>95</v>
      </c>
      <c r="N133" s="4" t="s">
        <v>49</v>
      </c>
      <c r="O133" s="3" t="s">
        <v>101</v>
      </c>
      <c r="P133" s="3"/>
      <c r="Q133" s="3">
        <f>(7*S133+5*0.976*S132)/12*U133*12/1000+S132/1.01*(90-U133)*12/1000</f>
        <v>64.154637623762369</v>
      </c>
      <c r="R133" s="3"/>
      <c r="S133" s="3">
        <v>60</v>
      </c>
      <c r="T133" s="3">
        <v>7</v>
      </c>
      <c r="U133" s="3">
        <f t="shared" si="88"/>
        <v>53</v>
      </c>
      <c r="V133" s="3">
        <v>4</v>
      </c>
      <c r="W133" s="3">
        <v>22.414709999999999</v>
      </c>
      <c r="X133" s="18">
        <v>28224</v>
      </c>
      <c r="Y133" s="18">
        <v>28276</v>
      </c>
      <c r="Z133" s="3">
        <v>5.74</v>
      </c>
      <c r="AA133" s="3"/>
      <c r="AB133" s="3"/>
      <c r="AC133" s="3"/>
      <c r="AD133" s="3">
        <v>5.84</v>
      </c>
      <c r="AE133" s="3"/>
      <c r="AF133" s="3"/>
      <c r="AG133" s="3"/>
      <c r="AH133" s="8">
        <f t="shared" si="89"/>
        <v>-1.7123287671232817E-2</v>
      </c>
      <c r="AI133" s="8">
        <f>VLOOKUP(F133,'[11]Sheet 2'!$A:$S,18,0)/VLOOKUP(F133,'[11]Sheet 2'!$A:$U,20,0)</f>
        <v>7.856657907271579</v>
      </c>
      <c r="AJ133" s="8">
        <f t="shared" si="90"/>
        <v>-0.26940945275376527</v>
      </c>
      <c r="AK133" s="3"/>
      <c r="AL133" s="4"/>
      <c r="AM133" s="3"/>
      <c r="AN133" s="3"/>
      <c r="AO133" s="3"/>
      <c r="AP133" s="3"/>
      <c r="AQ133" s="3"/>
      <c r="AR133" s="3"/>
      <c r="AS133" s="8" t="e">
        <f t="shared" si="91"/>
        <v>#DIV/0!</v>
      </c>
      <c r="AT133" s="8" t="e">
        <f>VLOOKUP(F133,'[12]Sheet 2'!$A:$S,18,0)/VLOOKUP(F133,'[12]Sheet 2'!$A:$U,20,0)</f>
        <v>#N/A</v>
      </c>
      <c r="AU133" s="8" t="e">
        <f t="shared" si="92"/>
        <v>#N/A</v>
      </c>
      <c r="AV133" s="57"/>
      <c r="AW133" s="3"/>
      <c r="AX133" s="3"/>
      <c r="AY133" s="3"/>
      <c r="AZ133" s="3"/>
      <c r="BA133" s="3"/>
      <c r="BB133" s="3"/>
      <c r="BC133" s="3"/>
      <c r="BD133" s="8" t="e">
        <f t="shared" si="93"/>
        <v>#DIV/0!</v>
      </c>
      <c r="BE133" s="8" t="e">
        <f>VLOOKUP(F133,'[13]Sheet 2'!$A:$S,18,0)/VLOOKUP(F133,'[13]Sheet 2'!$A:$U,20,0)</f>
        <v>#N/A</v>
      </c>
      <c r="BF133" s="8" t="e">
        <f t="shared" si="94"/>
        <v>#N/A</v>
      </c>
      <c r="BG133" s="3"/>
      <c r="BH133" s="3"/>
      <c r="BI133" s="3"/>
      <c r="BJ133" s="3"/>
      <c r="BK133" s="3"/>
      <c r="BL133" s="3"/>
      <c r="BM133" s="3"/>
      <c r="BN133" s="3"/>
      <c r="BO133" s="8" t="e">
        <f t="shared" si="95"/>
        <v>#DIV/0!</v>
      </c>
      <c r="BP133" s="8" t="e">
        <f>VLOOKUP(F133,'[14]Sheet 2'!$A:$V,18,0)/VLOOKUP(F133,'[14]Sheet 2'!$A:$V,20,0)</f>
        <v>#N/A</v>
      </c>
      <c r="BQ133" s="8" t="e">
        <f t="shared" si="96"/>
        <v>#N/A</v>
      </c>
      <c r="BR133" s="3"/>
      <c r="BS133" s="3"/>
      <c r="BT133" s="3"/>
      <c r="BU133" s="3"/>
      <c r="BV133" s="3"/>
      <c r="BW133" s="3"/>
      <c r="BX133" s="3"/>
      <c r="BY133" s="3"/>
      <c r="BZ133" s="8" t="e">
        <f t="shared" si="97"/>
        <v>#DIV/0!</v>
      </c>
      <c r="CA133" s="8" t="e">
        <f>VLOOKUP(F133,'[15]Sheet 2'!$A:$S,18,0)/VLOOKUP(F133,'[15]Sheet 2'!$A:$U,20,0)</f>
        <v>#N/A</v>
      </c>
      <c r="CB133" s="8" t="e">
        <f t="shared" si="98"/>
        <v>#N/A</v>
      </c>
      <c r="CC133" s="19">
        <v>35.794889233112599</v>
      </c>
      <c r="CD133" s="19">
        <v>-78.694466693999303</v>
      </c>
      <c r="CE133" s="20">
        <v>28066</v>
      </c>
      <c r="CF133" s="20">
        <v>28285</v>
      </c>
      <c r="CG133" s="18">
        <v>28224</v>
      </c>
      <c r="CH133" s="18">
        <v>28276</v>
      </c>
      <c r="CI133" s="21">
        <f t="shared" si="81"/>
        <v>-59</v>
      </c>
      <c r="CJ133" s="21">
        <f t="shared" si="82"/>
        <v>160</v>
      </c>
      <c r="CK133" s="30">
        <f t="shared" si="83"/>
        <v>220</v>
      </c>
      <c r="CL133" s="21">
        <f t="shared" si="84"/>
        <v>99</v>
      </c>
      <c r="CM133" s="21">
        <f t="shared" si="85"/>
        <v>151</v>
      </c>
      <c r="CN133" s="19">
        <f t="shared" si="86"/>
        <v>53</v>
      </c>
      <c r="CP133" s="29">
        <f t="shared" si="99"/>
        <v>28238</v>
      </c>
      <c r="CQ133" s="19">
        <f t="shared" si="100"/>
        <v>48</v>
      </c>
    </row>
    <row r="134" spans="1:95" s="19" customFormat="1" hidden="1" x14ac:dyDescent="0.3">
      <c r="A134" s="3">
        <v>1</v>
      </c>
      <c r="B134" s="3"/>
      <c r="C134" s="3"/>
      <c r="D134" s="9" t="s">
        <v>234</v>
      </c>
      <c r="E134" s="9" t="s">
        <v>235</v>
      </c>
      <c r="F134" s="6" t="str">
        <f t="shared" si="87"/>
        <v>Heagle1979Blueboy1977OTC</v>
      </c>
      <c r="G134" s="3" t="s">
        <v>236</v>
      </c>
      <c r="H134" s="3" t="s">
        <v>128</v>
      </c>
      <c r="I134" s="3" t="s">
        <v>128</v>
      </c>
      <c r="J134" s="3" t="s">
        <v>237</v>
      </c>
      <c r="K134" s="3" t="s">
        <v>238</v>
      </c>
      <c r="L134" s="3">
        <v>1977</v>
      </c>
      <c r="M134" s="3" t="s">
        <v>95</v>
      </c>
      <c r="N134" s="4" t="s">
        <v>49</v>
      </c>
      <c r="O134" s="3" t="s">
        <v>135</v>
      </c>
      <c r="P134" s="3"/>
      <c r="Q134" s="3">
        <f>(7*S134+5*0.976*S132)/12*U134*12/1000+S132/1.01*(90-U134)*12/1000</f>
        <v>78.994637623762372</v>
      </c>
      <c r="R134" s="3"/>
      <c r="S134" s="3">
        <v>100</v>
      </c>
      <c r="T134" s="3">
        <v>7</v>
      </c>
      <c r="U134" s="3">
        <f t="shared" si="88"/>
        <v>53</v>
      </c>
      <c r="V134" s="3">
        <v>4</v>
      </c>
      <c r="W134" s="3">
        <v>36.707799999999999</v>
      </c>
      <c r="X134" s="18">
        <v>28224</v>
      </c>
      <c r="Y134" s="18">
        <v>28276</v>
      </c>
      <c r="Z134" s="3">
        <v>4.97</v>
      </c>
      <c r="AA134" s="3"/>
      <c r="AB134" s="3"/>
      <c r="AC134" s="3"/>
      <c r="AD134" s="3">
        <v>5.84</v>
      </c>
      <c r="AE134" s="3"/>
      <c r="AF134" s="3"/>
      <c r="AG134" s="3"/>
      <c r="AH134" s="8">
        <f t="shared" si="89"/>
        <v>-0.14897260273972604</v>
      </c>
      <c r="AI134" s="8">
        <f>VLOOKUP(F134,'[11]Sheet 2'!$A:$S,18,0)/VLOOKUP(F134,'[11]Sheet 2'!$A:$U,20,0)</f>
        <v>7.856657907271579</v>
      </c>
      <c r="AJ134" s="8">
        <f t="shared" si="90"/>
        <v>-0.36741550177460169</v>
      </c>
      <c r="AK134" s="3"/>
      <c r="AL134" s="4"/>
      <c r="AM134" s="3"/>
      <c r="AN134" s="3"/>
      <c r="AO134" s="3"/>
      <c r="AP134" s="3"/>
      <c r="AQ134" s="3"/>
      <c r="AR134" s="3"/>
      <c r="AS134" s="8" t="e">
        <f t="shared" si="91"/>
        <v>#DIV/0!</v>
      </c>
      <c r="AT134" s="8" t="e">
        <f>VLOOKUP(F134,'[12]Sheet 2'!$A:$S,18,0)/VLOOKUP(F134,'[12]Sheet 2'!$A:$U,20,0)</f>
        <v>#N/A</v>
      </c>
      <c r="AU134" s="8" t="e">
        <f t="shared" si="92"/>
        <v>#N/A</v>
      </c>
      <c r="AV134" s="57"/>
      <c r="AW134" s="3"/>
      <c r="AX134" s="3"/>
      <c r="AY134" s="3"/>
      <c r="AZ134" s="3"/>
      <c r="BA134" s="3"/>
      <c r="BB134" s="3"/>
      <c r="BC134" s="3"/>
      <c r="BD134" s="8" t="e">
        <f t="shared" si="93"/>
        <v>#DIV/0!</v>
      </c>
      <c r="BE134" s="8" t="e">
        <f>VLOOKUP(F134,'[13]Sheet 2'!$A:$S,18,0)/VLOOKUP(F134,'[13]Sheet 2'!$A:$U,20,0)</f>
        <v>#N/A</v>
      </c>
      <c r="BF134" s="8" t="e">
        <f t="shared" si="94"/>
        <v>#N/A</v>
      </c>
      <c r="BG134" s="3"/>
      <c r="BH134" s="3"/>
      <c r="BI134" s="3"/>
      <c r="BJ134" s="3"/>
      <c r="BK134" s="3"/>
      <c r="BL134" s="3"/>
      <c r="BM134" s="3"/>
      <c r="BN134" s="3"/>
      <c r="BO134" s="8" t="e">
        <f t="shared" si="95"/>
        <v>#DIV/0!</v>
      </c>
      <c r="BP134" s="8" t="e">
        <f>VLOOKUP(F134,'[14]Sheet 2'!$A:$V,18,0)/VLOOKUP(F134,'[14]Sheet 2'!$A:$V,20,0)</f>
        <v>#N/A</v>
      </c>
      <c r="BQ134" s="8" t="e">
        <f t="shared" si="96"/>
        <v>#N/A</v>
      </c>
      <c r="BR134" s="3"/>
      <c r="BS134" s="3"/>
      <c r="BT134" s="3"/>
      <c r="BU134" s="3"/>
      <c r="BV134" s="3"/>
      <c r="BW134" s="3"/>
      <c r="BX134" s="3"/>
      <c r="BY134" s="3"/>
      <c r="BZ134" s="8" t="e">
        <f t="shared" si="97"/>
        <v>#DIV/0!</v>
      </c>
      <c r="CA134" s="8" t="e">
        <f>VLOOKUP(F134,'[15]Sheet 2'!$A:$S,18,0)/VLOOKUP(F134,'[15]Sheet 2'!$A:$U,20,0)</f>
        <v>#N/A</v>
      </c>
      <c r="CB134" s="8" t="e">
        <f t="shared" si="98"/>
        <v>#N/A</v>
      </c>
      <c r="CC134" s="19">
        <v>35.794889233112599</v>
      </c>
      <c r="CD134" s="19">
        <v>-78.694466693999303</v>
      </c>
      <c r="CE134" s="20">
        <v>28066</v>
      </c>
      <c r="CF134" s="20">
        <v>28285</v>
      </c>
      <c r="CG134" s="18">
        <v>28224</v>
      </c>
      <c r="CH134" s="18">
        <v>28276</v>
      </c>
      <c r="CI134" s="21">
        <f t="shared" si="81"/>
        <v>-59</v>
      </c>
      <c r="CJ134" s="21">
        <f t="shared" si="82"/>
        <v>160</v>
      </c>
      <c r="CK134" s="30">
        <f t="shared" si="83"/>
        <v>220</v>
      </c>
      <c r="CL134" s="21">
        <f t="shared" si="84"/>
        <v>99</v>
      </c>
      <c r="CM134" s="21">
        <f t="shared" si="85"/>
        <v>151</v>
      </c>
      <c r="CN134" s="19">
        <f t="shared" si="86"/>
        <v>53</v>
      </c>
      <c r="CP134" s="29">
        <f t="shared" si="99"/>
        <v>28238</v>
      </c>
      <c r="CQ134" s="19">
        <f t="shared" si="100"/>
        <v>48</v>
      </c>
    </row>
    <row r="135" spans="1:95" s="19" customFormat="1" hidden="1" x14ac:dyDescent="0.3">
      <c r="A135" s="3">
        <v>1</v>
      </c>
      <c r="B135" s="3"/>
      <c r="C135" s="3"/>
      <c r="D135" s="9" t="s">
        <v>234</v>
      </c>
      <c r="E135" s="9" t="s">
        <v>235</v>
      </c>
      <c r="F135" s="6" t="str">
        <f t="shared" si="87"/>
        <v>Heagle1979Blueboy1977OTC</v>
      </c>
      <c r="G135" s="3" t="s">
        <v>236</v>
      </c>
      <c r="H135" s="3" t="s">
        <v>128</v>
      </c>
      <c r="I135" s="3" t="s">
        <v>128</v>
      </c>
      <c r="J135" s="3" t="s">
        <v>237</v>
      </c>
      <c r="K135" s="3" t="s">
        <v>238</v>
      </c>
      <c r="L135" s="3">
        <v>1977</v>
      </c>
      <c r="M135" s="3" t="s">
        <v>95</v>
      </c>
      <c r="N135" s="4" t="s">
        <v>49</v>
      </c>
      <c r="O135" s="3" t="s">
        <v>136</v>
      </c>
      <c r="P135" s="3"/>
      <c r="Q135" s="3">
        <f>(7*S135+5*0.976*S132)/12*U135*12/1000+S132/1.01*(90-U135)*12/1000</f>
        <v>90.124637623762382</v>
      </c>
      <c r="R135" s="3"/>
      <c r="S135" s="3">
        <v>130</v>
      </c>
      <c r="T135" s="3">
        <v>7</v>
      </c>
      <c r="U135" s="3">
        <f t="shared" si="88"/>
        <v>53</v>
      </c>
      <c r="V135" s="3">
        <v>4</v>
      </c>
      <c r="W135" s="3">
        <v>47.635179999999998</v>
      </c>
      <c r="X135" s="18">
        <v>28224</v>
      </c>
      <c r="Y135" s="18">
        <v>28276</v>
      </c>
      <c r="Z135" s="3">
        <v>4.0199999999999996</v>
      </c>
      <c r="AA135" s="3"/>
      <c r="AB135" s="3"/>
      <c r="AC135" s="3"/>
      <c r="AD135" s="3">
        <v>5.84</v>
      </c>
      <c r="AE135" s="3"/>
      <c r="AF135" s="3"/>
      <c r="AG135" s="3"/>
      <c r="AH135" s="8">
        <f t="shared" si="89"/>
        <v>-0.31164383561643844</v>
      </c>
      <c r="AI135" s="8">
        <f>VLOOKUP(F135,'[11]Sheet 2'!$A:$S,18,0)/VLOOKUP(F135,'[11]Sheet 2'!$A:$U,20,0)</f>
        <v>7.856657907271579</v>
      </c>
      <c r="AJ135" s="8">
        <f t="shared" si="90"/>
        <v>-0.48833205576134786</v>
      </c>
      <c r="AK135" s="3"/>
      <c r="AL135" s="4"/>
      <c r="AM135" s="3"/>
      <c r="AN135" s="3"/>
      <c r="AO135" s="3"/>
      <c r="AP135" s="3"/>
      <c r="AQ135" s="3"/>
      <c r="AR135" s="3"/>
      <c r="AS135" s="8" t="e">
        <f t="shared" si="91"/>
        <v>#DIV/0!</v>
      </c>
      <c r="AT135" s="8" t="e">
        <f>VLOOKUP(F135,'[12]Sheet 2'!$A:$S,18,0)/VLOOKUP(F135,'[12]Sheet 2'!$A:$U,20,0)</f>
        <v>#N/A</v>
      </c>
      <c r="AU135" s="8" t="e">
        <f t="shared" si="92"/>
        <v>#N/A</v>
      </c>
      <c r="AV135" s="57"/>
      <c r="AW135" s="3"/>
      <c r="AX135" s="3"/>
      <c r="AY135" s="3"/>
      <c r="AZ135" s="3"/>
      <c r="BA135" s="3"/>
      <c r="BB135" s="3"/>
      <c r="BC135" s="3"/>
      <c r="BD135" s="8" t="e">
        <f t="shared" si="93"/>
        <v>#DIV/0!</v>
      </c>
      <c r="BE135" s="8" t="e">
        <f>VLOOKUP(F135,'[13]Sheet 2'!$A:$S,18,0)/VLOOKUP(F135,'[13]Sheet 2'!$A:$U,20,0)</f>
        <v>#N/A</v>
      </c>
      <c r="BF135" s="8" t="e">
        <f t="shared" si="94"/>
        <v>#N/A</v>
      </c>
      <c r="BG135" s="3"/>
      <c r="BH135" s="3"/>
      <c r="BI135" s="3"/>
      <c r="BJ135" s="3"/>
      <c r="BK135" s="3"/>
      <c r="BL135" s="3"/>
      <c r="BM135" s="3"/>
      <c r="BN135" s="3"/>
      <c r="BO135" s="8" t="e">
        <f t="shared" si="95"/>
        <v>#DIV/0!</v>
      </c>
      <c r="BP135" s="8" t="e">
        <f>VLOOKUP(F135,'[14]Sheet 2'!$A:$V,18,0)/VLOOKUP(F135,'[14]Sheet 2'!$A:$V,20,0)</f>
        <v>#N/A</v>
      </c>
      <c r="BQ135" s="8" t="e">
        <f t="shared" si="96"/>
        <v>#N/A</v>
      </c>
      <c r="BR135" s="3"/>
      <c r="BS135" s="3"/>
      <c r="BT135" s="3"/>
      <c r="BU135" s="3"/>
      <c r="BV135" s="3"/>
      <c r="BW135" s="3"/>
      <c r="BX135" s="3"/>
      <c r="BY135" s="3"/>
      <c r="BZ135" s="8" t="e">
        <f t="shared" si="97"/>
        <v>#DIV/0!</v>
      </c>
      <c r="CA135" s="8" t="e">
        <f>VLOOKUP(F135,'[15]Sheet 2'!$A:$S,18,0)/VLOOKUP(F135,'[15]Sheet 2'!$A:$U,20,0)</f>
        <v>#N/A</v>
      </c>
      <c r="CB135" s="8" t="e">
        <f t="shared" si="98"/>
        <v>#N/A</v>
      </c>
      <c r="CC135" s="19">
        <v>35.794889233112599</v>
      </c>
      <c r="CD135" s="19">
        <v>-78.694466693999303</v>
      </c>
      <c r="CE135" s="20">
        <v>28066</v>
      </c>
      <c r="CF135" s="20">
        <v>28285</v>
      </c>
      <c r="CG135" s="18">
        <v>28224</v>
      </c>
      <c r="CH135" s="18">
        <v>28276</v>
      </c>
      <c r="CI135" s="21">
        <f t="shared" si="81"/>
        <v>-59</v>
      </c>
      <c r="CJ135" s="21">
        <f t="shared" si="82"/>
        <v>160</v>
      </c>
      <c r="CK135" s="30">
        <f t="shared" si="83"/>
        <v>220</v>
      </c>
      <c r="CL135" s="21">
        <f t="shared" si="84"/>
        <v>99</v>
      </c>
      <c r="CM135" s="21">
        <f t="shared" si="85"/>
        <v>151</v>
      </c>
      <c r="CN135" s="19">
        <f t="shared" si="86"/>
        <v>53</v>
      </c>
      <c r="CP135" s="29">
        <f t="shared" si="99"/>
        <v>28238</v>
      </c>
      <c r="CQ135" s="19">
        <f t="shared" si="100"/>
        <v>48</v>
      </c>
    </row>
    <row r="136" spans="1:95" s="42" customFormat="1" hidden="1" x14ac:dyDescent="0.3">
      <c r="A136" s="31">
        <v>1</v>
      </c>
      <c r="B136" s="31"/>
      <c r="C136" s="31"/>
      <c r="D136" s="43" t="s">
        <v>234</v>
      </c>
      <c r="E136" s="43" t="s">
        <v>235</v>
      </c>
      <c r="F136" s="34" t="str">
        <f t="shared" si="87"/>
        <v>Heagle1979Coker47-271977OTC</v>
      </c>
      <c r="G136" s="31" t="s">
        <v>236</v>
      </c>
      <c r="H136" s="31" t="s">
        <v>128</v>
      </c>
      <c r="I136" s="31" t="s">
        <v>128</v>
      </c>
      <c r="J136" s="31" t="s">
        <v>237</v>
      </c>
      <c r="K136" s="31" t="s">
        <v>239</v>
      </c>
      <c r="L136" s="31">
        <v>1977</v>
      </c>
      <c r="M136" s="31" t="s">
        <v>95</v>
      </c>
      <c r="N136" s="32" t="s">
        <v>49</v>
      </c>
      <c r="O136" s="31" t="s">
        <v>130</v>
      </c>
      <c r="P136" s="32" t="s">
        <v>267</v>
      </c>
      <c r="Q136" s="31">
        <f>(7*S136+5*0.976*S136)/12*U136*12/1000+S137/1.01*(90-U136)*12/1000</f>
        <v>45.265437623762374</v>
      </c>
      <c r="R136" s="31"/>
      <c r="S136" s="31">
        <v>30</v>
      </c>
      <c r="T136" s="31">
        <v>7</v>
      </c>
      <c r="U136" s="31">
        <f t="shared" si="88"/>
        <v>53</v>
      </c>
      <c r="V136" s="31">
        <v>4</v>
      </c>
      <c r="W136" s="31">
        <v>6.4205589999999999</v>
      </c>
      <c r="X136" s="39">
        <v>28224</v>
      </c>
      <c r="Y136" s="39">
        <v>28276</v>
      </c>
      <c r="Z136" s="31">
        <v>5.09</v>
      </c>
      <c r="AA136" s="31"/>
      <c r="AB136" s="31"/>
      <c r="AC136" s="31"/>
      <c r="AD136" s="31">
        <v>5.09</v>
      </c>
      <c r="AE136" s="31"/>
      <c r="AF136" s="31"/>
      <c r="AG136" s="31"/>
      <c r="AH136" s="8">
        <f t="shared" si="89"/>
        <v>0</v>
      </c>
      <c r="AI136" s="8">
        <f>VLOOKUP(F136,'[11]Sheet 2'!$A:$S,18,0)/VLOOKUP(F136,'[11]Sheet 2'!$A:$U,20,0)</f>
        <v>6.18632071035465</v>
      </c>
      <c r="AJ136" s="8">
        <f t="shared" si="90"/>
        <v>-0.17721692128240796</v>
      </c>
      <c r="AK136" s="31"/>
      <c r="AL136" s="32"/>
      <c r="AM136" s="31"/>
      <c r="AN136" s="31"/>
      <c r="AO136" s="31"/>
      <c r="AP136" s="31"/>
      <c r="AQ136" s="31"/>
      <c r="AR136" s="31"/>
      <c r="AS136" s="8" t="e">
        <f t="shared" si="91"/>
        <v>#DIV/0!</v>
      </c>
      <c r="AT136" s="8" t="e">
        <f>VLOOKUP(F136,'[12]Sheet 2'!$A:$S,18,0)/VLOOKUP(F136,'[12]Sheet 2'!$A:$U,20,0)</f>
        <v>#N/A</v>
      </c>
      <c r="AU136" s="8" t="e">
        <f t="shared" si="92"/>
        <v>#N/A</v>
      </c>
      <c r="AV136" s="57"/>
      <c r="AW136" s="31"/>
      <c r="AX136" s="31"/>
      <c r="AY136" s="31"/>
      <c r="AZ136" s="31"/>
      <c r="BA136" s="31"/>
      <c r="BB136" s="31"/>
      <c r="BC136" s="31"/>
      <c r="BD136" s="8" t="e">
        <f t="shared" si="93"/>
        <v>#DIV/0!</v>
      </c>
      <c r="BE136" s="8" t="e">
        <f>VLOOKUP(F136,'[13]Sheet 2'!$A:$S,18,0)/VLOOKUP(F136,'[13]Sheet 2'!$A:$U,20,0)</f>
        <v>#N/A</v>
      </c>
      <c r="BF136" s="8" t="e">
        <f t="shared" si="94"/>
        <v>#N/A</v>
      </c>
      <c r="BG136" s="31"/>
      <c r="BH136" s="31"/>
      <c r="BI136" s="31"/>
      <c r="BJ136" s="31"/>
      <c r="BK136" s="31"/>
      <c r="BL136" s="31"/>
      <c r="BM136" s="31"/>
      <c r="BN136" s="31"/>
      <c r="BO136" s="8" t="e">
        <f t="shared" si="95"/>
        <v>#DIV/0!</v>
      </c>
      <c r="BP136" s="8" t="e">
        <f>VLOOKUP(F136,'[14]Sheet 2'!$A:$V,18,0)/VLOOKUP(F136,'[14]Sheet 2'!$A:$V,20,0)</f>
        <v>#N/A</v>
      </c>
      <c r="BQ136" s="8" t="e">
        <f t="shared" si="96"/>
        <v>#N/A</v>
      </c>
      <c r="BR136" s="31"/>
      <c r="BS136" s="31"/>
      <c r="BT136" s="31"/>
      <c r="BU136" s="31"/>
      <c r="BV136" s="31"/>
      <c r="BW136" s="31"/>
      <c r="BX136" s="31"/>
      <c r="BY136" s="31"/>
      <c r="BZ136" s="8" t="e">
        <f t="shared" si="97"/>
        <v>#DIV/0!</v>
      </c>
      <c r="CA136" s="8" t="e">
        <f>VLOOKUP(F136,'[15]Sheet 2'!$A:$S,18,0)/VLOOKUP(F136,'[15]Sheet 2'!$A:$U,20,0)</f>
        <v>#N/A</v>
      </c>
      <c r="CB136" s="8" t="e">
        <f t="shared" si="98"/>
        <v>#N/A</v>
      </c>
      <c r="CC136" s="42">
        <v>35.794889233112599</v>
      </c>
      <c r="CD136" s="42">
        <v>-78.694466693999303</v>
      </c>
      <c r="CE136" s="38">
        <v>28066</v>
      </c>
      <c r="CF136" s="38">
        <v>28285</v>
      </c>
      <c r="CG136" s="39">
        <v>28224</v>
      </c>
      <c r="CH136" s="39">
        <v>28276</v>
      </c>
      <c r="CI136" s="40">
        <f t="shared" si="81"/>
        <v>-59</v>
      </c>
      <c r="CJ136" s="40">
        <f t="shared" si="82"/>
        <v>160</v>
      </c>
      <c r="CK136" s="41">
        <f t="shared" si="83"/>
        <v>220</v>
      </c>
      <c r="CL136" s="40">
        <f t="shared" si="84"/>
        <v>99</v>
      </c>
      <c r="CM136" s="40">
        <f t="shared" si="85"/>
        <v>151</v>
      </c>
      <c r="CN136" s="42">
        <f t="shared" si="86"/>
        <v>53</v>
      </c>
      <c r="CP136" s="47">
        <f t="shared" si="99"/>
        <v>28238</v>
      </c>
      <c r="CQ136" s="42">
        <f t="shared" si="100"/>
        <v>48</v>
      </c>
    </row>
    <row r="137" spans="1:95" s="42" customFormat="1" hidden="1" x14ac:dyDescent="0.3">
      <c r="A137" s="31">
        <v>1</v>
      </c>
      <c r="B137" s="31"/>
      <c r="C137" s="31"/>
      <c r="D137" s="43" t="s">
        <v>234</v>
      </c>
      <c r="E137" s="43" t="s">
        <v>235</v>
      </c>
      <c r="F137" s="34" t="str">
        <f t="shared" si="87"/>
        <v>Heagle1979Coker47-271977OTC</v>
      </c>
      <c r="G137" s="31" t="s">
        <v>236</v>
      </c>
      <c r="H137" s="31" t="s">
        <v>128</v>
      </c>
      <c r="I137" s="31" t="s">
        <v>128</v>
      </c>
      <c r="J137" s="31" t="s">
        <v>237</v>
      </c>
      <c r="K137" s="31" t="s">
        <v>239</v>
      </c>
      <c r="L137" s="31">
        <v>1977</v>
      </c>
      <c r="M137" s="31" t="s">
        <v>95</v>
      </c>
      <c r="N137" s="32" t="s">
        <v>49</v>
      </c>
      <c r="O137" s="31" t="s">
        <v>72</v>
      </c>
      <c r="P137" s="31"/>
      <c r="Q137" s="32">
        <f>S137/1.01*1.08</f>
        <v>64.158415841584173</v>
      </c>
      <c r="R137" s="31"/>
      <c r="S137" s="31">
        <v>60</v>
      </c>
      <c r="T137" s="31">
        <v>7</v>
      </c>
      <c r="U137" s="31">
        <f t="shared" si="88"/>
        <v>53</v>
      </c>
      <c r="V137" s="31">
        <v>4</v>
      </c>
      <c r="W137" s="31">
        <v>22.414709999999999</v>
      </c>
      <c r="X137" s="39">
        <v>28224</v>
      </c>
      <c r="Y137" s="39">
        <v>28276</v>
      </c>
      <c r="Z137" s="31"/>
      <c r="AA137" s="31"/>
      <c r="AB137" s="31"/>
      <c r="AC137" s="31"/>
      <c r="AD137" s="31"/>
      <c r="AE137" s="31"/>
      <c r="AF137" s="31"/>
      <c r="AG137" s="31"/>
      <c r="AH137" s="8" t="e">
        <f t="shared" si="89"/>
        <v>#DIV/0!</v>
      </c>
      <c r="AI137" s="8">
        <f>VLOOKUP(F137,'[11]Sheet 2'!$A:$S,18,0)/VLOOKUP(F137,'[11]Sheet 2'!$A:$U,20,0)</f>
        <v>6.18632071035465</v>
      </c>
      <c r="AJ137" s="8"/>
      <c r="AK137" s="31"/>
      <c r="AL137" s="32"/>
      <c r="AM137" s="31"/>
      <c r="AN137" s="31"/>
      <c r="AO137" s="31"/>
      <c r="AP137" s="31"/>
      <c r="AQ137" s="31"/>
      <c r="AR137" s="31"/>
      <c r="AS137" s="8" t="e">
        <f t="shared" si="91"/>
        <v>#DIV/0!</v>
      </c>
      <c r="AT137" s="8" t="e">
        <f>VLOOKUP(F137,'[12]Sheet 2'!$A:$S,18,0)/VLOOKUP(F137,'[12]Sheet 2'!$A:$U,20,0)</f>
        <v>#N/A</v>
      </c>
      <c r="AU137" s="8" t="e">
        <f t="shared" si="92"/>
        <v>#N/A</v>
      </c>
      <c r="AV137" s="57"/>
      <c r="AW137" s="31"/>
      <c r="AX137" s="31"/>
      <c r="AY137" s="31"/>
      <c r="AZ137" s="31"/>
      <c r="BA137" s="31"/>
      <c r="BB137" s="31"/>
      <c r="BC137" s="31"/>
      <c r="BD137" s="8" t="e">
        <f t="shared" si="93"/>
        <v>#DIV/0!</v>
      </c>
      <c r="BE137" s="8" t="e">
        <f>VLOOKUP(F137,'[13]Sheet 2'!$A:$S,18,0)/VLOOKUP(F137,'[13]Sheet 2'!$A:$U,20,0)</f>
        <v>#N/A</v>
      </c>
      <c r="BF137" s="8" t="e">
        <f t="shared" si="94"/>
        <v>#N/A</v>
      </c>
      <c r="BG137" s="31"/>
      <c r="BH137" s="31"/>
      <c r="BI137" s="31"/>
      <c r="BJ137" s="31"/>
      <c r="BK137" s="31"/>
      <c r="BL137" s="31"/>
      <c r="BM137" s="31"/>
      <c r="BN137" s="31"/>
      <c r="BO137" s="8" t="e">
        <f t="shared" si="95"/>
        <v>#DIV/0!</v>
      </c>
      <c r="BP137" s="8" t="e">
        <f>VLOOKUP(F137,'[14]Sheet 2'!$A:$V,18,0)/VLOOKUP(F137,'[14]Sheet 2'!$A:$V,20,0)</f>
        <v>#N/A</v>
      </c>
      <c r="BQ137" s="8" t="e">
        <f t="shared" si="96"/>
        <v>#N/A</v>
      </c>
      <c r="BR137" s="31"/>
      <c r="BS137" s="31"/>
      <c r="BT137" s="31"/>
      <c r="BU137" s="31"/>
      <c r="BV137" s="31"/>
      <c r="BW137" s="31"/>
      <c r="BX137" s="31"/>
      <c r="BY137" s="31"/>
      <c r="BZ137" s="8" t="e">
        <f t="shared" si="97"/>
        <v>#DIV/0!</v>
      </c>
      <c r="CA137" s="8" t="e">
        <f>VLOOKUP(F137,'[15]Sheet 2'!$A:$S,18,0)/VLOOKUP(F137,'[15]Sheet 2'!$A:$U,20,0)</f>
        <v>#N/A</v>
      </c>
      <c r="CB137" s="8" t="e">
        <f t="shared" si="98"/>
        <v>#N/A</v>
      </c>
      <c r="CC137" s="42">
        <v>35.794889233112599</v>
      </c>
      <c r="CD137" s="42">
        <v>-78.694466693999303</v>
      </c>
      <c r="CE137" s="38">
        <v>28066</v>
      </c>
      <c r="CF137" s="38">
        <v>28285</v>
      </c>
      <c r="CG137" s="39">
        <v>28224</v>
      </c>
      <c r="CH137" s="39">
        <v>28276</v>
      </c>
      <c r="CI137" s="40">
        <f t="shared" si="81"/>
        <v>-59</v>
      </c>
      <c r="CJ137" s="40">
        <f t="shared" si="82"/>
        <v>160</v>
      </c>
      <c r="CK137" s="41">
        <f t="shared" si="83"/>
        <v>220</v>
      </c>
      <c r="CL137" s="40">
        <f t="shared" si="84"/>
        <v>99</v>
      </c>
      <c r="CM137" s="40">
        <f t="shared" si="85"/>
        <v>151</v>
      </c>
      <c r="CN137" s="42">
        <f t="shared" si="86"/>
        <v>53</v>
      </c>
      <c r="CP137" s="47">
        <f t="shared" si="99"/>
        <v>28238</v>
      </c>
      <c r="CQ137" s="42">
        <f t="shared" si="100"/>
        <v>48</v>
      </c>
    </row>
    <row r="138" spans="1:95" s="42" customFormat="1" hidden="1" x14ac:dyDescent="0.3">
      <c r="A138" s="31">
        <v>1</v>
      </c>
      <c r="B138" s="31"/>
      <c r="C138" s="31"/>
      <c r="D138" s="43" t="s">
        <v>234</v>
      </c>
      <c r="E138" s="43" t="s">
        <v>235</v>
      </c>
      <c r="F138" s="34" t="str">
        <f t="shared" si="87"/>
        <v>Heagle1979Coker47-271977OTC</v>
      </c>
      <c r="G138" s="31" t="s">
        <v>236</v>
      </c>
      <c r="H138" s="31" t="s">
        <v>128</v>
      </c>
      <c r="I138" s="31" t="s">
        <v>128</v>
      </c>
      <c r="J138" s="31" t="s">
        <v>237</v>
      </c>
      <c r="K138" s="31" t="s">
        <v>239</v>
      </c>
      <c r="L138" s="31">
        <v>1977</v>
      </c>
      <c r="M138" s="31" t="s">
        <v>95</v>
      </c>
      <c r="N138" s="32" t="s">
        <v>49</v>
      </c>
      <c r="O138" s="31" t="s">
        <v>101</v>
      </c>
      <c r="P138" s="31"/>
      <c r="Q138" s="31">
        <f>(7*S138+5*0.976*S137)/12*U138*12/1000+S137/1.01*(90-U138)*12/1000</f>
        <v>64.154637623762369</v>
      </c>
      <c r="R138" s="31"/>
      <c r="S138" s="31">
        <v>60</v>
      </c>
      <c r="T138" s="31">
        <v>7</v>
      </c>
      <c r="U138" s="31">
        <f t="shared" si="88"/>
        <v>53</v>
      </c>
      <c r="V138" s="31">
        <v>4</v>
      </c>
      <c r="W138" s="31">
        <v>22.414709999999999</v>
      </c>
      <c r="X138" s="39">
        <v>28224</v>
      </c>
      <c r="Y138" s="39">
        <v>28276</v>
      </c>
      <c r="Z138" s="31">
        <v>4.55</v>
      </c>
      <c r="AA138" s="31"/>
      <c r="AB138" s="31"/>
      <c r="AC138" s="31"/>
      <c r="AD138" s="31">
        <v>5.09</v>
      </c>
      <c r="AE138" s="31"/>
      <c r="AF138" s="31"/>
      <c r="AG138" s="31"/>
      <c r="AH138" s="8">
        <f t="shared" si="89"/>
        <v>-0.10609037328094303</v>
      </c>
      <c r="AI138" s="8">
        <f>VLOOKUP(F138,'[11]Sheet 2'!$A:$S,18,0)/VLOOKUP(F138,'[11]Sheet 2'!$A:$U,20,0)</f>
        <v>6.18632071035465</v>
      </c>
      <c r="AJ138" s="8">
        <f t="shared" si="90"/>
        <v>-0.26450628523280084</v>
      </c>
      <c r="AK138" s="31"/>
      <c r="AL138" s="32"/>
      <c r="AM138" s="31"/>
      <c r="AN138" s="31"/>
      <c r="AO138" s="31"/>
      <c r="AP138" s="31"/>
      <c r="AQ138" s="31"/>
      <c r="AR138" s="31"/>
      <c r="AS138" s="8" t="e">
        <f t="shared" si="91"/>
        <v>#DIV/0!</v>
      </c>
      <c r="AT138" s="8" t="e">
        <f>VLOOKUP(F138,'[12]Sheet 2'!$A:$S,18,0)/VLOOKUP(F138,'[12]Sheet 2'!$A:$U,20,0)</f>
        <v>#N/A</v>
      </c>
      <c r="AU138" s="8" t="e">
        <f t="shared" si="92"/>
        <v>#N/A</v>
      </c>
      <c r="AV138" s="57"/>
      <c r="AW138" s="31"/>
      <c r="AX138" s="31"/>
      <c r="AY138" s="31"/>
      <c r="AZ138" s="31"/>
      <c r="BA138" s="31"/>
      <c r="BB138" s="31"/>
      <c r="BC138" s="31"/>
      <c r="BD138" s="8" t="e">
        <f t="shared" si="93"/>
        <v>#DIV/0!</v>
      </c>
      <c r="BE138" s="8" t="e">
        <f>VLOOKUP(F138,'[13]Sheet 2'!$A:$S,18,0)/VLOOKUP(F138,'[13]Sheet 2'!$A:$U,20,0)</f>
        <v>#N/A</v>
      </c>
      <c r="BF138" s="8" t="e">
        <f t="shared" si="94"/>
        <v>#N/A</v>
      </c>
      <c r="BG138" s="31"/>
      <c r="BH138" s="31"/>
      <c r="BI138" s="31"/>
      <c r="BJ138" s="31"/>
      <c r="BK138" s="31"/>
      <c r="BL138" s="31"/>
      <c r="BM138" s="31"/>
      <c r="BN138" s="31"/>
      <c r="BO138" s="8" t="e">
        <f t="shared" si="95"/>
        <v>#DIV/0!</v>
      </c>
      <c r="BP138" s="8" t="e">
        <f>VLOOKUP(F138,'[14]Sheet 2'!$A:$V,18,0)/VLOOKUP(F138,'[14]Sheet 2'!$A:$V,20,0)</f>
        <v>#N/A</v>
      </c>
      <c r="BQ138" s="8" t="e">
        <f t="shared" si="96"/>
        <v>#N/A</v>
      </c>
      <c r="BR138" s="31"/>
      <c r="BS138" s="31"/>
      <c r="BT138" s="31"/>
      <c r="BU138" s="31"/>
      <c r="BV138" s="31"/>
      <c r="BW138" s="31"/>
      <c r="BX138" s="31"/>
      <c r="BY138" s="31"/>
      <c r="BZ138" s="8" t="e">
        <f t="shared" si="97"/>
        <v>#DIV/0!</v>
      </c>
      <c r="CA138" s="8" t="e">
        <f>VLOOKUP(F138,'[15]Sheet 2'!$A:$S,18,0)/VLOOKUP(F138,'[15]Sheet 2'!$A:$U,20,0)</f>
        <v>#N/A</v>
      </c>
      <c r="CB138" s="8" t="e">
        <f t="shared" si="98"/>
        <v>#N/A</v>
      </c>
      <c r="CC138" s="42">
        <v>35.794889233112599</v>
      </c>
      <c r="CD138" s="42">
        <v>-78.694466693999303</v>
      </c>
      <c r="CE138" s="38">
        <v>28066</v>
      </c>
      <c r="CF138" s="38">
        <v>28285</v>
      </c>
      <c r="CG138" s="39">
        <v>28224</v>
      </c>
      <c r="CH138" s="39">
        <v>28276</v>
      </c>
      <c r="CI138" s="40">
        <f t="shared" si="81"/>
        <v>-59</v>
      </c>
      <c r="CJ138" s="40">
        <f t="shared" si="82"/>
        <v>160</v>
      </c>
      <c r="CK138" s="41">
        <f t="shared" si="83"/>
        <v>220</v>
      </c>
      <c r="CL138" s="40">
        <f t="shared" si="84"/>
        <v>99</v>
      </c>
      <c r="CM138" s="40">
        <f t="shared" si="85"/>
        <v>151</v>
      </c>
      <c r="CN138" s="42">
        <f t="shared" si="86"/>
        <v>53</v>
      </c>
      <c r="CP138" s="47">
        <f t="shared" si="99"/>
        <v>28238</v>
      </c>
      <c r="CQ138" s="42">
        <f t="shared" si="100"/>
        <v>48</v>
      </c>
    </row>
    <row r="139" spans="1:95" s="42" customFormat="1" hidden="1" x14ac:dyDescent="0.3">
      <c r="A139" s="31">
        <v>1</v>
      </c>
      <c r="B139" s="31"/>
      <c r="C139" s="31"/>
      <c r="D139" s="43" t="s">
        <v>234</v>
      </c>
      <c r="E139" s="43" t="s">
        <v>235</v>
      </c>
      <c r="F139" s="34" t="str">
        <f t="shared" si="87"/>
        <v>Heagle1979Coker47-271977OTC</v>
      </c>
      <c r="G139" s="31" t="s">
        <v>236</v>
      </c>
      <c r="H139" s="31" t="s">
        <v>128</v>
      </c>
      <c r="I139" s="31" t="s">
        <v>128</v>
      </c>
      <c r="J139" s="31" t="s">
        <v>237</v>
      </c>
      <c r="K139" s="31" t="s">
        <v>239</v>
      </c>
      <c r="L139" s="31">
        <v>1977</v>
      </c>
      <c r="M139" s="31" t="s">
        <v>95</v>
      </c>
      <c r="N139" s="32" t="s">
        <v>49</v>
      </c>
      <c r="O139" s="31" t="s">
        <v>135</v>
      </c>
      <c r="P139" s="31"/>
      <c r="Q139" s="31">
        <f>(7*S139+5*0.976*S137)/12*U139*12/1000+S137/1.01*(90-U139)*12/1000</f>
        <v>78.994637623762372</v>
      </c>
      <c r="R139" s="31"/>
      <c r="S139" s="31">
        <v>100</v>
      </c>
      <c r="T139" s="31">
        <v>7</v>
      </c>
      <c r="U139" s="31">
        <f t="shared" si="88"/>
        <v>53</v>
      </c>
      <c r="V139" s="31">
        <v>4</v>
      </c>
      <c r="W139" s="31">
        <v>36.707799999999999</v>
      </c>
      <c r="X139" s="39">
        <v>28224</v>
      </c>
      <c r="Y139" s="39">
        <v>28276</v>
      </c>
      <c r="Z139" s="31">
        <v>3.82</v>
      </c>
      <c r="AA139" s="31"/>
      <c r="AB139" s="31"/>
      <c r="AC139" s="31"/>
      <c r="AD139" s="31">
        <v>5.09</v>
      </c>
      <c r="AE139" s="31"/>
      <c r="AF139" s="31"/>
      <c r="AG139" s="31"/>
      <c r="AH139" s="8">
        <f t="shared" si="89"/>
        <v>-0.24950884086444008</v>
      </c>
      <c r="AI139" s="8">
        <f>VLOOKUP(F139,'[11]Sheet 2'!$A:$S,18,0)/VLOOKUP(F139,'[11]Sheet 2'!$A:$U,20,0)</f>
        <v>6.18632071035465</v>
      </c>
      <c r="AJ139" s="8">
        <f t="shared" si="90"/>
        <v>-0.38250857353610973</v>
      </c>
      <c r="AK139" s="31"/>
      <c r="AL139" s="32"/>
      <c r="AM139" s="31"/>
      <c r="AN139" s="31"/>
      <c r="AO139" s="31"/>
      <c r="AP139" s="31"/>
      <c r="AQ139" s="31"/>
      <c r="AR139" s="31"/>
      <c r="AS139" s="8" t="e">
        <f t="shared" si="91"/>
        <v>#DIV/0!</v>
      </c>
      <c r="AT139" s="8" t="e">
        <f>VLOOKUP(F139,'[12]Sheet 2'!$A:$S,18,0)/VLOOKUP(F139,'[12]Sheet 2'!$A:$U,20,0)</f>
        <v>#N/A</v>
      </c>
      <c r="AU139" s="8" t="e">
        <f t="shared" si="92"/>
        <v>#N/A</v>
      </c>
      <c r="AV139" s="57"/>
      <c r="AW139" s="31"/>
      <c r="AX139" s="31"/>
      <c r="AY139" s="31"/>
      <c r="AZ139" s="31"/>
      <c r="BA139" s="31"/>
      <c r="BB139" s="31"/>
      <c r="BC139" s="31"/>
      <c r="BD139" s="8" t="e">
        <f t="shared" si="93"/>
        <v>#DIV/0!</v>
      </c>
      <c r="BE139" s="8" t="e">
        <f>VLOOKUP(F139,'[13]Sheet 2'!$A:$S,18,0)/VLOOKUP(F139,'[13]Sheet 2'!$A:$U,20,0)</f>
        <v>#N/A</v>
      </c>
      <c r="BF139" s="8" t="e">
        <f t="shared" si="94"/>
        <v>#N/A</v>
      </c>
      <c r="BG139" s="31"/>
      <c r="BH139" s="31"/>
      <c r="BI139" s="31"/>
      <c r="BJ139" s="31"/>
      <c r="BK139" s="31"/>
      <c r="BL139" s="31"/>
      <c r="BM139" s="31"/>
      <c r="BN139" s="31"/>
      <c r="BO139" s="8" t="e">
        <f t="shared" si="95"/>
        <v>#DIV/0!</v>
      </c>
      <c r="BP139" s="8" t="e">
        <f>VLOOKUP(F139,'[14]Sheet 2'!$A:$V,18,0)/VLOOKUP(F139,'[14]Sheet 2'!$A:$V,20,0)</f>
        <v>#N/A</v>
      </c>
      <c r="BQ139" s="8" t="e">
        <f t="shared" si="96"/>
        <v>#N/A</v>
      </c>
      <c r="BR139" s="31"/>
      <c r="BS139" s="31"/>
      <c r="BT139" s="31"/>
      <c r="BU139" s="31"/>
      <c r="BV139" s="31"/>
      <c r="BW139" s="31"/>
      <c r="BX139" s="31"/>
      <c r="BY139" s="31"/>
      <c r="BZ139" s="8" t="e">
        <f t="shared" si="97"/>
        <v>#DIV/0!</v>
      </c>
      <c r="CA139" s="8" t="e">
        <f>VLOOKUP(F139,'[15]Sheet 2'!$A:$S,18,0)/VLOOKUP(F139,'[15]Sheet 2'!$A:$U,20,0)</f>
        <v>#N/A</v>
      </c>
      <c r="CB139" s="8" t="e">
        <f t="shared" si="98"/>
        <v>#N/A</v>
      </c>
      <c r="CC139" s="42">
        <v>35.794889233112599</v>
      </c>
      <c r="CD139" s="42">
        <v>-78.694466693999303</v>
      </c>
      <c r="CE139" s="38">
        <v>28066</v>
      </c>
      <c r="CF139" s="38">
        <v>28285</v>
      </c>
      <c r="CG139" s="39">
        <v>28224</v>
      </c>
      <c r="CH139" s="39">
        <v>28276</v>
      </c>
      <c r="CI139" s="40">
        <f t="shared" si="81"/>
        <v>-59</v>
      </c>
      <c r="CJ139" s="40">
        <f t="shared" si="82"/>
        <v>160</v>
      </c>
      <c r="CK139" s="41">
        <f t="shared" si="83"/>
        <v>220</v>
      </c>
      <c r="CL139" s="40">
        <f t="shared" si="84"/>
        <v>99</v>
      </c>
      <c r="CM139" s="40">
        <f t="shared" si="85"/>
        <v>151</v>
      </c>
      <c r="CN139" s="42">
        <f t="shared" si="86"/>
        <v>53</v>
      </c>
      <c r="CP139" s="47">
        <f t="shared" si="99"/>
        <v>28238</v>
      </c>
      <c r="CQ139" s="42">
        <f t="shared" si="100"/>
        <v>48</v>
      </c>
    </row>
    <row r="140" spans="1:95" s="42" customFormat="1" hidden="1" x14ac:dyDescent="0.3">
      <c r="A140" s="31">
        <v>1</v>
      </c>
      <c r="B140" s="31"/>
      <c r="C140" s="31"/>
      <c r="D140" s="43" t="s">
        <v>234</v>
      </c>
      <c r="E140" s="43" t="s">
        <v>235</v>
      </c>
      <c r="F140" s="34" t="str">
        <f t="shared" si="87"/>
        <v>Heagle1979Coker47-271977OTC</v>
      </c>
      <c r="G140" s="31" t="s">
        <v>236</v>
      </c>
      <c r="H140" s="31" t="s">
        <v>128</v>
      </c>
      <c r="I140" s="31" t="s">
        <v>128</v>
      </c>
      <c r="J140" s="31" t="s">
        <v>237</v>
      </c>
      <c r="K140" s="31" t="s">
        <v>239</v>
      </c>
      <c r="L140" s="31">
        <v>1977</v>
      </c>
      <c r="M140" s="31" t="s">
        <v>95</v>
      </c>
      <c r="N140" s="32" t="s">
        <v>49</v>
      </c>
      <c r="O140" s="31" t="s">
        <v>136</v>
      </c>
      <c r="P140" s="31"/>
      <c r="Q140" s="31">
        <f>(7*S140+5*0.976*S137)/12*U140*12/1000+S137/1.01*(90-U140)*12/1000</f>
        <v>90.124637623762382</v>
      </c>
      <c r="R140" s="31"/>
      <c r="S140" s="31">
        <v>130</v>
      </c>
      <c r="T140" s="31">
        <v>7</v>
      </c>
      <c r="U140" s="31">
        <f t="shared" si="88"/>
        <v>53</v>
      </c>
      <c r="V140" s="31">
        <v>4</v>
      </c>
      <c r="W140" s="31">
        <v>47.635179999999998</v>
      </c>
      <c r="X140" s="39">
        <v>28224</v>
      </c>
      <c r="Y140" s="39">
        <v>28276</v>
      </c>
      <c r="Z140" s="31">
        <v>2.91</v>
      </c>
      <c r="AA140" s="31"/>
      <c r="AB140" s="31"/>
      <c r="AC140" s="31"/>
      <c r="AD140" s="31">
        <v>5.09</v>
      </c>
      <c r="AE140" s="31"/>
      <c r="AF140" s="31"/>
      <c r="AG140" s="31"/>
      <c r="AH140" s="8">
        <f t="shared" si="89"/>
        <v>-0.42829076620825141</v>
      </c>
      <c r="AI140" s="8">
        <f>VLOOKUP(F140,'[11]Sheet 2'!$A:$S,18,0)/VLOOKUP(F140,'[11]Sheet 2'!$A:$U,20,0)</f>
        <v>6.18632071035465</v>
      </c>
      <c r="AJ140" s="8">
        <f t="shared" si="90"/>
        <v>-0.52960731648954951</v>
      </c>
      <c r="AK140" s="31"/>
      <c r="AL140" s="32"/>
      <c r="AM140" s="31"/>
      <c r="AN140" s="31"/>
      <c r="AO140" s="31"/>
      <c r="AP140" s="31"/>
      <c r="AQ140" s="31"/>
      <c r="AR140" s="31"/>
      <c r="AS140" s="8" t="e">
        <f t="shared" si="91"/>
        <v>#DIV/0!</v>
      </c>
      <c r="AT140" s="8" t="e">
        <f>VLOOKUP(F140,'[12]Sheet 2'!$A:$S,18,0)/VLOOKUP(F140,'[12]Sheet 2'!$A:$U,20,0)</f>
        <v>#N/A</v>
      </c>
      <c r="AU140" s="8" t="e">
        <f t="shared" si="92"/>
        <v>#N/A</v>
      </c>
      <c r="AV140" s="57"/>
      <c r="AW140" s="31"/>
      <c r="AX140" s="31"/>
      <c r="AY140" s="31"/>
      <c r="AZ140" s="31"/>
      <c r="BA140" s="31"/>
      <c r="BB140" s="31"/>
      <c r="BC140" s="31"/>
      <c r="BD140" s="8" t="e">
        <f t="shared" si="93"/>
        <v>#DIV/0!</v>
      </c>
      <c r="BE140" s="8" t="e">
        <f>VLOOKUP(F140,'[13]Sheet 2'!$A:$S,18,0)/VLOOKUP(F140,'[13]Sheet 2'!$A:$U,20,0)</f>
        <v>#N/A</v>
      </c>
      <c r="BF140" s="8" t="e">
        <f t="shared" si="94"/>
        <v>#N/A</v>
      </c>
      <c r="BG140" s="31"/>
      <c r="BH140" s="31"/>
      <c r="BI140" s="31"/>
      <c r="BJ140" s="31"/>
      <c r="BK140" s="31"/>
      <c r="BL140" s="31"/>
      <c r="BM140" s="31"/>
      <c r="BN140" s="31"/>
      <c r="BO140" s="8" t="e">
        <f t="shared" si="95"/>
        <v>#DIV/0!</v>
      </c>
      <c r="BP140" s="8" t="e">
        <f>VLOOKUP(F140,'[14]Sheet 2'!$A:$V,18,0)/VLOOKUP(F140,'[14]Sheet 2'!$A:$V,20,0)</f>
        <v>#N/A</v>
      </c>
      <c r="BQ140" s="8" t="e">
        <f t="shared" si="96"/>
        <v>#N/A</v>
      </c>
      <c r="BR140" s="31"/>
      <c r="BS140" s="31"/>
      <c r="BT140" s="31"/>
      <c r="BU140" s="31"/>
      <c r="BV140" s="31"/>
      <c r="BW140" s="31"/>
      <c r="BX140" s="31"/>
      <c r="BY140" s="31"/>
      <c r="BZ140" s="8" t="e">
        <f t="shared" si="97"/>
        <v>#DIV/0!</v>
      </c>
      <c r="CA140" s="8" t="e">
        <f>VLOOKUP(F140,'[15]Sheet 2'!$A:$S,18,0)/VLOOKUP(F140,'[15]Sheet 2'!$A:$U,20,0)</f>
        <v>#N/A</v>
      </c>
      <c r="CB140" s="8" t="e">
        <f t="shared" si="98"/>
        <v>#N/A</v>
      </c>
      <c r="CC140" s="42">
        <v>35.794889233112599</v>
      </c>
      <c r="CD140" s="42">
        <v>-78.694466693999303</v>
      </c>
      <c r="CE140" s="38">
        <v>28066</v>
      </c>
      <c r="CF140" s="38">
        <v>28285</v>
      </c>
      <c r="CG140" s="39">
        <v>28224</v>
      </c>
      <c r="CH140" s="39">
        <v>28276</v>
      </c>
      <c r="CI140" s="40">
        <f t="shared" si="81"/>
        <v>-59</v>
      </c>
      <c r="CJ140" s="40">
        <f t="shared" si="82"/>
        <v>160</v>
      </c>
      <c r="CK140" s="41">
        <f t="shared" si="83"/>
        <v>220</v>
      </c>
      <c r="CL140" s="40">
        <f t="shared" si="84"/>
        <v>99</v>
      </c>
      <c r="CM140" s="40">
        <f t="shared" si="85"/>
        <v>151</v>
      </c>
      <c r="CN140" s="42">
        <f t="shared" si="86"/>
        <v>53</v>
      </c>
      <c r="CP140" s="47">
        <f t="shared" si="99"/>
        <v>28238</v>
      </c>
      <c r="CQ140" s="42">
        <f t="shared" si="100"/>
        <v>48</v>
      </c>
    </row>
    <row r="141" spans="1:95" s="19" customFormat="1" hidden="1" x14ac:dyDescent="0.3">
      <c r="A141" s="3">
        <v>1</v>
      </c>
      <c r="B141" s="3"/>
      <c r="C141" s="3"/>
      <c r="D141" s="9" t="s">
        <v>234</v>
      </c>
      <c r="E141" s="9" t="s">
        <v>235</v>
      </c>
      <c r="F141" s="6" t="str">
        <f t="shared" si="87"/>
        <v>Heagle1979Holly1977OTC</v>
      </c>
      <c r="G141" s="3" t="s">
        <v>236</v>
      </c>
      <c r="H141" s="3" t="s">
        <v>128</v>
      </c>
      <c r="I141" s="3" t="s">
        <v>128</v>
      </c>
      <c r="J141" s="3" t="s">
        <v>237</v>
      </c>
      <c r="K141" s="3" t="s">
        <v>240</v>
      </c>
      <c r="L141" s="3">
        <v>1977</v>
      </c>
      <c r="M141" s="3" t="s">
        <v>95</v>
      </c>
      <c r="N141" s="4" t="s">
        <v>49</v>
      </c>
      <c r="O141" s="3" t="s">
        <v>130</v>
      </c>
      <c r="P141" s="32" t="s">
        <v>267</v>
      </c>
      <c r="Q141" s="3">
        <f>(7*S141+5*0.976*S141)/12*U141*12/1000+S142/1.01*(90-U141)*12/1000</f>
        <v>45.265437623762374</v>
      </c>
      <c r="R141" s="3"/>
      <c r="S141" s="3">
        <v>30</v>
      </c>
      <c r="T141" s="3">
        <v>7</v>
      </c>
      <c r="U141" s="3">
        <f t="shared" si="88"/>
        <v>53</v>
      </c>
      <c r="V141" s="3">
        <v>4</v>
      </c>
      <c r="W141" s="3">
        <v>6.4205589999999999</v>
      </c>
      <c r="X141" s="18">
        <v>28224</v>
      </c>
      <c r="Y141" s="18">
        <v>28276</v>
      </c>
      <c r="Z141" s="3">
        <v>4.95</v>
      </c>
      <c r="AA141" s="3"/>
      <c r="AB141" s="3"/>
      <c r="AC141" s="3"/>
      <c r="AD141" s="3">
        <v>4.95</v>
      </c>
      <c r="AE141" s="3"/>
      <c r="AF141" s="3"/>
      <c r="AG141" s="3"/>
      <c r="AH141" s="8">
        <f t="shared" si="89"/>
        <v>0</v>
      </c>
      <c r="AI141" s="8">
        <f>VLOOKUP(F141,'[11]Sheet 2'!$A:$S,18,0)/VLOOKUP(F141,'[11]Sheet 2'!$A:$U,20,0)</f>
        <v>6.7052061945661086</v>
      </c>
      <c r="AJ141" s="8">
        <f t="shared" si="90"/>
        <v>-0.26176766882851799</v>
      </c>
      <c r="AK141" s="3"/>
      <c r="AL141" s="4"/>
      <c r="AM141" s="3"/>
      <c r="AN141" s="3"/>
      <c r="AO141" s="3"/>
      <c r="AP141" s="3"/>
      <c r="AQ141" s="3"/>
      <c r="AR141" s="3"/>
      <c r="AS141" s="8" t="e">
        <f t="shared" si="91"/>
        <v>#DIV/0!</v>
      </c>
      <c r="AT141" s="8" t="e">
        <f>VLOOKUP(F141,'[12]Sheet 2'!$A:$S,18,0)/VLOOKUP(F141,'[12]Sheet 2'!$A:$U,20,0)</f>
        <v>#N/A</v>
      </c>
      <c r="AU141" s="8" t="e">
        <f t="shared" si="92"/>
        <v>#N/A</v>
      </c>
      <c r="AV141" s="57"/>
      <c r="AW141" s="3"/>
      <c r="AX141" s="3"/>
      <c r="AY141" s="3"/>
      <c r="AZ141" s="3"/>
      <c r="BA141" s="3"/>
      <c r="BB141" s="3"/>
      <c r="BC141" s="3"/>
      <c r="BD141" s="8" t="e">
        <f t="shared" si="93"/>
        <v>#DIV/0!</v>
      </c>
      <c r="BE141" s="8" t="e">
        <f>VLOOKUP(F141,'[13]Sheet 2'!$A:$S,18,0)/VLOOKUP(F141,'[13]Sheet 2'!$A:$U,20,0)</f>
        <v>#N/A</v>
      </c>
      <c r="BF141" s="8" t="e">
        <f t="shared" si="94"/>
        <v>#N/A</v>
      </c>
      <c r="BG141" s="3"/>
      <c r="BH141" s="3"/>
      <c r="BI141" s="3"/>
      <c r="BJ141" s="3"/>
      <c r="BK141" s="3"/>
      <c r="BL141" s="3"/>
      <c r="BM141" s="3"/>
      <c r="BN141" s="3"/>
      <c r="BO141" s="8" t="e">
        <f t="shared" si="95"/>
        <v>#DIV/0!</v>
      </c>
      <c r="BP141" s="8" t="e">
        <f>VLOOKUP(F141,'[14]Sheet 2'!$A:$V,18,0)/VLOOKUP(F141,'[14]Sheet 2'!$A:$V,20,0)</f>
        <v>#N/A</v>
      </c>
      <c r="BQ141" s="8" t="e">
        <f t="shared" si="96"/>
        <v>#N/A</v>
      </c>
      <c r="BR141" s="3"/>
      <c r="BS141" s="3"/>
      <c r="BT141" s="3"/>
      <c r="BU141" s="3"/>
      <c r="BV141" s="3"/>
      <c r="BW141" s="3"/>
      <c r="BX141" s="3"/>
      <c r="BY141" s="3"/>
      <c r="BZ141" s="8" t="e">
        <f t="shared" si="97"/>
        <v>#DIV/0!</v>
      </c>
      <c r="CA141" s="8" t="e">
        <f>VLOOKUP(F141,'[15]Sheet 2'!$A:$S,18,0)/VLOOKUP(F141,'[15]Sheet 2'!$A:$U,20,0)</f>
        <v>#N/A</v>
      </c>
      <c r="CB141" s="8" t="e">
        <f t="shared" si="98"/>
        <v>#N/A</v>
      </c>
      <c r="CC141" s="19">
        <v>35.794889233112599</v>
      </c>
      <c r="CD141" s="19">
        <v>-78.694466693999303</v>
      </c>
      <c r="CE141" s="20">
        <v>28066</v>
      </c>
      <c r="CF141" s="20">
        <v>28285</v>
      </c>
      <c r="CG141" s="18">
        <v>28224</v>
      </c>
      <c r="CH141" s="18">
        <v>28276</v>
      </c>
      <c r="CI141" s="21">
        <f t="shared" si="81"/>
        <v>-59</v>
      </c>
      <c r="CJ141" s="21">
        <f t="shared" si="82"/>
        <v>160</v>
      </c>
      <c r="CK141" s="30">
        <f t="shared" si="83"/>
        <v>220</v>
      </c>
      <c r="CL141" s="21">
        <f t="shared" si="84"/>
        <v>99</v>
      </c>
      <c r="CM141" s="21">
        <f t="shared" si="85"/>
        <v>151</v>
      </c>
      <c r="CN141" s="19">
        <f t="shared" si="86"/>
        <v>53</v>
      </c>
      <c r="CP141" s="29">
        <f t="shared" si="99"/>
        <v>28238</v>
      </c>
      <c r="CQ141" s="19">
        <f t="shared" si="100"/>
        <v>48</v>
      </c>
    </row>
    <row r="142" spans="1:95" s="19" customFormat="1" hidden="1" x14ac:dyDescent="0.3">
      <c r="A142" s="3">
        <v>1</v>
      </c>
      <c r="B142" s="3"/>
      <c r="C142" s="3"/>
      <c r="D142" s="9" t="s">
        <v>234</v>
      </c>
      <c r="E142" s="9" t="s">
        <v>235</v>
      </c>
      <c r="F142" s="6" t="str">
        <f t="shared" si="87"/>
        <v>Heagle1979Holly1977OTC</v>
      </c>
      <c r="G142" s="3" t="s">
        <v>236</v>
      </c>
      <c r="H142" s="3" t="s">
        <v>128</v>
      </c>
      <c r="I142" s="3" t="s">
        <v>128</v>
      </c>
      <c r="J142" s="3" t="s">
        <v>237</v>
      </c>
      <c r="K142" s="3" t="s">
        <v>240</v>
      </c>
      <c r="L142" s="3">
        <v>1977</v>
      </c>
      <c r="M142" s="3" t="s">
        <v>95</v>
      </c>
      <c r="N142" s="4" t="s">
        <v>49</v>
      </c>
      <c r="O142" s="3" t="s">
        <v>72</v>
      </c>
      <c r="P142" s="3"/>
      <c r="Q142" s="4">
        <f>S142/1.01*1.08</f>
        <v>64.158415841584173</v>
      </c>
      <c r="R142" s="3"/>
      <c r="S142" s="3">
        <v>60</v>
      </c>
      <c r="T142" s="3">
        <v>7</v>
      </c>
      <c r="U142" s="3">
        <f t="shared" si="88"/>
        <v>53</v>
      </c>
      <c r="V142" s="3">
        <v>4</v>
      </c>
      <c r="W142" s="3">
        <v>22.414709999999999</v>
      </c>
      <c r="X142" s="18">
        <v>28224</v>
      </c>
      <c r="Y142" s="18">
        <v>28276</v>
      </c>
      <c r="Z142" s="3"/>
      <c r="AA142" s="3"/>
      <c r="AB142" s="3"/>
      <c r="AC142" s="3"/>
      <c r="AD142" s="3"/>
      <c r="AE142" s="3"/>
      <c r="AF142" s="3"/>
      <c r="AG142" s="3"/>
      <c r="AH142" s="8" t="e">
        <f t="shared" si="89"/>
        <v>#DIV/0!</v>
      </c>
      <c r="AI142" s="8">
        <f>VLOOKUP(F142,'[11]Sheet 2'!$A:$S,18,0)/VLOOKUP(F142,'[11]Sheet 2'!$A:$U,20,0)</f>
        <v>6.7052061945661086</v>
      </c>
      <c r="AJ142" s="8"/>
      <c r="AK142" s="3"/>
      <c r="AL142" s="4"/>
      <c r="AM142" s="3"/>
      <c r="AN142" s="3"/>
      <c r="AO142" s="3"/>
      <c r="AP142" s="3"/>
      <c r="AQ142" s="3"/>
      <c r="AR142" s="3"/>
      <c r="AS142" s="8" t="e">
        <f t="shared" si="91"/>
        <v>#DIV/0!</v>
      </c>
      <c r="AT142" s="8" t="e">
        <f>VLOOKUP(F142,'[12]Sheet 2'!$A:$S,18,0)/VLOOKUP(F142,'[12]Sheet 2'!$A:$U,20,0)</f>
        <v>#N/A</v>
      </c>
      <c r="AU142" s="8" t="e">
        <f t="shared" si="92"/>
        <v>#N/A</v>
      </c>
      <c r="AV142" s="57"/>
      <c r="AW142" s="3"/>
      <c r="AX142" s="3"/>
      <c r="AY142" s="3"/>
      <c r="AZ142" s="3"/>
      <c r="BA142" s="3"/>
      <c r="BB142" s="3"/>
      <c r="BC142" s="3"/>
      <c r="BD142" s="8" t="e">
        <f t="shared" si="93"/>
        <v>#DIV/0!</v>
      </c>
      <c r="BE142" s="8" t="e">
        <f>VLOOKUP(F142,'[13]Sheet 2'!$A:$S,18,0)/VLOOKUP(F142,'[13]Sheet 2'!$A:$U,20,0)</f>
        <v>#N/A</v>
      </c>
      <c r="BF142" s="8" t="e">
        <f t="shared" si="94"/>
        <v>#N/A</v>
      </c>
      <c r="BG142" s="3"/>
      <c r="BH142" s="3"/>
      <c r="BI142" s="3"/>
      <c r="BJ142" s="3"/>
      <c r="BK142" s="3"/>
      <c r="BL142" s="3"/>
      <c r="BM142" s="3"/>
      <c r="BN142" s="3"/>
      <c r="BO142" s="8" t="e">
        <f t="shared" si="95"/>
        <v>#DIV/0!</v>
      </c>
      <c r="BP142" s="8" t="e">
        <f>VLOOKUP(F142,'[14]Sheet 2'!$A:$V,18,0)/VLOOKUP(F142,'[14]Sheet 2'!$A:$V,20,0)</f>
        <v>#N/A</v>
      </c>
      <c r="BQ142" s="8" t="e">
        <f t="shared" si="96"/>
        <v>#N/A</v>
      </c>
      <c r="BR142" s="3"/>
      <c r="BS142" s="3"/>
      <c r="BT142" s="3"/>
      <c r="BU142" s="3"/>
      <c r="BV142" s="3"/>
      <c r="BW142" s="3"/>
      <c r="BX142" s="3"/>
      <c r="BY142" s="3"/>
      <c r="BZ142" s="8" t="e">
        <f t="shared" si="97"/>
        <v>#DIV/0!</v>
      </c>
      <c r="CA142" s="8" t="e">
        <f>VLOOKUP(F142,'[15]Sheet 2'!$A:$S,18,0)/VLOOKUP(F142,'[15]Sheet 2'!$A:$U,20,0)</f>
        <v>#N/A</v>
      </c>
      <c r="CB142" s="8" t="e">
        <f t="shared" si="98"/>
        <v>#N/A</v>
      </c>
      <c r="CC142" s="19">
        <v>35.794889233112599</v>
      </c>
      <c r="CD142" s="19">
        <v>-78.694466693999303</v>
      </c>
      <c r="CE142" s="20">
        <v>28066</v>
      </c>
      <c r="CF142" s="20">
        <v>28285</v>
      </c>
      <c r="CG142" s="18">
        <v>28224</v>
      </c>
      <c r="CH142" s="18">
        <v>28276</v>
      </c>
      <c r="CI142" s="21">
        <f t="shared" si="81"/>
        <v>-59</v>
      </c>
      <c r="CJ142" s="21">
        <f t="shared" si="82"/>
        <v>160</v>
      </c>
      <c r="CK142" s="30">
        <f t="shared" si="83"/>
        <v>220</v>
      </c>
      <c r="CL142" s="21">
        <f t="shared" si="84"/>
        <v>99</v>
      </c>
      <c r="CM142" s="21">
        <f t="shared" si="85"/>
        <v>151</v>
      </c>
      <c r="CN142" s="19">
        <f t="shared" si="86"/>
        <v>53</v>
      </c>
      <c r="CP142" s="29">
        <f t="shared" si="99"/>
        <v>28238</v>
      </c>
      <c r="CQ142" s="19">
        <f t="shared" si="100"/>
        <v>48</v>
      </c>
    </row>
    <row r="143" spans="1:95" s="19" customFormat="1" hidden="1" x14ac:dyDescent="0.3">
      <c r="A143" s="3">
        <v>1</v>
      </c>
      <c r="B143" s="3"/>
      <c r="C143" s="3"/>
      <c r="D143" s="9" t="s">
        <v>234</v>
      </c>
      <c r="E143" s="9" t="s">
        <v>235</v>
      </c>
      <c r="F143" s="6" t="str">
        <f t="shared" si="87"/>
        <v>Heagle1979Holly1977OTC</v>
      </c>
      <c r="G143" s="3" t="s">
        <v>236</v>
      </c>
      <c r="H143" s="3" t="s">
        <v>128</v>
      </c>
      <c r="I143" s="3" t="s">
        <v>128</v>
      </c>
      <c r="J143" s="3" t="s">
        <v>237</v>
      </c>
      <c r="K143" s="3" t="s">
        <v>240</v>
      </c>
      <c r="L143" s="3">
        <v>1977</v>
      </c>
      <c r="M143" s="3" t="s">
        <v>95</v>
      </c>
      <c r="N143" s="4" t="s">
        <v>49</v>
      </c>
      <c r="O143" s="3" t="s">
        <v>101</v>
      </c>
      <c r="P143" s="3"/>
      <c r="Q143" s="3">
        <f>(7*S143+5*0.976*S142)/12*U143*12/1000+S142/1.01*(90-U143)*12/1000</f>
        <v>64.154637623762369</v>
      </c>
      <c r="R143" s="3"/>
      <c r="S143" s="3">
        <v>60</v>
      </c>
      <c r="T143" s="3">
        <v>7</v>
      </c>
      <c r="U143" s="3">
        <f t="shared" si="88"/>
        <v>53</v>
      </c>
      <c r="V143" s="3">
        <v>4</v>
      </c>
      <c r="W143" s="3">
        <v>22.414709999999999</v>
      </c>
      <c r="X143" s="18">
        <v>28224</v>
      </c>
      <c r="Y143" s="18">
        <v>28276</v>
      </c>
      <c r="Z143" s="3">
        <v>4.91</v>
      </c>
      <c r="AA143" s="3"/>
      <c r="AB143" s="3"/>
      <c r="AC143" s="3"/>
      <c r="AD143" s="3">
        <v>4.95</v>
      </c>
      <c r="AE143" s="3"/>
      <c r="AF143" s="3"/>
      <c r="AG143" s="3"/>
      <c r="AH143" s="8">
        <f t="shared" si="89"/>
        <v>-8.0808080808080877E-3</v>
      </c>
      <c r="AI143" s="8">
        <f>VLOOKUP(F143,'[11]Sheet 2'!$A:$S,18,0)/VLOOKUP(F143,'[11]Sheet 2'!$A:$U,20,0)</f>
        <v>6.7052061945661086</v>
      </c>
      <c r="AJ143" s="8">
        <f t="shared" si="90"/>
        <v>-0.26773318261576229</v>
      </c>
      <c r="AK143" s="3"/>
      <c r="AL143" s="4"/>
      <c r="AM143" s="3"/>
      <c r="AN143" s="3"/>
      <c r="AO143" s="3"/>
      <c r="AP143" s="3"/>
      <c r="AQ143" s="3"/>
      <c r="AR143" s="3"/>
      <c r="AS143" s="8" t="e">
        <f t="shared" si="91"/>
        <v>#DIV/0!</v>
      </c>
      <c r="AT143" s="8" t="e">
        <f>VLOOKUP(F143,'[12]Sheet 2'!$A:$S,18,0)/VLOOKUP(F143,'[12]Sheet 2'!$A:$U,20,0)</f>
        <v>#N/A</v>
      </c>
      <c r="AU143" s="8" t="e">
        <f t="shared" si="92"/>
        <v>#N/A</v>
      </c>
      <c r="AV143" s="57"/>
      <c r="AW143" s="3"/>
      <c r="AX143" s="3"/>
      <c r="AY143" s="3"/>
      <c r="AZ143" s="3"/>
      <c r="BA143" s="3"/>
      <c r="BB143" s="3"/>
      <c r="BC143" s="3"/>
      <c r="BD143" s="8" t="e">
        <f t="shared" si="93"/>
        <v>#DIV/0!</v>
      </c>
      <c r="BE143" s="8" t="e">
        <f>VLOOKUP(F143,'[13]Sheet 2'!$A:$S,18,0)/VLOOKUP(F143,'[13]Sheet 2'!$A:$U,20,0)</f>
        <v>#N/A</v>
      </c>
      <c r="BF143" s="8" t="e">
        <f t="shared" si="94"/>
        <v>#N/A</v>
      </c>
      <c r="BG143" s="3"/>
      <c r="BH143" s="3"/>
      <c r="BI143" s="3"/>
      <c r="BJ143" s="3"/>
      <c r="BK143" s="3"/>
      <c r="BL143" s="3"/>
      <c r="BM143" s="3"/>
      <c r="BN143" s="3"/>
      <c r="BO143" s="8" t="e">
        <f t="shared" si="95"/>
        <v>#DIV/0!</v>
      </c>
      <c r="BP143" s="8" t="e">
        <f>VLOOKUP(F143,'[14]Sheet 2'!$A:$V,18,0)/VLOOKUP(F143,'[14]Sheet 2'!$A:$V,20,0)</f>
        <v>#N/A</v>
      </c>
      <c r="BQ143" s="8" t="e">
        <f t="shared" si="96"/>
        <v>#N/A</v>
      </c>
      <c r="BR143" s="3"/>
      <c r="BS143" s="3"/>
      <c r="BT143" s="3"/>
      <c r="BU143" s="3"/>
      <c r="BV143" s="3"/>
      <c r="BW143" s="3"/>
      <c r="BX143" s="3"/>
      <c r="BY143" s="3"/>
      <c r="BZ143" s="8" t="e">
        <f t="shared" si="97"/>
        <v>#DIV/0!</v>
      </c>
      <c r="CA143" s="8" t="e">
        <f>VLOOKUP(F143,'[15]Sheet 2'!$A:$S,18,0)/VLOOKUP(F143,'[15]Sheet 2'!$A:$U,20,0)</f>
        <v>#N/A</v>
      </c>
      <c r="CB143" s="8" t="e">
        <f t="shared" si="98"/>
        <v>#N/A</v>
      </c>
      <c r="CC143" s="19">
        <v>35.794889233112599</v>
      </c>
      <c r="CD143" s="19">
        <v>-78.694466693999303</v>
      </c>
      <c r="CE143" s="20">
        <v>28066</v>
      </c>
      <c r="CF143" s="20">
        <v>28285</v>
      </c>
      <c r="CG143" s="18">
        <v>28224</v>
      </c>
      <c r="CH143" s="18">
        <v>28276</v>
      </c>
      <c r="CI143" s="21">
        <f t="shared" si="81"/>
        <v>-59</v>
      </c>
      <c r="CJ143" s="21">
        <f t="shared" si="82"/>
        <v>160</v>
      </c>
      <c r="CK143" s="30">
        <f t="shared" si="83"/>
        <v>220</v>
      </c>
      <c r="CL143" s="21">
        <f t="shared" si="84"/>
        <v>99</v>
      </c>
      <c r="CM143" s="21">
        <f t="shared" si="85"/>
        <v>151</v>
      </c>
      <c r="CN143" s="19">
        <f t="shared" si="86"/>
        <v>53</v>
      </c>
      <c r="CP143" s="29">
        <f t="shared" si="99"/>
        <v>28238</v>
      </c>
      <c r="CQ143" s="19">
        <f t="shared" si="100"/>
        <v>48</v>
      </c>
    </row>
    <row r="144" spans="1:95" s="19" customFormat="1" hidden="1" x14ac:dyDescent="0.3">
      <c r="A144" s="3">
        <v>1</v>
      </c>
      <c r="B144" s="3"/>
      <c r="C144" s="3"/>
      <c r="D144" s="9" t="s">
        <v>234</v>
      </c>
      <c r="E144" s="9" t="s">
        <v>235</v>
      </c>
      <c r="F144" s="6" t="str">
        <f t="shared" si="87"/>
        <v>Heagle1979Holly1977OTC</v>
      </c>
      <c r="G144" s="3" t="s">
        <v>236</v>
      </c>
      <c r="H144" s="3" t="s">
        <v>128</v>
      </c>
      <c r="I144" s="3" t="s">
        <v>128</v>
      </c>
      <c r="J144" s="3" t="s">
        <v>237</v>
      </c>
      <c r="K144" s="3" t="s">
        <v>240</v>
      </c>
      <c r="L144" s="3">
        <v>1977</v>
      </c>
      <c r="M144" s="3" t="s">
        <v>95</v>
      </c>
      <c r="N144" s="4" t="s">
        <v>49</v>
      </c>
      <c r="O144" s="3" t="s">
        <v>135</v>
      </c>
      <c r="P144" s="3"/>
      <c r="Q144" s="3">
        <f>(7*S144+5*0.976*S142)/12*U144*12/1000+S142/1.01*(90-U144)*12/1000</f>
        <v>78.994637623762372</v>
      </c>
      <c r="R144" s="3"/>
      <c r="S144" s="3">
        <v>100</v>
      </c>
      <c r="T144" s="3">
        <v>7</v>
      </c>
      <c r="U144" s="3">
        <f t="shared" si="88"/>
        <v>53</v>
      </c>
      <c r="V144" s="3">
        <v>4</v>
      </c>
      <c r="W144" s="3">
        <v>36.707799999999999</v>
      </c>
      <c r="X144" s="18">
        <v>28224</v>
      </c>
      <c r="Y144" s="18">
        <v>28276</v>
      </c>
      <c r="Z144" s="3">
        <v>4.43</v>
      </c>
      <c r="AA144" s="3"/>
      <c r="AB144" s="3"/>
      <c r="AC144" s="3"/>
      <c r="AD144" s="3">
        <v>4.95</v>
      </c>
      <c r="AE144" s="3"/>
      <c r="AF144" s="3"/>
      <c r="AG144" s="3"/>
      <c r="AH144" s="8">
        <f t="shared" si="89"/>
        <v>-0.10505050505050514</v>
      </c>
      <c r="AI144" s="8">
        <f>VLOOKUP(F144,'[11]Sheet 2'!$A:$S,18,0)/VLOOKUP(F144,'[11]Sheet 2'!$A:$U,20,0)</f>
        <v>6.7052061945661086</v>
      </c>
      <c r="AJ144" s="8">
        <f t="shared" si="90"/>
        <v>-0.33931934806269393</v>
      </c>
      <c r="AK144" s="3"/>
      <c r="AL144" s="4"/>
      <c r="AM144" s="3"/>
      <c r="AN144" s="3"/>
      <c r="AO144" s="3"/>
      <c r="AP144" s="3"/>
      <c r="AQ144" s="3"/>
      <c r="AR144" s="3"/>
      <c r="AS144" s="8" t="e">
        <f t="shared" si="91"/>
        <v>#DIV/0!</v>
      </c>
      <c r="AT144" s="8" t="e">
        <f>VLOOKUP(F144,'[12]Sheet 2'!$A:$S,18,0)/VLOOKUP(F144,'[12]Sheet 2'!$A:$U,20,0)</f>
        <v>#N/A</v>
      </c>
      <c r="AU144" s="8" t="e">
        <f t="shared" si="92"/>
        <v>#N/A</v>
      </c>
      <c r="AV144" s="57"/>
      <c r="AW144" s="3"/>
      <c r="AX144" s="3"/>
      <c r="AY144" s="3"/>
      <c r="AZ144" s="3"/>
      <c r="BA144" s="3"/>
      <c r="BB144" s="3"/>
      <c r="BC144" s="3"/>
      <c r="BD144" s="8" t="e">
        <f t="shared" si="93"/>
        <v>#DIV/0!</v>
      </c>
      <c r="BE144" s="8" t="e">
        <f>VLOOKUP(F144,'[13]Sheet 2'!$A:$S,18,0)/VLOOKUP(F144,'[13]Sheet 2'!$A:$U,20,0)</f>
        <v>#N/A</v>
      </c>
      <c r="BF144" s="8" t="e">
        <f t="shared" si="94"/>
        <v>#N/A</v>
      </c>
      <c r="BG144" s="3"/>
      <c r="BH144" s="3"/>
      <c r="BI144" s="3"/>
      <c r="BJ144" s="3"/>
      <c r="BK144" s="3"/>
      <c r="BL144" s="3"/>
      <c r="BM144" s="3"/>
      <c r="BN144" s="3"/>
      <c r="BO144" s="8" t="e">
        <f t="shared" si="95"/>
        <v>#DIV/0!</v>
      </c>
      <c r="BP144" s="8" t="e">
        <f>VLOOKUP(F144,'[14]Sheet 2'!$A:$V,18,0)/VLOOKUP(F144,'[14]Sheet 2'!$A:$V,20,0)</f>
        <v>#N/A</v>
      </c>
      <c r="BQ144" s="8" t="e">
        <f t="shared" si="96"/>
        <v>#N/A</v>
      </c>
      <c r="BR144" s="3"/>
      <c r="BS144" s="3"/>
      <c r="BT144" s="3"/>
      <c r="BU144" s="3"/>
      <c r="BV144" s="3"/>
      <c r="BW144" s="3"/>
      <c r="BX144" s="3"/>
      <c r="BY144" s="3"/>
      <c r="BZ144" s="8" t="e">
        <f t="shared" si="97"/>
        <v>#DIV/0!</v>
      </c>
      <c r="CA144" s="8" t="e">
        <f>VLOOKUP(F144,'[15]Sheet 2'!$A:$S,18,0)/VLOOKUP(F144,'[15]Sheet 2'!$A:$U,20,0)</f>
        <v>#N/A</v>
      </c>
      <c r="CB144" s="8" t="e">
        <f t="shared" si="98"/>
        <v>#N/A</v>
      </c>
      <c r="CC144" s="19">
        <v>35.794889233112599</v>
      </c>
      <c r="CD144" s="19">
        <v>-78.694466693999303</v>
      </c>
      <c r="CE144" s="20">
        <v>28066</v>
      </c>
      <c r="CF144" s="20">
        <v>28285</v>
      </c>
      <c r="CG144" s="18">
        <v>28224</v>
      </c>
      <c r="CH144" s="18">
        <v>28276</v>
      </c>
      <c r="CI144" s="21">
        <f t="shared" si="81"/>
        <v>-59</v>
      </c>
      <c r="CJ144" s="21">
        <f t="shared" si="82"/>
        <v>160</v>
      </c>
      <c r="CK144" s="30">
        <f t="shared" si="83"/>
        <v>220</v>
      </c>
      <c r="CL144" s="21">
        <f t="shared" si="84"/>
        <v>99</v>
      </c>
      <c r="CM144" s="21">
        <f t="shared" si="85"/>
        <v>151</v>
      </c>
      <c r="CN144" s="19">
        <f t="shared" si="86"/>
        <v>53</v>
      </c>
      <c r="CP144" s="29">
        <f t="shared" si="99"/>
        <v>28238</v>
      </c>
      <c r="CQ144" s="19">
        <f t="shared" si="100"/>
        <v>48</v>
      </c>
    </row>
    <row r="145" spans="1:95" s="19" customFormat="1" hidden="1" x14ac:dyDescent="0.3">
      <c r="A145" s="3">
        <v>1</v>
      </c>
      <c r="B145" s="3"/>
      <c r="C145" s="3"/>
      <c r="D145" s="9" t="s">
        <v>234</v>
      </c>
      <c r="E145" s="9" t="s">
        <v>235</v>
      </c>
      <c r="F145" s="6" t="str">
        <f t="shared" si="87"/>
        <v>Heagle1979Holly1977OTC</v>
      </c>
      <c r="G145" s="3" t="s">
        <v>236</v>
      </c>
      <c r="H145" s="3" t="s">
        <v>128</v>
      </c>
      <c r="I145" s="3" t="s">
        <v>128</v>
      </c>
      <c r="J145" s="3" t="s">
        <v>237</v>
      </c>
      <c r="K145" s="3" t="s">
        <v>240</v>
      </c>
      <c r="L145" s="3">
        <v>1977</v>
      </c>
      <c r="M145" s="3" t="s">
        <v>95</v>
      </c>
      <c r="N145" s="4" t="s">
        <v>49</v>
      </c>
      <c r="O145" s="3" t="s">
        <v>136</v>
      </c>
      <c r="P145" s="3"/>
      <c r="Q145" s="3">
        <f>(7*S145+5*0.976*S142)/12*U145*12/1000+S142/1.01*(90-U145)*12/1000</f>
        <v>90.124637623762382</v>
      </c>
      <c r="R145" s="3"/>
      <c r="S145" s="3">
        <v>130</v>
      </c>
      <c r="T145" s="3">
        <v>7</v>
      </c>
      <c r="U145" s="3">
        <f t="shared" si="88"/>
        <v>53</v>
      </c>
      <c r="V145" s="3">
        <v>4</v>
      </c>
      <c r="W145" s="3">
        <v>47.635179999999998</v>
      </c>
      <c r="X145" s="18">
        <v>28224</v>
      </c>
      <c r="Y145" s="18">
        <v>28276</v>
      </c>
      <c r="Z145" s="3">
        <v>3.3</v>
      </c>
      <c r="AA145" s="3"/>
      <c r="AB145" s="3"/>
      <c r="AC145" s="3"/>
      <c r="AD145" s="3">
        <v>4.95</v>
      </c>
      <c r="AE145" s="3"/>
      <c r="AF145" s="3"/>
      <c r="AG145" s="3"/>
      <c r="AH145" s="8">
        <f t="shared" si="89"/>
        <v>-0.33333333333333337</v>
      </c>
      <c r="AI145" s="8">
        <f>VLOOKUP(F145,'[11]Sheet 2'!$A:$S,18,0)/VLOOKUP(F145,'[11]Sheet 2'!$A:$U,20,0)</f>
        <v>6.7052061945661086</v>
      </c>
      <c r="AJ145" s="8">
        <f t="shared" si="90"/>
        <v>-0.50784511255234532</v>
      </c>
      <c r="AK145" s="3"/>
      <c r="AL145" s="4"/>
      <c r="AM145" s="3"/>
      <c r="AN145" s="3"/>
      <c r="AO145" s="3"/>
      <c r="AP145" s="3"/>
      <c r="AQ145" s="3"/>
      <c r="AR145" s="3"/>
      <c r="AS145" s="8" t="e">
        <f t="shared" si="91"/>
        <v>#DIV/0!</v>
      </c>
      <c r="AT145" s="8" t="e">
        <f>VLOOKUP(F145,'[12]Sheet 2'!$A:$S,18,0)/VLOOKUP(F145,'[12]Sheet 2'!$A:$U,20,0)</f>
        <v>#N/A</v>
      </c>
      <c r="AU145" s="8" t="e">
        <f t="shared" si="92"/>
        <v>#N/A</v>
      </c>
      <c r="AV145" s="57"/>
      <c r="AW145" s="3"/>
      <c r="AX145" s="3"/>
      <c r="AY145" s="3"/>
      <c r="AZ145" s="3"/>
      <c r="BA145" s="3"/>
      <c r="BB145" s="3"/>
      <c r="BC145" s="3"/>
      <c r="BD145" s="8" t="e">
        <f t="shared" si="93"/>
        <v>#DIV/0!</v>
      </c>
      <c r="BE145" s="8" t="e">
        <f>VLOOKUP(F145,'[13]Sheet 2'!$A:$S,18,0)/VLOOKUP(F145,'[13]Sheet 2'!$A:$U,20,0)</f>
        <v>#N/A</v>
      </c>
      <c r="BF145" s="8" t="e">
        <f t="shared" si="94"/>
        <v>#N/A</v>
      </c>
      <c r="BG145" s="3"/>
      <c r="BH145" s="3"/>
      <c r="BI145" s="3"/>
      <c r="BJ145" s="3"/>
      <c r="BK145" s="3"/>
      <c r="BL145" s="3"/>
      <c r="BM145" s="3"/>
      <c r="BN145" s="3"/>
      <c r="BO145" s="8" t="e">
        <f t="shared" si="95"/>
        <v>#DIV/0!</v>
      </c>
      <c r="BP145" s="8" t="e">
        <f>VLOOKUP(F145,'[14]Sheet 2'!$A:$V,18,0)/VLOOKUP(F145,'[14]Sheet 2'!$A:$V,20,0)</f>
        <v>#N/A</v>
      </c>
      <c r="BQ145" s="8" t="e">
        <f t="shared" si="96"/>
        <v>#N/A</v>
      </c>
      <c r="BR145" s="3"/>
      <c r="BS145" s="3"/>
      <c r="BT145" s="3"/>
      <c r="BU145" s="3"/>
      <c r="BV145" s="3"/>
      <c r="BW145" s="3"/>
      <c r="BX145" s="3"/>
      <c r="BY145" s="3"/>
      <c r="BZ145" s="8" t="e">
        <f t="shared" si="97"/>
        <v>#DIV/0!</v>
      </c>
      <c r="CA145" s="8" t="e">
        <f>VLOOKUP(F145,'[15]Sheet 2'!$A:$S,18,0)/VLOOKUP(F145,'[15]Sheet 2'!$A:$U,20,0)</f>
        <v>#N/A</v>
      </c>
      <c r="CB145" s="8" t="e">
        <f t="shared" si="98"/>
        <v>#N/A</v>
      </c>
      <c r="CC145" s="19">
        <v>35.794889233112599</v>
      </c>
      <c r="CD145" s="19">
        <v>-78.694466693999303</v>
      </c>
      <c r="CE145" s="20">
        <v>28066</v>
      </c>
      <c r="CF145" s="20">
        <v>28285</v>
      </c>
      <c r="CG145" s="18">
        <v>28224</v>
      </c>
      <c r="CH145" s="18">
        <v>28276</v>
      </c>
      <c r="CI145" s="21">
        <f t="shared" si="81"/>
        <v>-59</v>
      </c>
      <c r="CJ145" s="21">
        <f t="shared" si="82"/>
        <v>160</v>
      </c>
      <c r="CK145" s="30">
        <f t="shared" si="83"/>
        <v>220</v>
      </c>
      <c r="CL145" s="21">
        <f t="shared" si="84"/>
        <v>99</v>
      </c>
      <c r="CM145" s="21">
        <f t="shared" si="85"/>
        <v>151</v>
      </c>
      <c r="CN145" s="19">
        <f t="shared" si="86"/>
        <v>53</v>
      </c>
      <c r="CP145" s="29">
        <f t="shared" si="99"/>
        <v>28238</v>
      </c>
      <c r="CQ145" s="19">
        <f t="shared" si="100"/>
        <v>48</v>
      </c>
    </row>
    <row r="146" spans="1:95" s="42" customFormat="1" hidden="1" x14ac:dyDescent="0.3">
      <c r="A146" s="31">
        <v>1</v>
      </c>
      <c r="B146" s="31"/>
      <c r="C146" s="31"/>
      <c r="D146" s="43" t="s">
        <v>234</v>
      </c>
      <c r="E146" s="43" t="s">
        <v>235</v>
      </c>
      <c r="F146" s="34" t="str">
        <f t="shared" si="87"/>
        <v>Heagle1979Oasis1977OTC</v>
      </c>
      <c r="G146" s="31" t="s">
        <v>236</v>
      </c>
      <c r="H146" s="31" t="s">
        <v>128</v>
      </c>
      <c r="I146" s="31" t="s">
        <v>128</v>
      </c>
      <c r="J146" s="31" t="s">
        <v>237</v>
      </c>
      <c r="K146" s="31" t="s">
        <v>241</v>
      </c>
      <c r="L146" s="31">
        <v>1977</v>
      </c>
      <c r="M146" s="31" t="s">
        <v>95</v>
      </c>
      <c r="N146" s="32" t="s">
        <v>49</v>
      </c>
      <c r="O146" s="31" t="s">
        <v>130</v>
      </c>
      <c r="P146" s="32" t="s">
        <v>267</v>
      </c>
      <c r="Q146" s="31">
        <f>(7*S146+5*0.976*S146)/12*U146*12/1000+S147/1.01*(90-U146)*12/1000</f>
        <v>45.265437623762374</v>
      </c>
      <c r="R146" s="31"/>
      <c r="S146" s="31">
        <v>30</v>
      </c>
      <c r="T146" s="31">
        <v>7</v>
      </c>
      <c r="U146" s="31">
        <f t="shared" si="88"/>
        <v>53</v>
      </c>
      <c r="V146" s="31">
        <v>4</v>
      </c>
      <c r="W146" s="31">
        <v>6.4205589999999999</v>
      </c>
      <c r="X146" s="39">
        <v>28224</v>
      </c>
      <c r="Y146" s="39">
        <v>28276</v>
      </c>
      <c r="Z146" s="31">
        <v>4.45</v>
      </c>
      <c r="AA146" s="31"/>
      <c r="AB146" s="31"/>
      <c r="AC146" s="31"/>
      <c r="AD146" s="31">
        <v>4.45</v>
      </c>
      <c r="AE146" s="31"/>
      <c r="AF146" s="31"/>
      <c r="AG146" s="31"/>
      <c r="AH146" s="8">
        <f t="shared" si="89"/>
        <v>0</v>
      </c>
      <c r="AI146" s="8">
        <f>VLOOKUP(F146,'[11]Sheet 2'!$A:$S,18,0)/VLOOKUP(F146,'[11]Sheet 2'!$A:$U,20,0)</f>
        <v>6.1435098602751586</v>
      </c>
      <c r="AJ146" s="8">
        <f t="shared" si="90"/>
        <v>-0.27565836122859394</v>
      </c>
      <c r="AK146" s="31"/>
      <c r="AL146" s="32"/>
      <c r="AM146" s="31"/>
      <c r="AN146" s="31"/>
      <c r="AO146" s="31"/>
      <c r="AP146" s="31"/>
      <c r="AQ146" s="31"/>
      <c r="AR146" s="31"/>
      <c r="AS146" s="8" t="e">
        <f t="shared" si="91"/>
        <v>#DIV/0!</v>
      </c>
      <c r="AT146" s="8" t="e">
        <f>VLOOKUP(F146,'[12]Sheet 2'!$A:$S,18,0)/VLOOKUP(F146,'[12]Sheet 2'!$A:$U,20,0)</f>
        <v>#N/A</v>
      </c>
      <c r="AU146" s="8" t="e">
        <f t="shared" si="92"/>
        <v>#N/A</v>
      </c>
      <c r="AV146" s="57"/>
      <c r="AW146" s="31"/>
      <c r="AX146" s="31"/>
      <c r="AY146" s="31"/>
      <c r="AZ146" s="31"/>
      <c r="BA146" s="31"/>
      <c r="BB146" s="31"/>
      <c r="BC146" s="31"/>
      <c r="BD146" s="8" t="e">
        <f t="shared" si="93"/>
        <v>#DIV/0!</v>
      </c>
      <c r="BE146" s="8" t="e">
        <f>VLOOKUP(F146,'[13]Sheet 2'!$A:$S,18,0)/VLOOKUP(F146,'[13]Sheet 2'!$A:$U,20,0)</f>
        <v>#N/A</v>
      </c>
      <c r="BF146" s="8" t="e">
        <f t="shared" si="94"/>
        <v>#N/A</v>
      </c>
      <c r="BG146" s="31"/>
      <c r="BH146" s="31"/>
      <c r="BI146" s="31"/>
      <c r="BJ146" s="31"/>
      <c r="BK146" s="31"/>
      <c r="BL146" s="31"/>
      <c r="BM146" s="31"/>
      <c r="BN146" s="31"/>
      <c r="BO146" s="8" t="e">
        <f t="shared" si="95"/>
        <v>#DIV/0!</v>
      </c>
      <c r="BP146" s="8" t="e">
        <f>VLOOKUP(F146,'[14]Sheet 2'!$A:$V,18,0)/VLOOKUP(F146,'[14]Sheet 2'!$A:$V,20,0)</f>
        <v>#N/A</v>
      </c>
      <c r="BQ146" s="8" t="e">
        <f t="shared" si="96"/>
        <v>#N/A</v>
      </c>
      <c r="BR146" s="31"/>
      <c r="BS146" s="31"/>
      <c r="BT146" s="31"/>
      <c r="BU146" s="31"/>
      <c r="BV146" s="31"/>
      <c r="BW146" s="31"/>
      <c r="BX146" s="31"/>
      <c r="BY146" s="31"/>
      <c r="BZ146" s="8" t="e">
        <f t="shared" si="97"/>
        <v>#DIV/0!</v>
      </c>
      <c r="CA146" s="8" t="e">
        <f>VLOOKUP(F146,'[15]Sheet 2'!$A:$S,18,0)/VLOOKUP(F146,'[15]Sheet 2'!$A:$U,20,0)</f>
        <v>#N/A</v>
      </c>
      <c r="CB146" s="8" t="e">
        <f t="shared" si="98"/>
        <v>#N/A</v>
      </c>
      <c r="CC146" s="42">
        <v>35.794889233112599</v>
      </c>
      <c r="CD146" s="42">
        <v>-78.694466693999303</v>
      </c>
      <c r="CE146" s="38">
        <v>28066</v>
      </c>
      <c r="CF146" s="38">
        <v>28285</v>
      </c>
      <c r="CG146" s="39">
        <v>28224</v>
      </c>
      <c r="CH146" s="39">
        <v>28276</v>
      </c>
      <c r="CI146" s="40">
        <f t="shared" si="81"/>
        <v>-59</v>
      </c>
      <c r="CJ146" s="40">
        <f t="shared" si="82"/>
        <v>160</v>
      </c>
      <c r="CK146" s="41">
        <f t="shared" si="83"/>
        <v>220</v>
      </c>
      <c r="CL146" s="40">
        <f t="shared" si="84"/>
        <v>99</v>
      </c>
      <c r="CM146" s="40">
        <f t="shared" si="85"/>
        <v>151</v>
      </c>
      <c r="CN146" s="42">
        <f t="shared" si="86"/>
        <v>53</v>
      </c>
      <c r="CP146" s="47">
        <f t="shared" si="99"/>
        <v>28238</v>
      </c>
      <c r="CQ146" s="42">
        <f t="shared" si="100"/>
        <v>48</v>
      </c>
    </row>
    <row r="147" spans="1:95" s="42" customFormat="1" hidden="1" x14ac:dyDescent="0.3">
      <c r="A147" s="31">
        <v>1</v>
      </c>
      <c r="B147" s="31"/>
      <c r="C147" s="31"/>
      <c r="D147" s="43" t="s">
        <v>234</v>
      </c>
      <c r="E147" s="43" t="s">
        <v>235</v>
      </c>
      <c r="F147" s="34" t="str">
        <f t="shared" si="87"/>
        <v>Heagle1979Oasis1977OTC</v>
      </c>
      <c r="G147" s="31" t="s">
        <v>236</v>
      </c>
      <c r="H147" s="31" t="s">
        <v>128</v>
      </c>
      <c r="I147" s="31" t="s">
        <v>128</v>
      </c>
      <c r="J147" s="31" t="s">
        <v>237</v>
      </c>
      <c r="K147" s="31" t="s">
        <v>241</v>
      </c>
      <c r="L147" s="31">
        <v>1977</v>
      </c>
      <c r="M147" s="31" t="s">
        <v>95</v>
      </c>
      <c r="N147" s="32" t="s">
        <v>49</v>
      </c>
      <c r="O147" s="31" t="s">
        <v>72</v>
      </c>
      <c r="P147" s="31"/>
      <c r="Q147" s="32">
        <f>S147/1.01*1.08</f>
        <v>64.158415841584173</v>
      </c>
      <c r="R147" s="31"/>
      <c r="S147" s="31">
        <v>60</v>
      </c>
      <c r="T147" s="31">
        <v>7</v>
      </c>
      <c r="U147" s="31">
        <f t="shared" si="88"/>
        <v>53</v>
      </c>
      <c r="V147" s="31">
        <v>4</v>
      </c>
      <c r="W147" s="31">
        <v>22.414709999999999</v>
      </c>
      <c r="X147" s="39">
        <v>28224</v>
      </c>
      <c r="Y147" s="39">
        <v>28276</v>
      </c>
      <c r="Z147" s="31"/>
      <c r="AA147" s="31"/>
      <c r="AB147" s="31"/>
      <c r="AC147" s="31"/>
      <c r="AD147" s="31"/>
      <c r="AE147" s="31"/>
      <c r="AF147" s="31"/>
      <c r="AG147" s="31"/>
      <c r="AH147" s="8" t="e">
        <f t="shared" si="89"/>
        <v>#DIV/0!</v>
      </c>
      <c r="AI147" s="8">
        <f>VLOOKUP(F147,'[11]Sheet 2'!$A:$S,18,0)/VLOOKUP(F147,'[11]Sheet 2'!$A:$U,20,0)</f>
        <v>6.1435098602751586</v>
      </c>
      <c r="AJ147" s="8"/>
      <c r="AK147" s="31"/>
      <c r="AL147" s="32"/>
      <c r="AM147" s="31"/>
      <c r="AN147" s="31"/>
      <c r="AO147" s="31"/>
      <c r="AP147" s="31"/>
      <c r="AQ147" s="31"/>
      <c r="AR147" s="31"/>
      <c r="AS147" s="8" t="e">
        <f t="shared" si="91"/>
        <v>#DIV/0!</v>
      </c>
      <c r="AT147" s="8" t="e">
        <f>VLOOKUP(F147,'[12]Sheet 2'!$A:$S,18,0)/VLOOKUP(F147,'[12]Sheet 2'!$A:$U,20,0)</f>
        <v>#N/A</v>
      </c>
      <c r="AU147" s="8" t="e">
        <f t="shared" si="92"/>
        <v>#N/A</v>
      </c>
      <c r="AV147" s="57"/>
      <c r="AW147" s="31"/>
      <c r="AX147" s="31"/>
      <c r="AY147" s="31"/>
      <c r="AZ147" s="31"/>
      <c r="BA147" s="31"/>
      <c r="BB147" s="31"/>
      <c r="BC147" s="31"/>
      <c r="BD147" s="8" t="e">
        <f t="shared" si="93"/>
        <v>#DIV/0!</v>
      </c>
      <c r="BE147" s="8" t="e">
        <f>VLOOKUP(F147,'[13]Sheet 2'!$A:$S,18,0)/VLOOKUP(F147,'[13]Sheet 2'!$A:$U,20,0)</f>
        <v>#N/A</v>
      </c>
      <c r="BF147" s="8" t="e">
        <f t="shared" si="94"/>
        <v>#N/A</v>
      </c>
      <c r="BG147" s="31"/>
      <c r="BH147" s="31"/>
      <c r="BI147" s="31"/>
      <c r="BJ147" s="31"/>
      <c r="BK147" s="31"/>
      <c r="BL147" s="31"/>
      <c r="BM147" s="31"/>
      <c r="BN147" s="31"/>
      <c r="BO147" s="8" t="e">
        <f t="shared" si="95"/>
        <v>#DIV/0!</v>
      </c>
      <c r="BP147" s="8" t="e">
        <f>VLOOKUP(F147,'[14]Sheet 2'!$A:$V,18,0)/VLOOKUP(F147,'[14]Sheet 2'!$A:$V,20,0)</f>
        <v>#N/A</v>
      </c>
      <c r="BQ147" s="8" t="e">
        <f t="shared" si="96"/>
        <v>#N/A</v>
      </c>
      <c r="BR147" s="31"/>
      <c r="BS147" s="31"/>
      <c r="BT147" s="31"/>
      <c r="BU147" s="31"/>
      <c r="BV147" s="31"/>
      <c r="BW147" s="31"/>
      <c r="BX147" s="31"/>
      <c r="BY147" s="31"/>
      <c r="BZ147" s="8" t="e">
        <f t="shared" si="97"/>
        <v>#DIV/0!</v>
      </c>
      <c r="CA147" s="8" t="e">
        <f>VLOOKUP(F147,'[15]Sheet 2'!$A:$S,18,0)/VLOOKUP(F147,'[15]Sheet 2'!$A:$U,20,0)</f>
        <v>#N/A</v>
      </c>
      <c r="CB147" s="8" t="e">
        <f t="shared" si="98"/>
        <v>#N/A</v>
      </c>
      <c r="CC147" s="42">
        <v>35.794889233112599</v>
      </c>
      <c r="CD147" s="42">
        <v>-78.694466693999303</v>
      </c>
      <c r="CE147" s="38">
        <v>28066</v>
      </c>
      <c r="CF147" s="38">
        <v>28285</v>
      </c>
      <c r="CG147" s="39">
        <v>28224</v>
      </c>
      <c r="CH147" s="39">
        <v>28276</v>
      </c>
      <c r="CI147" s="40">
        <f t="shared" si="81"/>
        <v>-59</v>
      </c>
      <c r="CJ147" s="40">
        <f t="shared" si="82"/>
        <v>160</v>
      </c>
      <c r="CK147" s="41">
        <f t="shared" si="83"/>
        <v>220</v>
      </c>
      <c r="CL147" s="40">
        <f t="shared" si="84"/>
        <v>99</v>
      </c>
      <c r="CM147" s="40">
        <f t="shared" si="85"/>
        <v>151</v>
      </c>
      <c r="CN147" s="42">
        <f t="shared" si="86"/>
        <v>53</v>
      </c>
      <c r="CP147" s="47">
        <f t="shared" si="99"/>
        <v>28238</v>
      </c>
      <c r="CQ147" s="42">
        <f t="shared" si="100"/>
        <v>48</v>
      </c>
    </row>
    <row r="148" spans="1:95" s="42" customFormat="1" hidden="1" x14ac:dyDescent="0.3">
      <c r="A148" s="31">
        <v>1</v>
      </c>
      <c r="B148" s="31"/>
      <c r="C148" s="31"/>
      <c r="D148" s="43" t="s">
        <v>234</v>
      </c>
      <c r="E148" s="43" t="s">
        <v>235</v>
      </c>
      <c r="F148" s="34" t="str">
        <f t="shared" si="87"/>
        <v>Heagle1979Oasis1977OTC</v>
      </c>
      <c r="G148" s="31" t="s">
        <v>236</v>
      </c>
      <c r="H148" s="31" t="s">
        <v>128</v>
      </c>
      <c r="I148" s="31" t="s">
        <v>128</v>
      </c>
      <c r="J148" s="31" t="s">
        <v>237</v>
      </c>
      <c r="K148" s="31" t="s">
        <v>241</v>
      </c>
      <c r="L148" s="31">
        <v>1977</v>
      </c>
      <c r="M148" s="31" t="s">
        <v>95</v>
      </c>
      <c r="N148" s="32" t="s">
        <v>49</v>
      </c>
      <c r="O148" s="31" t="s">
        <v>101</v>
      </c>
      <c r="P148" s="31"/>
      <c r="Q148" s="31">
        <f>(7*S148+5*0.976*S147)/12*U148*12/1000+S147/1.01*(90-U148)*12/1000</f>
        <v>64.154637623762369</v>
      </c>
      <c r="R148" s="31"/>
      <c r="S148" s="31">
        <v>60</v>
      </c>
      <c r="T148" s="31">
        <v>7</v>
      </c>
      <c r="U148" s="31">
        <f t="shared" si="88"/>
        <v>53</v>
      </c>
      <c r="V148" s="31">
        <v>4</v>
      </c>
      <c r="W148" s="31">
        <v>22.414709999999999</v>
      </c>
      <c r="X148" s="39">
        <v>28224</v>
      </c>
      <c r="Y148" s="39">
        <v>28276</v>
      </c>
      <c r="Z148" s="31">
        <v>4.41</v>
      </c>
      <c r="AA148" s="31"/>
      <c r="AB148" s="31"/>
      <c r="AC148" s="31"/>
      <c r="AD148" s="31">
        <v>4.45</v>
      </c>
      <c r="AE148" s="31"/>
      <c r="AF148" s="31"/>
      <c r="AG148" s="31"/>
      <c r="AH148" s="8">
        <f t="shared" si="89"/>
        <v>-8.988764044943828E-3</v>
      </c>
      <c r="AI148" s="8">
        <f>VLOOKUP(F148,'[11]Sheet 2'!$A:$S,18,0)/VLOOKUP(F148,'[11]Sheet 2'!$A:$U,20,0)</f>
        <v>6.1435098602751586</v>
      </c>
      <c r="AJ148" s="8">
        <f t="shared" si="90"/>
        <v>-0.28216929730743806</v>
      </c>
      <c r="AK148" s="31"/>
      <c r="AL148" s="32"/>
      <c r="AM148" s="31"/>
      <c r="AN148" s="31"/>
      <c r="AO148" s="31"/>
      <c r="AP148" s="31"/>
      <c r="AQ148" s="31"/>
      <c r="AR148" s="31"/>
      <c r="AS148" s="8" t="e">
        <f t="shared" si="91"/>
        <v>#DIV/0!</v>
      </c>
      <c r="AT148" s="8" t="e">
        <f>VLOOKUP(F148,'[12]Sheet 2'!$A:$S,18,0)/VLOOKUP(F148,'[12]Sheet 2'!$A:$U,20,0)</f>
        <v>#N/A</v>
      </c>
      <c r="AU148" s="8" t="e">
        <f t="shared" si="92"/>
        <v>#N/A</v>
      </c>
      <c r="AV148" s="57"/>
      <c r="AW148" s="31"/>
      <c r="AX148" s="31"/>
      <c r="AY148" s="31"/>
      <c r="AZ148" s="31"/>
      <c r="BA148" s="31"/>
      <c r="BB148" s="31"/>
      <c r="BC148" s="31"/>
      <c r="BD148" s="8" t="e">
        <f t="shared" si="93"/>
        <v>#DIV/0!</v>
      </c>
      <c r="BE148" s="8" t="e">
        <f>VLOOKUP(F148,'[13]Sheet 2'!$A:$S,18,0)/VLOOKUP(F148,'[13]Sheet 2'!$A:$U,20,0)</f>
        <v>#N/A</v>
      </c>
      <c r="BF148" s="8" t="e">
        <f t="shared" si="94"/>
        <v>#N/A</v>
      </c>
      <c r="BG148" s="31"/>
      <c r="BH148" s="31"/>
      <c r="BI148" s="31"/>
      <c r="BJ148" s="31"/>
      <c r="BK148" s="31"/>
      <c r="BL148" s="31"/>
      <c r="BM148" s="31"/>
      <c r="BN148" s="31"/>
      <c r="BO148" s="8" t="e">
        <f t="shared" si="95"/>
        <v>#DIV/0!</v>
      </c>
      <c r="BP148" s="8" t="e">
        <f>VLOOKUP(F148,'[14]Sheet 2'!$A:$V,18,0)/VLOOKUP(F148,'[14]Sheet 2'!$A:$V,20,0)</f>
        <v>#N/A</v>
      </c>
      <c r="BQ148" s="8" t="e">
        <f t="shared" si="96"/>
        <v>#N/A</v>
      </c>
      <c r="BR148" s="31"/>
      <c r="BS148" s="31"/>
      <c r="BT148" s="31"/>
      <c r="BU148" s="31"/>
      <c r="BV148" s="31"/>
      <c r="BW148" s="31"/>
      <c r="BX148" s="31"/>
      <c r="BY148" s="31"/>
      <c r="BZ148" s="8" t="e">
        <f t="shared" si="97"/>
        <v>#DIV/0!</v>
      </c>
      <c r="CA148" s="8" t="e">
        <f>VLOOKUP(F148,'[15]Sheet 2'!$A:$S,18,0)/VLOOKUP(F148,'[15]Sheet 2'!$A:$U,20,0)</f>
        <v>#N/A</v>
      </c>
      <c r="CB148" s="8" t="e">
        <f t="shared" si="98"/>
        <v>#N/A</v>
      </c>
      <c r="CC148" s="42">
        <v>35.794889233112599</v>
      </c>
      <c r="CD148" s="42">
        <v>-78.694466693999303</v>
      </c>
      <c r="CE148" s="38">
        <v>28066</v>
      </c>
      <c r="CF148" s="38">
        <v>28285</v>
      </c>
      <c r="CG148" s="39">
        <v>28224</v>
      </c>
      <c r="CH148" s="39">
        <v>28276</v>
      </c>
      <c r="CI148" s="40">
        <f t="shared" si="81"/>
        <v>-59</v>
      </c>
      <c r="CJ148" s="40">
        <f t="shared" si="82"/>
        <v>160</v>
      </c>
      <c r="CK148" s="41">
        <f t="shared" si="83"/>
        <v>220</v>
      </c>
      <c r="CL148" s="40">
        <f t="shared" si="84"/>
        <v>99</v>
      </c>
      <c r="CM148" s="40">
        <f t="shared" si="85"/>
        <v>151</v>
      </c>
      <c r="CN148" s="42">
        <f t="shared" si="86"/>
        <v>53</v>
      </c>
      <c r="CP148" s="47">
        <f t="shared" si="99"/>
        <v>28238</v>
      </c>
      <c r="CQ148" s="42">
        <f t="shared" si="100"/>
        <v>48</v>
      </c>
    </row>
    <row r="149" spans="1:95" s="42" customFormat="1" hidden="1" x14ac:dyDescent="0.3">
      <c r="A149" s="31">
        <v>1</v>
      </c>
      <c r="B149" s="31"/>
      <c r="C149" s="31"/>
      <c r="D149" s="43" t="s">
        <v>234</v>
      </c>
      <c r="E149" s="43" t="s">
        <v>235</v>
      </c>
      <c r="F149" s="34" t="str">
        <f t="shared" si="87"/>
        <v>Heagle1979Oasis1977OTC</v>
      </c>
      <c r="G149" s="31" t="s">
        <v>236</v>
      </c>
      <c r="H149" s="31" t="s">
        <v>128</v>
      </c>
      <c r="I149" s="31" t="s">
        <v>128</v>
      </c>
      <c r="J149" s="31" t="s">
        <v>237</v>
      </c>
      <c r="K149" s="31" t="s">
        <v>241</v>
      </c>
      <c r="L149" s="31">
        <v>1977</v>
      </c>
      <c r="M149" s="31" t="s">
        <v>95</v>
      </c>
      <c r="N149" s="32" t="s">
        <v>49</v>
      </c>
      <c r="O149" s="31" t="s">
        <v>135</v>
      </c>
      <c r="P149" s="31"/>
      <c r="Q149" s="31">
        <f>(7*S149+5*0.976*S147)/12*U149*12/1000+S147/1.01*(90-U149)*12/1000</f>
        <v>78.994637623762372</v>
      </c>
      <c r="R149" s="31"/>
      <c r="S149" s="31">
        <v>100</v>
      </c>
      <c r="T149" s="31">
        <v>7</v>
      </c>
      <c r="U149" s="31">
        <f t="shared" si="88"/>
        <v>53</v>
      </c>
      <c r="V149" s="31">
        <v>4</v>
      </c>
      <c r="W149" s="31">
        <v>36.707799999999999</v>
      </c>
      <c r="X149" s="39">
        <v>28224</v>
      </c>
      <c r="Y149" s="39">
        <v>28276</v>
      </c>
      <c r="Z149" s="31">
        <v>3.89</v>
      </c>
      <c r="AA149" s="31"/>
      <c r="AB149" s="31"/>
      <c r="AC149" s="31"/>
      <c r="AD149" s="31">
        <v>4.45</v>
      </c>
      <c r="AE149" s="31"/>
      <c r="AF149" s="31"/>
      <c r="AG149" s="31"/>
      <c r="AH149" s="8">
        <f t="shared" si="89"/>
        <v>-0.12584269662921349</v>
      </c>
      <c r="AI149" s="8">
        <f>VLOOKUP(F149,'[11]Sheet 2'!$A:$S,18,0)/VLOOKUP(F149,'[11]Sheet 2'!$A:$U,20,0)</f>
        <v>6.1435098602751586</v>
      </c>
      <c r="AJ149" s="8">
        <f t="shared" si="90"/>
        <v>-0.36681146633241135</v>
      </c>
      <c r="AK149" s="31"/>
      <c r="AL149" s="32"/>
      <c r="AM149" s="31"/>
      <c r="AN149" s="31"/>
      <c r="AO149" s="31"/>
      <c r="AP149" s="31"/>
      <c r="AQ149" s="31"/>
      <c r="AR149" s="31"/>
      <c r="AS149" s="8" t="e">
        <f t="shared" si="91"/>
        <v>#DIV/0!</v>
      </c>
      <c r="AT149" s="8" t="e">
        <f>VLOOKUP(F149,'[12]Sheet 2'!$A:$S,18,0)/VLOOKUP(F149,'[12]Sheet 2'!$A:$U,20,0)</f>
        <v>#N/A</v>
      </c>
      <c r="AU149" s="8" t="e">
        <f t="shared" si="92"/>
        <v>#N/A</v>
      </c>
      <c r="AV149" s="57"/>
      <c r="AW149" s="31"/>
      <c r="AX149" s="31"/>
      <c r="AY149" s="31"/>
      <c r="AZ149" s="31"/>
      <c r="BA149" s="31"/>
      <c r="BB149" s="31"/>
      <c r="BC149" s="31"/>
      <c r="BD149" s="8" t="e">
        <f t="shared" si="93"/>
        <v>#DIV/0!</v>
      </c>
      <c r="BE149" s="8" t="e">
        <f>VLOOKUP(F149,'[13]Sheet 2'!$A:$S,18,0)/VLOOKUP(F149,'[13]Sheet 2'!$A:$U,20,0)</f>
        <v>#N/A</v>
      </c>
      <c r="BF149" s="8" t="e">
        <f t="shared" si="94"/>
        <v>#N/A</v>
      </c>
      <c r="BG149" s="31"/>
      <c r="BH149" s="31"/>
      <c r="BI149" s="31"/>
      <c r="BJ149" s="31"/>
      <c r="BK149" s="31"/>
      <c r="BL149" s="31"/>
      <c r="BM149" s="31"/>
      <c r="BN149" s="31"/>
      <c r="BO149" s="8" t="e">
        <f t="shared" si="95"/>
        <v>#DIV/0!</v>
      </c>
      <c r="BP149" s="8" t="e">
        <f>VLOOKUP(F149,'[14]Sheet 2'!$A:$V,18,0)/VLOOKUP(F149,'[14]Sheet 2'!$A:$V,20,0)</f>
        <v>#N/A</v>
      </c>
      <c r="BQ149" s="8" t="e">
        <f t="shared" si="96"/>
        <v>#N/A</v>
      </c>
      <c r="BR149" s="31"/>
      <c r="BS149" s="31"/>
      <c r="BT149" s="31"/>
      <c r="BU149" s="31"/>
      <c r="BV149" s="31"/>
      <c r="BW149" s="31"/>
      <c r="BX149" s="31"/>
      <c r="BY149" s="31"/>
      <c r="BZ149" s="8" t="e">
        <f t="shared" si="97"/>
        <v>#DIV/0!</v>
      </c>
      <c r="CA149" s="8" t="e">
        <f>VLOOKUP(F149,'[15]Sheet 2'!$A:$S,18,0)/VLOOKUP(F149,'[15]Sheet 2'!$A:$U,20,0)</f>
        <v>#N/A</v>
      </c>
      <c r="CB149" s="8" t="e">
        <f t="shared" si="98"/>
        <v>#N/A</v>
      </c>
      <c r="CC149" s="42">
        <v>35.794889233112599</v>
      </c>
      <c r="CD149" s="42">
        <v>-78.694466693999303</v>
      </c>
      <c r="CE149" s="38">
        <v>28066</v>
      </c>
      <c r="CF149" s="38">
        <v>28285</v>
      </c>
      <c r="CG149" s="39">
        <v>28224</v>
      </c>
      <c r="CH149" s="39">
        <v>28276</v>
      </c>
      <c r="CI149" s="40">
        <f t="shared" si="81"/>
        <v>-59</v>
      </c>
      <c r="CJ149" s="40">
        <f t="shared" si="82"/>
        <v>160</v>
      </c>
      <c r="CK149" s="41">
        <f t="shared" si="83"/>
        <v>220</v>
      </c>
      <c r="CL149" s="40">
        <f t="shared" si="84"/>
        <v>99</v>
      </c>
      <c r="CM149" s="40">
        <f t="shared" si="85"/>
        <v>151</v>
      </c>
      <c r="CN149" s="42">
        <f t="shared" si="86"/>
        <v>53</v>
      </c>
      <c r="CP149" s="47">
        <f t="shared" si="99"/>
        <v>28238</v>
      </c>
      <c r="CQ149" s="42">
        <f t="shared" si="100"/>
        <v>48</v>
      </c>
    </row>
    <row r="150" spans="1:95" s="42" customFormat="1" hidden="1" x14ac:dyDescent="0.3">
      <c r="A150" s="31">
        <v>1</v>
      </c>
      <c r="B150" s="31"/>
      <c r="C150" s="31"/>
      <c r="D150" s="43" t="s">
        <v>234</v>
      </c>
      <c r="E150" s="43" t="s">
        <v>235</v>
      </c>
      <c r="F150" s="34" t="str">
        <f t="shared" si="87"/>
        <v>Heagle1979Oasis1977OTC</v>
      </c>
      <c r="G150" s="31" t="s">
        <v>236</v>
      </c>
      <c r="H150" s="31" t="s">
        <v>128</v>
      </c>
      <c r="I150" s="31" t="s">
        <v>128</v>
      </c>
      <c r="J150" s="31" t="s">
        <v>237</v>
      </c>
      <c r="K150" s="31" t="s">
        <v>241</v>
      </c>
      <c r="L150" s="31">
        <v>1977</v>
      </c>
      <c r="M150" s="31" t="s">
        <v>95</v>
      </c>
      <c r="N150" s="32" t="s">
        <v>49</v>
      </c>
      <c r="O150" s="31" t="s">
        <v>136</v>
      </c>
      <c r="P150" s="31"/>
      <c r="Q150" s="31">
        <f>(7*S150+5*0.976*S147)/12*U150*12/1000+S147/1.01*(90-U150)*12/1000</f>
        <v>90.124637623762382</v>
      </c>
      <c r="R150" s="31"/>
      <c r="S150" s="31">
        <v>130</v>
      </c>
      <c r="T150" s="31">
        <v>7</v>
      </c>
      <c r="U150" s="31">
        <f t="shared" si="88"/>
        <v>53</v>
      </c>
      <c r="V150" s="31">
        <v>4</v>
      </c>
      <c r="W150" s="31">
        <v>47.635179999999998</v>
      </c>
      <c r="X150" s="39">
        <v>28224</v>
      </c>
      <c r="Y150" s="39">
        <v>28276</v>
      </c>
      <c r="Z150" s="31">
        <v>3.28</v>
      </c>
      <c r="AA150" s="31"/>
      <c r="AB150" s="31"/>
      <c r="AC150" s="31"/>
      <c r="AD150" s="31">
        <v>4.45</v>
      </c>
      <c r="AE150" s="31"/>
      <c r="AF150" s="31"/>
      <c r="AG150" s="31"/>
      <c r="AH150" s="8">
        <f t="shared" si="89"/>
        <v>-0.26292134831460684</v>
      </c>
      <c r="AI150" s="8">
        <f>VLOOKUP(F150,'[11]Sheet 2'!$A:$S,18,0)/VLOOKUP(F150,'[11]Sheet 2'!$A:$U,20,0)</f>
        <v>6.1435098602751586</v>
      </c>
      <c r="AJ150" s="8">
        <f t="shared" si="90"/>
        <v>-0.46610324153478389</v>
      </c>
      <c r="AK150" s="31"/>
      <c r="AL150" s="32"/>
      <c r="AM150" s="31"/>
      <c r="AN150" s="31"/>
      <c r="AO150" s="31"/>
      <c r="AP150" s="31"/>
      <c r="AQ150" s="31"/>
      <c r="AR150" s="31"/>
      <c r="AS150" s="8" t="e">
        <f t="shared" si="91"/>
        <v>#DIV/0!</v>
      </c>
      <c r="AT150" s="8" t="e">
        <f>VLOOKUP(F150,'[12]Sheet 2'!$A:$S,18,0)/VLOOKUP(F150,'[12]Sheet 2'!$A:$U,20,0)</f>
        <v>#N/A</v>
      </c>
      <c r="AU150" s="8" t="e">
        <f t="shared" si="92"/>
        <v>#N/A</v>
      </c>
      <c r="AV150" s="57"/>
      <c r="AW150" s="31"/>
      <c r="AX150" s="31"/>
      <c r="AY150" s="31"/>
      <c r="AZ150" s="31"/>
      <c r="BA150" s="31"/>
      <c r="BB150" s="31"/>
      <c r="BC150" s="31"/>
      <c r="BD150" s="8" t="e">
        <f t="shared" si="93"/>
        <v>#DIV/0!</v>
      </c>
      <c r="BE150" s="8" t="e">
        <f>VLOOKUP(F150,'[13]Sheet 2'!$A:$S,18,0)/VLOOKUP(F150,'[13]Sheet 2'!$A:$U,20,0)</f>
        <v>#N/A</v>
      </c>
      <c r="BF150" s="8" t="e">
        <f t="shared" si="94"/>
        <v>#N/A</v>
      </c>
      <c r="BG150" s="31"/>
      <c r="BH150" s="31"/>
      <c r="BI150" s="31"/>
      <c r="BJ150" s="31"/>
      <c r="BK150" s="31"/>
      <c r="BL150" s="31"/>
      <c r="BM150" s="31"/>
      <c r="BN150" s="31"/>
      <c r="BO150" s="8" t="e">
        <f t="shared" si="95"/>
        <v>#DIV/0!</v>
      </c>
      <c r="BP150" s="8" t="e">
        <f>VLOOKUP(F150,'[14]Sheet 2'!$A:$V,18,0)/VLOOKUP(F150,'[14]Sheet 2'!$A:$V,20,0)</f>
        <v>#N/A</v>
      </c>
      <c r="BQ150" s="8" t="e">
        <f t="shared" si="96"/>
        <v>#N/A</v>
      </c>
      <c r="BR150" s="31"/>
      <c r="BS150" s="31"/>
      <c r="BT150" s="31"/>
      <c r="BU150" s="31"/>
      <c r="BV150" s="31"/>
      <c r="BW150" s="31"/>
      <c r="BX150" s="31"/>
      <c r="BY150" s="31"/>
      <c r="BZ150" s="8" t="e">
        <f t="shared" si="97"/>
        <v>#DIV/0!</v>
      </c>
      <c r="CA150" s="8" t="e">
        <f>VLOOKUP(F150,'[15]Sheet 2'!$A:$S,18,0)/VLOOKUP(F150,'[15]Sheet 2'!$A:$U,20,0)</f>
        <v>#N/A</v>
      </c>
      <c r="CB150" s="8" t="e">
        <f t="shared" si="98"/>
        <v>#N/A</v>
      </c>
      <c r="CC150" s="42">
        <v>35.794889233112599</v>
      </c>
      <c r="CD150" s="42">
        <v>-78.694466693999303</v>
      </c>
      <c r="CE150" s="38">
        <v>28066</v>
      </c>
      <c r="CF150" s="38">
        <v>28285</v>
      </c>
      <c r="CG150" s="39">
        <v>28224</v>
      </c>
      <c r="CH150" s="39">
        <v>28276</v>
      </c>
      <c r="CI150" s="40">
        <f t="shared" si="81"/>
        <v>-59</v>
      </c>
      <c r="CJ150" s="40">
        <f t="shared" si="82"/>
        <v>160</v>
      </c>
      <c r="CK150" s="41">
        <f t="shared" si="83"/>
        <v>220</v>
      </c>
      <c r="CL150" s="40">
        <f t="shared" si="84"/>
        <v>99</v>
      </c>
      <c r="CM150" s="40">
        <f t="shared" si="85"/>
        <v>151</v>
      </c>
      <c r="CN150" s="42">
        <f t="shared" si="86"/>
        <v>53</v>
      </c>
      <c r="CP150" s="47">
        <f t="shared" si="99"/>
        <v>28238</v>
      </c>
      <c r="CQ150" s="42">
        <f t="shared" si="100"/>
        <v>48</v>
      </c>
    </row>
    <row r="151" spans="1:95" s="19" customFormat="1" hidden="1" x14ac:dyDescent="0.3">
      <c r="A151" s="3">
        <v>1</v>
      </c>
      <c r="B151" s="3"/>
      <c r="C151" s="3"/>
      <c r="D151" s="9" t="s">
        <v>234</v>
      </c>
      <c r="E151" s="9" t="s">
        <v>235</v>
      </c>
      <c r="F151" s="6" t="str">
        <f t="shared" si="87"/>
        <v>Heagle1979combined cultivars1977OTC</v>
      </c>
      <c r="G151" s="3" t="s">
        <v>236</v>
      </c>
      <c r="H151" s="3" t="s">
        <v>128</v>
      </c>
      <c r="I151" s="3" t="s">
        <v>128</v>
      </c>
      <c r="J151" s="3" t="s">
        <v>237</v>
      </c>
      <c r="K151" s="3" t="s">
        <v>242</v>
      </c>
      <c r="L151" s="3">
        <v>1977</v>
      </c>
      <c r="M151" s="3" t="s">
        <v>95</v>
      </c>
      <c r="N151" s="4" t="s">
        <v>49</v>
      </c>
      <c r="O151" s="3" t="s">
        <v>130</v>
      </c>
      <c r="P151" s="32" t="s">
        <v>267</v>
      </c>
      <c r="Q151" s="3">
        <f>(7*S151+5*0.976*S151)/12*U151*12/1000+S152/1.01*(90-U151)*12/1000</f>
        <v>45.265437623762374</v>
      </c>
      <c r="R151" s="3"/>
      <c r="S151" s="3">
        <v>30</v>
      </c>
      <c r="T151" s="3">
        <v>7</v>
      </c>
      <c r="U151" s="3">
        <f t="shared" si="88"/>
        <v>53</v>
      </c>
      <c r="V151" s="3">
        <v>4</v>
      </c>
      <c r="W151" s="3">
        <v>6.4205589999999999</v>
      </c>
      <c r="X151" s="18">
        <v>28224</v>
      </c>
      <c r="Y151" s="18">
        <v>28276</v>
      </c>
      <c r="Z151" s="3"/>
      <c r="AA151" s="3"/>
      <c r="AB151" s="3"/>
      <c r="AC151" s="3"/>
      <c r="AD151" s="3"/>
      <c r="AE151" s="3"/>
      <c r="AF151" s="3"/>
      <c r="AG151" s="3"/>
      <c r="AH151" s="8" t="e">
        <f>(Z151-AD151)/AD151</f>
        <v>#DIV/0!</v>
      </c>
      <c r="AI151" s="8" t="e">
        <f>VLOOKUP(F151,'[11]Sheet 2'!$A:$S,18,0)/VLOOKUP(F151,'[11]Sheet 2'!$A:$U,20,0)</f>
        <v>#N/A</v>
      </c>
      <c r="AJ151" s="8" t="e">
        <f t="shared" si="90"/>
        <v>#N/A</v>
      </c>
      <c r="AK151" s="3">
        <v>3.49</v>
      </c>
      <c r="AL151" s="4" t="s">
        <v>243</v>
      </c>
      <c r="AM151" s="3"/>
      <c r="AN151" s="3"/>
      <c r="AO151" s="3">
        <v>3.49</v>
      </c>
      <c r="AP151" s="4" t="s">
        <v>243</v>
      </c>
      <c r="AQ151" s="3"/>
      <c r="AR151" s="3"/>
      <c r="AS151" s="8">
        <f t="shared" si="91"/>
        <v>0</v>
      </c>
      <c r="AT151" s="8">
        <f>VLOOKUP(F151,'[12]Sheet 2'!$A:$S,18,0)/VLOOKUP(F151,'[12]Sheet 2'!$A:$U,20,0)</f>
        <v>4.7322626090203084</v>
      </c>
      <c r="AU151" s="8">
        <f t="shared" si="92"/>
        <v>-0.26250922902131296</v>
      </c>
      <c r="AV151" s="57"/>
      <c r="AW151" s="3"/>
      <c r="AX151" s="3"/>
      <c r="AY151" s="3"/>
      <c r="AZ151" s="3"/>
      <c r="BA151" s="3"/>
      <c r="BB151" s="3"/>
      <c r="BC151" s="3"/>
      <c r="BD151" s="8" t="e">
        <f t="shared" si="93"/>
        <v>#DIV/0!</v>
      </c>
      <c r="BE151" s="8" t="e">
        <f>VLOOKUP(F151,'[13]Sheet 2'!$A:$S,18,0)/VLOOKUP(F151,'[13]Sheet 2'!$A:$U,20,0)</f>
        <v>#N/A</v>
      </c>
      <c r="BF151" s="8" t="e">
        <f t="shared" si="94"/>
        <v>#N/A</v>
      </c>
      <c r="BG151" s="3"/>
      <c r="BH151" s="3"/>
      <c r="BI151" s="3"/>
      <c r="BJ151" s="3"/>
      <c r="BK151" s="3"/>
      <c r="BL151" s="3"/>
      <c r="BM151" s="3"/>
      <c r="BN151" s="3"/>
      <c r="BO151" s="8" t="e">
        <f t="shared" si="95"/>
        <v>#DIV/0!</v>
      </c>
      <c r="BP151" s="8" t="e">
        <f>VLOOKUP(F151,'[14]Sheet 2'!$A:$V,18,0)/VLOOKUP(F151,'[14]Sheet 2'!$A:$V,20,0)</f>
        <v>#N/A</v>
      </c>
      <c r="BQ151" s="8" t="e">
        <f t="shared" si="96"/>
        <v>#N/A</v>
      </c>
      <c r="BR151" s="3">
        <v>145.55873925501433</v>
      </c>
      <c r="BS151" s="3" t="s">
        <v>65</v>
      </c>
      <c r="BT151" s="3"/>
      <c r="BU151" s="3"/>
      <c r="BV151" s="3">
        <v>145.55873925501433</v>
      </c>
      <c r="BW151" s="3" t="s">
        <v>65</v>
      </c>
      <c r="BX151" s="3"/>
      <c r="BY151" s="3"/>
      <c r="BZ151" s="8">
        <f t="shared" si="97"/>
        <v>0</v>
      </c>
      <c r="CA151" s="8">
        <f>VLOOKUP(F151,'[15]Sheet 2'!$A:$S,18,0)/VLOOKUP(F151,'[15]Sheet 2'!$A:$U,20,0)</f>
        <v>150.16027319929469</v>
      </c>
      <c r="CB151" s="8">
        <f t="shared" si="98"/>
        <v>-3.064415005540877E-2</v>
      </c>
      <c r="CC151" s="19">
        <v>35.794889233112599</v>
      </c>
      <c r="CD151" s="19">
        <v>-78.694466693999303</v>
      </c>
      <c r="CE151" s="20">
        <v>28066</v>
      </c>
      <c r="CF151" s="20">
        <v>28285</v>
      </c>
      <c r="CG151" s="18">
        <v>28224</v>
      </c>
      <c r="CH151" s="18">
        <v>28276</v>
      </c>
      <c r="CI151" s="21">
        <f t="shared" si="81"/>
        <v>-59</v>
      </c>
      <c r="CJ151" s="21">
        <f t="shared" ref="CJ151:CJ182" si="101">CF151-INT(YEAR(CF151)&amp;"/1/1")+1</f>
        <v>160</v>
      </c>
      <c r="CK151" s="30">
        <f t="shared" ref="CK151:CK155" si="102">CJ151-CI151+1</f>
        <v>220</v>
      </c>
      <c r="CL151" s="21">
        <f t="shared" si="84"/>
        <v>99</v>
      </c>
      <c r="CM151" s="21">
        <f t="shared" si="85"/>
        <v>151</v>
      </c>
      <c r="CN151" s="19">
        <f t="shared" si="86"/>
        <v>53</v>
      </c>
      <c r="CP151" s="29">
        <f t="shared" si="99"/>
        <v>28238</v>
      </c>
      <c r="CQ151" s="19">
        <f t="shared" si="100"/>
        <v>48</v>
      </c>
    </row>
    <row r="152" spans="1:95" s="19" customFormat="1" hidden="1" x14ac:dyDescent="0.3">
      <c r="A152" s="3">
        <v>1</v>
      </c>
      <c r="B152" s="3"/>
      <c r="C152" s="3"/>
      <c r="D152" s="9" t="s">
        <v>234</v>
      </c>
      <c r="E152" s="9" t="s">
        <v>235</v>
      </c>
      <c r="F152" s="6" t="str">
        <f t="shared" si="87"/>
        <v>Heagle1979combined cultivars1977OTC</v>
      </c>
      <c r="G152" s="3" t="s">
        <v>236</v>
      </c>
      <c r="H152" s="3" t="s">
        <v>128</v>
      </c>
      <c r="I152" s="3" t="s">
        <v>128</v>
      </c>
      <c r="J152" s="3" t="s">
        <v>237</v>
      </c>
      <c r="K152" s="3" t="s">
        <v>242</v>
      </c>
      <c r="L152" s="3">
        <v>1977</v>
      </c>
      <c r="M152" s="3" t="s">
        <v>95</v>
      </c>
      <c r="N152" s="4" t="s">
        <v>49</v>
      </c>
      <c r="O152" s="3" t="s">
        <v>72</v>
      </c>
      <c r="P152" s="3"/>
      <c r="Q152" s="4">
        <f>S152/1.01*1.08</f>
        <v>64.158415841584173</v>
      </c>
      <c r="R152" s="3"/>
      <c r="S152" s="3">
        <v>60</v>
      </c>
      <c r="T152" s="3">
        <v>7</v>
      </c>
      <c r="U152" s="3">
        <f t="shared" si="88"/>
        <v>53</v>
      </c>
      <c r="V152" s="3">
        <v>4</v>
      </c>
      <c r="W152" s="3">
        <v>22.414709999999999</v>
      </c>
      <c r="X152" s="18">
        <v>28224</v>
      </c>
      <c r="Y152" s="18">
        <v>28276</v>
      </c>
      <c r="Z152" s="3"/>
      <c r="AA152" s="3"/>
      <c r="AB152" s="3"/>
      <c r="AC152" s="3"/>
      <c r="AD152" s="3"/>
      <c r="AE152" s="3"/>
      <c r="AF152" s="3"/>
      <c r="AG152" s="3"/>
      <c r="AH152" s="8" t="e">
        <f t="shared" si="89"/>
        <v>#DIV/0!</v>
      </c>
      <c r="AI152" s="8" t="e">
        <f>VLOOKUP(F152,'[11]Sheet 2'!$A:$S,18,0)/VLOOKUP(F152,'[11]Sheet 2'!$A:$U,20,0)</f>
        <v>#N/A</v>
      </c>
      <c r="AJ152" s="8" t="e">
        <f t="shared" si="90"/>
        <v>#N/A</v>
      </c>
      <c r="AK152" s="3"/>
      <c r="AL152" s="4"/>
      <c r="AM152" s="3"/>
      <c r="AN152" s="3"/>
      <c r="AO152" s="3"/>
      <c r="AP152" s="3"/>
      <c r="AQ152" s="3"/>
      <c r="AR152" s="3"/>
      <c r="AS152" s="8" t="e">
        <f t="shared" si="91"/>
        <v>#DIV/0!</v>
      </c>
      <c r="AT152" s="8">
        <f>VLOOKUP(F152,'[12]Sheet 2'!$A:$S,18,0)/VLOOKUP(F152,'[12]Sheet 2'!$A:$U,20,0)</f>
        <v>4.7322626090203084</v>
      </c>
      <c r="AU152" s="8"/>
      <c r="AV152" s="57"/>
      <c r="AW152" s="3"/>
      <c r="AX152" s="3"/>
      <c r="AY152" s="3"/>
      <c r="AZ152" s="3"/>
      <c r="BA152" s="3"/>
      <c r="BB152" s="3"/>
      <c r="BC152" s="3"/>
      <c r="BD152" s="8" t="e">
        <f t="shared" si="93"/>
        <v>#DIV/0!</v>
      </c>
      <c r="BE152" s="8" t="e">
        <f>VLOOKUP(F152,'[13]Sheet 2'!$A:$S,18,0)/VLOOKUP(F152,'[13]Sheet 2'!$A:$U,20,0)</f>
        <v>#N/A</v>
      </c>
      <c r="BF152" s="8" t="e">
        <f t="shared" si="94"/>
        <v>#N/A</v>
      </c>
      <c r="BG152" s="3"/>
      <c r="BH152" s="3"/>
      <c r="BI152" s="3"/>
      <c r="BJ152" s="3"/>
      <c r="BK152" s="3"/>
      <c r="BL152" s="3"/>
      <c r="BM152" s="3"/>
      <c r="BN152" s="3"/>
      <c r="BO152" s="8" t="e">
        <f t="shared" si="95"/>
        <v>#DIV/0!</v>
      </c>
      <c r="BP152" s="8" t="e">
        <f>VLOOKUP(F152,'[14]Sheet 2'!$A:$V,18,0)/VLOOKUP(F152,'[14]Sheet 2'!$A:$V,20,0)</f>
        <v>#N/A</v>
      </c>
      <c r="BQ152" s="8" t="e">
        <f t="shared" si="96"/>
        <v>#N/A</v>
      </c>
      <c r="BR152" s="3"/>
      <c r="BS152" s="3"/>
      <c r="BT152" s="3"/>
      <c r="BU152" s="3"/>
      <c r="BV152" s="3"/>
      <c r="BW152" s="3"/>
      <c r="BX152" s="3"/>
      <c r="BY152" s="3"/>
      <c r="BZ152" s="8" t="e">
        <f t="shared" si="97"/>
        <v>#DIV/0!</v>
      </c>
      <c r="CA152" s="8">
        <f>VLOOKUP(F152,'[15]Sheet 2'!$A:$S,18,0)/VLOOKUP(F152,'[15]Sheet 2'!$A:$U,20,0)</f>
        <v>150.16027319929469</v>
      </c>
      <c r="CB152" s="8"/>
      <c r="CC152" s="19">
        <v>35.794889233112599</v>
      </c>
      <c r="CD152" s="19">
        <v>-78.694466693999303</v>
      </c>
      <c r="CE152" s="20">
        <v>28066</v>
      </c>
      <c r="CF152" s="20">
        <v>28285</v>
      </c>
      <c r="CG152" s="18">
        <v>28224</v>
      </c>
      <c r="CH152" s="18">
        <v>28276</v>
      </c>
      <c r="CI152" s="21">
        <f t="shared" si="81"/>
        <v>-59</v>
      </c>
      <c r="CJ152" s="21">
        <f t="shared" si="101"/>
        <v>160</v>
      </c>
      <c r="CK152" s="30">
        <f t="shared" si="102"/>
        <v>220</v>
      </c>
      <c r="CL152" s="21">
        <f t="shared" si="84"/>
        <v>99</v>
      </c>
      <c r="CM152" s="21">
        <f t="shared" si="85"/>
        <v>151</v>
      </c>
      <c r="CN152" s="19">
        <f t="shared" si="86"/>
        <v>53</v>
      </c>
      <c r="CP152" s="29">
        <f t="shared" si="99"/>
        <v>28238</v>
      </c>
      <c r="CQ152" s="19">
        <f t="shared" si="100"/>
        <v>48</v>
      </c>
    </row>
    <row r="153" spans="1:95" s="19" customFormat="1" hidden="1" x14ac:dyDescent="0.3">
      <c r="A153" s="3">
        <v>1</v>
      </c>
      <c r="B153" s="3"/>
      <c r="C153" s="3"/>
      <c r="D153" s="9" t="s">
        <v>234</v>
      </c>
      <c r="E153" s="9" t="s">
        <v>235</v>
      </c>
      <c r="F153" s="6" t="str">
        <f t="shared" si="87"/>
        <v>Heagle1979combined cultivars1977OTC</v>
      </c>
      <c r="G153" s="3" t="s">
        <v>236</v>
      </c>
      <c r="H153" s="3" t="s">
        <v>128</v>
      </c>
      <c r="I153" s="3" t="s">
        <v>128</v>
      </c>
      <c r="J153" s="3" t="s">
        <v>237</v>
      </c>
      <c r="K153" s="3" t="s">
        <v>242</v>
      </c>
      <c r="L153" s="3">
        <v>1977</v>
      </c>
      <c r="M153" s="3" t="s">
        <v>95</v>
      </c>
      <c r="N153" s="4" t="s">
        <v>49</v>
      </c>
      <c r="O153" s="3" t="s">
        <v>101</v>
      </c>
      <c r="P153" s="3"/>
      <c r="Q153" s="3">
        <f>(7*S153+5*0.976*S152)/12*U153*12/1000+S152/1.01*(90-U153)*12/1000</f>
        <v>64.154637623762369</v>
      </c>
      <c r="R153" s="3"/>
      <c r="S153" s="3">
        <v>60</v>
      </c>
      <c r="T153" s="3">
        <v>7</v>
      </c>
      <c r="U153" s="3">
        <f t="shared" si="88"/>
        <v>53</v>
      </c>
      <c r="V153" s="3">
        <v>4</v>
      </c>
      <c r="W153" s="3">
        <v>22.414709999999999</v>
      </c>
      <c r="X153" s="18">
        <v>28224</v>
      </c>
      <c r="Y153" s="18">
        <v>28276</v>
      </c>
      <c r="Z153" s="3"/>
      <c r="AA153" s="3"/>
      <c r="AB153" s="3"/>
      <c r="AC153" s="3"/>
      <c r="AD153" s="3"/>
      <c r="AE153" s="3"/>
      <c r="AF153" s="3"/>
      <c r="AG153" s="3"/>
      <c r="AH153" s="8" t="e">
        <f t="shared" si="89"/>
        <v>#DIV/0!</v>
      </c>
      <c r="AI153" s="8" t="e">
        <f>VLOOKUP(F153,'[11]Sheet 2'!$A:$S,18,0)/VLOOKUP(F153,'[11]Sheet 2'!$A:$U,20,0)</f>
        <v>#N/A</v>
      </c>
      <c r="AJ153" s="8" t="e">
        <f t="shared" si="90"/>
        <v>#N/A</v>
      </c>
      <c r="AK153" s="3">
        <v>3.52</v>
      </c>
      <c r="AL153" s="4" t="s">
        <v>243</v>
      </c>
      <c r="AM153" s="3"/>
      <c r="AN153" s="3"/>
      <c r="AO153" s="3">
        <v>3.49</v>
      </c>
      <c r="AP153" s="4" t="s">
        <v>243</v>
      </c>
      <c r="AQ153" s="3"/>
      <c r="AR153" s="3"/>
      <c r="AS153" s="8">
        <f t="shared" si="91"/>
        <v>8.5959885386818913E-3</v>
      </c>
      <c r="AT153" s="8">
        <f>VLOOKUP(F153,'[12]Sheet 2'!$A:$S,18,0)/VLOOKUP(F153,'[12]Sheet 2'!$A:$U,20,0)</f>
        <v>4.7322626090203084</v>
      </c>
      <c r="AU153" s="8">
        <f t="shared" si="92"/>
        <v>-0.25616976680659648</v>
      </c>
      <c r="AV153" s="57"/>
      <c r="AW153" s="3"/>
      <c r="AX153" s="3"/>
      <c r="AY153" s="3"/>
      <c r="AZ153" s="3"/>
      <c r="BA153" s="3"/>
      <c r="BB153" s="3"/>
      <c r="BC153" s="3"/>
      <c r="BD153" s="8" t="e">
        <f t="shared" si="93"/>
        <v>#DIV/0!</v>
      </c>
      <c r="BE153" s="8" t="e">
        <f>VLOOKUP(F153,'[13]Sheet 2'!$A:$S,18,0)/VLOOKUP(F153,'[13]Sheet 2'!$A:$U,20,0)</f>
        <v>#N/A</v>
      </c>
      <c r="BF153" s="8" t="e">
        <f t="shared" si="94"/>
        <v>#N/A</v>
      </c>
      <c r="BG153" s="3"/>
      <c r="BH153" s="3"/>
      <c r="BI153" s="3"/>
      <c r="BJ153" s="3"/>
      <c r="BK153" s="3"/>
      <c r="BL153" s="3"/>
      <c r="BM153" s="3"/>
      <c r="BN153" s="3"/>
      <c r="BO153" s="8" t="e">
        <f t="shared" si="95"/>
        <v>#DIV/0!</v>
      </c>
      <c r="BP153" s="8" t="e">
        <f>VLOOKUP(F153,'[14]Sheet 2'!$A:$V,18,0)/VLOOKUP(F153,'[14]Sheet 2'!$A:$V,20,0)</f>
        <v>#N/A</v>
      </c>
      <c r="BQ153" s="8" t="e">
        <f t="shared" si="96"/>
        <v>#N/A</v>
      </c>
      <c r="BR153" s="3">
        <v>139.20454545454547</v>
      </c>
      <c r="BS153" s="3" t="s">
        <v>65</v>
      </c>
      <c r="BT153" s="3"/>
      <c r="BU153" s="3"/>
      <c r="BV153" s="3">
        <v>145.55873925501433</v>
      </c>
      <c r="BW153" s="3" t="s">
        <v>65</v>
      </c>
      <c r="BX153" s="3"/>
      <c r="BY153" s="3"/>
      <c r="BZ153" s="8">
        <f t="shared" si="97"/>
        <v>-4.3653811739441599E-2</v>
      </c>
      <c r="CA153" s="8">
        <f>VLOOKUP(F153,'[15]Sheet 2'!$A:$S,18,0)/VLOOKUP(F153,'[15]Sheet 2'!$A:$U,20,0)</f>
        <v>150.16027319929469</v>
      </c>
      <c r="CB153" s="8">
        <f t="shared" si="98"/>
        <v>-7.2960227837416347E-2</v>
      </c>
      <c r="CC153" s="19">
        <v>35.794889233112599</v>
      </c>
      <c r="CD153" s="19">
        <v>-78.694466693999303</v>
      </c>
      <c r="CE153" s="20">
        <v>28066</v>
      </c>
      <c r="CF153" s="20">
        <v>28285</v>
      </c>
      <c r="CG153" s="18">
        <v>28224</v>
      </c>
      <c r="CH153" s="18">
        <v>28276</v>
      </c>
      <c r="CI153" s="21">
        <f t="shared" si="81"/>
        <v>-59</v>
      </c>
      <c r="CJ153" s="21">
        <f t="shared" si="101"/>
        <v>160</v>
      </c>
      <c r="CK153" s="30">
        <f t="shared" si="102"/>
        <v>220</v>
      </c>
      <c r="CL153" s="21">
        <f t="shared" si="84"/>
        <v>99</v>
      </c>
      <c r="CM153" s="21">
        <f t="shared" si="85"/>
        <v>151</v>
      </c>
      <c r="CN153" s="19">
        <f t="shared" si="86"/>
        <v>53</v>
      </c>
      <c r="CP153" s="29">
        <f t="shared" si="99"/>
        <v>28238</v>
      </c>
      <c r="CQ153" s="19">
        <f t="shared" si="100"/>
        <v>48</v>
      </c>
    </row>
    <row r="154" spans="1:95" s="19" customFormat="1" hidden="1" x14ac:dyDescent="0.3">
      <c r="A154" s="3">
        <v>1</v>
      </c>
      <c r="B154" s="3"/>
      <c r="C154" s="3"/>
      <c r="D154" s="9" t="s">
        <v>234</v>
      </c>
      <c r="E154" s="9" t="s">
        <v>235</v>
      </c>
      <c r="F154" s="6" t="str">
        <f t="shared" si="87"/>
        <v>Heagle1979combined cultivars1977OTC</v>
      </c>
      <c r="G154" s="3" t="s">
        <v>236</v>
      </c>
      <c r="H154" s="3" t="s">
        <v>128</v>
      </c>
      <c r="I154" s="3" t="s">
        <v>128</v>
      </c>
      <c r="J154" s="3" t="s">
        <v>237</v>
      </c>
      <c r="K154" s="3" t="s">
        <v>242</v>
      </c>
      <c r="L154" s="3">
        <v>1977</v>
      </c>
      <c r="M154" s="3" t="s">
        <v>95</v>
      </c>
      <c r="N154" s="4" t="s">
        <v>49</v>
      </c>
      <c r="O154" s="3" t="s">
        <v>135</v>
      </c>
      <c r="P154" s="3"/>
      <c r="Q154" s="3">
        <f>(7*S154+5*0.976*S152)/12*U154*12/1000+S152/1.01*(90-U154)*12/1000</f>
        <v>78.994637623762372</v>
      </c>
      <c r="R154" s="3"/>
      <c r="S154" s="3">
        <v>100</v>
      </c>
      <c r="T154" s="3">
        <v>7</v>
      </c>
      <c r="U154" s="3">
        <f t="shared" si="88"/>
        <v>53</v>
      </c>
      <c r="V154" s="3">
        <v>4</v>
      </c>
      <c r="W154" s="3">
        <v>36.707799999999999</v>
      </c>
      <c r="X154" s="18">
        <v>28224</v>
      </c>
      <c r="Y154" s="18">
        <v>28276</v>
      </c>
      <c r="Z154" s="3"/>
      <c r="AA154" s="3"/>
      <c r="AB154" s="3"/>
      <c r="AC154" s="3"/>
      <c r="AD154" s="3"/>
      <c r="AE154" s="3"/>
      <c r="AF154" s="3"/>
      <c r="AG154" s="3"/>
      <c r="AH154" s="8" t="e">
        <f t="shared" si="89"/>
        <v>#DIV/0!</v>
      </c>
      <c r="AI154" s="8" t="e">
        <f>VLOOKUP(F154,'[11]Sheet 2'!$A:$S,18,0)/VLOOKUP(F154,'[11]Sheet 2'!$A:$U,20,0)</f>
        <v>#N/A</v>
      </c>
      <c r="AJ154" s="8" t="e">
        <f t="shared" si="90"/>
        <v>#N/A</v>
      </c>
      <c r="AK154" s="3">
        <v>3.43</v>
      </c>
      <c r="AL154" s="4" t="s">
        <v>243</v>
      </c>
      <c r="AM154" s="3"/>
      <c r="AN154" s="3"/>
      <c r="AO154" s="3">
        <v>3.49</v>
      </c>
      <c r="AP154" s="4" t="s">
        <v>243</v>
      </c>
      <c r="AQ154" s="3"/>
      <c r="AR154" s="3"/>
      <c r="AS154" s="8">
        <f t="shared" si="91"/>
        <v>-1.7191977077363911E-2</v>
      </c>
      <c r="AT154" s="8">
        <f>VLOOKUP(F154,'[12]Sheet 2'!$A:$S,18,0)/VLOOKUP(F154,'[12]Sheet 2'!$A:$U,20,0)</f>
        <v>4.7322626090203084</v>
      </c>
      <c r="AU154" s="8">
        <f t="shared" si="92"/>
        <v>-0.27518815345074599</v>
      </c>
      <c r="AV154" s="57"/>
      <c r="AW154" s="3"/>
      <c r="AX154" s="3"/>
      <c r="AY154" s="3"/>
      <c r="AZ154" s="3"/>
      <c r="BA154" s="3"/>
      <c r="BB154" s="3"/>
      <c r="BC154" s="3"/>
      <c r="BD154" s="8" t="e">
        <f t="shared" si="93"/>
        <v>#DIV/0!</v>
      </c>
      <c r="BE154" s="8" t="e">
        <f>VLOOKUP(F154,'[13]Sheet 2'!$A:$S,18,0)/VLOOKUP(F154,'[13]Sheet 2'!$A:$U,20,0)</f>
        <v>#N/A</v>
      </c>
      <c r="BF154" s="8" t="e">
        <f t="shared" si="94"/>
        <v>#N/A</v>
      </c>
      <c r="BG154" s="3"/>
      <c r="BH154" s="3"/>
      <c r="BI154" s="3"/>
      <c r="BJ154" s="3"/>
      <c r="BK154" s="3"/>
      <c r="BL154" s="3"/>
      <c r="BM154" s="3"/>
      <c r="BN154" s="3"/>
      <c r="BO154" s="8" t="e">
        <f t="shared" si="95"/>
        <v>#DIV/0!</v>
      </c>
      <c r="BP154" s="8" t="e">
        <f>VLOOKUP(F154,'[14]Sheet 2'!$A:$V,18,0)/VLOOKUP(F154,'[14]Sheet 2'!$A:$V,20,0)</f>
        <v>#N/A</v>
      </c>
      <c r="BQ154" s="8" t="e">
        <f t="shared" si="96"/>
        <v>#N/A</v>
      </c>
      <c r="BR154" s="3">
        <v>124.78134110787171</v>
      </c>
      <c r="BS154" s="3" t="s">
        <v>65</v>
      </c>
      <c r="BT154" s="3"/>
      <c r="BU154" s="3"/>
      <c r="BV154" s="3">
        <v>145.55873925501433</v>
      </c>
      <c r="BW154" s="3" t="s">
        <v>65</v>
      </c>
      <c r="BX154" s="3"/>
      <c r="BY154" s="3"/>
      <c r="BZ154" s="8">
        <f t="shared" si="97"/>
        <v>-0.14274236128647194</v>
      </c>
      <c r="CA154" s="8">
        <f>VLOOKUP(F154,'[15]Sheet 2'!$A:$S,18,0)/VLOOKUP(F154,'[15]Sheet 2'!$A:$U,20,0)</f>
        <v>150.16027319929469</v>
      </c>
      <c r="CB154" s="8">
        <f t="shared" si="98"/>
        <v>-0.16901229300335469</v>
      </c>
      <c r="CC154" s="19">
        <v>35.794889233112599</v>
      </c>
      <c r="CD154" s="19">
        <v>-78.694466693999303</v>
      </c>
      <c r="CE154" s="20">
        <v>28066</v>
      </c>
      <c r="CF154" s="20">
        <v>28285</v>
      </c>
      <c r="CG154" s="18">
        <v>28224</v>
      </c>
      <c r="CH154" s="18">
        <v>28276</v>
      </c>
      <c r="CI154" s="21">
        <f t="shared" si="81"/>
        <v>-59</v>
      </c>
      <c r="CJ154" s="21">
        <f t="shared" si="101"/>
        <v>160</v>
      </c>
      <c r="CK154" s="30">
        <f t="shared" si="102"/>
        <v>220</v>
      </c>
      <c r="CL154" s="21">
        <f t="shared" si="84"/>
        <v>99</v>
      </c>
      <c r="CM154" s="21">
        <f t="shared" si="85"/>
        <v>151</v>
      </c>
      <c r="CN154" s="19">
        <f t="shared" si="86"/>
        <v>53</v>
      </c>
      <c r="CP154" s="29">
        <f t="shared" si="99"/>
        <v>28238</v>
      </c>
      <c r="CQ154" s="19">
        <f t="shared" si="100"/>
        <v>48</v>
      </c>
    </row>
    <row r="155" spans="1:95" s="19" customFormat="1" hidden="1" x14ac:dyDescent="0.3">
      <c r="A155" s="3">
        <v>1</v>
      </c>
      <c r="B155" s="3"/>
      <c r="C155" s="3"/>
      <c r="D155" s="9" t="s">
        <v>234</v>
      </c>
      <c r="E155" s="9" t="s">
        <v>235</v>
      </c>
      <c r="F155" s="6" t="str">
        <f t="shared" si="87"/>
        <v>Heagle1979combined cultivars1977OTC</v>
      </c>
      <c r="G155" s="3" t="s">
        <v>236</v>
      </c>
      <c r="H155" s="3" t="s">
        <v>128</v>
      </c>
      <c r="I155" s="3" t="s">
        <v>128</v>
      </c>
      <c r="J155" s="3" t="s">
        <v>237</v>
      </c>
      <c r="K155" s="3" t="s">
        <v>242</v>
      </c>
      <c r="L155" s="3">
        <v>1977</v>
      </c>
      <c r="M155" s="3" t="s">
        <v>95</v>
      </c>
      <c r="N155" s="4" t="s">
        <v>49</v>
      </c>
      <c r="O155" s="3" t="s">
        <v>136</v>
      </c>
      <c r="P155" s="3"/>
      <c r="Q155" s="3">
        <f>(7*S155+5*0.976*S152)/12*U155*12/1000+S152/1.01*(90-U155)*12/1000</f>
        <v>90.124637623762382</v>
      </c>
      <c r="R155" s="3"/>
      <c r="S155" s="3">
        <v>130</v>
      </c>
      <c r="T155" s="3">
        <v>7</v>
      </c>
      <c r="U155" s="3">
        <f t="shared" si="88"/>
        <v>53</v>
      </c>
      <c r="V155" s="3">
        <v>4</v>
      </c>
      <c r="W155" s="3">
        <v>47.635179999999998</v>
      </c>
      <c r="X155" s="18">
        <v>28224</v>
      </c>
      <c r="Y155" s="18">
        <v>28276</v>
      </c>
      <c r="Z155" s="3"/>
      <c r="AA155" s="3"/>
      <c r="AB155" s="3"/>
      <c r="AC155" s="3"/>
      <c r="AD155" s="3"/>
      <c r="AE155" s="3"/>
      <c r="AF155" s="3"/>
      <c r="AG155" s="3"/>
      <c r="AH155" s="8" t="e">
        <f t="shared" si="89"/>
        <v>#DIV/0!</v>
      </c>
      <c r="AI155" s="8" t="e">
        <f>VLOOKUP(F155,'[11]Sheet 2'!$A:$S,18,0)/VLOOKUP(F155,'[11]Sheet 2'!$A:$U,20,0)</f>
        <v>#N/A</v>
      </c>
      <c r="AJ155" s="8" t="e">
        <f t="shared" si="90"/>
        <v>#N/A</v>
      </c>
      <c r="AK155" s="3">
        <v>2.87</v>
      </c>
      <c r="AL155" s="4" t="s">
        <v>243</v>
      </c>
      <c r="AM155" s="3"/>
      <c r="AN155" s="3"/>
      <c r="AO155" s="3">
        <v>3.49</v>
      </c>
      <c r="AP155" s="4" t="s">
        <v>243</v>
      </c>
      <c r="AQ155" s="3"/>
      <c r="AR155" s="3"/>
      <c r="AS155" s="8">
        <f t="shared" si="91"/>
        <v>-0.17765042979942697</v>
      </c>
      <c r="AT155" s="8">
        <f>VLOOKUP(F155,'[12]Sheet 2'!$A:$S,18,0)/VLOOKUP(F155,'[12]Sheet 2'!$A:$U,20,0)</f>
        <v>4.7322626090203084</v>
      </c>
      <c r="AU155" s="8">
        <f t="shared" si="92"/>
        <v>-0.39352478145878744</v>
      </c>
      <c r="AV155" s="57"/>
      <c r="AW155" s="3"/>
      <c r="AX155" s="3"/>
      <c r="AY155" s="3"/>
      <c r="AZ155" s="3"/>
      <c r="BA155" s="3"/>
      <c r="BB155" s="3"/>
      <c r="BC155" s="3"/>
      <c r="BD155" s="8" t="e">
        <f t="shared" si="93"/>
        <v>#DIV/0!</v>
      </c>
      <c r="BE155" s="8" t="e">
        <f>VLOOKUP(F155,'[13]Sheet 2'!$A:$S,18,0)/VLOOKUP(F155,'[13]Sheet 2'!$A:$U,20,0)</f>
        <v>#N/A</v>
      </c>
      <c r="BF155" s="8" t="e">
        <f t="shared" si="94"/>
        <v>#N/A</v>
      </c>
      <c r="BG155" s="3"/>
      <c r="BH155" s="3"/>
      <c r="BI155" s="3"/>
      <c r="BJ155" s="3"/>
      <c r="BK155" s="3"/>
      <c r="BL155" s="3"/>
      <c r="BM155" s="3"/>
      <c r="BN155" s="3"/>
      <c r="BO155" s="8" t="e">
        <f t="shared" si="95"/>
        <v>#DIV/0!</v>
      </c>
      <c r="BP155" s="8" t="e">
        <f>VLOOKUP(F155,'[14]Sheet 2'!$A:$V,18,0)/VLOOKUP(F155,'[14]Sheet 2'!$A:$V,20,0)</f>
        <v>#N/A</v>
      </c>
      <c r="BQ155" s="8" t="e">
        <f t="shared" si="96"/>
        <v>#N/A</v>
      </c>
      <c r="BR155" s="3">
        <v>117.77003484320556</v>
      </c>
      <c r="BS155" s="3" t="s">
        <v>65</v>
      </c>
      <c r="BT155" s="3"/>
      <c r="BU155" s="3"/>
      <c r="BV155" s="3">
        <v>145.55873925501433</v>
      </c>
      <c r="BW155" s="3" t="s">
        <v>65</v>
      </c>
      <c r="BX155" s="3"/>
      <c r="BY155" s="3"/>
      <c r="BZ155" s="8">
        <f t="shared" si="97"/>
        <v>-0.19091058739608777</v>
      </c>
      <c r="CA155" s="8">
        <f>VLOOKUP(F155,'[15]Sheet 2'!$A:$S,18,0)/VLOOKUP(F155,'[15]Sheet 2'!$A:$U,20,0)</f>
        <v>150.16027319929469</v>
      </c>
      <c r="CB155" s="8">
        <f t="shared" si="98"/>
        <v>-0.21570444476416459</v>
      </c>
      <c r="CC155" s="19">
        <v>35.794889233112599</v>
      </c>
      <c r="CD155" s="19">
        <v>-78.694466693999303</v>
      </c>
      <c r="CE155" s="20">
        <v>28066</v>
      </c>
      <c r="CF155" s="20">
        <v>28285</v>
      </c>
      <c r="CG155" s="18">
        <v>28224</v>
      </c>
      <c r="CH155" s="18">
        <v>28276</v>
      </c>
      <c r="CI155" s="21">
        <f t="shared" si="81"/>
        <v>-59</v>
      </c>
      <c r="CJ155" s="21">
        <f t="shared" si="101"/>
        <v>160</v>
      </c>
      <c r="CK155" s="30">
        <f t="shared" si="102"/>
        <v>220</v>
      </c>
      <c r="CL155" s="21">
        <f t="shared" si="84"/>
        <v>99</v>
      </c>
      <c r="CM155" s="21">
        <f t="shared" si="85"/>
        <v>151</v>
      </c>
      <c r="CN155" s="19">
        <f t="shared" si="86"/>
        <v>53</v>
      </c>
      <c r="CP155" s="29">
        <f t="shared" si="99"/>
        <v>28238</v>
      </c>
      <c r="CQ155" s="19">
        <f t="shared" si="100"/>
        <v>48</v>
      </c>
    </row>
    <row r="156" spans="1:95" s="42" customFormat="1" hidden="1" x14ac:dyDescent="0.3">
      <c r="A156" s="31">
        <v>1</v>
      </c>
      <c r="B156" s="31"/>
      <c r="C156" s="31"/>
      <c r="D156" s="31" t="s">
        <v>125</v>
      </c>
      <c r="E156" s="34" t="s">
        <v>126</v>
      </c>
      <c r="F156" s="34" t="str">
        <f t="shared" si="87"/>
        <v>1985-2071982OTC</v>
      </c>
      <c r="G156" s="31" t="s">
        <v>127</v>
      </c>
      <c r="H156" s="31" t="s">
        <v>128</v>
      </c>
      <c r="I156" s="31" t="s">
        <v>129</v>
      </c>
      <c r="J156" s="31" t="s">
        <v>94</v>
      </c>
      <c r="K156" s="31"/>
      <c r="L156" s="31">
        <v>1982</v>
      </c>
      <c r="M156" s="31" t="s">
        <v>34</v>
      </c>
      <c r="N156" s="31" t="s">
        <v>49</v>
      </c>
      <c r="O156" s="31" t="s">
        <v>130</v>
      </c>
      <c r="P156" s="32" t="s">
        <v>267</v>
      </c>
      <c r="Q156" s="31">
        <f>(7*S156+5*0.976*S156)/12*U156*12/1000+S157/1.01*(90-U156)*12/1000</f>
        <v>30.414247128712876</v>
      </c>
      <c r="R156" s="31"/>
      <c r="S156" s="31">
        <v>22</v>
      </c>
      <c r="T156" s="31">
        <v>7</v>
      </c>
      <c r="U156" s="31">
        <f t="shared" si="88"/>
        <v>61</v>
      </c>
      <c r="V156" s="31">
        <v>4</v>
      </c>
      <c r="W156" s="43">
        <v>0.93580380470402003</v>
      </c>
      <c r="X156" s="35">
        <v>30089</v>
      </c>
      <c r="Y156" s="35">
        <v>30149</v>
      </c>
      <c r="Z156" s="31">
        <v>533.1</v>
      </c>
      <c r="AA156" s="31" t="s">
        <v>51</v>
      </c>
      <c r="AB156" s="31">
        <v>5.71</v>
      </c>
      <c r="AC156" s="31" t="s">
        <v>131</v>
      </c>
      <c r="AD156" s="31">
        <v>533.1</v>
      </c>
      <c r="AE156" s="31" t="s">
        <v>51</v>
      </c>
      <c r="AF156" s="31">
        <v>5.71</v>
      </c>
      <c r="AG156" s="31" t="s">
        <v>131</v>
      </c>
      <c r="AH156" s="8">
        <f t="shared" si="89"/>
        <v>0</v>
      </c>
      <c r="AI156" s="8" t="e">
        <f>VLOOKUP(F156,'[11]Sheet 2'!$A:$S,18,0)/VLOOKUP(F156,'[11]Sheet 2'!$A:$U,20,0)</f>
        <v>#N/A</v>
      </c>
      <c r="AJ156" s="8" t="e">
        <f t="shared" si="90"/>
        <v>#N/A</v>
      </c>
      <c r="AK156" s="31">
        <v>32.6</v>
      </c>
      <c r="AL156" s="32" t="s">
        <v>37</v>
      </c>
      <c r="AM156" s="31"/>
      <c r="AN156" s="31"/>
      <c r="AO156" s="31">
        <v>32.6</v>
      </c>
      <c r="AP156" s="32" t="s">
        <v>37</v>
      </c>
      <c r="AQ156" s="31"/>
      <c r="AR156" s="31"/>
      <c r="AS156" s="8">
        <f t="shared" si="91"/>
        <v>0</v>
      </c>
      <c r="AT156" s="8" t="e">
        <f>VLOOKUP(F156,'[12]Sheet 2'!$A:$S,18,0)/VLOOKUP(F156,'[12]Sheet 2'!$A:$U,20,0)</f>
        <v>#N/A</v>
      </c>
      <c r="AU156" s="8" t="e">
        <f t="shared" si="92"/>
        <v>#N/A</v>
      </c>
      <c r="AV156" s="57">
        <v>23.040072724167874</v>
      </c>
      <c r="AW156" s="31" t="s">
        <v>132</v>
      </c>
      <c r="AX156" s="31"/>
      <c r="AY156" s="31"/>
      <c r="AZ156" s="31">
        <v>23.040072724167874</v>
      </c>
      <c r="BA156" s="31" t="s">
        <v>261</v>
      </c>
      <c r="BB156" s="31"/>
      <c r="BC156" s="31"/>
      <c r="BD156" s="8">
        <f t="shared" si="93"/>
        <v>0</v>
      </c>
      <c r="BE156" s="8" t="e">
        <f>VLOOKUP(F156,'[13]Sheet 2'!$A:$S,18,0)/VLOOKUP(F156,'[13]Sheet 2'!$A:$U,20,0)</f>
        <v>#N/A</v>
      </c>
      <c r="BF156" s="8" t="e">
        <f t="shared" si="94"/>
        <v>#N/A</v>
      </c>
      <c r="BG156" s="31">
        <v>709.75299999999993</v>
      </c>
      <c r="BH156" s="31" t="s">
        <v>133</v>
      </c>
      <c r="BI156" s="31">
        <v>124.3</v>
      </c>
      <c r="BJ156" s="31" t="s">
        <v>133</v>
      </c>
      <c r="BK156" s="31">
        <f t="shared" ref="BK156:BK160" si="103">BM156*5.71</f>
        <v>709.75299999999993</v>
      </c>
      <c r="BL156" s="31" t="s">
        <v>133</v>
      </c>
      <c r="BM156" s="31">
        <v>124.3</v>
      </c>
      <c r="BN156" s="31" t="s">
        <v>133</v>
      </c>
      <c r="BO156" s="8">
        <f t="shared" si="95"/>
        <v>0</v>
      </c>
      <c r="BP156" s="8" t="e">
        <f>VLOOKUP(F156,'[14]Sheet 2'!$A:$V,18,0)/VLOOKUP(F156,'[14]Sheet 2'!$A:$V,20,0)</f>
        <v>#N/A</v>
      </c>
      <c r="BQ156" s="8" t="e">
        <f t="shared" si="96"/>
        <v>#N/A</v>
      </c>
      <c r="BR156" s="31">
        <f t="shared" ref="BR156:BR185" si="104">Z156/AK156*1000</f>
        <v>16352.76073619632</v>
      </c>
      <c r="BS156" s="31" t="s">
        <v>52</v>
      </c>
      <c r="BT156" s="31"/>
      <c r="BU156" s="31"/>
      <c r="BV156" s="31">
        <f t="shared" ref="BV156:BV185" si="105">AD156/AO156*1000</f>
        <v>16352.76073619632</v>
      </c>
      <c r="BW156" s="31" t="s">
        <v>52</v>
      </c>
      <c r="BX156" s="31"/>
      <c r="BY156" s="31"/>
      <c r="BZ156" s="8">
        <f t="shared" si="97"/>
        <v>0</v>
      </c>
      <c r="CA156" s="8" t="e">
        <f>VLOOKUP(F156,'[15]Sheet 2'!$A:$S,18,0)/VLOOKUP(F156,'[15]Sheet 2'!$A:$U,20,0)</f>
        <v>#N/A</v>
      </c>
      <c r="CB156" s="8" t="e">
        <f t="shared" si="98"/>
        <v>#N/A</v>
      </c>
      <c r="CC156" s="42">
        <v>42.448509999999999</v>
      </c>
      <c r="CD156" s="42">
        <v>-76.478620000000006</v>
      </c>
      <c r="CE156" s="50"/>
      <c r="CF156" s="38">
        <v>30154</v>
      </c>
      <c r="CG156" s="39">
        <v>30089</v>
      </c>
      <c r="CH156" s="39">
        <v>30149</v>
      </c>
      <c r="CI156" s="40"/>
      <c r="CJ156" s="40">
        <f t="shared" si="101"/>
        <v>203</v>
      </c>
      <c r="CK156" s="41"/>
      <c r="CL156" s="40">
        <f t="shared" ref="CL156:CL187" si="106">CG156-INT(YEAR(CG156)&amp;"/1/1")+1</f>
        <v>138</v>
      </c>
      <c r="CM156" s="40">
        <f t="shared" si="85"/>
        <v>198</v>
      </c>
      <c r="CN156" s="42">
        <f t="shared" si="86"/>
        <v>61</v>
      </c>
      <c r="CP156" s="47">
        <f>CG156+9</f>
        <v>30098</v>
      </c>
      <c r="CQ156" s="42">
        <f t="shared" si="100"/>
        <v>57</v>
      </c>
    </row>
    <row r="157" spans="1:95" s="42" customFormat="1" hidden="1" x14ac:dyDescent="0.3">
      <c r="A157" s="31">
        <v>1</v>
      </c>
      <c r="B157" s="31"/>
      <c r="C157" s="31"/>
      <c r="D157" s="31" t="s">
        <v>125</v>
      </c>
      <c r="E157" s="34" t="s">
        <v>126</v>
      </c>
      <c r="F157" s="34" t="str">
        <f t="shared" si="87"/>
        <v>1985-2071982OTC</v>
      </c>
      <c r="G157" s="31" t="s">
        <v>127</v>
      </c>
      <c r="H157" s="31" t="s">
        <v>128</v>
      </c>
      <c r="I157" s="31" t="s">
        <v>129</v>
      </c>
      <c r="J157" s="31" t="s">
        <v>94</v>
      </c>
      <c r="K157" s="31"/>
      <c r="L157" s="31">
        <v>1982</v>
      </c>
      <c r="M157" s="31" t="s">
        <v>34</v>
      </c>
      <c r="N157" s="31" t="s">
        <v>49</v>
      </c>
      <c r="O157" s="31" t="s">
        <v>101</v>
      </c>
      <c r="P157" s="31"/>
      <c r="Q157" s="32">
        <f>S157/1.01*1.08</f>
        <v>44.910891089108915</v>
      </c>
      <c r="R157" s="31"/>
      <c r="S157" s="31">
        <v>42</v>
      </c>
      <c r="T157" s="31">
        <v>7</v>
      </c>
      <c r="U157" s="31">
        <f t="shared" si="88"/>
        <v>61</v>
      </c>
      <c r="V157" s="31">
        <v>4</v>
      </c>
      <c r="W157" s="43">
        <v>6.1929762965283297</v>
      </c>
      <c r="X157" s="35">
        <v>30089</v>
      </c>
      <c r="Y157" s="35">
        <v>30149</v>
      </c>
      <c r="Z157" s="31">
        <v>355.2</v>
      </c>
      <c r="AA157" s="31" t="s">
        <v>51</v>
      </c>
      <c r="AB157" s="31">
        <v>5.71</v>
      </c>
      <c r="AC157" s="31" t="s">
        <v>131</v>
      </c>
      <c r="AD157" s="31">
        <v>533.1</v>
      </c>
      <c r="AE157" s="31" t="s">
        <v>51</v>
      </c>
      <c r="AF157" s="31">
        <v>5.71</v>
      </c>
      <c r="AG157" s="31" t="s">
        <v>131</v>
      </c>
      <c r="AH157" s="8">
        <f t="shared" si="89"/>
        <v>-0.33370849746764214</v>
      </c>
      <c r="AI157" s="8" t="e">
        <f>VLOOKUP(F157,'[11]Sheet 2'!$A:$S,18,0)/VLOOKUP(F157,'[11]Sheet 2'!$A:$U,20,0)</f>
        <v>#N/A</v>
      </c>
      <c r="AJ157" s="8" t="e">
        <f t="shared" si="90"/>
        <v>#N/A</v>
      </c>
      <c r="AK157" s="31">
        <v>24.7</v>
      </c>
      <c r="AL157" s="32" t="s">
        <v>37</v>
      </c>
      <c r="AM157" s="31"/>
      <c r="AN157" s="31"/>
      <c r="AO157" s="31">
        <v>32.6</v>
      </c>
      <c r="AP157" s="32" t="s">
        <v>37</v>
      </c>
      <c r="AQ157" s="31"/>
      <c r="AR157" s="31"/>
      <c r="AS157" s="8">
        <f t="shared" si="91"/>
        <v>-0.24233128834355833</v>
      </c>
      <c r="AT157" s="8" t="e">
        <f>VLOOKUP(F157,'[12]Sheet 2'!$A:$S,18,0)/VLOOKUP(F157,'[12]Sheet 2'!$A:$U,20,0)</f>
        <v>#N/A</v>
      </c>
      <c r="AU157" s="8" t="e">
        <f t="shared" si="92"/>
        <v>#N/A</v>
      </c>
      <c r="AV157" s="57">
        <v>22.506595677619703</v>
      </c>
      <c r="AW157" s="31" t="s">
        <v>132</v>
      </c>
      <c r="AX157" s="31"/>
      <c r="AY157" s="31"/>
      <c r="AZ157" s="31">
        <v>23.040072724167874</v>
      </c>
      <c r="BA157" s="31" t="s">
        <v>261</v>
      </c>
      <c r="BB157" s="31"/>
      <c r="BC157" s="31"/>
      <c r="BD157" s="8">
        <f t="shared" si="93"/>
        <v>-2.3154312615887733E-2</v>
      </c>
      <c r="BE157" s="8" t="e">
        <f>VLOOKUP(F157,'[13]Sheet 2'!$A:$S,18,0)/VLOOKUP(F157,'[13]Sheet 2'!$A:$U,20,0)</f>
        <v>#N/A</v>
      </c>
      <c r="BF157" s="8" t="e">
        <f t="shared" si="94"/>
        <v>#N/A</v>
      </c>
      <c r="BG157" s="31">
        <v>638.94900000000007</v>
      </c>
      <c r="BH157" s="31" t="s">
        <v>133</v>
      </c>
      <c r="BI157" s="31">
        <v>111.9</v>
      </c>
      <c r="BJ157" s="31" t="s">
        <v>133</v>
      </c>
      <c r="BK157" s="31">
        <f t="shared" si="103"/>
        <v>709.75299999999993</v>
      </c>
      <c r="BL157" s="31" t="s">
        <v>133</v>
      </c>
      <c r="BM157" s="31">
        <v>124.3</v>
      </c>
      <c r="BN157" s="31" t="s">
        <v>133</v>
      </c>
      <c r="BO157" s="8">
        <f t="shared" si="95"/>
        <v>-9.9758648431214611E-2</v>
      </c>
      <c r="BP157" s="8" t="e">
        <f>VLOOKUP(F157,'[14]Sheet 2'!$A:$V,18,0)/VLOOKUP(F157,'[14]Sheet 2'!$A:$V,20,0)</f>
        <v>#N/A</v>
      </c>
      <c r="BQ157" s="8" t="e">
        <f t="shared" si="96"/>
        <v>#N/A</v>
      </c>
      <c r="BR157" s="31">
        <f t="shared" si="104"/>
        <v>14380.566801619434</v>
      </c>
      <c r="BS157" s="31" t="s">
        <v>52</v>
      </c>
      <c r="BT157" s="31"/>
      <c r="BU157" s="31"/>
      <c r="BV157" s="31">
        <f t="shared" si="105"/>
        <v>16352.76073619632</v>
      </c>
      <c r="BW157" s="31" t="s">
        <v>52</v>
      </c>
      <c r="BX157" s="31"/>
      <c r="BY157" s="31"/>
      <c r="BZ157" s="8">
        <f t="shared" si="97"/>
        <v>-0.12060311811518755</v>
      </c>
      <c r="CA157" s="8" t="e">
        <f>VLOOKUP(F157,'[15]Sheet 2'!$A:$S,18,0)/VLOOKUP(F157,'[15]Sheet 2'!$A:$U,20,0)</f>
        <v>#N/A</v>
      </c>
      <c r="CB157" s="8" t="e">
        <f t="shared" si="98"/>
        <v>#N/A</v>
      </c>
      <c r="CC157" s="42">
        <v>42.448509999999999</v>
      </c>
      <c r="CD157" s="42">
        <v>-76.478620000000006</v>
      </c>
      <c r="CE157" s="50"/>
      <c r="CF157" s="38">
        <v>30154</v>
      </c>
      <c r="CG157" s="39">
        <v>30089</v>
      </c>
      <c r="CH157" s="39">
        <v>30149</v>
      </c>
      <c r="CI157" s="40"/>
      <c r="CJ157" s="40">
        <f t="shared" si="101"/>
        <v>203</v>
      </c>
      <c r="CK157" s="41"/>
      <c r="CL157" s="40">
        <f t="shared" si="106"/>
        <v>138</v>
      </c>
      <c r="CM157" s="40">
        <f t="shared" si="85"/>
        <v>198</v>
      </c>
      <c r="CN157" s="42">
        <f t="shared" si="86"/>
        <v>61</v>
      </c>
      <c r="CP157" s="47">
        <f>CG157+9</f>
        <v>30098</v>
      </c>
      <c r="CQ157" s="42">
        <f t="shared" si="100"/>
        <v>57</v>
      </c>
    </row>
    <row r="158" spans="1:95" s="42" customFormat="1" hidden="1" x14ac:dyDescent="0.3">
      <c r="A158" s="31">
        <v>1</v>
      </c>
      <c r="B158" s="31"/>
      <c r="C158" s="31"/>
      <c r="D158" s="31" t="s">
        <v>125</v>
      </c>
      <c r="E158" s="34" t="s">
        <v>126</v>
      </c>
      <c r="F158" s="34" t="str">
        <f t="shared" si="87"/>
        <v>1985-2071982OTC</v>
      </c>
      <c r="G158" s="31" t="s">
        <v>127</v>
      </c>
      <c r="H158" s="31" t="s">
        <v>128</v>
      </c>
      <c r="I158" s="31" t="s">
        <v>129</v>
      </c>
      <c r="J158" s="31" t="s">
        <v>94</v>
      </c>
      <c r="K158" s="31"/>
      <c r="L158" s="31">
        <v>1982</v>
      </c>
      <c r="M158" s="31" t="s">
        <v>34</v>
      </c>
      <c r="N158" s="31" t="s">
        <v>49</v>
      </c>
      <c r="O158" s="31" t="s">
        <v>134</v>
      </c>
      <c r="P158" s="31"/>
      <c r="Q158" s="31">
        <f>(7*S158+5*0.976*S157)/12*U158*12/1000+S157/1.01*(90-U158)*12/1000</f>
        <v>53.44784712871288</v>
      </c>
      <c r="R158" s="31"/>
      <c r="S158" s="31">
        <v>62</v>
      </c>
      <c r="T158" s="31">
        <v>7</v>
      </c>
      <c r="U158" s="31">
        <f t="shared" si="88"/>
        <v>61</v>
      </c>
      <c r="V158" s="31">
        <v>4</v>
      </c>
      <c r="W158" s="43">
        <v>12.6935773654142</v>
      </c>
      <c r="X158" s="35">
        <v>30089</v>
      </c>
      <c r="Y158" s="35">
        <v>30149</v>
      </c>
      <c r="Z158" s="31">
        <v>232.2</v>
      </c>
      <c r="AA158" s="31" t="s">
        <v>51</v>
      </c>
      <c r="AB158" s="31">
        <v>5.71</v>
      </c>
      <c r="AC158" s="31" t="s">
        <v>131</v>
      </c>
      <c r="AD158" s="31">
        <v>533.1</v>
      </c>
      <c r="AE158" s="31" t="s">
        <v>51</v>
      </c>
      <c r="AF158" s="31">
        <v>5.71</v>
      </c>
      <c r="AG158" s="31" t="s">
        <v>131</v>
      </c>
      <c r="AH158" s="8">
        <f t="shared" si="89"/>
        <v>-0.56443444006752963</v>
      </c>
      <c r="AI158" s="8" t="e">
        <f>VLOOKUP(F158,'[11]Sheet 2'!$A:$S,18,0)/VLOOKUP(F158,'[11]Sheet 2'!$A:$U,20,0)</f>
        <v>#N/A</v>
      </c>
      <c r="AJ158" s="8" t="e">
        <f t="shared" si="90"/>
        <v>#N/A</v>
      </c>
      <c r="AK158" s="31">
        <v>17.7</v>
      </c>
      <c r="AL158" s="32" t="s">
        <v>37</v>
      </c>
      <c r="AM158" s="31"/>
      <c r="AN158" s="31"/>
      <c r="AO158" s="31">
        <v>32.6</v>
      </c>
      <c r="AP158" s="32" t="s">
        <v>37</v>
      </c>
      <c r="AQ158" s="31"/>
      <c r="AR158" s="31"/>
      <c r="AS158" s="8">
        <f t="shared" si="91"/>
        <v>-0.45705521472392641</v>
      </c>
      <c r="AT158" s="8" t="e">
        <f>VLOOKUP(F158,'[12]Sheet 2'!$A:$S,18,0)/VLOOKUP(F158,'[12]Sheet 2'!$A:$U,20,0)</f>
        <v>#N/A</v>
      </c>
      <c r="AU158" s="8" t="e">
        <f t="shared" si="92"/>
        <v>#N/A</v>
      </c>
      <c r="AV158" s="57">
        <v>19.960780419062402</v>
      </c>
      <c r="AW158" s="31" t="s">
        <v>132</v>
      </c>
      <c r="AX158" s="31"/>
      <c r="AY158" s="31"/>
      <c r="AZ158" s="31">
        <v>23.040072724167874</v>
      </c>
      <c r="BA158" s="31" t="s">
        <v>261</v>
      </c>
      <c r="BB158" s="31"/>
      <c r="BC158" s="31"/>
      <c r="BD158" s="8">
        <f t="shared" si="93"/>
        <v>-0.13364941777616221</v>
      </c>
      <c r="BE158" s="8" t="e">
        <f>VLOOKUP(F158,'[13]Sheet 2'!$A:$S,18,0)/VLOOKUP(F158,'[13]Sheet 2'!$A:$U,20,0)</f>
        <v>#N/A</v>
      </c>
      <c r="BF158" s="8" t="e">
        <f t="shared" si="94"/>
        <v>#N/A</v>
      </c>
      <c r="BG158" s="31">
        <v>657.221</v>
      </c>
      <c r="BH158" s="31" t="s">
        <v>133</v>
      </c>
      <c r="BI158" s="31">
        <v>115.1</v>
      </c>
      <c r="BJ158" s="31" t="s">
        <v>133</v>
      </c>
      <c r="BK158" s="31">
        <f t="shared" si="103"/>
        <v>709.75299999999993</v>
      </c>
      <c r="BL158" s="31" t="s">
        <v>133</v>
      </c>
      <c r="BM158" s="31">
        <v>124.3</v>
      </c>
      <c r="BN158" s="31" t="s">
        <v>133</v>
      </c>
      <c r="BO158" s="8">
        <f t="shared" si="95"/>
        <v>-7.4014481094127019E-2</v>
      </c>
      <c r="BP158" s="8" t="e">
        <f>VLOOKUP(F158,'[14]Sheet 2'!$A:$V,18,0)/VLOOKUP(F158,'[14]Sheet 2'!$A:$V,20,0)</f>
        <v>#N/A</v>
      </c>
      <c r="BQ158" s="8" t="e">
        <f t="shared" si="96"/>
        <v>#N/A</v>
      </c>
      <c r="BR158" s="31">
        <f t="shared" si="104"/>
        <v>13118.644067796611</v>
      </c>
      <c r="BS158" s="31" t="s">
        <v>52</v>
      </c>
      <c r="BT158" s="31"/>
      <c r="BU158" s="31"/>
      <c r="BV158" s="31">
        <f t="shared" si="105"/>
        <v>16352.76073619632</v>
      </c>
      <c r="BW158" s="31" t="s">
        <v>52</v>
      </c>
      <c r="BX158" s="31"/>
      <c r="BY158" s="31"/>
      <c r="BZ158" s="8">
        <f t="shared" si="97"/>
        <v>-0.19777190656505442</v>
      </c>
      <c r="CA158" s="8" t="e">
        <f>VLOOKUP(F158,'[15]Sheet 2'!$A:$S,18,0)/VLOOKUP(F158,'[15]Sheet 2'!$A:$U,20,0)</f>
        <v>#N/A</v>
      </c>
      <c r="CB158" s="8" t="e">
        <f t="shared" si="98"/>
        <v>#N/A</v>
      </c>
      <c r="CC158" s="42">
        <v>42.448509999999999</v>
      </c>
      <c r="CD158" s="42">
        <v>-76.478620000000006</v>
      </c>
      <c r="CE158" s="50"/>
      <c r="CF158" s="38">
        <v>30154</v>
      </c>
      <c r="CG158" s="39">
        <v>30089</v>
      </c>
      <c r="CH158" s="39">
        <v>30149</v>
      </c>
      <c r="CI158" s="40"/>
      <c r="CJ158" s="40">
        <f t="shared" si="101"/>
        <v>203</v>
      </c>
      <c r="CK158" s="41"/>
      <c r="CL158" s="40">
        <f t="shared" si="106"/>
        <v>138</v>
      </c>
      <c r="CM158" s="40">
        <f t="shared" si="85"/>
        <v>198</v>
      </c>
      <c r="CN158" s="42">
        <f t="shared" si="86"/>
        <v>61</v>
      </c>
      <c r="CP158" s="47">
        <f>CG158+9</f>
        <v>30098</v>
      </c>
      <c r="CQ158" s="42">
        <f t="shared" si="100"/>
        <v>57</v>
      </c>
    </row>
    <row r="159" spans="1:95" s="42" customFormat="1" hidden="1" x14ac:dyDescent="0.3">
      <c r="A159" s="31">
        <v>1</v>
      </c>
      <c r="B159" s="31"/>
      <c r="C159" s="31"/>
      <c r="D159" s="31" t="s">
        <v>125</v>
      </c>
      <c r="E159" s="34" t="s">
        <v>126</v>
      </c>
      <c r="F159" s="34" t="str">
        <f t="shared" si="87"/>
        <v>1985-2071982OTC</v>
      </c>
      <c r="G159" s="31" t="s">
        <v>127</v>
      </c>
      <c r="H159" s="31" t="s">
        <v>128</v>
      </c>
      <c r="I159" s="31" t="s">
        <v>129</v>
      </c>
      <c r="J159" s="31" t="s">
        <v>94</v>
      </c>
      <c r="K159" s="31"/>
      <c r="L159" s="31">
        <v>1982</v>
      </c>
      <c r="M159" s="31" t="s">
        <v>34</v>
      </c>
      <c r="N159" s="31" t="s">
        <v>49</v>
      </c>
      <c r="O159" s="31" t="s">
        <v>135</v>
      </c>
      <c r="P159" s="31"/>
      <c r="Q159" s="31">
        <f>(7*S159+5*0.976*S157)/12*U159*12/1000+S157/1.01*(90-U159)*12/1000</f>
        <v>61.987847128712879</v>
      </c>
      <c r="R159" s="31"/>
      <c r="S159" s="31">
        <v>82</v>
      </c>
      <c r="T159" s="31">
        <v>7</v>
      </c>
      <c r="U159" s="31">
        <f t="shared" si="88"/>
        <v>61</v>
      </c>
      <c r="V159" s="31">
        <v>4</v>
      </c>
      <c r="W159" s="43">
        <v>20.3789423805928</v>
      </c>
      <c r="X159" s="35">
        <v>30089</v>
      </c>
      <c r="Y159" s="35">
        <v>30149</v>
      </c>
      <c r="Z159" s="31">
        <v>169.8</v>
      </c>
      <c r="AA159" s="31" t="s">
        <v>51</v>
      </c>
      <c r="AB159" s="31">
        <v>5.71</v>
      </c>
      <c r="AC159" s="31" t="s">
        <v>131</v>
      </c>
      <c r="AD159" s="31">
        <v>533.1</v>
      </c>
      <c r="AE159" s="31" t="s">
        <v>51</v>
      </c>
      <c r="AF159" s="31">
        <v>5.71</v>
      </c>
      <c r="AG159" s="31" t="s">
        <v>131</v>
      </c>
      <c r="AH159" s="8">
        <f t="shared" si="89"/>
        <v>-0.68148564997186267</v>
      </c>
      <c r="AI159" s="8" t="e">
        <f>VLOOKUP(F159,'[11]Sheet 2'!$A:$S,18,0)/VLOOKUP(F159,'[11]Sheet 2'!$A:$U,20,0)</f>
        <v>#N/A</v>
      </c>
      <c r="AJ159" s="8" t="e">
        <f t="shared" si="90"/>
        <v>#N/A</v>
      </c>
      <c r="AK159" s="31">
        <v>14.1</v>
      </c>
      <c r="AL159" s="32" t="s">
        <v>37</v>
      </c>
      <c r="AM159" s="31"/>
      <c r="AN159" s="31"/>
      <c r="AO159" s="31">
        <v>32.6</v>
      </c>
      <c r="AP159" s="32" t="s">
        <v>37</v>
      </c>
      <c r="AQ159" s="31"/>
      <c r="AR159" s="31"/>
      <c r="AS159" s="8">
        <f t="shared" si="91"/>
        <v>-0.56748466257668706</v>
      </c>
      <c r="AT159" s="8" t="e">
        <f>VLOOKUP(F159,'[12]Sheet 2'!$A:$S,18,0)/VLOOKUP(F159,'[12]Sheet 2'!$A:$U,20,0)</f>
        <v>#N/A</v>
      </c>
      <c r="AU159" s="8" t="e">
        <f t="shared" si="92"/>
        <v>#N/A</v>
      </c>
      <c r="AV159" s="57">
        <v>17.964468312994871</v>
      </c>
      <c r="AW159" s="31" t="s">
        <v>132</v>
      </c>
      <c r="AX159" s="31"/>
      <c r="AY159" s="31"/>
      <c r="AZ159" s="31">
        <v>23.040072724167874</v>
      </c>
      <c r="BA159" s="31" t="s">
        <v>261</v>
      </c>
      <c r="BB159" s="31"/>
      <c r="BC159" s="31"/>
      <c r="BD159" s="8">
        <f t="shared" si="93"/>
        <v>-0.22029463500125807</v>
      </c>
      <c r="BE159" s="8" t="e">
        <f>VLOOKUP(F159,'[13]Sheet 2'!$A:$S,18,0)/VLOOKUP(F159,'[13]Sheet 2'!$A:$U,20,0)</f>
        <v>#N/A</v>
      </c>
      <c r="BF159" s="8" t="e">
        <f t="shared" si="94"/>
        <v>#N/A</v>
      </c>
      <c r="BG159" s="31">
        <v>670.35400000000004</v>
      </c>
      <c r="BH159" s="31" t="s">
        <v>133</v>
      </c>
      <c r="BI159" s="31">
        <v>117.4</v>
      </c>
      <c r="BJ159" s="31" t="s">
        <v>133</v>
      </c>
      <c r="BK159" s="31">
        <f t="shared" si="103"/>
        <v>709.75299999999993</v>
      </c>
      <c r="BL159" s="31" t="s">
        <v>133</v>
      </c>
      <c r="BM159" s="31">
        <v>124.3</v>
      </c>
      <c r="BN159" s="31" t="s">
        <v>133</v>
      </c>
      <c r="BO159" s="8">
        <f t="shared" si="95"/>
        <v>-5.5510860820595177E-2</v>
      </c>
      <c r="BP159" s="8" t="e">
        <f>VLOOKUP(F159,'[14]Sheet 2'!$A:$V,18,0)/VLOOKUP(F159,'[14]Sheet 2'!$A:$V,20,0)</f>
        <v>#N/A</v>
      </c>
      <c r="BQ159" s="8" t="e">
        <f t="shared" si="96"/>
        <v>#N/A</v>
      </c>
      <c r="BR159" s="31">
        <f t="shared" si="104"/>
        <v>12042.553191489364</v>
      </c>
      <c r="BS159" s="31" t="s">
        <v>52</v>
      </c>
      <c r="BT159" s="31"/>
      <c r="BU159" s="31"/>
      <c r="BV159" s="31">
        <f t="shared" si="105"/>
        <v>16352.76073619632</v>
      </c>
      <c r="BW159" s="31" t="s">
        <v>52</v>
      </c>
      <c r="BX159" s="31"/>
      <c r="BY159" s="31"/>
      <c r="BZ159" s="8">
        <f t="shared" si="97"/>
        <v>-0.26357675099877464</v>
      </c>
      <c r="CA159" s="8" t="e">
        <f>VLOOKUP(F159,'[15]Sheet 2'!$A:$S,18,0)/VLOOKUP(F159,'[15]Sheet 2'!$A:$U,20,0)</f>
        <v>#N/A</v>
      </c>
      <c r="CB159" s="8" t="e">
        <f t="shared" si="98"/>
        <v>#N/A</v>
      </c>
      <c r="CC159" s="42">
        <v>42.448509999999999</v>
      </c>
      <c r="CD159" s="42">
        <v>-76.478620000000006</v>
      </c>
      <c r="CE159" s="50"/>
      <c r="CF159" s="38">
        <v>30154</v>
      </c>
      <c r="CG159" s="39">
        <v>30089</v>
      </c>
      <c r="CH159" s="39">
        <v>30149</v>
      </c>
      <c r="CI159" s="40"/>
      <c r="CJ159" s="40">
        <f t="shared" si="101"/>
        <v>203</v>
      </c>
      <c r="CK159" s="41"/>
      <c r="CL159" s="40">
        <f t="shared" si="106"/>
        <v>138</v>
      </c>
      <c r="CM159" s="40">
        <f t="shared" si="85"/>
        <v>198</v>
      </c>
      <c r="CN159" s="42">
        <f t="shared" si="86"/>
        <v>61</v>
      </c>
      <c r="CP159" s="47">
        <f>CG159+9</f>
        <v>30098</v>
      </c>
      <c r="CQ159" s="42">
        <f t="shared" si="100"/>
        <v>57</v>
      </c>
    </row>
    <row r="160" spans="1:95" s="42" customFormat="1" hidden="1" x14ac:dyDescent="0.3">
      <c r="A160" s="31">
        <v>1</v>
      </c>
      <c r="B160" s="31"/>
      <c r="C160" s="31"/>
      <c r="D160" s="31" t="s">
        <v>125</v>
      </c>
      <c r="E160" s="34" t="s">
        <v>126</v>
      </c>
      <c r="F160" s="34" t="str">
        <f t="shared" si="87"/>
        <v>1985-2071982OTC</v>
      </c>
      <c r="G160" s="31" t="s">
        <v>127</v>
      </c>
      <c r="H160" s="31" t="s">
        <v>128</v>
      </c>
      <c r="I160" s="31" t="s">
        <v>129</v>
      </c>
      <c r="J160" s="31" t="s">
        <v>94</v>
      </c>
      <c r="K160" s="31"/>
      <c r="L160" s="31">
        <v>1982</v>
      </c>
      <c r="M160" s="31" t="s">
        <v>34</v>
      </c>
      <c r="N160" s="31" t="s">
        <v>49</v>
      </c>
      <c r="O160" s="31" t="s">
        <v>136</v>
      </c>
      <c r="P160" s="31"/>
      <c r="Q160" s="31">
        <f>(7*S160+5*0.976*S157)/12*U160*12/1000+S157/1.01*(90-U160)*12/1000</f>
        <v>67.96584712871288</v>
      </c>
      <c r="R160" s="31"/>
      <c r="S160" s="31">
        <v>96</v>
      </c>
      <c r="T160" s="31">
        <v>7</v>
      </c>
      <c r="U160" s="31">
        <f t="shared" si="88"/>
        <v>61</v>
      </c>
      <c r="V160" s="31">
        <v>4</v>
      </c>
      <c r="W160" s="43">
        <v>26.0316178897634</v>
      </c>
      <c r="X160" s="35">
        <v>30089</v>
      </c>
      <c r="Y160" s="35">
        <v>30149</v>
      </c>
      <c r="Z160" s="31">
        <v>143</v>
      </c>
      <c r="AA160" s="31" t="s">
        <v>51</v>
      </c>
      <c r="AB160" s="31">
        <v>5.71</v>
      </c>
      <c r="AC160" s="31" t="s">
        <v>131</v>
      </c>
      <c r="AD160" s="31">
        <v>533.1</v>
      </c>
      <c r="AE160" s="31" t="s">
        <v>51</v>
      </c>
      <c r="AF160" s="31">
        <v>5.71</v>
      </c>
      <c r="AG160" s="31" t="s">
        <v>131</v>
      </c>
      <c r="AH160" s="8">
        <f t="shared" si="89"/>
        <v>-0.73175764396923659</v>
      </c>
      <c r="AI160" s="8" t="e">
        <f>VLOOKUP(F160,'[11]Sheet 2'!$A:$S,18,0)/VLOOKUP(F160,'[11]Sheet 2'!$A:$U,20,0)</f>
        <v>#N/A</v>
      </c>
      <c r="AJ160" s="8" t="e">
        <f t="shared" si="90"/>
        <v>#N/A</v>
      </c>
      <c r="AK160" s="31">
        <v>13</v>
      </c>
      <c r="AL160" s="32" t="s">
        <v>37</v>
      </c>
      <c r="AM160" s="31"/>
      <c r="AN160" s="31"/>
      <c r="AO160" s="31">
        <v>32.6</v>
      </c>
      <c r="AP160" s="32" t="s">
        <v>37</v>
      </c>
      <c r="AQ160" s="31"/>
      <c r="AR160" s="31"/>
      <c r="AS160" s="8">
        <f t="shared" si="91"/>
        <v>-0.60122699386503065</v>
      </c>
      <c r="AT160" s="8" t="e">
        <f>VLOOKUP(F160,'[12]Sheet 2'!$A:$S,18,0)/VLOOKUP(F160,'[12]Sheet 2'!$A:$U,20,0)</f>
        <v>#N/A</v>
      </c>
      <c r="AU160" s="8" t="e">
        <f t="shared" si="92"/>
        <v>#N/A</v>
      </c>
      <c r="AV160" s="57">
        <v>19.26444833625219</v>
      </c>
      <c r="AW160" s="31" t="s">
        <v>132</v>
      </c>
      <c r="AX160" s="31"/>
      <c r="AY160" s="31"/>
      <c r="AZ160" s="31">
        <v>23.040072724167874</v>
      </c>
      <c r="BA160" s="31" t="s">
        <v>261</v>
      </c>
      <c r="BB160" s="31"/>
      <c r="BC160" s="31"/>
      <c r="BD160" s="8">
        <f t="shared" si="93"/>
        <v>-0.1638720690302008</v>
      </c>
      <c r="BE160" s="8" t="e">
        <f>VLOOKUP(F160,'[13]Sheet 2'!$A:$S,18,0)/VLOOKUP(F160,'[13]Sheet 2'!$A:$U,20,0)</f>
        <v>#N/A</v>
      </c>
      <c r="BF160" s="8" t="e">
        <f t="shared" si="94"/>
        <v>#N/A</v>
      </c>
      <c r="BG160" s="31">
        <v>571</v>
      </c>
      <c r="BH160" s="31" t="s">
        <v>133</v>
      </c>
      <c r="BI160" s="31">
        <v>100</v>
      </c>
      <c r="BJ160" s="31" t="s">
        <v>133</v>
      </c>
      <c r="BK160" s="31">
        <f t="shared" si="103"/>
        <v>709.75299999999993</v>
      </c>
      <c r="BL160" s="31" t="s">
        <v>133</v>
      </c>
      <c r="BM160" s="31">
        <v>124.3</v>
      </c>
      <c r="BN160" s="31" t="s">
        <v>133</v>
      </c>
      <c r="BO160" s="8">
        <f t="shared" si="95"/>
        <v>-0.19549477071600957</v>
      </c>
      <c r="BP160" s="8" t="e">
        <f>VLOOKUP(F160,'[14]Sheet 2'!$A:$V,18,0)/VLOOKUP(F160,'[14]Sheet 2'!$A:$V,20,0)</f>
        <v>#N/A</v>
      </c>
      <c r="BQ160" s="8" t="e">
        <f t="shared" si="96"/>
        <v>#N/A</v>
      </c>
      <c r="BR160" s="31">
        <f t="shared" si="104"/>
        <v>11000</v>
      </c>
      <c r="BS160" s="31" t="s">
        <v>52</v>
      </c>
      <c r="BT160" s="31"/>
      <c r="BU160" s="31"/>
      <c r="BV160" s="31">
        <f t="shared" si="105"/>
        <v>16352.76073619632</v>
      </c>
      <c r="BW160" s="31" t="s">
        <v>52</v>
      </c>
      <c r="BX160" s="31"/>
      <c r="BY160" s="31"/>
      <c r="BZ160" s="8">
        <f t="shared" si="97"/>
        <v>-0.32733070718439322</v>
      </c>
      <c r="CA160" s="8" t="e">
        <f>VLOOKUP(F160,'[15]Sheet 2'!$A:$S,18,0)/VLOOKUP(F160,'[15]Sheet 2'!$A:$U,20,0)</f>
        <v>#N/A</v>
      </c>
      <c r="CB160" s="8" t="e">
        <f t="shared" si="98"/>
        <v>#N/A</v>
      </c>
      <c r="CC160" s="42">
        <v>42.448509999999999</v>
      </c>
      <c r="CD160" s="42">
        <v>-76.478620000000006</v>
      </c>
      <c r="CE160" s="50"/>
      <c r="CF160" s="38">
        <v>30154</v>
      </c>
      <c r="CG160" s="39">
        <v>30089</v>
      </c>
      <c r="CH160" s="39">
        <v>30149</v>
      </c>
      <c r="CI160" s="40"/>
      <c r="CJ160" s="40">
        <f t="shared" si="101"/>
        <v>203</v>
      </c>
      <c r="CK160" s="41"/>
      <c r="CL160" s="40">
        <f t="shared" si="106"/>
        <v>138</v>
      </c>
      <c r="CM160" s="40">
        <f t="shared" si="85"/>
        <v>198</v>
      </c>
      <c r="CN160" s="42">
        <f t="shared" si="86"/>
        <v>61</v>
      </c>
      <c r="CP160" s="47">
        <f>CG160+9</f>
        <v>30098</v>
      </c>
      <c r="CQ160" s="42">
        <f t="shared" si="100"/>
        <v>57</v>
      </c>
    </row>
    <row r="161" spans="1:95" s="19" customFormat="1" hidden="1" x14ac:dyDescent="0.3">
      <c r="A161" s="3">
        <v>1</v>
      </c>
      <c r="B161" s="3"/>
      <c r="C161" s="3"/>
      <c r="D161" s="3" t="s">
        <v>137</v>
      </c>
      <c r="E161" s="6" t="s">
        <v>138</v>
      </c>
      <c r="F161" s="6" t="str">
        <f t="shared" si="87"/>
        <v>1985-215Abe1982OTC</v>
      </c>
      <c r="G161" s="3" t="s">
        <v>139</v>
      </c>
      <c r="H161" s="3" t="s">
        <v>128</v>
      </c>
      <c r="I161" s="3" t="s">
        <v>129</v>
      </c>
      <c r="J161" s="3" t="s">
        <v>94</v>
      </c>
      <c r="K161" s="3" t="s">
        <v>140</v>
      </c>
      <c r="L161" s="3">
        <v>1982</v>
      </c>
      <c r="M161" s="3" t="s">
        <v>34</v>
      </c>
      <c r="N161" s="3" t="s">
        <v>49</v>
      </c>
      <c r="O161" s="3" t="s">
        <v>130</v>
      </c>
      <c r="P161" s="32" t="s">
        <v>267</v>
      </c>
      <c r="Q161" s="3">
        <f>(7*S161+5*0.976*S161)/12*U161*12/1000+S162/1.01*(90-U161)*12/1000</f>
        <v>31.863816237623759</v>
      </c>
      <c r="R161" s="3"/>
      <c r="S161" s="3">
        <v>23</v>
      </c>
      <c r="T161" s="3">
        <v>7</v>
      </c>
      <c r="U161" s="3">
        <f t="shared" si="88"/>
        <v>56</v>
      </c>
      <c r="V161" s="3">
        <v>4</v>
      </c>
      <c r="W161" s="9">
        <v>1.18114946986415</v>
      </c>
      <c r="X161" s="7">
        <v>30079</v>
      </c>
      <c r="Y161" s="7">
        <v>30134</v>
      </c>
      <c r="Z161" s="3">
        <v>531.5</v>
      </c>
      <c r="AA161" s="3" t="s">
        <v>51</v>
      </c>
      <c r="AB161" s="3">
        <v>4.92</v>
      </c>
      <c r="AC161" s="3" t="s">
        <v>131</v>
      </c>
      <c r="AD161" s="3">
        <v>531.5</v>
      </c>
      <c r="AE161" s="3" t="s">
        <v>51</v>
      </c>
      <c r="AF161" s="3">
        <v>4.92</v>
      </c>
      <c r="AG161" s="3" t="s">
        <v>131</v>
      </c>
      <c r="AH161" s="8">
        <f t="shared" si="89"/>
        <v>0</v>
      </c>
      <c r="AI161" s="8">
        <f>VLOOKUP(F161,'[11]Sheet 2'!$A:$S,18,0)/VLOOKUP(F161,'[11]Sheet 2'!$A:$U,20,0)</f>
        <v>531.85769390647579</v>
      </c>
      <c r="AJ161" s="8">
        <f t="shared" si="90"/>
        <v>-6.7253686573289753E-4</v>
      </c>
      <c r="AK161" s="3">
        <v>42.9</v>
      </c>
      <c r="AL161" s="4" t="s">
        <v>37</v>
      </c>
      <c r="AM161" s="3"/>
      <c r="AN161" s="3"/>
      <c r="AO161" s="3">
        <v>42.9</v>
      </c>
      <c r="AP161" s="4" t="s">
        <v>37</v>
      </c>
      <c r="AQ161" s="3"/>
      <c r="AR161" s="3"/>
      <c r="AS161" s="8">
        <f t="shared" si="91"/>
        <v>0</v>
      </c>
      <c r="AT161" s="8">
        <f>VLOOKUP(F161,'[12]Sheet 2'!$A:$S,18,0)/VLOOKUP(F161,'[12]Sheet 2'!$A:$U,20,0)</f>
        <v>42.954321148578529</v>
      </c>
      <c r="AU161" s="8">
        <f t="shared" si="92"/>
        <v>-1.2646259357850028E-3</v>
      </c>
      <c r="AV161" s="57">
        <v>22.5</v>
      </c>
      <c r="AW161" s="3" t="s">
        <v>132</v>
      </c>
      <c r="AX161" s="3"/>
      <c r="AY161" s="3"/>
      <c r="AZ161" s="3">
        <v>22.5</v>
      </c>
      <c r="BA161" s="3" t="s">
        <v>132</v>
      </c>
      <c r="BB161" s="3"/>
      <c r="BC161" s="3"/>
      <c r="BD161" s="8">
        <f t="shared" si="93"/>
        <v>0</v>
      </c>
      <c r="BE161" s="8">
        <f>VLOOKUP(F161,'[13]Sheet 2'!$A:$S,18,0)/VLOOKUP(F161,'[13]Sheet 2'!$A:$U,20,0)</f>
        <v>22.58683921621105</v>
      </c>
      <c r="BF161" s="8">
        <f t="shared" si="94"/>
        <v>-3.8446820902999102E-3</v>
      </c>
      <c r="BG161" s="3">
        <v>91</v>
      </c>
      <c r="BH161" s="3" t="s">
        <v>141</v>
      </c>
      <c r="BI161" s="3"/>
      <c r="BJ161" s="3"/>
      <c r="BK161" s="3">
        <v>91</v>
      </c>
      <c r="BL161" s="3" t="s">
        <v>141</v>
      </c>
      <c r="BM161" s="3"/>
      <c r="BN161" s="3"/>
      <c r="BO161" s="8">
        <f t="shared" si="95"/>
        <v>0</v>
      </c>
      <c r="BP161" s="8">
        <f>VLOOKUP(F161,'[14]Sheet 2'!$A:$V,18,0)/VLOOKUP(F161,'[14]Sheet 2'!$A:$V,20,0)</f>
        <v>96.257018830011674</v>
      </c>
      <c r="BQ161" s="8">
        <f t="shared" si="96"/>
        <v>-5.4614394814112031E-2</v>
      </c>
      <c r="BR161" s="3">
        <f t="shared" si="104"/>
        <v>12389.277389277389</v>
      </c>
      <c r="BS161" s="3" t="s">
        <v>52</v>
      </c>
      <c r="BT161" s="3"/>
      <c r="BU161" s="3"/>
      <c r="BV161" s="3">
        <f t="shared" si="105"/>
        <v>12389.277389277389</v>
      </c>
      <c r="BW161" s="3" t="s">
        <v>52</v>
      </c>
      <c r="BX161" s="3"/>
      <c r="BY161" s="3"/>
      <c r="BZ161" s="8">
        <f t="shared" si="97"/>
        <v>0</v>
      </c>
      <c r="CA161" s="8">
        <f>VLOOKUP(F161,'[15]Sheet 2'!$A:$S,18,0)/VLOOKUP(F161,'[15]Sheet 2'!$A:$U,20,0)</f>
        <v>12495.249783870317</v>
      </c>
      <c r="CB161" s="8">
        <f t="shared" si="98"/>
        <v>-8.4810144995839387E-3</v>
      </c>
      <c r="CC161" s="19">
        <v>41.709166000000003</v>
      </c>
      <c r="CD161" s="19">
        <v>-87.981992000000005</v>
      </c>
      <c r="CE161" s="20">
        <v>29872</v>
      </c>
      <c r="CF161" s="18">
        <v>30139</v>
      </c>
      <c r="CG161" s="18">
        <v>30079</v>
      </c>
      <c r="CH161" s="18">
        <v>30134</v>
      </c>
      <c r="CI161" s="21">
        <f t="shared" ref="CI161:CI192" si="107">CE161-INT(YEAR(CF161)&amp;"/1/1")+1</f>
        <v>-79</v>
      </c>
      <c r="CJ161" s="21">
        <f t="shared" si="101"/>
        <v>188</v>
      </c>
      <c r="CK161" s="30">
        <f t="shared" ref="CK161:CK192" si="108">CJ161-CI161+1</f>
        <v>268</v>
      </c>
      <c r="CL161" s="21">
        <f t="shared" si="106"/>
        <v>128</v>
      </c>
      <c r="CM161" s="21">
        <f t="shared" si="85"/>
        <v>183</v>
      </c>
      <c r="CN161" s="19">
        <f t="shared" si="86"/>
        <v>56</v>
      </c>
      <c r="CO161" s="29">
        <v>30090</v>
      </c>
      <c r="CP161" s="29">
        <v>30105</v>
      </c>
      <c r="CQ161" s="19">
        <f t="shared" si="100"/>
        <v>35</v>
      </c>
    </row>
    <row r="162" spans="1:95" s="19" customFormat="1" hidden="1" x14ac:dyDescent="0.3">
      <c r="A162" s="3">
        <v>1</v>
      </c>
      <c r="B162" s="3"/>
      <c r="C162" s="3"/>
      <c r="D162" s="3" t="s">
        <v>137</v>
      </c>
      <c r="E162" s="6" t="s">
        <v>138</v>
      </c>
      <c r="F162" s="6" t="str">
        <f t="shared" si="87"/>
        <v>1985-215Abe1982OTC</v>
      </c>
      <c r="G162" s="3" t="s">
        <v>139</v>
      </c>
      <c r="H162" s="3" t="s">
        <v>128</v>
      </c>
      <c r="I162" s="3" t="s">
        <v>129</v>
      </c>
      <c r="J162" s="3" t="s">
        <v>94</v>
      </c>
      <c r="K162" s="3" t="s">
        <v>140</v>
      </c>
      <c r="L162" s="3">
        <v>1982</v>
      </c>
      <c r="M162" s="3" t="s">
        <v>34</v>
      </c>
      <c r="N162" s="3" t="s">
        <v>49</v>
      </c>
      <c r="O162" s="3" t="s">
        <v>101</v>
      </c>
      <c r="P162" s="3"/>
      <c r="Q162" s="4">
        <f>S162/1.01*1.08</f>
        <v>43.841584158415841</v>
      </c>
      <c r="R162" s="3"/>
      <c r="S162" s="3">
        <v>41</v>
      </c>
      <c r="T162" s="3">
        <v>7</v>
      </c>
      <c r="U162" s="3">
        <f t="shared" si="88"/>
        <v>56</v>
      </c>
      <c r="V162" s="3">
        <v>4</v>
      </c>
      <c r="W162" s="9">
        <v>5.5357140123631297</v>
      </c>
      <c r="X162" s="7">
        <v>30079</v>
      </c>
      <c r="Y162" s="7">
        <v>30134</v>
      </c>
      <c r="Z162" s="3">
        <v>505</v>
      </c>
      <c r="AA162" s="3" t="s">
        <v>51</v>
      </c>
      <c r="AB162" s="3">
        <v>4.92</v>
      </c>
      <c r="AC162" s="3" t="s">
        <v>131</v>
      </c>
      <c r="AD162" s="3">
        <v>531.5</v>
      </c>
      <c r="AE162" s="3" t="s">
        <v>51</v>
      </c>
      <c r="AF162" s="3">
        <v>4.92</v>
      </c>
      <c r="AG162" s="3" t="s">
        <v>131</v>
      </c>
      <c r="AH162" s="8">
        <f t="shared" si="89"/>
        <v>-4.9858889934148637E-2</v>
      </c>
      <c r="AI162" s="8">
        <f>VLOOKUP(F162,'[11]Sheet 2'!$A:$S,18,0)/VLOOKUP(F162,'[11]Sheet 2'!$A:$U,20,0)</f>
        <v>531.85769390647579</v>
      </c>
      <c r="AJ162" s="8">
        <f t="shared" si="90"/>
        <v>-5.0497894858316301E-2</v>
      </c>
      <c r="AK162" s="3">
        <v>43.6</v>
      </c>
      <c r="AL162" s="4" t="s">
        <v>37</v>
      </c>
      <c r="AM162" s="3"/>
      <c r="AN162" s="3"/>
      <c r="AO162" s="3">
        <v>42.9</v>
      </c>
      <c r="AP162" s="4" t="s">
        <v>37</v>
      </c>
      <c r="AQ162" s="3"/>
      <c r="AR162" s="3"/>
      <c r="AS162" s="8">
        <f t="shared" si="91"/>
        <v>1.6317016317016386E-2</v>
      </c>
      <c r="AT162" s="8">
        <f>VLOOKUP(F162,'[12]Sheet 2'!$A:$S,18,0)/VLOOKUP(F162,'[12]Sheet 2'!$A:$U,20,0)</f>
        <v>42.954321148578529</v>
      </c>
      <c r="AU162" s="8">
        <f t="shared" si="92"/>
        <v>1.5031755459202255E-2</v>
      </c>
      <c r="AV162" s="57">
        <v>21.4</v>
      </c>
      <c r="AW162" s="3" t="s">
        <v>132</v>
      </c>
      <c r="AX162" s="3"/>
      <c r="AY162" s="3"/>
      <c r="AZ162" s="3">
        <v>22.5</v>
      </c>
      <c r="BA162" s="3" t="s">
        <v>132</v>
      </c>
      <c r="BB162" s="3"/>
      <c r="BC162" s="3"/>
      <c r="BD162" s="8">
        <f t="shared" si="93"/>
        <v>-4.8888888888888954E-2</v>
      </c>
      <c r="BE162" s="8">
        <f>VLOOKUP(F162,'[13]Sheet 2'!$A:$S,18,0)/VLOOKUP(F162,'[13]Sheet 2'!$A:$U,20,0)</f>
        <v>22.58683921621105</v>
      </c>
      <c r="BF162" s="8">
        <f t="shared" si="94"/>
        <v>-5.254560874366309E-2</v>
      </c>
      <c r="BG162" s="3">
        <v>101</v>
      </c>
      <c r="BH162" s="3" t="s">
        <v>141</v>
      </c>
      <c r="BI162" s="3"/>
      <c r="BJ162" s="3"/>
      <c r="BK162" s="3">
        <v>91</v>
      </c>
      <c r="BL162" s="3" t="s">
        <v>141</v>
      </c>
      <c r="BM162" s="3"/>
      <c r="BN162" s="3"/>
      <c r="BO162" s="8">
        <f t="shared" si="95"/>
        <v>0.10989010989010989</v>
      </c>
      <c r="BP162" s="8">
        <f>VLOOKUP(F162,'[14]Sheet 2'!$A:$V,18,0)/VLOOKUP(F162,'[14]Sheet 2'!$A:$V,20,0)</f>
        <v>96.257018830011674</v>
      </c>
      <c r="BQ162" s="8">
        <f t="shared" si="96"/>
        <v>4.9274133228293236E-2</v>
      </c>
      <c r="BR162" s="3">
        <f t="shared" si="104"/>
        <v>11582.568807339449</v>
      </c>
      <c r="BS162" s="3" t="s">
        <v>52</v>
      </c>
      <c r="BT162" s="3"/>
      <c r="BU162" s="3"/>
      <c r="BV162" s="3">
        <f t="shared" si="105"/>
        <v>12389.277389277389</v>
      </c>
      <c r="BW162" s="3" t="s">
        <v>52</v>
      </c>
      <c r="BX162" s="3"/>
      <c r="BY162" s="3"/>
      <c r="BZ162" s="8">
        <f t="shared" si="97"/>
        <v>-6.5113449040710564E-2</v>
      </c>
      <c r="CA162" s="8">
        <f>VLOOKUP(F162,'[15]Sheet 2'!$A:$S,18,0)/VLOOKUP(F162,'[15]Sheet 2'!$A:$U,20,0)</f>
        <v>12495.249783870317</v>
      </c>
      <c r="CB162" s="8">
        <f t="shared" si="98"/>
        <v>-7.304223543486231E-2</v>
      </c>
      <c r="CC162" s="19">
        <v>41.709166000000003</v>
      </c>
      <c r="CD162" s="19">
        <v>-87.981992000000005</v>
      </c>
      <c r="CE162" s="20">
        <v>29872</v>
      </c>
      <c r="CF162" s="18">
        <v>30139</v>
      </c>
      <c r="CG162" s="18">
        <v>30079</v>
      </c>
      <c r="CH162" s="18">
        <v>30134</v>
      </c>
      <c r="CI162" s="21">
        <f t="shared" si="107"/>
        <v>-79</v>
      </c>
      <c r="CJ162" s="21">
        <f t="shared" si="101"/>
        <v>188</v>
      </c>
      <c r="CK162" s="30">
        <f t="shared" si="108"/>
        <v>268</v>
      </c>
      <c r="CL162" s="21">
        <f t="shared" si="106"/>
        <v>128</v>
      </c>
      <c r="CM162" s="21">
        <f t="shared" si="85"/>
        <v>183</v>
      </c>
      <c r="CN162" s="19">
        <f t="shared" si="86"/>
        <v>56</v>
      </c>
      <c r="CO162" s="29">
        <v>30090</v>
      </c>
      <c r="CP162" s="29">
        <v>30105</v>
      </c>
      <c r="CQ162" s="19">
        <f t="shared" si="100"/>
        <v>35</v>
      </c>
    </row>
    <row r="163" spans="1:95" s="19" customFormat="1" hidden="1" x14ac:dyDescent="0.3">
      <c r="A163" s="3">
        <v>1</v>
      </c>
      <c r="B163" s="3"/>
      <c r="C163" s="3"/>
      <c r="D163" s="3" t="s">
        <v>137</v>
      </c>
      <c r="E163" s="6" t="s">
        <v>138</v>
      </c>
      <c r="F163" s="6" t="str">
        <f t="shared" si="87"/>
        <v>1985-215Abe1982OTC</v>
      </c>
      <c r="G163" s="3" t="s">
        <v>139</v>
      </c>
      <c r="H163" s="3" t="s">
        <v>128</v>
      </c>
      <c r="I163" s="3" t="s">
        <v>129</v>
      </c>
      <c r="J163" s="3" t="s">
        <v>94</v>
      </c>
      <c r="K163" s="3" t="s">
        <v>140</v>
      </c>
      <c r="L163" s="3">
        <v>1982</v>
      </c>
      <c r="M163" s="3" t="s">
        <v>34</v>
      </c>
      <c r="N163" s="3" t="s">
        <v>49</v>
      </c>
      <c r="O163" s="3" t="s">
        <v>134</v>
      </c>
      <c r="P163" s="3"/>
      <c r="Q163" s="3">
        <f>(7*S163+5*0.976*S162)/12*U163*12/1000+S162/1.01*(90-U163)*12/1000</f>
        <v>54.422856237623755</v>
      </c>
      <c r="R163" s="3"/>
      <c r="S163" s="3">
        <v>68</v>
      </c>
      <c r="T163" s="3">
        <v>7</v>
      </c>
      <c r="U163" s="3">
        <f t="shared" ref="U163:U194" si="109">Y163-X163+1</f>
        <v>56</v>
      </c>
      <c r="V163" s="3">
        <v>4</v>
      </c>
      <c r="W163" s="9">
        <v>13.533045231200999</v>
      </c>
      <c r="X163" s="7">
        <v>30079</v>
      </c>
      <c r="Y163" s="7">
        <v>30134</v>
      </c>
      <c r="Z163" s="3">
        <v>463.3</v>
      </c>
      <c r="AA163" s="3" t="s">
        <v>51</v>
      </c>
      <c r="AB163" s="3">
        <v>4.92</v>
      </c>
      <c r="AC163" s="3" t="s">
        <v>131</v>
      </c>
      <c r="AD163" s="3">
        <v>531.5</v>
      </c>
      <c r="AE163" s="3" t="s">
        <v>51</v>
      </c>
      <c r="AF163" s="3">
        <v>4.92</v>
      </c>
      <c r="AG163" s="3" t="s">
        <v>131</v>
      </c>
      <c r="AH163" s="8">
        <f t="shared" si="89"/>
        <v>-0.12831608654750704</v>
      </c>
      <c r="AI163" s="8">
        <f>VLOOKUP(F163,'[11]Sheet 2'!$A:$S,18,0)/VLOOKUP(F163,'[11]Sheet 2'!$A:$U,20,0)</f>
        <v>531.85769390647579</v>
      </c>
      <c r="AJ163" s="8">
        <f t="shared" si="90"/>
        <v>-0.12890232611457017</v>
      </c>
      <c r="AK163" s="3">
        <v>38</v>
      </c>
      <c r="AL163" s="4" t="s">
        <v>37</v>
      </c>
      <c r="AM163" s="3"/>
      <c r="AN163" s="3"/>
      <c r="AO163" s="3">
        <v>42.9</v>
      </c>
      <c r="AP163" s="4" t="s">
        <v>37</v>
      </c>
      <c r="AQ163" s="3"/>
      <c r="AR163" s="3"/>
      <c r="AS163" s="8">
        <f t="shared" si="91"/>
        <v>-0.1142191142191142</v>
      </c>
      <c r="AT163" s="8">
        <f>VLOOKUP(F163,'[12]Sheet 2'!$A:$S,18,0)/VLOOKUP(F163,'[12]Sheet 2'!$A:$U,20,0)</f>
        <v>42.954321148578529</v>
      </c>
      <c r="AU163" s="8">
        <f t="shared" si="92"/>
        <v>-0.11533929570069532</v>
      </c>
      <c r="AV163" s="57">
        <v>22.1</v>
      </c>
      <c r="AW163" s="3" t="s">
        <v>132</v>
      </c>
      <c r="AX163" s="3"/>
      <c r="AY163" s="3"/>
      <c r="AZ163" s="3">
        <v>22.5</v>
      </c>
      <c r="BA163" s="3" t="s">
        <v>132</v>
      </c>
      <c r="BB163" s="3"/>
      <c r="BC163" s="3"/>
      <c r="BD163" s="8">
        <f t="shared" si="93"/>
        <v>-1.7777777777777715E-2</v>
      </c>
      <c r="BE163" s="8">
        <f>VLOOKUP(F163,'[13]Sheet 2'!$A:$S,18,0)/VLOOKUP(F163,'[13]Sheet 2'!$A:$U,20,0)</f>
        <v>22.58683921621105</v>
      </c>
      <c r="BF163" s="8">
        <f t="shared" si="94"/>
        <v>-2.1554109964250071E-2</v>
      </c>
      <c r="BG163" s="3">
        <v>89</v>
      </c>
      <c r="BH163" s="3" t="s">
        <v>141</v>
      </c>
      <c r="BI163" s="3"/>
      <c r="BJ163" s="3"/>
      <c r="BK163" s="3">
        <v>91</v>
      </c>
      <c r="BL163" s="3" t="s">
        <v>141</v>
      </c>
      <c r="BM163" s="3"/>
      <c r="BN163" s="3"/>
      <c r="BO163" s="8">
        <f t="shared" si="95"/>
        <v>-2.197802197802198E-2</v>
      </c>
      <c r="BP163" s="8">
        <f>VLOOKUP(F163,'[14]Sheet 2'!$A:$V,18,0)/VLOOKUP(F163,'[14]Sheet 2'!$A:$V,20,0)</f>
        <v>96.257018830011674</v>
      </c>
      <c r="BQ163" s="8">
        <f t="shared" si="96"/>
        <v>-7.5392100422593089E-2</v>
      </c>
      <c r="BR163" s="3">
        <f t="shared" si="104"/>
        <v>12192.105263157895</v>
      </c>
      <c r="BS163" s="3" t="s">
        <v>52</v>
      </c>
      <c r="BT163" s="3"/>
      <c r="BU163" s="3"/>
      <c r="BV163" s="3">
        <f t="shared" si="105"/>
        <v>12389.277389277389</v>
      </c>
      <c r="BW163" s="3" t="s">
        <v>52</v>
      </c>
      <c r="BX163" s="3"/>
      <c r="BY163" s="3"/>
      <c r="BZ163" s="8">
        <f t="shared" si="97"/>
        <v>-1.5914739812843477E-2</v>
      </c>
      <c r="CA163" s="8">
        <f>VLOOKUP(F163,'[15]Sheet 2'!$A:$S,18,0)/VLOOKUP(F163,'[15]Sheet 2'!$A:$U,20,0)</f>
        <v>12495.249783870317</v>
      </c>
      <c r="CB163" s="8">
        <f t="shared" si="98"/>
        <v>-2.4260781173317585E-2</v>
      </c>
      <c r="CC163" s="19">
        <v>41.709166000000003</v>
      </c>
      <c r="CD163" s="19">
        <v>-87.981992000000005</v>
      </c>
      <c r="CE163" s="20">
        <v>29872</v>
      </c>
      <c r="CF163" s="18">
        <v>30139</v>
      </c>
      <c r="CG163" s="18">
        <v>30079</v>
      </c>
      <c r="CH163" s="18">
        <v>30134</v>
      </c>
      <c r="CI163" s="21">
        <f t="shared" si="107"/>
        <v>-79</v>
      </c>
      <c r="CJ163" s="21">
        <f t="shared" si="101"/>
        <v>188</v>
      </c>
      <c r="CK163" s="30">
        <f t="shared" si="108"/>
        <v>268</v>
      </c>
      <c r="CL163" s="21">
        <f t="shared" si="106"/>
        <v>128</v>
      </c>
      <c r="CM163" s="21">
        <f t="shared" si="85"/>
        <v>183</v>
      </c>
      <c r="CN163" s="19">
        <f t="shared" si="86"/>
        <v>56</v>
      </c>
      <c r="CO163" s="29">
        <v>30090</v>
      </c>
      <c r="CP163" s="29">
        <v>30105</v>
      </c>
      <c r="CQ163" s="19">
        <f t="shared" ref="CQ163:CQ185" si="110">CF163-CP163+1</f>
        <v>35</v>
      </c>
    </row>
    <row r="164" spans="1:95" s="19" customFormat="1" hidden="1" x14ac:dyDescent="0.3">
      <c r="A164" s="3">
        <v>1</v>
      </c>
      <c r="B164" s="3"/>
      <c r="C164" s="3"/>
      <c r="D164" s="3" t="s">
        <v>137</v>
      </c>
      <c r="E164" s="6" t="s">
        <v>138</v>
      </c>
      <c r="F164" s="6" t="str">
        <f t="shared" si="87"/>
        <v>1985-215Abe1982OTC</v>
      </c>
      <c r="G164" s="3" t="s">
        <v>139</v>
      </c>
      <c r="H164" s="3" t="s">
        <v>128</v>
      </c>
      <c r="I164" s="3" t="s">
        <v>129</v>
      </c>
      <c r="J164" s="3" t="s">
        <v>94</v>
      </c>
      <c r="K164" s="3" t="s">
        <v>140</v>
      </c>
      <c r="L164" s="3">
        <v>1982</v>
      </c>
      <c r="M164" s="3" t="s">
        <v>34</v>
      </c>
      <c r="N164" s="3" t="s">
        <v>49</v>
      </c>
      <c r="O164" s="3" t="s">
        <v>135</v>
      </c>
      <c r="P164" s="3"/>
      <c r="Q164" s="3">
        <f>(7*S164+5*0.976*S162)/12*U164*12/1000+S162/1.01*(90-U164)*12/1000</f>
        <v>65.006856237623765</v>
      </c>
      <c r="R164" s="3"/>
      <c r="S164" s="3">
        <v>95</v>
      </c>
      <c r="T164" s="3">
        <v>7</v>
      </c>
      <c r="U164" s="3">
        <f t="shared" si="109"/>
        <v>56</v>
      </c>
      <c r="V164" s="3">
        <v>4</v>
      </c>
      <c r="W164" s="9">
        <v>23.216148995419001</v>
      </c>
      <c r="X164" s="7">
        <v>30079</v>
      </c>
      <c r="Y164" s="7">
        <v>30134</v>
      </c>
      <c r="Z164" s="3">
        <v>360.6</v>
      </c>
      <c r="AA164" s="3" t="s">
        <v>51</v>
      </c>
      <c r="AB164" s="3">
        <v>4.92</v>
      </c>
      <c r="AC164" s="3" t="s">
        <v>131</v>
      </c>
      <c r="AD164" s="3">
        <v>531.5</v>
      </c>
      <c r="AE164" s="3" t="s">
        <v>51</v>
      </c>
      <c r="AF164" s="3">
        <v>4.92</v>
      </c>
      <c r="AG164" s="3" t="s">
        <v>131</v>
      </c>
      <c r="AH164" s="8">
        <f t="shared" si="89"/>
        <v>-0.32154280338664154</v>
      </c>
      <c r="AI164" s="8">
        <f>VLOOKUP(F164,'[11]Sheet 2'!$A:$S,18,0)/VLOOKUP(F164,'[11]Sheet 2'!$A:$U,20,0)</f>
        <v>531.85769390647579</v>
      </c>
      <c r="AJ164" s="8">
        <f t="shared" si="90"/>
        <v>-0.32199909086318579</v>
      </c>
      <c r="AK164" s="3">
        <v>31</v>
      </c>
      <c r="AL164" s="4" t="s">
        <v>37</v>
      </c>
      <c r="AM164" s="3"/>
      <c r="AN164" s="3"/>
      <c r="AO164" s="3">
        <v>42.9</v>
      </c>
      <c r="AP164" s="4" t="s">
        <v>37</v>
      </c>
      <c r="AQ164" s="3"/>
      <c r="AR164" s="3"/>
      <c r="AS164" s="8">
        <f t="shared" si="91"/>
        <v>-0.27738927738927738</v>
      </c>
      <c r="AT164" s="8">
        <f>VLOOKUP(F164,'[12]Sheet 2'!$A:$S,18,0)/VLOOKUP(F164,'[12]Sheet 2'!$A:$U,20,0)</f>
        <v>42.954321148578529</v>
      </c>
      <c r="AU164" s="8">
        <f t="shared" si="92"/>
        <v>-0.2783031096505672</v>
      </c>
      <c r="AV164" s="57">
        <v>20.6</v>
      </c>
      <c r="AW164" s="3" t="s">
        <v>132</v>
      </c>
      <c r="AX164" s="3"/>
      <c r="AY164" s="3"/>
      <c r="AZ164" s="3">
        <v>22.5</v>
      </c>
      <c r="BA164" s="3" t="s">
        <v>132</v>
      </c>
      <c r="BB164" s="3"/>
      <c r="BC164" s="3"/>
      <c r="BD164" s="8">
        <f t="shared" si="93"/>
        <v>-8.4444444444444378E-2</v>
      </c>
      <c r="BE164" s="8">
        <f>VLOOKUP(F164,'[13]Sheet 2'!$A:$S,18,0)/VLOOKUP(F164,'[13]Sheet 2'!$A:$U,20,0)</f>
        <v>22.58683921621105</v>
      </c>
      <c r="BF164" s="8">
        <f t="shared" si="94"/>
        <v>-8.7964464491563407E-2</v>
      </c>
      <c r="BG164" s="3">
        <v>87</v>
      </c>
      <c r="BH164" s="3" t="s">
        <v>141</v>
      </c>
      <c r="BI164" s="3"/>
      <c r="BJ164" s="3"/>
      <c r="BK164" s="3">
        <v>91</v>
      </c>
      <c r="BL164" s="3" t="s">
        <v>141</v>
      </c>
      <c r="BM164" s="3"/>
      <c r="BN164" s="3"/>
      <c r="BO164" s="8">
        <f t="shared" si="95"/>
        <v>-4.3956043956043959E-2</v>
      </c>
      <c r="BP164" s="8">
        <f>VLOOKUP(F164,'[14]Sheet 2'!$A:$V,18,0)/VLOOKUP(F164,'[14]Sheet 2'!$A:$V,20,0)</f>
        <v>96.257018830011674</v>
      </c>
      <c r="BQ164" s="8">
        <f t="shared" si="96"/>
        <v>-9.616980603107414E-2</v>
      </c>
      <c r="BR164" s="3">
        <f t="shared" si="104"/>
        <v>11632.258064516129</v>
      </c>
      <c r="BS164" s="3" t="s">
        <v>52</v>
      </c>
      <c r="BT164" s="3"/>
      <c r="BU164" s="3"/>
      <c r="BV164" s="3">
        <f t="shared" si="105"/>
        <v>12389.277389277389</v>
      </c>
      <c r="BW164" s="3" t="s">
        <v>52</v>
      </c>
      <c r="BX164" s="3"/>
      <c r="BY164" s="3"/>
      <c r="BZ164" s="8">
        <f t="shared" si="97"/>
        <v>-6.1102782751191118E-2</v>
      </c>
      <c r="CA164" s="8">
        <f>VLOOKUP(F164,'[15]Sheet 2'!$A:$S,18,0)/VLOOKUP(F164,'[15]Sheet 2'!$A:$U,20,0)</f>
        <v>12495.249783870317</v>
      </c>
      <c r="CB164" s="8">
        <f t="shared" si="98"/>
        <v>-6.906558366429727E-2</v>
      </c>
      <c r="CC164" s="19">
        <v>41.709166000000003</v>
      </c>
      <c r="CD164" s="19">
        <v>-87.981992000000005</v>
      </c>
      <c r="CE164" s="20">
        <v>29872</v>
      </c>
      <c r="CF164" s="18">
        <v>30139</v>
      </c>
      <c r="CG164" s="18">
        <v>30079</v>
      </c>
      <c r="CH164" s="18">
        <v>30134</v>
      </c>
      <c r="CI164" s="21">
        <f t="shared" si="107"/>
        <v>-79</v>
      </c>
      <c r="CJ164" s="21">
        <f t="shared" si="101"/>
        <v>188</v>
      </c>
      <c r="CK164" s="30">
        <f t="shared" si="108"/>
        <v>268</v>
      </c>
      <c r="CL164" s="21">
        <f t="shared" si="106"/>
        <v>128</v>
      </c>
      <c r="CM164" s="21">
        <f t="shared" si="85"/>
        <v>183</v>
      </c>
      <c r="CN164" s="19">
        <f t="shared" si="86"/>
        <v>56</v>
      </c>
      <c r="CO164" s="29">
        <v>30090</v>
      </c>
      <c r="CP164" s="29">
        <v>30105</v>
      </c>
      <c r="CQ164" s="19">
        <f t="shared" si="110"/>
        <v>35</v>
      </c>
    </row>
    <row r="165" spans="1:95" s="19" customFormat="1" hidden="1" x14ac:dyDescent="0.3">
      <c r="A165" s="3">
        <v>1</v>
      </c>
      <c r="B165" s="3"/>
      <c r="C165" s="3"/>
      <c r="D165" s="3" t="s">
        <v>137</v>
      </c>
      <c r="E165" s="6" t="s">
        <v>138</v>
      </c>
      <c r="F165" s="6" t="str">
        <f t="shared" si="87"/>
        <v>1985-215Abe1982OTC</v>
      </c>
      <c r="G165" s="3" t="s">
        <v>139</v>
      </c>
      <c r="H165" s="3" t="s">
        <v>128</v>
      </c>
      <c r="I165" s="3" t="s">
        <v>129</v>
      </c>
      <c r="J165" s="3" t="s">
        <v>94</v>
      </c>
      <c r="K165" s="3" t="s">
        <v>140</v>
      </c>
      <c r="L165" s="3">
        <v>1982</v>
      </c>
      <c r="M165" s="3" t="s">
        <v>34</v>
      </c>
      <c r="N165" s="3" t="s">
        <v>49</v>
      </c>
      <c r="O165" s="3" t="s">
        <v>136</v>
      </c>
      <c r="P165" s="3"/>
      <c r="Q165" s="3">
        <f>(7*S165+5*0.976*S162)/12*U165*12/1000+S162/1.01*(90-U165)*12/1000</f>
        <v>75.59085623762374</v>
      </c>
      <c r="R165" s="3"/>
      <c r="S165" s="3">
        <v>122</v>
      </c>
      <c r="T165" s="3">
        <v>7</v>
      </c>
      <c r="U165" s="3">
        <f t="shared" si="109"/>
        <v>56</v>
      </c>
      <c r="V165" s="3">
        <v>4</v>
      </c>
      <c r="W165" s="9">
        <v>33.3905050705403</v>
      </c>
      <c r="X165" s="7">
        <v>30079</v>
      </c>
      <c r="Y165" s="7">
        <v>30134</v>
      </c>
      <c r="Z165" s="3">
        <v>273.60000000000002</v>
      </c>
      <c r="AA165" s="3" t="s">
        <v>51</v>
      </c>
      <c r="AB165" s="3">
        <v>4.92</v>
      </c>
      <c r="AC165" s="3" t="s">
        <v>131</v>
      </c>
      <c r="AD165" s="3">
        <v>531.5</v>
      </c>
      <c r="AE165" s="3" t="s">
        <v>51</v>
      </c>
      <c r="AF165" s="3">
        <v>4.92</v>
      </c>
      <c r="AG165" s="3" t="s">
        <v>131</v>
      </c>
      <c r="AH165" s="8">
        <f t="shared" si="89"/>
        <v>-0.48523047977422384</v>
      </c>
      <c r="AI165" s="8">
        <f>VLOOKUP(F165,'[11]Sheet 2'!$A:$S,18,0)/VLOOKUP(F165,'[11]Sheet 2'!$A:$U,20,0)</f>
        <v>531.85769390647579</v>
      </c>
      <c r="AJ165" s="8">
        <f t="shared" si="90"/>
        <v>-0.48557668125393133</v>
      </c>
      <c r="AK165" s="3">
        <v>26</v>
      </c>
      <c r="AL165" s="4" t="s">
        <v>37</v>
      </c>
      <c r="AM165" s="3"/>
      <c r="AN165" s="3"/>
      <c r="AO165" s="3">
        <v>42.9</v>
      </c>
      <c r="AP165" s="4" t="s">
        <v>37</v>
      </c>
      <c r="AQ165" s="3"/>
      <c r="AR165" s="3"/>
      <c r="AS165" s="8">
        <f t="shared" si="91"/>
        <v>-0.39393939393939392</v>
      </c>
      <c r="AT165" s="8">
        <f>VLOOKUP(F165,'[12]Sheet 2'!$A:$S,18,0)/VLOOKUP(F165,'[12]Sheet 2'!$A:$U,20,0)</f>
        <v>42.954321148578529</v>
      </c>
      <c r="AU165" s="8">
        <f t="shared" si="92"/>
        <v>-0.39470583390047576</v>
      </c>
      <c r="AV165" s="57">
        <v>20</v>
      </c>
      <c r="AW165" s="3" t="s">
        <v>132</v>
      </c>
      <c r="AX165" s="3"/>
      <c r="AY165" s="3"/>
      <c r="AZ165" s="3">
        <v>22.5</v>
      </c>
      <c r="BA165" s="3" t="s">
        <v>132</v>
      </c>
      <c r="BB165" s="3"/>
      <c r="BC165" s="3"/>
      <c r="BD165" s="8">
        <f t="shared" si="93"/>
        <v>-0.1111111111111111</v>
      </c>
      <c r="BE165" s="8">
        <f>VLOOKUP(F165,'[13]Sheet 2'!$A:$S,18,0)/VLOOKUP(F165,'[13]Sheet 2'!$A:$U,20,0)</f>
        <v>22.58683921621105</v>
      </c>
      <c r="BF165" s="8">
        <f t="shared" si="94"/>
        <v>-0.1145286063024888</v>
      </c>
      <c r="BG165" s="3">
        <v>114</v>
      </c>
      <c r="BH165" s="3" t="s">
        <v>141</v>
      </c>
      <c r="BI165" s="3"/>
      <c r="BJ165" s="3"/>
      <c r="BK165" s="3">
        <v>91</v>
      </c>
      <c r="BL165" s="3" t="s">
        <v>141</v>
      </c>
      <c r="BM165" s="3"/>
      <c r="BN165" s="3"/>
      <c r="BO165" s="8">
        <f t="shared" si="95"/>
        <v>0.25274725274725274</v>
      </c>
      <c r="BP165" s="8">
        <f>VLOOKUP(F165,'[14]Sheet 2'!$A:$V,18,0)/VLOOKUP(F165,'[14]Sheet 2'!$A:$V,20,0)</f>
        <v>96.257018830011674</v>
      </c>
      <c r="BQ165" s="8">
        <f t="shared" si="96"/>
        <v>0.18432921968342009</v>
      </c>
      <c r="BR165" s="3">
        <f t="shared" si="104"/>
        <v>10523.076923076926</v>
      </c>
      <c r="BS165" s="3" t="s">
        <v>52</v>
      </c>
      <c r="BT165" s="3"/>
      <c r="BU165" s="3"/>
      <c r="BV165" s="3">
        <f t="shared" si="105"/>
        <v>12389.277389277389</v>
      </c>
      <c r="BW165" s="3" t="s">
        <v>52</v>
      </c>
      <c r="BX165" s="3"/>
      <c r="BY165" s="3"/>
      <c r="BZ165" s="8">
        <f t="shared" si="97"/>
        <v>-0.15063029162746924</v>
      </c>
      <c r="CA165" s="8">
        <f>VLOOKUP(F165,'[15]Sheet 2'!$A:$S,18,0)/VLOOKUP(F165,'[15]Sheet 2'!$A:$U,20,0)</f>
        <v>12495.249783870317</v>
      </c>
      <c r="CB165" s="8">
        <f t="shared" si="98"/>
        <v>-0.15783380843968403</v>
      </c>
      <c r="CC165" s="19">
        <v>41.709166000000003</v>
      </c>
      <c r="CD165" s="19">
        <v>-87.981992000000005</v>
      </c>
      <c r="CE165" s="20">
        <v>29872</v>
      </c>
      <c r="CF165" s="18">
        <v>30139</v>
      </c>
      <c r="CG165" s="18">
        <v>30079</v>
      </c>
      <c r="CH165" s="18">
        <v>30134</v>
      </c>
      <c r="CI165" s="21">
        <f t="shared" si="107"/>
        <v>-79</v>
      </c>
      <c r="CJ165" s="21">
        <f t="shared" si="101"/>
        <v>188</v>
      </c>
      <c r="CK165" s="30">
        <f t="shared" si="108"/>
        <v>268</v>
      </c>
      <c r="CL165" s="21">
        <f t="shared" si="106"/>
        <v>128</v>
      </c>
      <c r="CM165" s="21">
        <f t="shared" si="85"/>
        <v>183</v>
      </c>
      <c r="CN165" s="19">
        <f t="shared" si="86"/>
        <v>56</v>
      </c>
      <c r="CO165" s="29">
        <v>30090</v>
      </c>
      <c r="CP165" s="29">
        <v>30105</v>
      </c>
      <c r="CQ165" s="19">
        <f t="shared" si="110"/>
        <v>35</v>
      </c>
    </row>
    <row r="166" spans="1:95" s="42" customFormat="1" hidden="1" x14ac:dyDescent="0.3">
      <c r="A166" s="31">
        <v>1</v>
      </c>
      <c r="B166" s="31"/>
      <c r="C166" s="31"/>
      <c r="D166" s="31" t="s">
        <v>137</v>
      </c>
      <c r="E166" s="34" t="s">
        <v>138</v>
      </c>
      <c r="F166" s="34" t="str">
        <f t="shared" si="87"/>
        <v>1985-215Arthur-711982OTC</v>
      </c>
      <c r="G166" s="31" t="s">
        <v>139</v>
      </c>
      <c r="H166" s="31" t="s">
        <v>128</v>
      </c>
      <c r="I166" s="31" t="s">
        <v>129</v>
      </c>
      <c r="J166" s="31" t="s">
        <v>94</v>
      </c>
      <c r="K166" s="31" t="s">
        <v>142</v>
      </c>
      <c r="L166" s="31">
        <v>1982</v>
      </c>
      <c r="M166" s="31" t="s">
        <v>34</v>
      </c>
      <c r="N166" s="31" t="s">
        <v>49</v>
      </c>
      <c r="O166" s="31" t="s">
        <v>130</v>
      </c>
      <c r="P166" s="32" t="s">
        <v>267</v>
      </c>
      <c r="Q166" s="31">
        <f>(7*S166+5*0.976*S166)/12*U166*12/1000+S167/1.01*(90-U166)*12/1000</f>
        <v>31.863816237623759</v>
      </c>
      <c r="R166" s="31"/>
      <c r="S166" s="31">
        <v>23</v>
      </c>
      <c r="T166" s="31">
        <v>7</v>
      </c>
      <c r="U166" s="31">
        <f t="shared" si="109"/>
        <v>56</v>
      </c>
      <c r="V166" s="31">
        <v>4</v>
      </c>
      <c r="W166" s="43">
        <v>1.18114946986415</v>
      </c>
      <c r="X166" s="35">
        <v>30079</v>
      </c>
      <c r="Y166" s="35">
        <v>30134</v>
      </c>
      <c r="Z166" s="31">
        <v>464.7</v>
      </c>
      <c r="AA166" s="31" t="s">
        <v>51</v>
      </c>
      <c r="AB166" s="31">
        <v>4.92</v>
      </c>
      <c r="AC166" s="31" t="s">
        <v>131</v>
      </c>
      <c r="AD166" s="31">
        <v>464.7</v>
      </c>
      <c r="AE166" s="31" t="s">
        <v>51</v>
      </c>
      <c r="AF166" s="31">
        <v>4.92</v>
      </c>
      <c r="AG166" s="31" t="s">
        <v>131</v>
      </c>
      <c r="AH166" s="8">
        <f t="shared" si="89"/>
        <v>0</v>
      </c>
      <c r="AI166" s="8">
        <f>VLOOKUP(F166,'[11]Sheet 2'!$A:$S,18,0)/VLOOKUP(F166,'[11]Sheet 2'!$A:$U,20,0)</f>
        <v>461.13089326180631</v>
      </c>
      <c r="AJ166" s="8">
        <f t="shared" si="90"/>
        <v>7.7398994306098843E-3</v>
      </c>
      <c r="AK166" s="31">
        <v>43.2</v>
      </c>
      <c r="AL166" s="32" t="s">
        <v>37</v>
      </c>
      <c r="AM166" s="31"/>
      <c r="AN166" s="31"/>
      <c r="AO166" s="31">
        <v>43.2</v>
      </c>
      <c r="AP166" s="32" t="s">
        <v>37</v>
      </c>
      <c r="AQ166" s="31"/>
      <c r="AR166" s="31"/>
      <c r="AS166" s="8">
        <f t="shared" si="91"/>
        <v>0</v>
      </c>
      <c r="AT166" s="8">
        <f>VLOOKUP(F166,'[12]Sheet 2'!$A:$S,18,0)/VLOOKUP(F166,'[12]Sheet 2'!$A:$U,20,0)</f>
        <v>43.674753873917346</v>
      </c>
      <c r="AU166" s="8">
        <f t="shared" si="92"/>
        <v>-1.0870212921814943E-2</v>
      </c>
      <c r="AV166" s="57">
        <v>23.1</v>
      </c>
      <c r="AW166" s="31" t="s">
        <v>132</v>
      </c>
      <c r="AX166" s="31"/>
      <c r="AY166" s="31"/>
      <c r="AZ166" s="31">
        <v>23.1</v>
      </c>
      <c r="BA166" s="31" t="s">
        <v>132</v>
      </c>
      <c r="BB166" s="31"/>
      <c r="BC166" s="31"/>
      <c r="BD166" s="8">
        <f t="shared" si="93"/>
        <v>0</v>
      </c>
      <c r="BE166" s="8">
        <f>VLOOKUP(F166,'[13]Sheet 2'!$A:$S,18,0)/VLOOKUP(F166,'[13]Sheet 2'!$A:$U,20,0)</f>
        <v>22.594743078569898</v>
      </c>
      <c r="BF166" s="8">
        <f t="shared" si="94"/>
        <v>2.2361702439950139E-2</v>
      </c>
      <c r="BG166" s="31">
        <v>78</v>
      </c>
      <c r="BH166" s="31" t="s">
        <v>141</v>
      </c>
      <c r="BI166" s="31"/>
      <c r="BJ166" s="31"/>
      <c r="BK166" s="31">
        <v>78</v>
      </c>
      <c r="BL166" s="31" t="s">
        <v>141</v>
      </c>
      <c r="BM166" s="31"/>
      <c r="BN166" s="31"/>
      <c r="BO166" s="8">
        <f t="shared" si="95"/>
        <v>0</v>
      </c>
      <c r="BP166" s="8">
        <f>VLOOKUP(F166,'[14]Sheet 2'!$A:$V,18,0)/VLOOKUP(F166,'[14]Sheet 2'!$A:$V,20,0)</f>
        <v>83.003887105533863</v>
      </c>
      <c r="BQ166" s="8">
        <f t="shared" si="96"/>
        <v>-6.0284973150374961E-2</v>
      </c>
      <c r="BR166" s="31">
        <f t="shared" si="104"/>
        <v>10756.944444444443</v>
      </c>
      <c r="BS166" s="31" t="s">
        <v>52</v>
      </c>
      <c r="BT166" s="31"/>
      <c r="BU166" s="31"/>
      <c r="BV166" s="31">
        <f t="shared" si="105"/>
        <v>10756.944444444443</v>
      </c>
      <c r="BW166" s="31" t="s">
        <v>52</v>
      </c>
      <c r="BX166" s="31"/>
      <c r="BY166" s="31"/>
      <c r="BZ166" s="8">
        <f t="shared" si="97"/>
        <v>0</v>
      </c>
      <c r="CA166" s="8">
        <f>VLOOKUP(F166,'[15]Sheet 2'!$A:$S,18,0)/VLOOKUP(F166,'[15]Sheet 2'!$A:$U,20,0)</f>
        <v>10654.917913505869</v>
      </c>
      <c r="CB166" s="8">
        <f t="shared" si="98"/>
        <v>9.5755342055942223E-3</v>
      </c>
      <c r="CC166" s="42">
        <v>41.709166000000003</v>
      </c>
      <c r="CD166" s="42">
        <v>-87.981992000000005</v>
      </c>
      <c r="CE166" s="38">
        <v>29872</v>
      </c>
      <c r="CF166" s="39">
        <v>30139</v>
      </c>
      <c r="CG166" s="39">
        <v>30079</v>
      </c>
      <c r="CH166" s="39">
        <v>30134</v>
      </c>
      <c r="CI166" s="40">
        <f t="shared" si="107"/>
        <v>-79</v>
      </c>
      <c r="CJ166" s="40">
        <f t="shared" si="101"/>
        <v>188</v>
      </c>
      <c r="CK166" s="41">
        <f t="shared" si="108"/>
        <v>268</v>
      </c>
      <c r="CL166" s="40">
        <f t="shared" si="106"/>
        <v>128</v>
      </c>
      <c r="CM166" s="40">
        <f t="shared" si="85"/>
        <v>183</v>
      </c>
      <c r="CN166" s="42">
        <f t="shared" si="86"/>
        <v>56</v>
      </c>
      <c r="CO166" s="47">
        <v>30090</v>
      </c>
      <c r="CP166" s="47">
        <v>30105</v>
      </c>
      <c r="CQ166" s="42">
        <f t="shared" si="110"/>
        <v>35</v>
      </c>
    </row>
    <row r="167" spans="1:95" s="42" customFormat="1" hidden="1" x14ac:dyDescent="0.3">
      <c r="A167" s="31">
        <v>1</v>
      </c>
      <c r="B167" s="31"/>
      <c r="C167" s="31"/>
      <c r="D167" s="31" t="s">
        <v>137</v>
      </c>
      <c r="E167" s="34" t="s">
        <v>138</v>
      </c>
      <c r="F167" s="34" t="str">
        <f t="shared" si="87"/>
        <v>1985-215Arthur-711982OTC</v>
      </c>
      <c r="G167" s="31" t="s">
        <v>139</v>
      </c>
      <c r="H167" s="31" t="s">
        <v>128</v>
      </c>
      <c r="I167" s="31" t="s">
        <v>129</v>
      </c>
      <c r="J167" s="31" t="s">
        <v>94</v>
      </c>
      <c r="K167" s="31" t="s">
        <v>142</v>
      </c>
      <c r="L167" s="31">
        <v>1982</v>
      </c>
      <c r="M167" s="31" t="s">
        <v>34</v>
      </c>
      <c r="N167" s="31" t="s">
        <v>49</v>
      </c>
      <c r="O167" s="31" t="s">
        <v>101</v>
      </c>
      <c r="P167" s="31"/>
      <c r="Q167" s="32">
        <f>S167/1.01*1.08</f>
        <v>43.841584158415841</v>
      </c>
      <c r="R167" s="31"/>
      <c r="S167" s="31">
        <v>41</v>
      </c>
      <c r="T167" s="31">
        <v>7</v>
      </c>
      <c r="U167" s="31">
        <f t="shared" si="109"/>
        <v>56</v>
      </c>
      <c r="V167" s="31">
        <v>4</v>
      </c>
      <c r="W167" s="43">
        <v>5.5357140123631297</v>
      </c>
      <c r="X167" s="35">
        <v>30079</v>
      </c>
      <c r="Y167" s="35">
        <v>30134</v>
      </c>
      <c r="Z167" s="31">
        <v>430</v>
      </c>
      <c r="AA167" s="31" t="s">
        <v>51</v>
      </c>
      <c r="AB167" s="31">
        <v>4.92</v>
      </c>
      <c r="AC167" s="31" t="s">
        <v>131</v>
      </c>
      <c r="AD167" s="31">
        <v>464.7</v>
      </c>
      <c r="AE167" s="31" t="s">
        <v>51</v>
      </c>
      <c r="AF167" s="31">
        <v>4.92</v>
      </c>
      <c r="AG167" s="31" t="s">
        <v>131</v>
      </c>
      <c r="AH167" s="8">
        <f t="shared" si="89"/>
        <v>-7.4671831289003635E-2</v>
      </c>
      <c r="AI167" s="8">
        <f>VLOOKUP(F167,'[11]Sheet 2'!$A:$S,18,0)/VLOOKUP(F167,'[11]Sheet 2'!$A:$U,20,0)</f>
        <v>461.13089326180631</v>
      </c>
      <c r="AJ167" s="8">
        <f t="shared" si="90"/>
        <v>-6.7509884322870112E-2</v>
      </c>
      <c r="AK167" s="31">
        <v>42.599999999999994</v>
      </c>
      <c r="AL167" s="32" t="s">
        <v>37</v>
      </c>
      <c r="AM167" s="31"/>
      <c r="AN167" s="31"/>
      <c r="AO167" s="31">
        <v>43.2</v>
      </c>
      <c r="AP167" s="32" t="s">
        <v>37</v>
      </c>
      <c r="AQ167" s="31"/>
      <c r="AR167" s="31"/>
      <c r="AS167" s="8">
        <f t="shared" si="91"/>
        <v>-1.3888888888889086E-2</v>
      </c>
      <c r="AT167" s="8">
        <f>VLOOKUP(F167,'[12]Sheet 2'!$A:$S,18,0)/VLOOKUP(F167,'[12]Sheet 2'!$A:$U,20,0)</f>
        <v>43.674753873917346</v>
      </c>
      <c r="AU167" s="8">
        <f t="shared" si="92"/>
        <v>-2.4608126631234375E-2</v>
      </c>
      <c r="AV167" s="57">
        <v>21.6</v>
      </c>
      <c r="AW167" s="31" t="s">
        <v>132</v>
      </c>
      <c r="AX167" s="31"/>
      <c r="AY167" s="31"/>
      <c r="AZ167" s="31">
        <v>23.1</v>
      </c>
      <c r="BA167" s="31" t="s">
        <v>132</v>
      </c>
      <c r="BB167" s="31"/>
      <c r="BC167" s="31"/>
      <c r="BD167" s="8">
        <f t="shared" si="93"/>
        <v>-6.4935064935064929E-2</v>
      </c>
      <c r="BE167" s="8">
        <f>VLOOKUP(F167,'[13]Sheet 2'!$A:$S,18,0)/VLOOKUP(F167,'[13]Sheet 2'!$A:$U,20,0)</f>
        <v>22.594743078569898</v>
      </c>
      <c r="BF167" s="8">
        <f t="shared" si="94"/>
        <v>-4.4025421095111553E-2</v>
      </c>
      <c r="BG167" s="31">
        <v>87</v>
      </c>
      <c r="BH167" s="31" t="s">
        <v>141</v>
      </c>
      <c r="BI167" s="31"/>
      <c r="BJ167" s="31"/>
      <c r="BK167" s="31">
        <v>78</v>
      </c>
      <c r="BL167" s="31" t="s">
        <v>141</v>
      </c>
      <c r="BM167" s="31"/>
      <c r="BN167" s="31"/>
      <c r="BO167" s="8">
        <f t="shared" si="95"/>
        <v>0.11538461538461539</v>
      </c>
      <c r="BP167" s="8">
        <f>VLOOKUP(F167,'[14]Sheet 2'!$A:$V,18,0)/VLOOKUP(F167,'[14]Sheet 2'!$A:$V,20,0)</f>
        <v>83.003887105533863</v>
      </c>
      <c r="BQ167" s="8">
        <f t="shared" si="96"/>
        <v>4.8143683793812543E-2</v>
      </c>
      <c r="BR167" s="31">
        <f t="shared" si="104"/>
        <v>10093.896713615024</v>
      </c>
      <c r="BS167" s="31" t="s">
        <v>52</v>
      </c>
      <c r="BT167" s="31"/>
      <c r="BU167" s="31"/>
      <c r="BV167" s="31">
        <f t="shared" si="105"/>
        <v>10756.944444444443</v>
      </c>
      <c r="BW167" s="31" t="s">
        <v>52</v>
      </c>
      <c r="BX167" s="31"/>
      <c r="BY167" s="31"/>
      <c r="BZ167" s="8">
        <f t="shared" si="97"/>
        <v>-6.1639040180397932E-2</v>
      </c>
      <c r="CA167" s="8">
        <f>VLOOKUP(F167,'[15]Sheet 2'!$A:$S,18,0)/VLOOKUP(F167,'[15]Sheet 2'!$A:$U,20,0)</f>
        <v>10654.917913505869</v>
      </c>
      <c r="CB167" s="8">
        <f t="shared" si="98"/>
        <v>-5.2653732712451107E-2</v>
      </c>
      <c r="CC167" s="42">
        <v>41.709166000000003</v>
      </c>
      <c r="CD167" s="42">
        <v>-87.981992000000005</v>
      </c>
      <c r="CE167" s="38">
        <v>29872</v>
      </c>
      <c r="CF167" s="39">
        <v>30139</v>
      </c>
      <c r="CG167" s="39">
        <v>30079</v>
      </c>
      <c r="CH167" s="39">
        <v>30134</v>
      </c>
      <c r="CI167" s="40">
        <f t="shared" si="107"/>
        <v>-79</v>
      </c>
      <c r="CJ167" s="40">
        <f t="shared" si="101"/>
        <v>188</v>
      </c>
      <c r="CK167" s="41">
        <f t="shared" si="108"/>
        <v>268</v>
      </c>
      <c r="CL167" s="40">
        <f t="shared" si="106"/>
        <v>128</v>
      </c>
      <c r="CM167" s="40">
        <f t="shared" si="85"/>
        <v>183</v>
      </c>
      <c r="CN167" s="42">
        <f t="shared" si="86"/>
        <v>56</v>
      </c>
      <c r="CO167" s="47">
        <v>30090</v>
      </c>
      <c r="CP167" s="47">
        <v>30105</v>
      </c>
      <c r="CQ167" s="42">
        <f t="shared" si="110"/>
        <v>35</v>
      </c>
    </row>
    <row r="168" spans="1:95" s="42" customFormat="1" hidden="1" x14ac:dyDescent="0.3">
      <c r="A168" s="31">
        <v>1</v>
      </c>
      <c r="B168" s="31"/>
      <c r="C168" s="31"/>
      <c r="D168" s="31" t="s">
        <v>137</v>
      </c>
      <c r="E168" s="34" t="s">
        <v>138</v>
      </c>
      <c r="F168" s="34" t="str">
        <f t="shared" si="87"/>
        <v>1985-215Arthur-711982OTC</v>
      </c>
      <c r="G168" s="31" t="s">
        <v>139</v>
      </c>
      <c r="H168" s="31" t="s">
        <v>128</v>
      </c>
      <c r="I168" s="31" t="s">
        <v>129</v>
      </c>
      <c r="J168" s="31" t="s">
        <v>94</v>
      </c>
      <c r="K168" s="31" t="s">
        <v>142</v>
      </c>
      <c r="L168" s="31">
        <v>1982</v>
      </c>
      <c r="M168" s="31" t="s">
        <v>34</v>
      </c>
      <c r="N168" s="31" t="s">
        <v>49</v>
      </c>
      <c r="O168" s="31" t="s">
        <v>134</v>
      </c>
      <c r="P168" s="31"/>
      <c r="Q168" s="31">
        <f>(7*S168+5*0.976*S167)/12*U168*12/1000+S167/1.01*(90-U168)*12/1000</f>
        <v>54.422856237623755</v>
      </c>
      <c r="R168" s="31"/>
      <c r="S168" s="31">
        <v>68</v>
      </c>
      <c r="T168" s="31">
        <v>7</v>
      </c>
      <c r="U168" s="31">
        <f t="shared" si="109"/>
        <v>56</v>
      </c>
      <c r="V168" s="31">
        <v>4</v>
      </c>
      <c r="W168" s="43">
        <v>13.533045231200999</v>
      </c>
      <c r="X168" s="35">
        <v>30079</v>
      </c>
      <c r="Y168" s="35">
        <v>30134</v>
      </c>
      <c r="Z168" s="31">
        <v>395.8</v>
      </c>
      <c r="AA168" s="31" t="s">
        <v>51</v>
      </c>
      <c r="AB168" s="31">
        <v>4.92</v>
      </c>
      <c r="AC168" s="31" t="s">
        <v>131</v>
      </c>
      <c r="AD168" s="31">
        <v>464.7</v>
      </c>
      <c r="AE168" s="31" t="s">
        <v>51</v>
      </c>
      <c r="AF168" s="31">
        <v>4.92</v>
      </c>
      <c r="AG168" s="31" t="s">
        <v>131</v>
      </c>
      <c r="AH168" s="8">
        <f t="shared" si="89"/>
        <v>-0.14826769959113403</v>
      </c>
      <c r="AI168" s="8">
        <f>VLOOKUP(F168,'[11]Sheet 2'!$A:$S,18,0)/VLOOKUP(F168,'[11]Sheet 2'!$A:$U,20,0)</f>
        <v>461.13089326180631</v>
      </c>
      <c r="AJ168" s="8">
        <f t="shared" si="90"/>
        <v>-0.1416753772441674</v>
      </c>
      <c r="AK168" s="31">
        <v>39.4</v>
      </c>
      <c r="AL168" s="32" t="s">
        <v>37</v>
      </c>
      <c r="AM168" s="31"/>
      <c r="AN168" s="31"/>
      <c r="AO168" s="31">
        <v>43.2</v>
      </c>
      <c r="AP168" s="32" t="s">
        <v>37</v>
      </c>
      <c r="AQ168" s="31"/>
      <c r="AR168" s="31"/>
      <c r="AS168" s="8">
        <f t="shared" si="91"/>
        <v>-8.7962962962963062E-2</v>
      </c>
      <c r="AT168" s="8">
        <f>VLOOKUP(F168,'[12]Sheet 2'!$A:$S,18,0)/VLOOKUP(F168,'[12]Sheet 2'!$A:$U,20,0)</f>
        <v>43.674753873917346</v>
      </c>
      <c r="AU168" s="8">
        <f t="shared" si="92"/>
        <v>-9.7876999748136864E-2</v>
      </c>
      <c r="AV168" s="57">
        <v>21.8</v>
      </c>
      <c r="AW168" s="31" t="s">
        <v>132</v>
      </c>
      <c r="AX168" s="31"/>
      <c r="AY168" s="31"/>
      <c r="AZ168" s="31">
        <v>23.1</v>
      </c>
      <c r="BA168" s="31" t="s">
        <v>132</v>
      </c>
      <c r="BB168" s="31"/>
      <c r="BC168" s="31"/>
      <c r="BD168" s="8">
        <f t="shared" si="93"/>
        <v>-5.6277056277056307E-2</v>
      </c>
      <c r="BE168" s="8">
        <f>VLOOKUP(F168,'[13]Sheet 2'!$A:$S,18,0)/VLOOKUP(F168,'[13]Sheet 2'!$A:$U,20,0)</f>
        <v>22.594743078569898</v>
      </c>
      <c r="BF168" s="8">
        <f t="shared" si="94"/>
        <v>-3.5173804623770025E-2</v>
      </c>
      <c r="BG168" s="31">
        <v>78</v>
      </c>
      <c r="BH168" s="31" t="s">
        <v>141</v>
      </c>
      <c r="BI168" s="31"/>
      <c r="BJ168" s="31"/>
      <c r="BK168" s="31">
        <v>78</v>
      </c>
      <c r="BL168" s="31" t="s">
        <v>141</v>
      </c>
      <c r="BM168" s="31"/>
      <c r="BN168" s="31"/>
      <c r="BO168" s="8">
        <f t="shared" si="95"/>
        <v>0</v>
      </c>
      <c r="BP168" s="8">
        <f>VLOOKUP(F168,'[14]Sheet 2'!$A:$V,18,0)/VLOOKUP(F168,'[14]Sheet 2'!$A:$V,20,0)</f>
        <v>83.003887105533863</v>
      </c>
      <c r="BQ168" s="8">
        <f t="shared" si="96"/>
        <v>-6.0284973150374961E-2</v>
      </c>
      <c r="BR168" s="31">
        <f t="shared" si="104"/>
        <v>10045.685279187819</v>
      </c>
      <c r="BS168" s="31" t="s">
        <v>52</v>
      </c>
      <c r="BT168" s="31"/>
      <c r="BU168" s="31"/>
      <c r="BV168" s="31">
        <f t="shared" si="105"/>
        <v>10756.944444444443</v>
      </c>
      <c r="BW168" s="31" t="s">
        <v>52</v>
      </c>
      <c r="BX168" s="31"/>
      <c r="BY168" s="31"/>
      <c r="BZ168" s="8">
        <f t="shared" si="97"/>
        <v>-6.6120929500938619E-2</v>
      </c>
      <c r="CA168" s="8">
        <f>VLOOKUP(F168,'[15]Sheet 2'!$A:$S,18,0)/VLOOKUP(F168,'[15]Sheet 2'!$A:$U,20,0)</f>
        <v>10654.917913505869</v>
      </c>
      <c r="CB168" s="8">
        <f t="shared" si="98"/>
        <v>-5.7178538517486312E-2</v>
      </c>
      <c r="CC168" s="42">
        <v>41.709166000000003</v>
      </c>
      <c r="CD168" s="42">
        <v>-87.981992000000005</v>
      </c>
      <c r="CE168" s="38">
        <v>29872</v>
      </c>
      <c r="CF168" s="39">
        <v>30139</v>
      </c>
      <c r="CG168" s="39">
        <v>30079</v>
      </c>
      <c r="CH168" s="39">
        <v>30134</v>
      </c>
      <c r="CI168" s="40">
        <f t="shared" si="107"/>
        <v>-79</v>
      </c>
      <c r="CJ168" s="40">
        <f t="shared" si="101"/>
        <v>188</v>
      </c>
      <c r="CK168" s="41">
        <f t="shared" si="108"/>
        <v>268</v>
      </c>
      <c r="CL168" s="40">
        <f t="shared" si="106"/>
        <v>128</v>
      </c>
      <c r="CM168" s="40">
        <f t="shared" si="85"/>
        <v>183</v>
      </c>
      <c r="CN168" s="42">
        <f t="shared" si="86"/>
        <v>56</v>
      </c>
      <c r="CO168" s="47">
        <v>30090</v>
      </c>
      <c r="CP168" s="47">
        <v>30105</v>
      </c>
      <c r="CQ168" s="42">
        <f t="shared" si="110"/>
        <v>35</v>
      </c>
    </row>
    <row r="169" spans="1:95" s="42" customFormat="1" hidden="1" x14ac:dyDescent="0.3">
      <c r="A169" s="31">
        <v>1</v>
      </c>
      <c r="B169" s="31"/>
      <c r="C169" s="31"/>
      <c r="D169" s="31" t="s">
        <v>137</v>
      </c>
      <c r="E169" s="34" t="s">
        <v>138</v>
      </c>
      <c r="F169" s="34" t="str">
        <f t="shared" si="87"/>
        <v>1985-215Arthur-711982OTC</v>
      </c>
      <c r="G169" s="31" t="s">
        <v>139</v>
      </c>
      <c r="H169" s="31" t="s">
        <v>128</v>
      </c>
      <c r="I169" s="31" t="s">
        <v>129</v>
      </c>
      <c r="J169" s="31" t="s">
        <v>94</v>
      </c>
      <c r="K169" s="31" t="s">
        <v>142</v>
      </c>
      <c r="L169" s="31">
        <v>1982</v>
      </c>
      <c r="M169" s="31" t="s">
        <v>34</v>
      </c>
      <c r="N169" s="31" t="s">
        <v>49</v>
      </c>
      <c r="O169" s="31" t="s">
        <v>135</v>
      </c>
      <c r="P169" s="31"/>
      <c r="Q169" s="31">
        <f>(7*S169+5*0.976*S167)/12*U169*12/1000+S167/1.01*(90-U169)*12/1000</f>
        <v>65.006856237623765</v>
      </c>
      <c r="R169" s="31"/>
      <c r="S169" s="31">
        <v>95</v>
      </c>
      <c r="T169" s="31">
        <v>7</v>
      </c>
      <c r="U169" s="31">
        <f t="shared" si="109"/>
        <v>56</v>
      </c>
      <c r="V169" s="31">
        <v>4</v>
      </c>
      <c r="W169" s="43">
        <v>23.216148995419001</v>
      </c>
      <c r="X169" s="35">
        <v>30079</v>
      </c>
      <c r="Y169" s="35">
        <v>30134</v>
      </c>
      <c r="Z169" s="31">
        <v>315.10000000000002</v>
      </c>
      <c r="AA169" s="31" t="s">
        <v>51</v>
      </c>
      <c r="AB169" s="31">
        <v>4.92</v>
      </c>
      <c r="AC169" s="31" t="s">
        <v>131</v>
      </c>
      <c r="AD169" s="31">
        <v>464.7</v>
      </c>
      <c r="AE169" s="31" t="s">
        <v>51</v>
      </c>
      <c r="AF169" s="31">
        <v>4.92</v>
      </c>
      <c r="AG169" s="31" t="s">
        <v>131</v>
      </c>
      <c r="AH169" s="8">
        <f t="shared" si="89"/>
        <v>-0.32192812567247681</v>
      </c>
      <c r="AI169" s="8">
        <f>VLOOKUP(F169,'[11]Sheet 2'!$A:$S,18,0)/VLOOKUP(F169,'[11]Sheet 2'!$A:$U,20,0)</f>
        <v>461.13089326180631</v>
      </c>
      <c r="AJ169" s="8">
        <f t="shared" si="90"/>
        <v>-0.31667991755845665</v>
      </c>
      <c r="AK169" s="31">
        <v>32.400000000000006</v>
      </c>
      <c r="AL169" s="32" t="s">
        <v>37</v>
      </c>
      <c r="AM169" s="31"/>
      <c r="AN169" s="31"/>
      <c r="AO169" s="31">
        <v>43.2</v>
      </c>
      <c r="AP169" s="32" t="s">
        <v>37</v>
      </c>
      <c r="AQ169" s="31"/>
      <c r="AR169" s="31"/>
      <c r="AS169" s="8">
        <f t="shared" si="91"/>
        <v>-0.24999999999999992</v>
      </c>
      <c r="AT169" s="8">
        <f>VLOOKUP(F169,'[12]Sheet 2'!$A:$S,18,0)/VLOOKUP(F169,'[12]Sheet 2'!$A:$U,20,0)</f>
        <v>43.674753873917346</v>
      </c>
      <c r="AU169" s="8">
        <f t="shared" si="92"/>
        <v>-0.25815265969136114</v>
      </c>
      <c r="AV169" s="57">
        <v>20.6</v>
      </c>
      <c r="AW169" s="31" t="s">
        <v>132</v>
      </c>
      <c r="AX169" s="31"/>
      <c r="AY169" s="31"/>
      <c r="AZ169" s="31">
        <v>23.1</v>
      </c>
      <c r="BA169" s="31" t="s">
        <v>132</v>
      </c>
      <c r="BB169" s="31"/>
      <c r="BC169" s="31"/>
      <c r="BD169" s="8">
        <f t="shared" si="93"/>
        <v>-0.10822510822510822</v>
      </c>
      <c r="BE169" s="8">
        <f>VLOOKUP(F169,'[13]Sheet 2'!$A:$S,18,0)/VLOOKUP(F169,'[13]Sheet 2'!$A:$U,20,0)</f>
        <v>22.594743078569898</v>
      </c>
      <c r="BF169" s="8">
        <f t="shared" si="94"/>
        <v>-8.8283503451819345E-2</v>
      </c>
      <c r="BG169" s="31">
        <v>87</v>
      </c>
      <c r="BH169" s="31" t="s">
        <v>141</v>
      </c>
      <c r="BI169" s="31"/>
      <c r="BJ169" s="31"/>
      <c r="BK169" s="31">
        <v>78</v>
      </c>
      <c r="BL169" s="31" t="s">
        <v>141</v>
      </c>
      <c r="BM169" s="31"/>
      <c r="BN169" s="31"/>
      <c r="BO169" s="8">
        <f t="shared" si="95"/>
        <v>0.11538461538461539</v>
      </c>
      <c r="BP169" s="8">
        <f>VLOOKUP(F169,'[14]Sheet 2'!$A:$V,18,0)/VLOOKUP(F169,'[14]Sheet 2'!$A:$V,20,0)</f>
        <v>83.003887105533863</v>
      </c>
      <c r="BQ169" s="8">
        <f t="shared" si="96"/>
        <v>4.8143683793812543E-2</v>
      </c>
      <c r="BR169" s="31">
        <f t="shared" si="104"/>
        <v>9725.3086419753072</v>
      </c>
      <c r="BS169" s="31" t="s">
        <v>52</v>
      </c>
      <c r="BT169" s="31"/>
      <c r="BU169" s="31"/>
      <c r="BV169" s="31">
        <f t="shared" si="105"/>
        <v>10756.944444444443</v>
      </c>
      <c r="BW169" s="31" t="s">
        <v>52</v>
      </c>
      <c r="BX169" s="31"/>
      <c r="BY169" s="31"/>
      <c r="BZ169" s="8">
        <f t="shared" si="97"/>
        <v>-9.5904167563302542E-2</v>
      </c>
      <c r="CA169" s="8">
        <f>VLOOKUP(F169,'[15]Sheet 2'!$A:$S,18,0)/VLOOKUP(F169,'[15]Sheet 2'!$A:$U,20,0)</f>
        <v>10654.917913505869</v>
      </c>
      <c r="CB169" s="8">
        <f t="shared" si="98"/>
        <v>-8.7246966994669758E-2</v>
      </c>
      <c r="CC169" s="42">
        <v>41.709166000000003</v>
      </c>
      <c r="CD169" s="42">
        <v>-87.981992000000005</v>
      </c>
      <c r="CE169" s="38">
        <v>29872</v>
      </c>
      <c r="CF169" s="39">
        <v>30139</v>
      </c>
      <c r="CG169" s="39">
        <v>30079</v>
      </c>
      <c r="CH169" s="39">
        <v>30134</v>
      </c>
      <c r="CI169" s="40">
        <f t="shared" si="107"/>
        <v>-79</v>
      </c>
      <c r="CJ169" s="40">
        <f t="shared" si="101"/>
        <v>188</v>
      </c>
      <c r="CK169" s="41">
        <f t="shared" si="108"/>
        <v>268</v>
      </c>
      <c r="CL169" s="40">
        <f t="shared" si="106"/>
        <v>128</v>
      </c>
      <c r="CM169" s="40">
        <f t="shared" si="85"/>
        <v>183</v>
      </c>
      <c r="CN169" s="42">
        <f t="shared" si="86"/>
        <v>56</v>
      </c>
      <c r="CO169" s="47">
        <v>30090</v>
      </c>
      <c r="CP169" s="47">
        <v>30105</v>
      </c>
      <c r="CQ169" s="42">
        <f t="shared" si="110"/>
        <v>35</v>
      </c>
    </row>
    <row r="170" spans="1:95" s="42" customFormat="1" hidden="1" x14ac:dyDescent="0.3">
      <c r="A170" s="31">
        <v>1</v>
      </c>
      <c r="B170" s="31"/>
      <c r="C170" s="31"/>
      <c r="D170" s="31" t="s">
        <v>137</v>
      </c>
      <c r="E170" s="34" t="s">
        <v>138</v>
      </c>
      <c r="F170" s="34" t="str">
        <f t="shared" si="87"/>
        <v>1985-215Arthur-711982OTC</v>
      </c>
      <c r="G170" s="31" t="s">
        <v>139</v>
      </c>
      <c r="H170" s="31" t="s">
        <v>128</v>
      </c>
      <c r="I170" s="31" t="s">
        <v>129</v>
      </c>
      <c r="J170" s="31" t="s">
        <v>94</v>
      </c>
      <c r="K170" s="31" t="s">
        <v>142</v>
      </c>
      <c r="L170" s="31">
        <v>1982</v>
      </c>
      <c r="M170" s="31" t="s">
        <v>34</v>
      </c>
      <c r="N170" s="31" t="s">
        <v>49</v>
      </c>
      <c r="O170" s="31" t="s">
        <v>136</v>
      </c>
      <c r="P170" s="31"/>
      <c r="Q170" s="31">
        <f>(7*S170+5*0.976*S167)/12*U170*12/1000+S167/1.01*(90-U170)*12/1000</f>
        <v>75.59085623762374</v>
      </c>
      <c r="R170" s="31"/>
      <c r="S170" s="31">
        <v>122</v>
      </c>
      <c r="T170" s="31">
        <v>7</v>
      </c>
      <c r="U170" s="31">
        <f t="shared" si="109"/>
        <v>56</v>
      </c>
      <c r="V170" s="31">
        <v>4</v>
      </c>
      <c r="W170" s="43">
        <v>33.3905050705403</v>
      </c>
      <c r="X170" s="35">
        <v>30079</v>
      </c>
      <c r="Y170" s="35">
        <v>30134</v>
      </c>
      <c r="Z170" s="31">
        <v>241.2</v>
      </c>
      <c r="AA170" s="31" t="s">
        <v>51</v>
      </c>
      <c r="AB170" s="31">
        <v>4.92</v>
      </c>
      <c r="AC170" s="31" t="s">
        <v>131</v>
      </c>
      <c r="AD170" s="31">
        <v>464.7</v>
      </c>
      <c r="AE170" s="31" t="s">
        <v>51</v>
      </c>
      <c r="AF170" s="31">
        <v>4.92</v>
      </c>
      <c r="AG170" s="31" t="s">
        <v>131</v>
      </c>
      <c r="AH170" s="8">
        <f t="shared" si="89"/>
        <v>-0.48095545513234345</v>
      </c>
      <c r="AI170" s="8">
        <f>VLOOKUP(F170,'[11]Sheet 2'!$A:$S,18,0)/VLOOKUP(F170,'[11]Sheet 2'!$A:$U,20,0)</f>
        <v>461.13089326180631</v>
      </c>
      <c r="AJ170" s="8">
        <f t="shared" si="90"/>
        <v>-0.47693810255506114</v>
      </c>
      <c r="AK170" s="31">
        <v>26.5</v>
      </c>
      <c r="AL170" s="32" t="s">
        <v>37</v>
      </c>
      <c r="AM170" s="31"/>
      <c r="AN170" s="31"/>
      <c r="AO170" s="31">
        <v>43.2</v>
      </c>
      <c r="AP170" s="32" t="s">
        <v>37</v>
      </c>
      <c r="AQ170" s="31"/>
      <c r="AR170" s="31"/>
      <c r="AS170" s="8">
        <f t="shared" si="91"/>
        <v>-0.38657407407407413</v>
      </c>
      <c r="AT170" s="8">
        <f>VLOOKUP(F170,'[12]Sheet 2'!$A:$S,18,0)/VLOOKUP(F170,'[12]Sheet 2'!$A:$U,20,0)</f>
        <v>43.674753873917346</v>
      </c>
      <c r="AU170" s="8">
        <f t="shared" si="92"/>
        <v>-0.39324214450065043</v>
      </c>
      <c r="AV170" s="57">
        <v>19.600000000000001</v>
      </c>
      <c r="AW170" s="31" t="s">
        <v>132</v>
      </c>
      <c r="AX170" s="31"/>
      <c r="AY170" s="31"/>
      <c r="AZ170" s="31">
        <v>23.1</v>
      </c>
      <c r="BA170" s="31" t="s">
        <v>132</v>
      </c>
      <c r="BB170" s="31"/>
      <c r="BC170" s="31"/>
      <c r="BD170" s="8">
        <f t="shared" si="93"/>
        <v>-0.15151515151515152</v>
      </c>
      <c r="BE170" s="8">
        <f>VLOOKUP(F170,'[13]Sheet 2'!$A:$S,18,0)/VLOOKUP(F170,'[13]Sheet 2'!$A:$U,20,0)</f>
        <v>22.594743078569898</v>
      </c>
      <c r="BF170" s="8">
        <f t="shared" si="94"/>
        <v>-0.13254158580852715</v>
      </c>
      <c r="BG170" s="31">
        <v>84</v>
      </c>
      <c r="BH170" s="31" t="s">
        <v>141</v>
      </c>
      <c r="BI170" s="31"/>
      <c r="BJ170" s="31"/>
      <c r="BK170" s="31">
        <v>78</v>
      </c>
      <c r="BL170" s="31" t="s">
        <v>141</v>
      </c>
      <c r="BM170" s="31"/>
      <c r="BN170" s="31"/>
      <c r="BO170" s="8">
        <f t="shared" si="95"/>
        <v>7.6923076923076927E-2</v>
      </c>
      <c r="BP170" s="8">
        <f>VLOOKUP(F170,'[14]Sheet 2'!$A:$V,18,0)/VLOOKUP(F170,'[14]Sheet 2'!$A:$V,20,0)</f>
        <v>83.003887105533863</v>
      </c>
      <c r="BQ170" s="8">
        <f t="shared" si="96"/>
        <v>1.2000798145750044E-2</v>
      </c>
      <c r="BR170" s="31">
        <f t="shared" si="104"/>
        <v>9101.8867924528295</v>
      </c>
      <c r="BS170" s="31" t="s">
        <v>52</v>
      </c>
      <c r="BT170" s="31"/>
      <c r="BU170" s="31"/>
      <c r="BV170" s="31">
        <f t="shared" si="105"/>
        <v>10756.944444444443</v>
      </c>
      <c r="BW170" s="31" t="s">
        <v>52</v>
      </c>
      <c r="BX170" s="31"/>
      <c r="BY170" s="31"/>
      <c r="BZ170" s="8">
        <f t="shared" si="97"/>
        <v>-0.1538594589327259</v>
      </c>
      <c r="CA170" s="8">
        <f>VLOOKUP(F170,'[15]Sheet 2'!$A:$S,18,0)/VLOOKUP(F170,'[15]Sheet 2'!$A:$U,20,0)</f>
        <v>10654.917913505869</v>
      </c>
      <c r="CB170" s="8">
        <f t="shared" si="98"/>
        <v>-0.14575721123899624</v>
      </c>
      <c r="CC170" s="42">
        <v>41.709166000000003</v>
      </c>
      <c r="CD170" s="42">
        <v>-87.981992000000005</v>
      </c>
      <c r="CE170" s="38">
        <v>29872</v>
      </c>
      <c r="CF170" s="39">
        <v>30139</v>
      </c>
      <c r="CG170" s="39">
        <v>30079</v>
      </c>
      <c r="CH170" s="39">
        <v>30134</v>
      </c>
      <c r="CI170" s="40">
        <f t="shared" si="107"/>
        <v>-79</v>
      </c>
      <c r="CJ170" s="40">
        <f t="shared" si="101"/>
        <v>188</v>
      </c>
      <c r="CK170" s="41">
        <f t="shared" si="108"/>
        <v>268</v>
      </c>
      <c r="CL170" s="40">
        <f t="shared" si="106"/>
        <v>128</v>
      </c>
      <c r="CM170" s="40">
        <f t="shared" si="85"/>
        <v>183</v>
      </c>
      <c r="CN170" s="42">
        <f t="shared" si="86"/>
        <v>56</v>
      </c>
      <c r="CO170" s="47">
        <v>30090</v>
      </c>
      <c r="CP170" s="47">
        <v>30105</v>
      </c>
      <c r="CQ170" s="42">
        <f t="shared" si="110"/>
        <v>35</v>
      </c>
    </row>
    <row r="171" spans="1:95" s="19" customFormat="1" hidden="1" x14ac:dyDescent="0.3">
      <c r="A171" s="3">
        <v>1</v>
      </c>
      <c r="B171" s="3"/>
      <c r="C171" s="3"/>
      <c r="D171" s="3" t="s">
        <v>137</v>
      </c>
      <c r="E171" s="6" t="s">
        <v>138</v>
      </c>
      <c r="F171" s="6" t="str">
        <f t="shared" si="87"/>
        <v>1985-215Roland1982OTC</v>
      </c>
      <c r="G171" s="3" t="s">
        <v>139</v>
      </c>
      <c r="H171" s="3" t="s">
        <v>128</v>
      </c>
      <c r="I171" s="3" t="s">
        <v>129</v>
      </c>
      <c r="J171" s="3" t="s">
        <v>94</v>
      </c>
      <c r="K171" s="3" t="s">
        <v>143</v>
      </c>
      <c r="L171" s="3">
        <v>1982</v>
      </c>
      <c r="M171" s="3" t="s">
        <v>34</v>
      </c>
      <c r="N171" s="3" t="s">
        <v>49</v>
      </c>
      <c r="O171" s="3" t="s">
        <v>130</v>
      </c>
      <c r="P171" s="32" t="s">
        <v>267</v>
      </c>
      <c r="Q171" s="3">
        <f>(7*S171+5*0.976*S171)/12*U171*12/1000+S172/1.01*(90-U171)*12/1000</f>
        <v>31.863816237623759</v>
      </c>
      <c r="R171" s="3"/>
      <c r="S171" s="3">
        <v>23</v>
      </c>
      <c r="T171" s="3">
        <v>7</v>
      </c>
      <c r="U171" s="3">
        <f t="shared" si="109"/>
        <v>56</v>
      </c>
      <c r="V171" s="3">
        <v>4</v>
      </c>
      <c r="W171" s="9">
        <v>1.18114946986415</v>
      </c>
      <c r="X171" s="7">
        <v>30079</v>
      </c>
      <c r="Y171" s="7">
        <v>30134</v>
      </c>
      <c r="Z171" s="3">
        <v>500.7</v>
      </c>
      <c r="AA171" s="3" t="s">
        <v>51</v>
      </c>
      <c r="AB171" s="3">
        <v>4.92</v>
      </c>
      <c r="AC171" s="3" t="s">
        <v>131</v>
      </c>
      <c r="AD171" s="3">
        <v>500.7</v>
      </c>
      <c r="AE171" s="3" t="s">
        <v>51</v>
      </c>
      <c r="AF171" s="3">
        <v>4.92</v>
      </c>
      <c r="AG171" s="3" t="s">
        <v>131</v>
      </c>
      <c r="AH171" s="8">
        <f t="shared" si="89"/>
        <v>0</v>
      </c>
      <c r="AI171" s="8">
        <f>VLOOKUP(F171,'[11]Sheet 2'!$A:$S,18,0)/VLOOKUP(F171,'[11]Sheet 2'!$A:$U,20,0)</f>
        <v>420.59134522711707</v>
      </c>
      <c r="AJ171" s="8">
        <f t="shared" si="90"/>
        <v>0.19046672187138008</v>
      </c>
      <c r="AK171" s="3">
        <v>36.4</v>
      </c>
      <c r="AL171" s="4" t="s">
        <v>37</v>
      </c>
      <c r="AM171" s="3"/>
      <c r="AN171" s="3"/>
      <c r="AO171" s="3">
        <v>36.4</v>
      </c>
      <c r="AP171" s="4" t="s">
        <v>37</v>
      </c>
      <c r="AQ171" s="3"/>
      <c r="AR171" s="3"/>
      <c r="AS171" s="8">
        <f t="shared" si="91"/>
        <v>0</v>
      </c>
      <c r="AT171" s="8">
        <f>VLOOKUP(F171,'[12]Sheet 2'!$A:$S,18,0)/VLOOKUP(F171,'[12]Sheet 2'!$A:$U,20,0)</f>
        <v>31.678097114423103</v>
      </c>
      <c r="AU171" s="8">
        <f t="shared" si="92"/>
        <v>0.14905891817052999</v>
      </c>
      <c r="AV171" s="57">
        <v>30.8</v>
      </c>
      <c r="AW171" s="3" t="s">
        <v>132</v>
      </c>
      <c r="AX171" s="3"/>
      <c r="AY171" s="3"/>
      <c r="AZ171" s="3">
        <v>30.8</v>
      </c>
      <c r="BA171" s="3" t="s">
        <v>132</v>
      </c>
      <c r="BB171" s="3"/>
      <c r="BC171" s="3"/>
      <c r="BD171" s="8">
        <f t="shared" si="93"/>
        <v>0</v>
      </c>
      <c r="BE171" s="8">
        <f>VLOOKUP(F171,'[13]Sheet 2'!$A:$S,18,0)/VLOOKUP(F171,'[13]Sheet 2'!$A:$U,20,0)</f>
        <v>29.617800016376439</v>
      </c>
      <c r="BF171" s="8">
        <f t="shared" si="94"/>
        <v>3.9915185563069958E-2</v>
      </c>
      <c r="BG171" s="3">
        <v>82</v>
      </c>
      <c r="BH171" s="3" t="s">
        <v>141</v>
      </c>
      <c r="BI171" s="3"/>
      <c r="BJ171" s="3"/>
      <c r="BK171" s="3">
        <v>82</v>
      </c>
      <c r="BL171" s="3" t="s">
        <v>141</v>
      </c>
      <c r="BM171" s="3"/>
      <c r="BN171" s="3"/>
      <c r="BO171" s="8">
        <f t="shared" si="95"/>
        <v>0</v>
      </c>
      <c r="BP171" s="8">
        <f>VLOOKUP(F171,'[14]Sheet 2'!$A:$V,18,0)/VLOOKUP(F171,'[14]Sheet 2'!$A:$V,20,0)</f>
        <v>79.90870666606304</v>
      </c>
      <c r="BQ171" s="8">
        <f t="shared" si="96"/>
        <v>2.6171032183970079E-2</v>
      </c>
      <c r="BR171" s="3">
        <f t="shared" si="104"/>
        <v>13755.494505494506</v>
      </c>
      <c r="BS171" s="3" t="s">
        <v>52</v>
      </c>
      <c r="BT171" s="3"/>
      <c r="BU171" s="3"/>
      <c r="BV171" s="3">
        <f t="shared" si="105"/>
        <v>13755.494505494506</v>
      </c>
      <c r="BW171" s="3" t="s">
        <v>52</v>
      </c>
      <c r="BX171" s="3"/>
      <c r="BY171" s="3"/>
      <c r="BZ171" s="8">
        <f t="shared" si="97"/>
        <v>0</v>
      </c>
      <c r="CA171" s="8">
        <f>VLOOKUP(F171,'[15]Sheet 2'!$A:$S,18,0)/VLOOKUP(F171,'[15]Sheet 2'!$A:$U,20,0)</f>
        <v>13398.543846160575</v>
      </c>
      <c r="CB171" s="8">
        <f t="shared" si="98"/>
        <v>2.6641003935380356E-2</v>
      </c>
      <c r="CC171" s="19">
        <v>41.709166000000003</v>
      </c>
      <c r="CD171" s="19">
        <v>-87.981992000000005</v>
      </c>
      <c r="CE171" s="20">
        <v>29872</v>
      </c>
      <c r="CF171" s="18">
        <v>30139</v>
      </c>
      <c r="CG171" s="18">
        <v>30079</v>
      </c>
      <c r="CH171" s="18">
        <v>30134</v>
      </c>
      <c r="CI171" s="21">
        <f t="shared" si="107"/>
        <v>-79</v>
      </c>
      <c r="CJ171" s="21">
        <f t="shared" si="101"/>
        <v>188</v>
      </c>
      <c r="CK171" s="30">
        <f t="shared" si="108"/>
        <v>268</v>
      </c>
      <c r="CL171" s="21">
        <f t="shared" si="106"/>
        <v>128</v>
      </c>
      <c r="CM171" s="21">
        <f t="shared" si="85"/>
        <v>183</v>
      </c>
      <c r="CN171" s="19">
        <f t="shared" si="86"/>
        <v>56</v>
      </c>
      <c r="CO171" s="29">
        <v>30090</v>
      </c>
      <c r="CP171" s="29">
        <v>30105</v>
      </c>
      <c r="CQ171" s="19">
        <f t="shared" si="110"/>
        <v>35</v>
      </c>
    </row>
    <row r="172" spans="1:95" s="19" customFormat="1" hidden="1" x14ac:dyDescent="0.3">
      <c r="A172" s="3">
        <v>1</v>
      </c>
      <c r="B172" s="3"/>
      <c r="C172" s="3"/>
      <c r="D172" s="3" t="s">
        <v>137</v>
      </c>
      <c r="E172" s="6" t="s">
        <v>138</v>
      </c>
      <c r="F172" s="6" t="str">
        <f t="shared" si="87"/>
        <v>1985-215Roland1982OTC</v>
      </c>
      <c r="G172" s="3" t="s">
        <v>139</v>
      </c>
      <c r="H172" s="3" t="s">
        <v>128</v>
      </c>
      <c r="I172" s="3" t="s">
        <v>129</v>
      </c>
      <c r="J172" s="3" t="s">
        <v>94</v>
      </c>
      <c r="K172" s="3" t="s">
        <v>143</v>
      </c>
      <c r="L172" s="3">
        <v>1982</v>
      </c>
      <c r="M172" s="3" t="s">
        <v>34</v>
      </c>
      <c r="N172" s="3" t="s">
        <v>49</v>
      </c>
      <c r="O172" s="3" t="s">
        <v>101</v>
      </c>
      <c r="P172" s="3"/>
      <c r="Q172" s="4">
        <f>S172/1.01*1.08</f>
        <v>43.841584158415841</v>
      </c>
      <c r="R172" s="3"/>
      <c r="S172" s="3">
        <v>41</v>
      </c>
      <c r="T172" s="3">
        <v>7</v>
      </c>
      <c r="U172" s="3">
        <f t="shared" si="109"/>
        <v>56</v>
      </c>
      <c r="V172" s="3">
        <v>4</v>
      </c>
      <c r="W172" s="9">
        <v>5.5357140123631297</v>
      </c>
      <c r="X172" s="7">
        <v>30079</v>
      </c>
      <c r="Y172" s="7">
        <v>30134</v>
      </c>
      <c r="Z172" s="3">
        <v>466.8</v>
      </c>
      <c r="AA172" s="3" t="s">
        <v>51</v>
      </c>
      <c r="AB172" s="3">
        <v>4.92</v>
      </c>
      <c r="AC172" s="3" t="s">
        <v>131</v>
      </c>
      <c r="AD172" s="3">
        <v>500.7</v>
      </c>
      <c r="AE172" s="3" t="s">
        <v>51</v>
      </c>
      <c r="AF172" s="3">
        <v>4.92</v>
      </c>
      <c r="AG172" s="3" t="s">
        <v>131</v>
      </c>
      <c r="AH172" s="8">
        <f t="shared" si="89"/>
        <v>-6.7705212702216855E-2</v>
      </c>
      <c r="AI172" s="8">
        <f>VLOOKUP(F172,'[11]Sheet 2'!$A:$S,18,0)/VLOOKUP(F172,'[11]Sheet 2'!$A:$U,20,0)</f>
        <v>420.59134522711707</v>
      </c>
      <c r="AJ172" s="8">
        <f t="shared" si="90"/>
        <v>0.10986591925216747</v>
      </c>
      <c r="AK172" s="3">
        <v>33.199999999999996</v>
      </c>
      <c r="AL172" s="4" t="s">
        <v>37</v>
      </c>
      <c r="AM172" s="3"/>
      <c r="AN172" s="3"/>
      <c r="AO172" s="3">
        <v>36.4</v>
      </c>
      <c r="AP172" s="4" t="s">
        <v>37</v>
      </c>
      <c r="AQ172" s="3"/>
      <c r="AR172" s="3"/>
      <c r="AS172" s="8">
        <f t="shared" si="91"/>
        <v>-8.7912087912087988E-2</v>
      </c>
      <c r="AT172" s="8">
        <f>VLOOKUP(F172,'[12]Sheet 2'!$A:$S,18,0)/VLOOKUP(F172,'[12]Sheet 2'!$A:$U,20,0)</f>
        <v>31.678097114423103</v>
      </c>
      <c r="AU172" s="8">
        <f t="shared" si="92"/>
        <v>4.8042749540153633E-2</v>
      </c>
      <c r="AV172" s="57">
        <v>30.9</v>
      </c>
      <c r="AW172" s="3" t="s">
        <v>132</v>
      </c>
      <c r="AX172" s="3"/>
      <c r="AY172" s="3"/>
      <c r="AZ172" s="3">
        <v>30.8</v>
      </c>
      <c r="BA172" s="3" t="s">
        <v>132</v>
      </c>
      <c r="BB172" s="3"/>
      <c r="BC172" s="3"/>
      <c r="BD172" s="8">
        <f t="shared" si="93"/>
        <v>3.2467532467531776E-3</v>
      </c>
      <c r="BE172" s="8">
        <f>VLOOKUP(F172,'[13]Sheet 2'!$A:$S,18,0)/VLOOKUP(F172,'[13]Sheet 2'!$A:$U,20,0)</f>
        <v>29.617800016376439</v>
      </c>
      <c r="BF172" s="8">
        <f t="shared" si="94"/>
        <v>4.3291533568144788E-2</v>
      </c>
      <c r="BG172" s="3">
        <v>75</v>
      </c>
      <c r="BH172" s="3" t="s">
        <v>141</v>
      </c>
      <c r="BI172" s="3"/>
      <c r="BJ172" s="3"/>
      <c r="BK172" s="3">
        <v>82</v>
      </c>
      <c r="BL172" s="3" t="s">
        <v>141</v>
      </c>
      <c r="BM172" s="3"/>
      <c r="BN172" s="3"/>
      <c r="BO172" s="8">
        <f t="shared" si="95"/>
        <v>-8.5365853658536592E-2</v>
      </c>
      <c r="BP172" s="8">
        <f>VLOOKUP(F172,'[14]Sheet 2'!$A:$V,18,0)/VLOOKUP(F172,'[14]Sheet 2'!$A:$V,20,0)</f>
        <v>79.90870666606304</v>
      </c>
      <c r="BQ172" s="8">
        <f t="shared" si="96"/>
        <v>-6.1428933978076146E-2</v>
      </c>
      <c r="BR172" s="3">
        <f t="shared" si="104"/>
        <v>14060.240963855424</v>
      </c>
      <c r="BS172" s="3" t="s">
        <v>52</v>
      </c>
      <c r="BT172" s="3"/>
      <c r="BU172" s="3"/>
      <c r="BV172" s="3">
        <f t="shared" si="105"/>
        <v>13755.494505494506</v>
      </c>
      <c r="BW172" s="3" t="s">
        <v>52</v>
      </c>
      <c r="BX172" s="3"/>
      <c r="BY172" s="3"/>
      <c r="BZ172" s="8">
        <f t="shared" si="97"/>
        <v>2.215452583250932E-2</v>
      </c>
      <c r="CA172" s="8">
        <f>VLOOKUP(F172,'[15]Sheet 2'!$A:$S,18,0)/VLOOKUP(F172,'[15]Sheet 2'!$A:$U,20,0)</f>
        <v>13398.543846160575</v>
      </c>
      <c r="CB172" s="8">
        <f t="shared" si="98"/>
        <v>4.9385748577780046E-2</v>
      </c>
      <c r="CC172" s="19">
        <v>41.709166000000003</v>
      </c>
      <c r="CD172" s="19">
        <v>-87.981992000000005</v>
      </c>
      <c r="CE172" s="20">
        <v>29872</v>
      </c>
      <c r="CF172" s="18">
        <v>30139</v>
      </c>
      <c r="CG172" s="18">
        <v>30079</v>
      </c>
      <c r="CH172" s="18">
        <v>30134</v>
      </c>
      <c r="CI172" s="21">
        <f t="shared" si="107"/>
        <v>-79</v>
      </c>
      <c r="CJ172" s="21">
        <f t="shared" si="101"/>
        <v>188</v>
      </c>
      <c r="CK172" s="30">
        <f t="shared" si="108"/>
        <v>268</v>
      </c>
      <c r="CL172" s="21">
        <f t="shared" si="106"/>
        <v>128</v>
      </c>
      <c r="CM172" s="21">
        <f t="shared" si="85"/>
        <v>183</v>
      </c>
      <c r="CN172" s="19">
        <f t="shared" si="86"/>
        <v>56</v>
      </c>
      <c r="CO172" s="29">
        <v>30090</v>
      </c>
      <c r="CP172" s="29">
        <v>30105</v>
      </c>
      <c r="CQ172" s="19">
        <f t="shared" si="110"/>
        <v>35</v>
      </c>
    </row>
    <row r="173" spans="1:95" s="19" customFormat="1" hidden="1" x14ac:dyDescent="0.3">
      <c r="A173" s="3">
        <v>1</v>
      </c>
      <c r="B173" s="3"/>
      <c r="C173" s="3"/>
      <c r="D173" s="3" t="s">
        <v>137</v>
      </c>
      <c r="E173" s="6" t="s">
        <v>138</v>
      </c>
      <c r="F173" s="6" t="str">
        <f t="shared" si="87"/>
        <v>1985-215Roland1982OTC</v>
      </c>
      <c r="G173" s="3" t="s">
        <v>139</v>
      </c>
      <c r="H173" s="3" t="s">
        <v>128</v>
      </c>
      <c r="I173" s="3" t="s">
        <v>129</v>
      </c>
      <c r="J173" s="3" t="s">
        <v>94</v>
      </c>
      <c r="K173" s="3" t="s">
        <v>143</v>
      </c>
      <c r="L173" s="3">
        <v>1982</v>
      </c>
      <c r="M173" s="3" t="s">
        <v>34</v>
      </c>
      <c r="N173" s="3" t="s">
        <v>49</v>
      </c>
      <c r="O173" s="3" t="s">
        <v>134</v>
      </c>
      <c r="P173" s="3"/>
      <c r="Q173" s="3">
        <f>(7*S173+5*0.976*S172)/12*U173*12/1000+S172/1.01*(90-U173)*12/1000</f>
        <v>54.422856237623755</v>
      </c>
      <c r="R173" s="3"/>
      <c r="S173" s="3">
        <v>68</v>
      </c>
      <c r="T173" s="3">
        <v>7</v>
      </c>
      <c r="U173" s="3">
        <f t="shared" si="109"/>
        <v>56</v>
      </c>
      <c r="V173" s="3">
        <v>4</v>
      </c>
      <c r="W173" s="9">
        <v>13.533045231200999</v>
      </c>
      <c r="X173" s="7">
        <v>30079</v>
      </c>
      <c r="Y173" s="7">
        <v>30134</v>
      </c>
      <c r="Z173" s="3">
        <v>355.7</v>
      </c>
      <c r="AA173" s="3" t="s">
        <v>51</v>
      </c>
      <c r="AB173" s="3">
        <v>4.92</v>
      </c>
      <c r="AC173" s="3" t="s">
        <v>131</v>
      </c>
      <c r="AD173" s="3">
        <v>500.7</v>
      </c>
      <c r="AE173" s="3" t="s">
        <v>51</v>
      </c>
      <c r="AF173" s="3">
        <v>4.92</v>
      </c>
      <c r="AG173" s="3" t="s">
        <v>131</v>
      </c>
      <c r="AH173" s="8">
        <f t="shared" si="89"/>
        <v>-0.28959456760535252</v>
      </c>
      <c r="AI173" s="8">
        <f>VLOOKUP(F173,'[11]Sheet 2'!$A:$S,18,0)/VLOOKUP(F173,'[11]Sheet 2'!$A:$U,20,0)</f>
        <v>420.59134522711707</v>
      </c>
      <c r="AJ173" s="8">
        <f t="shared" si="90"/>
        <v>-0.15428597369752367</v>
      </c>
      <c r="AK173" s="3">
        <v>27.3</v>
      </c>
      <c r="AL173" s="4" t="s">
        <v>37</v>
      </c>
      <c r="AM173" s="3"/>
      <c r="AN173" s="3"/>
      <c r="AO173" s="3">
        <v>36.4</v>
      </c>
      <c r="AP173" s="4" t="s">
        <v>37</v>
      </c>
      <c r="AQ173" s="3"/>
      <c r="AR173" s="3"/>
      <c r="AS173" s="8">
        <f t="shared" si="91"/>
        <v>-0.24999999999999994</v>
      </c>
      <c r="AT173" s="8">
        <f>VLOOKUP(F173,'[12]Sheet 2'!$A:$S,18,0)/VLOOKUP(F173,'[12]Sheet 2'!$A:$U,20,0)</f>
        <v>31.678097114423103</v>
      </c>
      <c r="AU173" s="8">
        <f t="shared" si="92"/>
        <v>-0.13820581137210244</v>
      </c>
      <c r="AV173" s="57">
        <v>29.1</v>
      </c>
      <c r="AW173" s="3" t="s">
        <v>132</v>
      </c>
      <c r="AX173" s="3"/>
      <c r="AY173" s="3"/>
      <c r="AZ173" s="3">
        <v>30.8</v>
      </c>
      <c r="BA173" s="3" t="s">
        <v>132</v>
      </c>
      <c r="BB173" s="3"/>
      <c r="BC173" s="3"/>
      <c r="BD173" s="8">
        <f t="shared" si="93"/>
        <v>-5.5194805194805172E-2</v>
      </c>
      <c r="BE173" s="8">
        <f>VLOOKUP(F173,'[13]Sheet 2'!$A:$S,18,0)/VLOOKUP(F173,'[13]Sheet 2'!$A:$U,20,0)</f>
        <v>29.617800016376439</v>
      </c>
      <c r="BF173" s="8">
        <f t="shared" si="94"/>
        <v>-1.7482730523203361E-2</v>
      </c>
      <c r="BG173" s="3">
        <v>84</v>
      </c>
      <c r="BH173" s="3" t="s">
        <v>141</v>
      </c>
      <c r="BI173" s="3"/>
      <c r="BJ173" s="3"/>
      <c r="BK173" s="3">
        <v>82</v>
      </c>
      <c r="BL173" s="3" t="s">
        <v>141</v>
      </c>
      <c r="BM173" s="3"/>
      <c r="BN173" s="3"/>
      <c r="BO173" s="8">
        <f t="shared" si="95"/>
        <v>2.4390243902439025E-2</v>
      </c>
      <c r="BP173" s="8">
        <f>VLOOKUP(F173,'[14]Sheet 2'!$A:$V,18,0)/VLOOKUP(F173,'[14]Sheet 2'!$A:$V,20,0)</f>
        <v>79.90870666606304</v>
      </c>
      <c r="BQ173" s="8">
        <f t="shared" si="96"/>
        <v>5.1199593944554714E-2</v>
      </c>
      <c r="BR173" s="3">
        <f t="shared" si="104"/>
        <v>13029.304029304029</v>
      </c>
      <c r="BS173" s="3" t="s">
        <v>52</v>
      </c>
      <c r="BT173" s="3"/>
      <c r="BU173" s="3"/>
      <c r="BV173" s="3">
        <f t="shared" si="105"/>
        <v>13755.494505494506</v>
      </c>
      <c r="BW173" s="3" t="s">
        <v>52</v>
      </c>
      <c r="BX173" s="3"/>
      <c r="BY173" s="3"/>
      <c r="BZ173" s="8">
        <f t="shared" si="97"/>
        <v>-5.2792756807136736E-2</v>
      </c>
      <c r="CA173" s="8">
        <f>VLOOKUP(F173,'[15]Sheet 2'!$A:$S,18,0)/VLOOKUP(F173,'[15]Sheet 2'!$A:$U,20,0)</f>
        <v>13398.543846160575</v>
      </c>
      <c r="CB173" s="8">
        <f t="shared" si="98"/>
        <v>-2.7558204913614888E-2</v>
      </c>
      <c r="CC173" s="19">
        <v>41.709166000000003</v>
      </c>
      <c r="CD173" s="19">
        <v>-87.981992000000005</v>
      </c>
      <c r="CE173" s="20">
        <v>29872</v>
      </c>
      <c r="CF173" s="18">
        <v>30139</v>
      </c>
      <c r="CG173" s="18">
        <v>30079</v>
      </c>
      <c r="CH173" s="18">
        <v>30134</v>
      </c>
      <c r="CI173" s="21">
        <f t="shared" si="107"/>
        <v>-79</v>
      </c>
      <c r="CJ173" s="21">
        <f t="shared" si="101"/>
        <v>188</v>
      </c>
      <c r="CK173" s="30">
        <f t="shared" si="108"/>
        <v>268</v>
      </c>
      <c r="CL173" s="21">
        <f t="shared" si="106"/>
        <v>128</v>
      </c>
      <c r="CM173" s="21">
        <f t="shared" si="85"/>
        <v>183</v>
      </c>
      <c r="CN173" s="19">
        <f t="shared" si="86"/>
        <v>56</v>
      </c>
      <c r="CO173" s="29">
        <v>30090</v>
      </c>
      <c r="CP173" s="29">
        <v>30105</v>
      </c>
      <c r="CQ173" s="19">
        <f t="shared" si="110"/>
        <v>35</v>
      </c>
    </row>
    <row r="174" spans="1:95" s="19" customFormat="1" hidden="1" x14ac:dyDescent="0.3">
      <c r="A174" s="3">
        <v>1</v>
      </c>
      <c r="B174" s="3"/>
      <c r="C174" s="3"/>
      <c r="D174" s="3" t="s">
        <v>137</v>
      </c>
      <c r="E174" s="6" t="s">
        <v>138</v>
      </c>
      <c r="F174" s="6" t="str">
        <f t="shared" si="87"/>
        <v>1985-215Roland1982OTC</v>
      </c>
      <c r="G174" s="3" t="s">
        <v>139</v>
      </c>
      <c r="H174" s="3" t="s">
        <v>128</v>
      </c>
      <c r="I174" s="3" t="s">
        <v>129</v>
      </c>
      <c r="J174" s="3" t="s">
        <v>94</v>
      </c>
      <c r="K174" s="3" t="s">
        <v>143</v>
      </c>
      <c r="L174" s="3">
        <v>1982</v>
      </c>
      <c r="M174" s="3" t="s">
        <v>34</v>
      </c>
      <c r="N174" s="3" t="s">
        <v>49</v>
      </c>
      <c r="O174" s="3" t="s">
        <v>135</v>
      </c>
      <c r="P174" s="3"/>
      <c r="Q174" s="3">
        <f>(7*S174+5*0.976*S172)/12*U174*12/1000+S172/1.01*(90-U174)*12/1000</f>
        <v>65.006856237623765</v>
      </c>
      <c r="R174" s="3"/>
      <c r="S174" s="3">
        <v>95</v>
      </c>
      <c r="T174" s="3">
        <v>7</v>
      </c>
      <c r="U174" s="3">
        <f t="shared" si="109"/>
        <v>56</v>
      </c>
      <c r="V174" s="3">
        <v>4</v>
      </c>
      <c r="W174" s="9">
        <v>23.216148995419001</v>
      </c>
      <c r="X174" s="7">
        <v>30079</v>
      </c>
      <c r="Y174" s="7">
        <v>30134</v>
      </c>
      <c r="Z174" s="3">
        <v>245.5</v>
      </c>
      <c r="AA174" s="3" t="s">
        <v>51</v>
      </c>
      <c r="AB174" s="3">
        <v>4.92</v>
      </c>
      <c r="AC174" s="3" t="s">
        <v>131</v>
      </c>
      <c r="AD174" s="3">
        <v>500.7</v>
      </c>
      <c r="AE174" s="3" t="s">
        <v>51</v>
      </c>
      <c r="AF174" s="3">
        <v>4.92</v>
      </c>
      <c r="AG174" s="3" t="s">
        <v>131</v>
      </c>
      <c r="AH174" s="8">
        <f t="shared" si="89"/>
        <v>-0.50968643898542043</v>
      </c>
      <c r="AI174" s="8">
        <f>VLOOKUP(F174,'[11]Sheet 2'!$A:$S,18,0)/VLOOKUP(F174,'[11]Sheet 2'!$A:$U,20,0)</f>
        <v>420.59134522711707</v>
      </c>
      <c r="AJ174" s="8">
        <f t="shared" si="90"/>
        <v>-0.41629802232989049</v>
      </c>
      <c r="AK174" s="3">
        <v>20.7</v>
      </c>
      <c r="AL174" s="4" t="s">
        <v>37</v>
      </c>
      <c r="AM174" s="3"/>
      <c r="AN174" s="3"/>
      <c r="AO174" s="3">
        <v>36.4</v>
      </c>
      <c r="AP174" s="4" t="s">
        <v>37</v>
      </c>
      <c r="AQ174" s="3"/>
      <c r="AR174" s="3"/>
      <c r="AS174" s="8">
        <f t="shared" si="91"/>
        <v>-0.43131868131868134</v>
      </c>
      <c r="AT174" s="8">
        <f>VLOOKUP(F174,'[12]Sheet 2'!$A:$S,18,0)/VLOOKUP(F174,'[12]Sheet 2'!$A:$U,20,0)</f>
        <v>31.678097114423103</v>
      </c>
      <c r="AU174" s="8">
        <f t="shared" si="92"/>
        <v>-0.34655165917225356</v>
      </c>
      <c r="AV174" s="57">
        <v>26.8</v>
      </c>
      <c r="AW174" s="3" t="s">
        <v>132</v>
      </c>
      <c r="AX174" s="3"/>
      <c r="AY174" s="3"/>
      <c r="AZ174" s="3">
        <v>30.8</v>
      </c>
      <c r="BA174" s="3" t="s">
        <v>132</v>
      </c>
      <c r="BB174" s="3"/>
      <c r="BC174" s="3"/>
      <c r="BD174" s="8">
        <f t="shared" si="93"/>
        <v>-0.12987012987012986</v>
      </c>
      <c r="BE174" s="8">
        <f>VLOOKUP(F174,'[13]Sheet 2'!$A:$S,18,0)/VLOOKUP(F174,'[13]Sheet 2'!$A:$U,20,0)</f>
        <v>29.617800016376439</v>
      </c>
      <c r="BF174" s="8">
        <f t="shared" si="94"/>
        <v>-9.5138734639926142E-2</v>
      </c>
      <c r="BG174" s="3">
        <v>86</v>
      </c>
      <c r="BH174" s="3" t="s">
        <v>141</v>
      </c>
      <c r="BI174" s="3"/>
      <c r="BJ174" s="3"/>
      <c r="BK174" s="3">
        <v>82</v>
      </c>
      <c r="BL174" s="3" t="s">
        <v>141</v>
      </c>
      <c r="BM174" s="3"/>
      <c r="BN174" s="3"/>
      <c r="BO174" s="8">
        <f t="shared" si="95"/>
        <v>4.878048780487805E-2</v>
      </c>
      <c r="BP174" s="8">
        <f>VLOOKUP(F174,'[14]Sheet 2'!$A:$V,18,0)/VLOOKUP(F174,'[14]Sheet 2'!$A:$V,20,0)</f>
        <v>79.90870666606304</v>
      </c>
      <c r="BQ174" s="8">
        <f t="shared" si="96"/>
        <v>7.6228155705139355E-2</v>
      </c>
      <c r="BR174" s="3">
        <f t="shared" si="104"/>
        <v>11859.903381642513</v>
      </c>
      <c r="BS174" s="3" t="s">
        <v>52</v>
      </c>
      <c r="BT174" s="3"/>
      <c r="BU174" s="3"/>
      <c r="BV174" s="3">
        <f t="shared" si="105"/>
        <v>13755.494505494506</v>
      </c>
      <c r="BW174" s="3" t="s">
        <v>52</v>
      </c>
      <c r="BX174" s="3"/>
      <c r="BY174" s="3"/>
      <c r="BZ174" s="8">
        <f t="shared" si="97"/>
        <v>-0.13780610526904841</v>
      </c>
      <c r="CA174" s="8">
        <f>VLOOKUP(F174,'[15]Sheet 2'!$A:$S,18,0)/VLOOKUP(F174,'[15]Sheet 2'!$A:$U,20,0)</f>
        <v>13398.543846160575</v>
      </c>
      <c r="CB174" s="8">
        <f t="shared" si="98"/>
        <v>-0.11483639432646021</v>
      </c>
      <c r="CC174" s="19">
        <v>41.709166000000003</v>
      </c>
      <c r="CD174" s="19">
        <v>-87.981992000000005</v>
      </c>
      <c r="CE174" s="20">
        <v>29872</v>
      </c>
      <c r="CF174" s="18">
        <v>30139</v>
      </c>
      <c r="CG174" s="18">
        <v>30079</v>
      </c>
      <c r="CH174" s="18">
        <v>30134</v>
      </c>
      <c r="CI174" s="21">
        <f t="shared" si="107"/>
        <v>-79</v>
      </c>
      <c r="CJ174" s="21">
        <f t="shared" si="101"/>
        <v>188</v>
      </c>
      <c r="CK174" s="30">
        <f t="shared" si="108"/>
        <v>268</v>
      </c>
      <c r="CL174" s="21">
        <f t="shared" si="106"/>
        <v>128</v>
      </c>
      <c r="CM174" s="21">
        <f t="shared" si="85"/>
        <v>183</v>
      </c>
      <c r="CN174" s="19">
        <f t="shared" si="86"/>
        <v>56</v>
      </c>
      <c r="CO174" s="29">
        <v>30090</v>
      </c>
      <c r="CP174" s="29">
        <v>30105</v>
      </c>
      <c r="CQ174" s="19">
        <f t="shared" si="110"/>
        <v>35</v>
      </c>
    </row>
    <row r="175" spans="1:95" s="19" customFormat="1" hidden="1" x14ac:dyDescent="0.3">
      <c r="A175" s="3">
        <v>1</v>
      </c>
      <c r="B175" s="3"/>
      <c r="C175" s="3"/>
      <c r="D175" s="3" t="s">
        <v>137</v>
      </c>
      <c r="E175" s="6" t="s">
        <v>138</v>
      </c>
      <c r="F175" s="6" t="str">
        <f t="shared" si="87"/>
        <v>1985-215Roland1982OTC</v>
      </c>
      <c r="G175" s="3" t="s">
        <v>139</v>
      </c>
      <c r="H175" s="3" t="s">
        <v>128</v>
      </c>
      <c r="I175" s="3" t="s">
        <v>129</v>
      </c>
      <c r="J175" s="3" t="s">
        <v>94</v>
      </c>
      <c r="K175" s="3" t="s">
        <v>143</v>
      </c>
      <c r="L175" s="3">
        <v>1982</v>
      </c>
      <c r="M175" s="3" t="s">
        <v>34</v>
      </c>
      <c r="N175" s="3" t="s">
        <v>49</v>
      </c>
      <c r="O175" s="3" t="s">
        <v>136</v>
      </c>
      <c r="P175" s="3"/>
      <c r="Q175" s="3">
        <f>(7*S175+5*0.976*S172)/12*U175*12/1000+S172/1.01*(90-U175)*12/1000</f>
        <v>75.59085623762374</v>
      </c>
      <c r="R175" s="3"/>
      <c r="S175" s="3">
        <v>122</v>
      </c>
      <c r="T175" s="3">
        <v>7</v>
      </c>
      <c r="U175" s="3">
        <f t="shared" si="109"/>
        <v>56</v>
      </c>
      <c r="V175" s="3">
        <v>4</v>
      </c>
      <c r="W175" s="9">
        <v>33.3905050705403</v>
      </c>
      <c r="X175" s="7">
        <v>30079</v>
      </c>
      <c r="Y175" s="7">
        <v>30134</v>
      </c>
      <c r="Z175" s="3">
        <v>185.9</v>
      </c>
      <c r="AA175" s="3" t="s">
        <v>51</v>
      </c>
      <c r="AB175" s="3">
        <v>4.92</v>
      </c>
      <c r="AC175" s="3" t="s">
        <v>131</v>
      </c>
      <c r="AD175" s="3">
        <v>500.7</v>
      </c>
      <c r="AE175" s="3" t="s">
        <v>51</v>
      </c>
      <c r="AF175" s="3">
        <v>4.92</v>
      </c>
      <c r="AG175" s="3" t="s">
        <v>131</v>
      </c>
      <c r="AH175" s="8">
        <f t="shared" si="89"/>
        <v>-0.62871979229079278</v>
      </c>
      <c r="AI175" s="8">
        <f>VLOOKUP(F175,'[11]Sheet 2'!$A:$S,18,0)/VLOOKUP(F175,'[11]Sheet 2'!$A:$U,20,0)</f>
        <v>420.59134522711707</v>
      </c>
      <c r="AJ175" s="8">
        <f t="shared" si="90"/>
        <v>-0.55800326823269508</v>
      </c>
      <c r="AK175" s="3">
        <v>18.3</v>
      </c>
      <c r="AL175" s="4" t="s">
        <v>37</v>
      </c>
      <c r="AM175" s="3"/>
      <c r="AN175" s="3"/>
      <c r="AO175" s="3">
        <v>36.4</v>
      </c>
      <c r="AP175" s="4" t="s">
        <v>37</v>
      </c>
      <c r="AQ175" s="3"/>
      <c r="AR175" s="3"/>
      <c r="AS175" s="8">
        <f t="shared" si="91"/>
        <v>-0.49725274725274721</v>
      </c>
      <c r="AT175" s="8">
        <f>VLOOKUP(F175,'[12]Sheet 2'!$A:$S,18,0)/VLOOKUP(F175,'[12]Sheet 2'!$A:$U,20,0)</f>
        <v>31.678097114423103</v>
      </c>
      <c r="AU175" s="8">
        <f t="shared" si="92"/>
        <v>-0.42231378564503569</v>
      </c>
      <c r="AV175" s="57">
        <v>22.9</v>
      </c>
      <c r="AW175" s="3" t="s">
        <v>132</v>
      </c>
      <c r="AX175" s="3"/>
      <c r="AY175" s="3"/>
      <c r="AZ175" s="3">
        <v>30.8</v>
      </c>
      <c r="BA175" s="3" t="s">
        <v>132</v>
      </c>
      <c r="BB175" s="3"/>
      <c r="BC175" s="3"/>
      <c r="BD175" s="8">
        <f t="shared" si="93"/>
        <v>-0.25649350649350655</v>
      </c>
      <c r="BE175" s="8">
        <f>VLOOKUP(F175,'[13]Sheet 2'!$A:$S,18,0)/VLOOKUP(F175,'[13]Sheet 2'!$A:$U,20,0)</f>
        <v>29.617800016376439</v>
      </c>
      <c r="BF175" s="8">
        <f t="shared" si="94"/>
        <v>-0.2268163068378474</v>
      </c>
      <c r="BG175" s="3">
        <v>72</v>
      </c>
      <c r="BH175" s="3" t="s">
        <v>141</v>
      </c>
      <c r="BI175" s="3"/>
      <c r="BJ175" s="3"/>
      <c r="BK175" s="3">
        <v>82</v>
      </c>
      <c r="BL175" s="3" t="s">
        <v>141</v>
      </c>
      <c r="BM175" s="3"/>
      <c r="BN175" s="3"/>
      <c r="BO175" s="8">
        <f t="shared" si="95"/>
        <v>-0.12195121951219512</v>
      </c>
      <c r="BP175" s="8">
        <f>VLOOKUP(F175,'[14]Sheet 2'!$A:$V,18,0)/VLOOKUP(F175,'[14]Sheet 2'!$A:$V,20,0)</f>
        <v>79.90870666606304</v>
      </c>
      <c r="BQ175" s="8">
        <f t="shared" si="96"/>
        <v>-9.8971776618953108E-2</v>
      </c>
      <c r="BR175" s="3">
        <f t="shared" si="104"/>
        <v>10158.469945355191</v>
      </c>
      <c r="BS175" s="3" t="s">
        <v>52</v>
      </c>
      <c r="BT175" s="3"/>
      <c r="BU175" s="3"/>
      <c r="BV175" s="3">
        <f t="shared" si="105"/>
        <v>13755.494505494506</v>
      </c>
      <c r="BW175" s="3" t="s">
        <v>52</v>
      </c>
      <c r="BX175" s="3"/>
      <c r="BY175" s="3"/>
      <c r="BZ175" s="8">
        <f t="shared" si="97"/>
        <v>-0.26149729176966457</v>
      </c>
      <c r="CA175" s="8">
        <f>VLOOKUP(F175,'[15]Sheet 2'!$A:$S,18,0)/VLOOKUP(F175,'[15]Sheet 2'!$A:$U,20,0)</f>
        <v>13398.543846160575</v>
      </c>
      <c r="CB175" s="8">
        <f t="shared" si="98"/>
        <v>-0.24182283821341113</v>
      </c>
      <c r="CC175" s="19">
        <v>41.709166000000003</v>
      </c>
      <c r="CD175" s="19">
        <v>-87.981992000000005</v>
      </c>
      <c r="CE175" s="20">
        <v>29872</v>
      </c>
      <c r="CF175" s="18">
        <v>30139</v>
      </c>
      <c r="CG175" s="18">
        <v>30079</v>
      </c>
      <c r="CH175" s="18">
        <v>30134</v>
      </c>
      <c r="CI175" s="21">
        <f t="shared" si="107"/>
        <v>-79</v>
      </c>
      <c r="CJ175" s="21">
        <f t="shared" si="101"/>
        <v>188</v>
      </c>
      <c r="CK175" s="30">
        <f t="shared" si="108"/>
        <v>268</v>
      </c>
      <c r="CL175" s="21">
        <f t="shared" si="106"/>
        <v>128</v>
      </c>
      <c r="CM175" s="21">
        <f t="shared" si="85"/>
        <v>183</v>
      </c>
      <c r="CN175" s="19">
        <f t="shared" si="86"/>
        <v>56</v>
      </c>
      <c r="CO175" s="29">
        <v>30090</v>
      </c>
      <c r="CP175" s="29">
        <v>30105</v>
      </c>
      <c r="CQ175" s="19">
        <f t="shared" si="110"/>
        <v>35</v>
      </c>
    </row>
    <row r="176" spans="1:95" s="42" customFormat="1" hidden="1" x14ac:dyDescent="0.3">
      <c r="A176" s="31">
        <v>1</v>
      </c>
      <c r="B176" s="31"/>
      <c r="C176" s="31"/>
      <c r="D176" s="31" t="s">
        <v>137</v>
      </c>
      <c r="E176" s="34" t="s">
        <v>138</v>
      </c>
      <c r="F176" s="34" t="str">
        <f t="shared" si="87"/>
        <v>1985-215Abe1983OTC</v>
      </c>
      <c r="G176" s="31" t="s">
        <v>139</v>
      </c>
      <c r="H176" s="31" t="s">
        <v>128</v>
      </c>
      <c r="I176" s="31" t="s">
        <v>129</v>
      </c>
      <c r="J176" s="31" t="s">
        <v>94</v>
      </c>
      <c r="K176" s="31" t="s">
        <v>140</v>
      </c>
      <c r="L176" s="31">
        <v>1983</v>
      </c>
      <c r="M176" s="31" t="s">
        <v>34</v>
      </c>
      <c r="N176" s="31" t="s">
        <v>49</v>
      </c>
      <c r="O176" s="31" t="s">
        <v>130</v>
      </c>
      <c r="P176" s="32" t="s">
        <v>267</v>
      </c>
      <c r="Q176" s="31">
        <f>(7*S176+5*0.976*S176)/12*U176*12/1000+S177/1.01*(90-U176)*12/1000</f>
        <v>30.36716198019802</v>
      </c>
      <c r="R176" s="31"/>
      <c r="S176" s="31">
        <v>18</v>
      </c>
      <c r="T176" s="31">
        <v>7</v>
      </c>
      <c r="U176" s="31">
        <f t="shared" si="109"/>
        <v>54</v>
      </c>
      <c r="V176" s="31">
        <v>4</v>
      </c>
      <c r="W176" s="43">
        <v>0.92844217674115304</v>
      </c>
      <c r="X176" s="35">
        <v>30444</v>
      </c>
      <c r="Y176" s="35">
        <v>30497</v>
      </c>
      <c r="Z176" s="31">
        <v>580.79999999999995</v>
      </c>
      <c r="AA176" s="31" t="s">
        <v>51</v>
      </c>
      <c r="AB176" s="31">
        <v>40</v>
      </c>
      <c r="AC176" s="31" t="s">
        <v>144</v>
      </c>
      <c r="AD176" s="31">
        <v>580.79999999999995</v>
      </c>
      <c r="AE176" s="31" t="s">
        <v>51</v>
      </c>
      <c r="AF176" s="31">
        <v>40</v>
      </c>
      <c r="AG176" s="31" t="s">
        <v>144</v>
      </c>
      <c r="AH176" s="8">
        <f t="shared" si="89"/>
        <v>0</v>
      </c>
      <c r="AI176" s="8">
        <f>VLOOKUP(F176,'[11]Sheet 2'!$A:$S,18,0)/VLOOKUP(F176,'[11]Sheet 2'!$A:$U,20,0)</f>
        <v>704.68713315018806</v>
      </c>
      <c r="AJ176" s="8">
        <f t="shared" si="90"/>
        <v>-0.17580444898485806</v>
      </c>
      <c r="AK176" s="31">
        <v>34.4</v>
      </c>
      <c r="AL176" s="32" t="s">
        <v>37</v>
      </c>
      <c r="AM176" s="31"/>
      <c r="AN176" s="31"/>
      <c r="AO176" s="31">
        <v>34.4</v>
      </c>
      <c r="AP176" s="32" t="s">
        <v>37</v>
      </c>
      <c r="AQ176" s="31"/>
      <c r="AR176" s="31"/>
      <c r="AS176" s="8">
        <f t="shared" si="91"/>
        <v>0</v>
      </c>
      <c r="AT176" s="8">
        <f>VLOOKUP(F176,'[12]Sheet 2'!$A:$S,18,0)/VLOOKUP(F176,'[12]Sheet 2'!$A:$U,20,0)</f>
        <v>38.235692399604879</v>
      </c>
      <c r="AU176" s="8">
        <f t="shared" si="92"/>
        <v>-0.10031706394950803</v>
      </c>
      <c r="AV176" s="57">
        <v>18.899999999999999</v>
      </c>
      <c r="AW176" s="31" t="s">
        <v>132</v>
      </c>
      <c r="AX176" s="31"/>
      <c r="AY176" s="31"/>
      <c r="AZ176" s="31">
        <v>18.899999999999999</v>
      </c>
      <c r="BA176" s="31" t="s">
        <v>132</v>
      </c>
      <c r="BB176" s="31"/>
      <c r="BC176" s="31"/>
      <c r="BD176" s="8">
        <f t="shared" si="93"/>
        <v>0</v>
      </c>
      <c r="BE176" s="8">
        <f>VLOOKUP(F176,'[13]Sheet 2'!$A:$S,18,0)/VLOOKUP(F176,'[13]Sheet 2'!$A:$U,20,0)</f>
        <v>20.377765154643736</v>
      </c>
      <c r="BF176" s="8">
        <f t="shared" si="94"/>
        <v>-7.2518509435612999E-2</v>
      </c>
      <c r="BG176" s="31">
        <v>167</v>
      </c>
      <c r="BH176" s="31" t="s">
        <v>141</v>
      </c>
      <c r="BI176" s="31"/>
      <c r="BJ176" s="31"/>
      <c r="BK176" s="31">
        <v>167</v>
      </c>
      <c r="BL176" s="31" t="s">
        <v>141</v>
      </c>
      <c r="BM176" s="31"/>
      <c r="BN176" s="31"/>
      <c r="BO176" s="8">
        <f t="shared" si="95"/>
        <v>0</v>
      </c>
      <c r="BP176" s="8">
        <f>VLOOKUP(F176,'[14]Sheet 2'!$A:$V,18,0)/VLOOKUP(F176,'[14]Sheet 2'!$A:$V,20,0)</f>
        <v>166.23730001900157</v>
      </c>
      <c r="BQ176" s="8">
        <f t="shared" si="96"/>
        <v>4.5880195414101073E-3</v>
      </c>
      <c r="BR176" s="31">
        <f t="shared" si="104"/>
        <v>16883.720930232557</v>
      </c>
      <c r="BS176" s="31" t="s">
        <v>52</v>
      </c>
      <c r="BT176" s="31"/>
      <c r="BU176" s="31"/>
      <c r="BV176" s="31">
        <f t="shared" si="105"/>
        <v>16883.720930232557</v>
      </c>
      <c r="BW176" s="31" t="s">
        <v>52</v>
      </c>
      <c r="BX176" s="31"/>
      <c r="BY176" s="31"/>
      <c r="BZ176" s="8">
        <f t="shared" si="97"/>
        <v>0</v>
      </c>
      <c r="CA176" s="8">
        <f>VLOOKUP(F176,'[15]Sheet 2'!$A:$S,18,0)/VLOOKUP(F176,'[15]Sheet 2'!$A:$U,20,0)</f>
        <v>18411.076892022396</v>
      </c>
      <c r="CB176" s="8">
        <f t="shared" si="98"/>
        <v>-8.2958534731428418E-2</v>
      </c>
      <c r="CC176" s="42">
        <v>41.709166000000003</v>
      </c>
      <c r="CD176" s="42">
        <v>-87.981992000000005</v>
      </c>
      <c r="CE176" s="38">
        <v>30237</v>
      </c>
      <c r="CF176" s="39">
        <v>30504</v>
      </c>
      <c r="CG176" s="39">
        <v>30444</v>
      </c>
      <c r="CH176" s="39">
        <v>30497</v>
      </c>
      <c r="CI176" s="40">
        <f t="shared" si="107"/>
        <v>-79</v>
      </c>
      <c r="CJ176" s="40">
        <f t="shared" si="101"/>
        <v>188</v>
      </c>
      <c r="CK176" s="41">
        <f t="shared" si="108"/>
        <v>268</v>
      </c>
      <c r="CL176" s="40">
        <f t="shared" si="106"/>
        <v>128</v>
      </c>
      <c r="CM176" s="40">
        <f t="shared" si="85"/>
        <v>181</v>
      </c>
      <c r="CN176" s="42">
        <f t="shared" si="86"/>
        <v>54</v>
      </c>
      <c r="CO176" s="47">
        <v>30463</v>
      </c>
      <c r="CP176" s="47">
        <v>30481</v>
      </c>
      <c r="CQ176" s="42">
        <f t="shared" si="110"/>
        <v>24</v>
      </c>
    </row>
    <row r="177" spans="1:95" s="42" customFormat="1" hidden="1" x14ac:dyDescent="0.3">
      <c r="A177" s="31">
        <v>1</v>
      </c>
      <c r="B177" s="31"/>
      <c r="C177" s="31"/>
      <c r="D177" s="31" t="s">
        <v>137</v>
      </c>
      <c r="E177" s="34" t="s">
        <v>138</v>
      </c>
      <c r="F177" s="34" t="str">
        <f t="shared" si="87"/>
        <v>1985-215Abe1983OTC</v>
      </c>
      <c r="G177" s="31" t="s">
        <v>139</v>
      </c>
      <c r="H177" s="31" t="s">
        <v>128</v>
      </c>
      <c r="I177" s="31" t="s">
        <v>129</v>
      </c>
      <c r="J177" s="31" t="s">
        <v>94</v>
      </c>
      <c r="K177" s="31" t="s">
        <v>140</v>
      </c>
      <c r="L177" s="31">
        <v>1983</v>
      </c>
      <c r="M177" s="31" t="s">
        <v>34</v>
      </c>
      <c r="N177" s="31" t="s">
        <v>49</v>
      </c>
      <c r="O177" s="31" t="s">
        <v>101</v>
      </c>
      <c r="P177" s="31"/>
      <c r="Q177" s="32">
        <f>S177/1.01*1.08</f>
        <v>47.049504950495056</v>
      </c>
      <c r="R177" s="31"/>
      <c r="S177" s="31">
        <v>44</v>
      </c>
      <c r="T177" s="31">
        <v>7</v>
      </c>
      <c r="U177" s="31">
        <f t="shared" si="109"/>
        <v>54</v>
      </c>
      <c r="V177" s="31">
        <v>4</v>
      </c>
      <c r="W177" s="43">
        <v>7.6334510419664303</v>
      </c>
      <c r="X177" s="35">
        <v>30444</v>
      </c>
      <c r="Y177" s="35">
        <v>30497</v>
      </c>
      <c r="Z177" s="31">
        <v>598.6</v>
      </c>
      <c r="AA177" s="31" t="s">
        <v>51</v>
      </c>
      <c r="AB177" s="31">
        <v>40</v>
      </c>
      <c r="AC177" s="31" t="s">
        <v>144</v>
      </c>
      <c r="AD177" s="31">
        <v>580.79999999999995</v>
      </c>
      <c r="AE177" s="31" t="s">
        <v>51</v>
      </c>
      <c r="AF177" s="31">
        <v>40</v>
      </c>
      <c r="AG177" s="31" t="s">
        <v>144</v>
      </c>
      <c r="AH177" s="8">
        <f t="shared" si="89"/>
        <v>3.0647382920110312E-2</v>
      </c>
      <c r="AI177" s="8">
        <f>VLOOKUP(F177,'[11]Sheet 2'!$A:$S,18,0)/VLOOKUP(F177,'[11]Sheet 2'!$A:$U,20,0)</f>
        <v>704.68713315018806</v>
      </c>
      <c r="AJ177" s="8">
        <f t="shared" si="90"/>
        <v>-0.15054501233184567</v>
      </c>
      <c r="AK177" s="31">
        <v>34.5</v>
      </c>
      <c r="AL177" s="32" t="s">
        <v>37</v>
      </c>
      <c r="AM177" s="31"/>
      <c r="AN177" s="31"/>
      <c r="AO177" s="31">
        <v>34.4</v>
      </c>
      <c r="AP177" s="32" t="s">
        <v>37</v>
      </c>
      <c r="AQ177" s="31"/>
      <c r="AR177" s="31"/>
      <c r="AS177" s="8">
        <f t="shared" si="91"/>
        <v>2.9069767441860881E-3</v>
      </c>
      <c r="AT177" s="8">
        <f>VLOOKUP(F177,'[12]Sheet 2'!$A:$S,18,0)/VLOOKUP(F177,'[12]Sheet 2'!$A:$U,20,0)</f>
        <v>38.235692399604879</v>
      </c>
      <c r="AU177" s="8">
        <f t="shared" si="92"/>
        <v>-9.7701706577268191E-2</v>
      </c>
      <c r="AV177" s="57">
        <v>18.600000000000001</v>
      </c>
      <c r="AW177" s="31" t="s">
        <v>132</v>
      </c>
      <c r="AX177" s="31"/>
      <c r="AY177" s="31"/>
      <c r="AZ177" s="31">
        <v>18.899999999999999</v>
      </c>
      <c r="BA177" s="31" t="s">
        <v>132</v>
      </c>
      <c r="BB177" s="31"/>
      <c r="BC177" s="31"/>
      <c r="BD177" s="8">
        <f t="shared" si="93"/>
        <v>-1.5873015873015723E-2</v>
      </c>
      <c r="BE177" s="8">
        <f>VLOOKUP(F177,'[13]Sheet 2'!$A:$S,18,0)/VLOOKUP(F177,'[13]Sheet 2'!$A:$U,20,0)</f>
        <v>20.377765154643736</v>
      </c>
      <c r="BF177" s="8">
        <f t="shared" si="94"/>
        <v>-8.7240437857269801E-2</v>
      </c>
      <c r="BG177" s="31">
        <v>196</v>
      </c>
      <c r="BH177" s="31" t="s">
        <v>141</v>
      </c>
      <c r="BI177" s="31"/>
      <c r="BJ177" s="31"/>
      <c r="BK177" s="31">
        <v>167</v>
      </c>
      <c r="BL177" s="31" t="s">
        <v>141</v>
      </c>
      <c r="BM177" s="31"/>
      <c r="BN177" s="31"/>
      <c r="BO177" s="8">
        <f t="shared" si="95"/>
        <v>0.17365269461077845</v>
      </c>
      <c r="BP177" s="8">
        <f>VLOOKUP(F177,'[14]Sheet 2'!$A:$V,18,0)/VLOOKUP(F177,'[14]Sheet 2'!$A:$V,20,0)</f>
        <v>166.23730001900157</v>
      </c>
      <c r="BQ177" s="8">
        <f t="shared" si="96"/>
        <v>0.17903743610848133</v>
      </c>
      <c r="BR177" s="31">
        <f t="shared" si="104"/>
        <v>17350.72463768116</v>
      </c>
      <c r="BS177" s="31" t="s">
        <v>52</v>
      </c>
      <c r="BT177" s="31"/>
      <c r="BU177" s="31"/>
      <c r="BV177" s="31">
        <f t="shared" si="105"/>
        <v>16883.720930232557</v>
      </c>
      <c r="BW177" s="31" t="s">
        <v>52</v>
      </c>
      <c r="BX177" s="31"/>
      <c r="BY177" s="31"/>
      <c r="BZ177" s="8">
        <f t="shared" si="97"/>
        <v>2.7659999201501261E-2</v>
      </c>
      <c r="CA177" s="8">
        <f>VLOOKUP(F177,'[15]Sheet 2'!$A:$S,18,0)/VLOOKUP(F177,'[15]Sheet 2'!$A:$U,20,0)</f>
        <v>18411.076892022396</v>
      </c>
      <c r="CB177" s="8">
        <f t="shared" si="98"/>
        <v>-5.7593168534356178E-2</v>
      </c>
      <c r="CC177" s="42">
        <v>41.709166000000003</v>
      </c>
      <c r="CD177" s="42">
        <v>-87.981992000000005</v>
      </c>
      <c r="CE177" s="38">
        <v>30237</v>
      </c>
      <c r="CF177" s="39">
        <v>30504</v>
      </c>
      <c r="CG177" s="39">
        <v>30444</v>
      </c>
      <c r="CH177" s="39">
        <v>30497</v>
      </c>
      <c r="CI177" s="40">
        <f t="shared" si="107"/>
        <v>-79</v>
      </c>
      <c r="CJ177" s="40">
        <f t="shared" si="101"/>
        <v>188</v>
      </c>
      <c r="CK177" s="41">
        <f t="shared" si="108"/>
        <v>268</v>
      </c>
      <c r="CL177" s="40">
        <f t="shared" si="106"/>
        <v>128</v>
      </c>
      <c r="CM177" s="40">
        <f t="shared" si="85"/>
        <v>181</v>
      </c>
      <c r="CN177" s="42">
        <f t="shared" si="86"/>
        <v>54</v>
      </c>
      <c r="CO177" s="47">
        <v>30463</v>
      </c>
      <c r="CP177" s="47">
        <v>30481</v>
      </c>
      <c r="CQ177" s="42">
        <f t="shared" si="110"/>
        <v>24</v>
      </c>
    </row>
    <row r="178" spans="1:95" s="42" customFormat="1" hidden="1" x14ac:dyDescent="0.3">
      <c r="A178" s="31">
        <v>1</v>
      </c>
      <c r="B178" s="31"/>
      <c r="C178" s="31"/>
      <c r="D178" s="31" t="s">
        <v>137</v>
      </c>
      <c r="E178" s="34" t="s">
        <v>138</v>
      </c>
      <c r="F178" s="34" t="str">
        <f t="shared" si="87"/>
        <v>1985-215Abe1983OTC</v>
      </c>
      <c r="G178" s="31" t="s">
        <v>139</v>
      </c>
      <c r="H178" s="31" t="s">
        <v>128</v>
      </c>
      <c r="I178" s="31" t="s">
        <v>129</v>
      </c>
      <c r="J178" s="31" t="s">
        <v>94</v>
      </c>
      <c r="K178" s="31" t="s">
        <v>140</v>
      </c>
      <c r="L178" s="31">
        <v>1983</v>
      </c>
      <c r="M178" s="31" t="s">
        <v>34</v>
      </c>
      <c r="N178" s="31" t="s">
        <v>49</v>
      </c>
      <c r="O178" s="31" t="s">
        <v>134</v>
      </c>
      <c r="P178" s="31"/>
      <c r="Q178" s="31">
        <f>(7*S178+5*0.976*S177)/12*U178*12/1000+S177/1.01*(90-U178)*12/1000</f>
        <v>53.850681980198019</v>
      </c>
      <c r="R178" s="31"/>
      <c r="S178" s="31">
        <v>62</v>
      </c>
      <c r="T178" s="31">
        <v>7</v>
      </c>
      <c r="U178" s="31">
        <f t="shared" si="109"/>
        <v>54</v>
      </c>
      <c r="V178" s="31">
        <v>4</v>
      </c>
      <c r="W178" s="43">
        <v>13.0387932804637</v>
      </c>
      <c r="X178" s="35">
        <v>30444</v>
      </c>
      <c r="Y178" s="35">
        <v>30497</v>
      </c>
      <c r="Z178" s="31">
        <v>598.20000000000005</v>
      </c>
      <c r="AA178" s="31" t="s">
        <v>51</v>
      </c>
      <c r="AB178" s="31">
        <v>40</v>
      </c>
      <c r="AC178" s="31" t="s">
        <v>144</v>
      </c>
      <c r="AD178" s="31">
        <v>580.79999999999995</v>
      </c>
      <c r="AE178" s="31" t="s">
        <v>51</v>
      </c>
      <c r="AF178" s="31">
        <v>40</v>
      </c>
      <c r="AG178" s="31" t="s">
        <v>144</v>
      </c>
      <c r="AH178" s="8">
        <f t="shared" si="89"/>
        <v>2.9958677685950574E-2</v>
      </c>
      <c r="AI178" s="8">
        <f>VLOOKUP(F178,'[11]Sheet 2'!$A:$S,18,0)/VLOOKUP(F178,'[11]Sheet 2'!$A:$U,20,0)</f>
        <v>704.68713315018806</v>
      </c>
      <c r="AJ178" s="8">
        <f t="shared" si="90"/>
        <v>-0.15111264012180098</v>
      </c>
      <c r="AK178" s="31">
        <v>33.6</v>
      </c>
      <c r="AL178" s="32" t="s">
        <v>37</v>
      </c>
      <c r="AM178" s="31"/>
      <c r="AN178" s="31"/>
      <c r="AO178" s="31">
        <v>34.4</v>
      </c>
      <c r="AP178" s="32" t="s">
        <v>37</v>
      </c>
      <c r="AQ178" s="31"/>
      <c r="AR178" s="31"/>
      <c r="AS178" s="8">
        <f t="shared" si="91"/>
        <v>-2.3255813953488292E-2</v>
      </c>
      <c r="AT178" s="8">
        <f>VLOOKUP(F178,'[12]Sheet 2'!$A:$S,18,0)/VLOOKUP(F178,'[12]Sheet 2'!$A:$U,20,0)</f>
        <v>38.235692399604879</v>
      </c>
      <c r="AU178" s="8">
        <f t="shared" si="92"/>
        <v>-0.12123992292742637</v>
      </c>
      <c r="AV178" s="57">
        <v>20.3</v>
      </c>
      <c r="AW178" s="31" t="s">
        <v>132</v>
      </c>
      <c r="AX178" s="31"/>
      <c r="AY178" s="31"/>
      <c r="AZ178" s="31">
        <v>18.899999999999999</v>
      </c>
      <c r="BA178" s="31" t="s">
        <v>132</v>
      </c>
      <c r="BB178" s="31"/>
      <c r="BC178" s="31"/>
      <c r="BD178" s="8">
        <f t="shared" si="93"/>
        <v>7.4074074074074195E-2</v>
      </c>
      <c r="BE178" s="8">
        <f>VLOOKUP(F178,'[13]Sheet 2'!$A:$S,18,0)/VLOOKUP(F178,'[13]Sheet 2'!$A:$U,20,0)</f>
        <v>20.377765154643736</v>
      </c>
      <c r="BF178" s="8">
        <f t="shared" si="94"/>
        <v>-3.8161768012138532E-3</v>
      </c>
      <c r="BG178" s="31">
        <v>154</v>
      </c>
      <c r="BH178" s="31" t="s">
        <v>141</v>
      </c>
      <c r="BI178" s="31"/>
      <c r="BJ178" s="31"/>
      <c r="BK178" s="31">
        <v>167</v>
      </c>
      <c r="BL178" s="31" t="s">
        <v>141</v>
      </c>
      <c r="BM178" s="31"/>
      <c r="BN178" s="31"/>
      <c r="BO178" s="8">
        <f t="shared" si="95"/>
        <v>-7.7844311377245512E-2</v>
      </c>
      <c r="BP178" s="8">
        <f>VLOOKUP(F178,'[14]Sheet 2'!$A:$V,18,0)/VLOOKUP(F178,'[14]Sheet 2'!$A:$V,20,0)</f>
        <v>166.23730001900157</v>
      </c>
      <c r="BQ178" s="8">
        <f t="shared" si="96"/>
        <v>-7.3613443057621811E-2</v>
      </c>
      <c r="BR178" s="31">
        <f t="shared" si="104"/>
        <v>17803.571428571431</v>
      </c>
      <c r="BS178" s="31" t="s">
        <v>52</v>
      </c>
      <c r="BT178" s="31"/>
      <c r="BU178" s="31"/>
      <c r="BV178" s="31">
        <f t="shared" si="105"/>
        <v>16883.720930232557</v>
      </c>
      <c r="BW178" s="31" t="s">
        <v>52</v>
      </c>
      <c r="BX178" s="31"/>
      <c r="BY178" s="31"/>
      <c r="BZ178" s="8">
        <f t="shared" si="97"/>
        <v>5.4481503345139917E-2</v>
      </c>
      <c r="CA178" s="8">
        <f>VLOOKUP(F178,'[15]Sheet 2'!$A:$S,18,0)/VLOOKUP(F178,'[15]Sheet 2'!$A:$U,20,0)</f>
        <v>18411.076892022396</v>
      </c>
      <c r="CB178" s="8">
        <f t="shared" si="98"/>
        <v>-3.299673707376672E-2</v>
      </c>
      <c r="CC178" s="42">
        <v>41.709166000000003</v>
      </c>
      <c r="CD178" s="42">
        <v>-87.981992000000005</v>
      </c>
      <c r="CE178" s="38">
        <v>30237</v>
      </c>
      <c r="CF178" s="39">
        <v>30504</v>
      </c>
      <c r="CG178" s="39">
        <v>30444</v>
      </c>
      <c r="CH178" s="39">
        <v>30497</v>
      </c>
      <c r="CI178" s="40">
        <f t="shared" si="107"/>
        <v>-79</v>
      </c>
      <c r="CJ178" s="40">
        <f t="shared" si="101"/>
        <v>188</v>
      </c>
      <c r="CK178" s="41">
        <f t="shared" si="108"/>
        <v>268</v>
      </c>
      <c r="CL178" s="40">
        <f t="shared" si="106"/>
        <v>128</v>
      </c>
      <c r="CM178" s="40">
        <f t="shared" si="85"/>
        <v>181</v>
      </c>
      <c r="CN178" s="42">
        <f t="shared" si="86"/>
        <v>54</v>
      </c>
      <c r="CO178" s="47">
        <v>30463</v>
      </c>
      <c r="CP178" s="47">
        <v>30481</v>
      </c>
      <c r="CQ178" s="42">
        <f t="shared" si="110"/>
        <v>24</v>
      </c>
    </row>
    <row r="179" spans="1:95" s="42" customFormat="1" hidden="1" x14ac:dyDescent="0.3">
      <c r="A179" s="31">
        <v>1</v>
      </c>
      <c r="B179" s="31"/>
      <c r="C179" s="31"/>
      <c r="D179" s="31" t="s">
        <v>137</v>
      </c>
      <c r="E179" s="34" t="s">
        <v>138</v>
      </c>
      <c r="F179" s="34" t="str">
        <f t="shared" si="87"/>
        <v>1985-215Abe1983OTC</v>
      </c>
      <c r="G179" s="31" t="s">
        <v>139</v>
      </c>
      <c r="H179" s="31" t="s">
        <v>128</v>
      </c>
      <c r="I179" s="31" t="s">
        <v>129</v>
      </c>
      <c r="J179" s="31" t="s">
        <v>94</v>
      </c>
      <c r="K179" s="31" t="s">
        <v>140</v>
      </c>
      <c r="L179" s="31">
        <v>1983</v>
      </c>
      <c r="M179" s="31" t="s">
        <v>34</v>
      </c>
      <c r="N179" s="31" t="s">
        <v>49</v>
      </c>
      <c r="O179" s="31" t="s">
        <v>135</v>
      </c>
      <c r="P179" s="31"/>
      <c r="Q179" s="31">
        <f>(7*S179+5*0.976*S177)/12*U179*12/1000+S177/1.01*(90-U179)*12/1000</f>
        <v>59.89868198019802</v>
      </c>
      <c r="R179" s="31"/>
      <c r="S179" s="31">
        <v>78</v>
      </c>
      <c r="T179" s="31">
        <v>7</v>
      </c>
      <c r="U179" s="31">
        <f t="shared" si="109"/>
        <v>54</v>
      </c>
      <c r="V179" s="31">
        <v>4</v>
      </c>
      <c r="W179" s="43">
        <v>18.443321520960399</v>
      </c>
      <c r="X179" s="35">
        <v>30444</v>
      </c>
      <c r="Y179" s="35">
        <v>30497</v>
      </c>
      <c r="Z179" s="31">
        <v>576.20000000000005</v>
      </c>
      <c r="AA179" s="31" t="s">
        <v>51</v>
      </c>
      <c r="AB179" s="31">
        <v>40</v>
      </c>
      <c r="AC179" s="31" t="s">
        <v>144</v>
      </c>
      <c r="AD179" s="31">
        <v>580.79999999999995</v>
      </c>
      <c r="AE179" s="31" t="s">
        <v>51</v>
      </c>
      <c r="AF179" s="31">
        <v>40</v>
      </c>
      <c r="AG179" s="31" t="s">
        <v>144</v>
      </c>
      <c r="AH179" s="8">
        <f t="shared" si="89"/>
        <v>-7.9201101928373097E-3</v>
      </c>
      <c r="AI179" s="8">
        <f>VLOOKUP(F179,'[11]Sheet 2'!$A:$S,18,0)/VLOOKUP(F179,'[11]Sheet 2'!$A:$U,20,0)</f>
        <v>704.68713315018806</v>
      </c>
      <c r="AJ179" s="8">
        <f t="shared" si="90"/>
        <v>-0.18233216856934423</v>
      </c>
      <c r="AK179" s="31">
        <v>32.599999999999994</v>
      </c>
      <c r="AL179" s="32" t="s">
        <v>37</v>
      </c>
      <c r="AM179" s="31"/>
      <c r="AN179" s="31"/>
      <c r="AO179" s="31">
        <v>34.4</v>
      </c>
      <c r="AP179" s="32" t="s">
        <v>37</v>
      </c>
      <c r="AQ179" s="31"/>
      <c r="AR179" s="31"/>
      <c r="AS179" s="8">
        <f t="shared" si="91"/>
        <v>-5.2325581395348965E-2</v>
      </c>
      <c r="AT179" s="8">
        <f>VLOOKUP(F179,'[12]Sheet 2'!$A:$S,18,0)/VLOOKUP(F179,'[12]Sheet 2'!$A:$U,20,0)</f>
        <v>38.235692399604879</v>
      </c>
      <c r="AU179" s="8">
        <f t="shared" si="92"/>
        <v>-0.14739349664982457</v>
      </c>
      <c r="AV179" s="57">
        <v>19.8</v>
      </c>
      <c r="AW179" s="31" t="s">
        <v>132</v>
      </c>
      <c r="AX179" s="31"/>
      <c r="AY179" s="31"/>
      <c r="AZ179" s="31">
        <v>18.899999999999999</v>
      </c>
      <c r="BA179" s="31" t="s">
        <v>132</v>
      </c>
      <c r="BB179" s="31"/>
      <c r="BC179" s="31"/>
      <c r="BD179" s="8">
        <f t="shared" si="93"/>
        <v>4.7619047619047734E-2</v>
      </c>
      <c r="BE179" s="8">
        <f>VLOOKUP(F179,'[13]Sheet 2'!$A:$S,18,0)/VLOOKUP(F179,'[13]Sheet 2'!$A:$U,20,0)</f>
        <v>20.377765154643736</v>
      </c>
      <c r="BF179" s="8">
        <f t="shared" si="94"/>
        <v>-2.8352724170642083E-2</v>
      </c>
      <c r="BG179" s="31">
        <v>160</v>
      </c>
      <c r="BH179" s="31" t="s">
        <v>141</v>
      </c>
      <c r="BI179" s="31"/>
      <c r="BJ179" s="31"/>
      <c r="BK179" s="31">
        <v>167</v>
      </c>
      <c r="BL179" s="31" t="s">
        <v>141</v>
      </c>
      <c r="BM179" s="31"/>
      <c r="BN179" s="31"/>
      <c r="BO179" s="8">
        <f t="shared" si="95"/>
        <v>-4.1916167664670656E-2</v>
      </c>
      <c r="BP179" s="8">
        <f>VLOOKUP(F179,'[14]Sheet 2'!$A:$V,18,0)/VLOOKUP(F179,'[14]Sheet 2'!$A:$V,20,0)</f>
        <v>166.23730001900157</v>
      </c>
      <c r="BQ179" s="8">
        <f t="shared" si="96"/>
        <v>-3.7520460319607082E-2</v>
      </c>
      <c r="BR179" s="31">
        <f t="shared" si="104"/>
        <v>17674.846625766877</v>
      </c>
      <c r="BS179" s="31" t="s">
        <v>52</v>
      </c>
      <c r="BT179" s="31"/>
      <c r="BU179" s="31"/>
      <c r="BV179" s="31">
        <f t="shared" si="105"/>
        <v>16883.720930232557</v>
      </c>
      <c r="BW179" s="31" t="s">
        <v>52</v>
      </c>
      <c r="BX179" s="31"/>
      <c r="BY179" s="31"/>
      <c r="BZ179" s="8">
        <f t="shared" si="97"/>
        <v>4.6857307035779269E-2</v>
      </c>
      <c r="CA179" s="8">
        <f>VLOOKUP(F179,'[15]Sheet 2'!$A:$S,18,0)/VLOOKUP(F179,'[15]Sheet 2'!$A:$U,20,0)</f>
        <v>18411.076892022396</v>
      </c>
      <c r="CB179" s="8">
        <f t="shared" si="98"/>
        <v>-3.9988441228798043E-2</v>
      </c>
      <c r="CC179" s="42">
        <v>41.709166000000003</v>
      </c>
      <c r="CD179" s="42">
        <v>-87.981992000000005</v>
      </c>
      <c r="CE179" s="38">
        <v>30237</v>
      </c>
      <c r="CF179" s="39">
        <v>30504</v>
      </c>
      <c r="CG179" s="39">
        <v>30444</v>
      </c>
      <c r="CH179" s="39">
        <v>30497</v>
      </c>
      <c r="CI179" s="40">
        <f t="shared" si="107"/>
        <v>-79</v>
      </c>
      <c r="CJ179" s="40">
        <f t="shared" si="101"/>
        <v>188</v>
      </c>
      <c r="CK179" s="41">
        <f t="shared" si="108"/>
        <v>268</v>
      </c>
      <c r="CL179" s="40">
        <f t="shared" si="106"/>
        <v>128</v>
      </c>
      <c r="CM179" s="40">
        <f t="shared" si="85"/>
        <v>181</v>
      </c>
      <c r="CN179" s="42">
        <f t="shared" si="86"/>
        <v>54</v>
      </c>
      <c r="CO179" s="47">
        <v>30463</v>
      </c>
      <c r="CP179" s="47">
        <v>30481</v>
      </c>
      <c r="CQ179" s="42">
        <f t="shared" si="110"/>
        <v>24</v>
      </c>
    </row>
    <row r="180" spans="1:95" s="42" customFormat="1" hidden="1" x14ac:dyDescent="0.3">
      <c r="A180" s="31">
        <v>1</v>
      </c>
      <c r="B180" s="31"/>
      <c r="C180" s="31"/>
      <c r="D180" s="31" t="s">
        <v>137</v>
      </c>
      <c r="E180" s="34" t="s">
        <v>138</v>
      </c>
      <c r="F180" s="34" t="str">
        <f t="shared" si="87"/>
        <v>1985-215Abe1983OTC</v>
      </c>
      <c r="G180" s="31" t="s">
        <v>139</v>
      </c>
      <c r="H180" s="31" t="s">
        <v>128</v>
      </c>
      <c r="I180" s="31" t="s">
        <v>129</v>
      </c>
      <c r="J180" s="31" t="s">
        <v>94</v>
      </c>
      <c r="K180" s="31" t="s">
        <v>140</v>
      </c>
      <c r="L180" s="31">
        <v>1983</v>
      </c>
      <c r="M180" s="31" t="s">
        <v>34</v>
      </c>
      <c r="N180" s="31" t="s">
        <v>49</v>
      </c>
      <c r="O180" s="31" t="s">
        <v>136</v>
      </c>
      <c r="P180" s="31"/>
      <c r="Q180" s="31">
        <f>(7*S180+5*0.976*S177)/12*U180*12/1000+S177/1.01*(90-U180)*12/1000</f>
        <v>66.324681980198022</v>
      </c>
      <c r="R180" s="31"/>
      <c r="S180" s="31">
        <v>95</v>
      </c>
      <c r="T180" s="31">
        <v>7</v>
      </c>
      <c r="U180" s="31">
        <f t="shared" si="109"/>
        <v>54</v>
      </c>
      <c r="V180" s="31">
        <v>4</v>
      </c>
      <c r="W180" s="43">
        <v>24.466415950252401</v>
      </c>
      <c r="X180" s="35">
        <v>30444</v>
      </c>
      <c r="Y180" s="35">
        <v>30497</v>
      </c>
      <c r="Z180" s="31">
        <v>493.9</v>
      </c>
      <c r="AA180" s="31" t="s">
        <v>51</v>
      </c>
      <c r="AB180" s="31">
        <v>40</v>
      </c>
      <c r="AC180" s="31" t="s">
        <v>144</v>
      </c>
      <c r="AD180" s="31">
        <v>580.79999999999995</v>
      </c>
      <c r="AE180" s="31" t="s">
        <v>51</v>
      </c>
      <c r="AF180" s="31">
        <v>40</v>
      </c>
      <c r="AG180" s="31" t="s">
        <v>144</v>
      </c>
      <c r="AH180" s="8">
        <f t="shared" si="89"/>
        <v>-0.1496212121212121</v>
      </c>
      <c r="AI180" s="8">
        <f>VLOOKUP(F180,'[11]Sheet 2'!$A:$S,18,0)/VLOOKUP(F180,'[11]Sheet 2'!$A:$U,20,0)</f>
        <v>704.68713315018806</v>
      </c>
      <c r="AJ180" s="8">
        <f t="shared" si="90"/>
        <v>-0.2991215863526539</v>
      </c>
      <c r="AK180" s="31">
        <v>28.799999999999997</v>
      </c>
      <c r="AL180" s="32" t="s">
        <v>37</v>
      </c>
      <c r="AM180" s="31"/>
      <c r="AN180" s="31"/>
      <c r="AO180" s="31">
        <v>34.4</v>
      </c>
      <c r="AP180" s="32" t="s">
        <v>37</v>
      </c>
      <c r="AQ180" s="31"/>
      <c r="AR180" s="31"/>
      <c r="AS180" s="8">
        <f t="shared" si="91"/>
        <v>-0.16279069767441864</v>
      </c>
      <c r="AT180" s="8">
        <f>VLOOKUP(F180,'[12]Sheet 2'!$A:$S,18,0)/VLOOKUP(F180,'[12]Sheet 2'!$A:$U,20,0)</f>
        <v>38.235692399604879</v>
      </c>
      <c r="AU180" s="8">
        <f t="shared" si="92"/>
        <v>-0.24677707679493699</v>
      </c>
      <c r="AV180" s="57">
        <v>19.5</v>
      </c>
      <c r="AW180" s="31" t="s">
        <v>132</v>
      </c>
      <c r="AX180" s="31"/>
      <c r="AY180" s="31"/>
      <c r="AZ180" s="31">
        <v>18.899999999999999</v>
      </c>
      <c r="BA180" s="31" t="s">
        <v>132</v>
      </c>
      <c r="BB180" s="31"/>
      <c r="BC180" s="31"/>
      <c r="BD180" s="8">
        <f t="shared" si="93"/>
        <v>3.1746031746031821E-2</v>
      </c>
      <c r="BE180" s="8">
        <f>VLOOKUP(F180,'[13]Sheet 2'!$A:$S,18,0)/VLOOKUP(F180,'[13]Sheet 2'!$A:$U,20,0)</f>
        <v>20.377765154643736</v>
      </c>
      <c r="BF180" s="8">
        <f t="shared" si="94"/>
        <v>-4.3074652592299055E-2</v>
      </c>
      <c r="BG180" s="31">
        <v>155</v>
      </c>
      <c r="BH180" s="31" t="s">
        <v>141</v>
      </c>
      <c r="BI180" s="31"/>
      <c r="BJ180" s="31"/>
      <c r="BK180" s="31">
        <v>167</v>
      </c>
      <c r="BL180" s="31" t="s">
        <v>141</v>
      </c>
      <c r="BM180" s="31"/>
      <c r="BN180" s="31"/>
      <c r="BO180" s="8">
        <f t="shared" si="95"/>
        <v>-7.1856287425149698E-2</v>
      </c>
      <c r="BP180" s="8">
        <f>VLOOKUP(F180,'[14]Sheet 2'!$A:$V,18,0)/VLOOKUP(F180,'[14]Sheet 2'!$A:$V,20,0)</f>
        <v>166.23730001900157</v>
      </c>
      <c r="BQ180" s="8">
        <f t="shared" si="96"/>
        <v>-6.7597945934619361E-2</v>
      </c>
      <c r="BR180" s="31">
        <f t="shared" si="104"/>
        <v>17149.305555555558</v>
      </c>
      <c r="BS180" s="31" t="s">
        <v>52</v>
      </c>
      <c r="BT180" s="31"/>
      <c r="BU180" s="31"/>
      <c r="BV180" s="31">
        <f t="shared" si="105"/>
        <v>16883.720930232557</v>
      </c>
      <c r="BW180" s="31" t="s">
        <v>52</v>
      </c>
      <c r="BX180" s="31"/>
      <c r="BY180" s="31"/>
      <c r="BZ180" s="8">
        <f t="shared" si="97"/>
        <v>1.5730218855219073E-2</v>
      </c>
      <c r="CA180" s="8">
        <f>VLOOKUP(F180,'[15]Sheet 2'!$A:$S,18,0)/VLOOKUP(F180,'[15]Sheet 2'!$A:$U,20,0)</f>
        <v>18411.076892022396</v>
      </c>
      <c r="CB180" s="8">
        <f t="shared" si="98"/>
        <v>-6.8533271783442998E-2</v>
      </c>
      <c r="CC180" s="42">
        <v>41.709166000000003</v>
      </c>
      <c r="CD180" s="42">
        <v>-87.981992000000005</v>
      </c>
      <c r="CE180" s="38">
        <v>30237</v>
      </c>
      <c r="CF180" s="39">
        <v>30504</v>
      </c>
      <c r="CG180" s="39">
        <v>30444</v>
      </c>
      <c r="CH180" s="39">
        <v>30497</v>
      </c>
      <c r="CI180" s="40">
        <f t="shared" si="107"/>
        <v>-79</v>
      </c>
      <c r="CJ180" s="40">
        <f t="shared" si="101"/>
        <v>188</v>
      </c>
      <c r="CK180" s="41">
        <f t="shared" si="108"/>
        <v>268</v>
      </c>
      <c r="CL180" s="40">
        <f t="shared" si="106"/>
        <v>128</v>
      </c>
      <c r="CM180" s="40">
        <f t="shared" si="85"/>
        <v>181</v>
      </c>
      <c r="CN180" s="42">
        <f t="shared" si="86"/>
        <v>54</v>
      </c>
      <c r="CO180" s="47">
        <v>30463</v>
      </c>
      <c r="CP180" s="47">
        <v>30481</v>
      </c>
      <c r="CQ180" s="42">
        <f t="shared" si="110"/>
        <v>24</v>
      </c>
    </row>
    <row r="181" spans="1:95" s="19" customFormat="1" hidden="1" x14ac:dyDescent="0.3">
      <c r="A181" s="3">
        <v>1</v>
      </c>
      <c r="B181" s="3"/>
      <c r="C181" s="3"/>
      <c r="D181" s="3" t="s">
        <v>137</v>
      </c>
      <c r="E181" s="6" t="s">
        <v>138</v>
      </c>
      <c r="F181" s="6" t="str">
        <f t="shared" si="87"/>
        <v>1985-215Arthur-711983OTC</v>
      </c>
      <c r="G181" s="3" t="s">
        <v>139</v>
      </c>
      <c r="H181" s="3" t="s">
        <v>128</v>
      </c>
      <c r="I181" s="3" t="s">
        <v>129</v>
      </c>
      <c r="J181" s="3" t="s">
        <v>94</v>
      </c>
      <c r="K181" s="3" t="s">
        <v>142</v>
      </c>
      <c r="L181" s="3">
        <v>1983</v>
      </c>
      <c r="M181" s="3" t="s">
        <v>34</v>
      </c>
      <c r="N181" s="3" t="s">
        <v>49</v>
      </c>
      <c r="O181" s="3" t="s">
        <v>130</v>
      </c>
      <c r="P181" s="32" t="s">
        <v>267</v>
      </c>
      <c r="Q181" s="3">
        <f>(7*S181+5*0.976*S181)/12*U181*12/1000+S182/1.01*(90-U181)*12/1000</f>
        <v>30.36716198019802</v>
      </c>
      <c r="R181" s="3"/>
      <c r="S181" s="3">
        <v>18</v>
      </c>
      <c r="T181" s="3">
        <v>7</v>
      </c>
      <c r="U181" s="3">
        <f t="shared" si="109"/>
        <v>54</v>
      </c>
      <c r="V181" s="3">
        <v>4</v>
      </c>
      <c r="W181" s="9">
        <v>0.92844217674115304</v>
      </c>
      <c r="X181" s="7">
        <v>30444</v>
      </c>
      <c r="Y181" s="7">
        <v>30497</v>
      </c>
      <c r="Z181" s="3">
        <v>515.1</v>
      </c>
      <c r="AA181" s="3" t="s">
        <v>51</v>
      </c>
      <c r="AB181" s="3">
        <v>40</v>
      </c>
      <c r="AC181" s="3" t="s">
        <v>144</v>
      </c>
      <c r="AD181" s="3">
        <v>515.1</v>
      </c>
      <c r="AE181" s="3" t="s">
        <v>51</v>
      </c>
      <c r="AF181" s="3">
        <v>40</v>
      </c>
      <c r="AG181" s="3" t="s">
        <v>144</v>
      </c>
      <c r="AH181" s="8">
        <f t="shared" si="89"/>
        <v>0</v>
      </c>
      <c r="AI181" s="8">
        <f>VLOOKUP(F181,'[11]Sheet 2'!$A:$S,18,0)/VLOOKUP(F181,'[11]Sheet 2'!$A:$U,20,0)</f>
        <v>626.28504135507183</v>
      </c>
      <c r="AJ181" s="8">
        <f t="shared" si="90"/>
        <v>-0.17753105058122493</v>
      </c>
      <c r="AK181" s="3">
        <v>31</v>
      </c>
      <c r="AL181" s="4" t="s">
        <v>37</v>
      </c>
      <c r="AM181" s="3"/>
      <c r="AN181" s="3"/>
      <c r="AO181" s="3">
        <v>31</v>
      </c>
      <c r="AP181" s="4" t="s">
        <v>37</v>
      </c>
      <c r="AQ181" s="3"/>
      <c r="AR181" s="3"/>
      <c r="AS181" s="8">
        <f t="shared" si="91"/>
        <v>0</v>
      </c>
      <c r="AT181" s="8">
        <f>VLOOKUP(F181,'[12]Sheet 2'!$A:$S,18,0)/VLOOKUP(F181,'[12]Sheet 2'!$A:$U,20,0)</f>
        <v>34.013551729081996</v>
      </c>
      <c r="AU181" s="8">
        <f t="shared" si="92"/>
        <v>-8.8598560746755928E-2</v>
      </c>
      <c r="AV181" s="57">
        <v>20.2</v>
      </c>
      <c r="AW181" s="3" t="s">
        <v>132</v>
      </c>
      <c r="AX181" s="3"/>
      <c r="AY181" s="3"/>
      <c r="AZ181" s="3">
        <v>20.2</v>
      </c>
      <c r="BA181" s="3" t="s">
        <v>132</v>
      </c>
      <c r="BB181" s="3"/>
      <c r="BC181" s="3"/>
      <c r="BD181" s="8">
        <f t="shared" si="93"/>
        <v>0</v>
      </c>
      <c r="BE181" s="8">
        <f>VLOOKUP(F181,'[13]Sheet 2'!$A:$S,18,0)/VLOOKUP(F181,'[13]Sheet 2'!$A:$U,20,0)</f>
        <v>22.619235455575545</v>
      </c>
      <c r="BF181" s="8">
        <f t="shared" si="94"/>
        <v>-0.10695478458265992</v>
      </c>
      <c r="BG181" s="3">
        <v>160</v>
      </c>
      <c r="BH181" s="3" t="s">
        <v>141</v>
      </c>
      <c r="BI181" s="3"/>
      <c r="BJ181" s="3"/>
      <c r="BK181" s="3">
        <v>160</v>
      </c>
      <c r="BL181" s="3" t="s">
        <v>141</v>
      </c>
      <c r="BM181" s="3"/>
      <c r="BN181" s="3"/>
      <c r="BO181" s="8">
        <f t="shared" si="95"/>
        <v>0</v>
      </c>
      <c r="BP181" s="8">
        <f>VLOOKUP(F181,'[14]Sheet 2'!$A:$V,18,0)/VLOOKUP(F181,'[14]Sheet 2'!$A:$V,20,0)</f>
        <v>146.71094596592121</v>
      </c>
      <c r="BQ181" s="8">
        <f t="shared" si="96"/>
        <v>9.057984015157014E-2</v>
      </c>
      <c r="BR181" s="3">
        <f t="shared" si="104"/>
        <v>16616.129032258064</v>
      </c>
      <c r="BS181" s="3" t="s">
        <v>52</v>
      </c>
      <c r="BT181" s="3"/>
      <c r="BU181" s="3"/>
      <c r="BV181" s="3">
        <f t="shared" si="105"/>
        <v>16616.129032258064</v>
      </c>
      <c r="BW181" s="3" t="s">
        <v>52</v>
      </c>
      <c r="BX181" s="3"/>
      <c r="BY181" s="3"/>
      <c r="BZ181" s="8">
        <f t="shared" si="97"/>
        <v>0</v>
      </c>
      <c r="CA181" s="8">
        <f>VLOOKUP(F181,'[15]Sheet 2'!$A:$S,18,0)/VLOOKUP(F181,'[15]Sheet 2'!$A:$U,20,0)</f>
        <v>18393.817117821905</v>
      </c>
      <c r="CB181" s="8">
        <f t="shared" si="98"/>
        <v>-9.6645958485768887E-2</v>
      </c>
      <c r="CC181" s="19">
        <v>41.709166000000003</v>
      </c>
      <c r="CD181" s="19">
        <v>-87.981992000000005</v>
      </c>
      <c r="CE181" s="20">
        <v>30237</v>
      </c>
      <c r="CF181" s="18">
        <v>30504</v>
      </c>
      <c r="CG181" s="18">
        <v>30444</v>
      </c>
      <c r="CH181" s="18">
        <v>30497</v>
      </c>
      <c r="CI181" s="21">
        <f t="shared" si="107"/>
        <v>-79</v>
      </c>
      <c r="CJ181" s="21">
        <f t="shared" si="101"/>
        <v>188</v>
      </c>
      <c r="CK181" s="30">
        <f t="shared" si="108"/>
        <v>268</v>
      </c>
      <c r="CL181" s="21">
        <f t="shared" si="106"/>
        <v>128</v>
      </c>
      <c r="CM181" s="21">
        <f t="shared" si="85"/>
        <v>181</v>
      </c>
      <c r="CN181" s="19">
        <f t="shared" si="86"/>
        <v>54</v>
      </c>
      <c r="CO181" s="29">
        <v>30463</v>
      </c>
      <c r="CP181" s="29">
        <v>30481</v>
      </c>
      <c r="CQ181" s="19">
        <f t="shared" si="110"/>
        <v>24</v>
      </c>
    </row>
    <row r="182" spans="1:95" s="19" customFormat="1" hidden="1" x14ac:dyDescent="0.3">
      <c r="A182" s="3">
        <v>1</v>
      </c>
      <c r="B182" s="3"/>
      <c r="C182" s="3"/>
      <c r="D182" s="3" t="s">
        <v>137</v>
      </c>
      <c r="E182" s="6" t="s">
        <v>138</v>
      </c>
      <c r="F182" s="6" t="str">
        <f t="shared" si="87"/>
        <v>1985-215Arthur-711983OTC</v>
      </c>
      <c r="G182" s="3" t="s">
        <v>139</v>
      </c>
      <c r="H182" s="3" t="s">
        <v>128</v>
      </c>
      <c r="I182" s="3" t="s">
        <v>129</v>
      </c>
      <c r="J182" s="3" t="s">
        <v>94</v>
      </c>
      <c r="K182" s="3" t="s">
        <v>142</v>
      </c>
      <c r="L182" s="3">
        <v>1983</v>
      </c>
      <c r="M182" s="3" t="s">
        <v>34</v>
      </c>
      <c r="N182" s="3" t="s">
        <v>49</v>
      </c>
      <c r="O182" s="3" t="s">
        <v>101</v>
      </c>
      <c r="P182" s="3"/>
      <c r="Q182" s="4">
        <f>S182/1.01*1.08</f>
        <v>47.049504950495056</v>
      </c>
      <c r="R182" s="3"/>
      <c r="S182" s="3">
        <v>44</v>
      </c>
      <c r="T182" s="3">
        <v>7</v>
      </c>
      <c r="U182" s="3">
        <f t="shared" si="109"/>
        <v>54</v>
      </c>
      <c r="V182" s="3">
        <v>4</v>
      </c>
      <c r="W182" s="9">
        <v>7.6334510419664303</v>
      </c>
      <c r="X182" s="7">
        <v>30444</v>
      </c>
      <c r="Y182" s="7">
        <v>30497</v>
      </c>
      <c r="Z182" s="3">
        <v>562.20000000000005</v>
      </c>
      <c r="AA182" s="3" t="s">
        <v>51</v>
      </c>
      <c r="AB182" s="3">
        <v>40</v>
      </c>
      <c r="AC182" s="3" t="s">
        <v>144</v>
      </c>
      <c r="AD182" s="3">
        <v>515.1</v>
      </c>
      <c r="AE182" s="3" t="s">
        <v>51</v>
      </c>
      <c r="AF182" s="3">
        <v>40</v>
      </c>
      <c r="AG182" s="3" t="s">
        <v>144</v>
      </c>
      <c r="AH182" s="8">
        <f t="shared" si="89"/>
        <v>9.1438555620267953E-2</v>
      </c>
      <c r="AI182" s="8">
        <f>VLOOKUP(F182,'[11]Sheet 2'!$A:$S,18,0)/VLOOKUP(F182,'[11]Sheet 2'!$A:$U,20,0)</f>
        <v>626.28504135507183</v>
      </c>
      <c r="AJ182" s="8">
        <f t="shared" si="90"/>
        <v>-0.10232567780385292</v>
      </c>
      <c r="AK182" s="3">
        <v>31.299999999999997</v>
      </c>
      <c r="AL182" s="4" t="s">
        <v>37</v>
      </c>
      <c r="AM182" s="3"/>
      <c r="AN182" s="3"/>
      <c r="AO182" s="3">
        <v>31</v>
      </c>
      <c r="AP182" s="4" t="s">
        <v>37</v>
      </c>
      <c r="AQ182" s="3"/>
      <c r="AR182" s="3"/>
      <c r="AS182" s="8">
        <f t="shared" si="91"/>
        <v>9.6774193548386182E-3</v>
      </c>
      <c r="AT182" s="8">
        <f>VLOOKUP(F182,'[12]Sheet 2'!$A:$S,18,0)/VLOOKUP(F182,'[12]Sheet 2'!$A:$U,20,0)</f>
        <v>34.013551729081996</v>
      </c>
      <c r="AU182" s="8">
        <f t="shared" si="92"/>
        <v>-7.9778546818498802E-2</v>
      </c>
      <c r="AV182" s="57">
        <v>22.6</v>
      </c>
      <c r="AW182" s="3" t="s">
        <v>132</v>
      </c>
      <c r="AX182" s="3"/>
      <c r="AY182" s="3"/>
      <c r="AZ182" s="3">
        <v>20.2</v>
      </c>
      <c r="BA182" s="3" t="s">
        <v>132</v>
      </c>
      <c r="BB182" s="3"/>
      <c r="BC182" s="3"/>
      <c r="BD182" s="8">
        <f t="shared" si="93"/>
        <v>0.11881188118811892</v>
      </c>
      <c r="BE182" s="8">
        <f>VLOOKUP(F182,'[13]Sheet 2'!$A:$S,18,0)/VLOOKUP(F182,'[13]Sheet 2'!$A:$U,20,0)</f>
        <v>22.619235455575545</v>
      </c>
      <c r="BF182" s="8">
        <f t="shared" si="94"/>
        <v>-8.5040255287683328E-4</v>
      </c>
      <c r="BG182" s="3">
        <v>143</v>
      </c>
      <c r="BH182" s="3" t="s">
        <v>141</v>
      </c>
      <c r="BI182" s="3"/>
      <c r="BJ182" s="3"/>
      <c r="BK182" s="3">
        <v>160</v>
      </c>
      <c r="BL182" s="3" t="s">
        <v>141</v>
      </c>
      <c r="BM182" s="3"/>
      <c r="BN182" s="3"/>
      <c r="BO182" s="8">
        <f t="shared" si="95"/>
        <v>-0.10625</v>
      </c>
      <c r="BP182" s="8">
        <f>VLOOKUP(F182,'[14]Sheet 2'!$A:$V,18,0)/VLOOKUP(F182,'[14]Sheet 2'!$A:$V,20,0)</f>
        <v>146.71094596592121</v>
      </c>
      <c r="BQ182" s="8">
        <f t="shared" si="96"/>
        <v>-2.5294267864534186E-2</v>
      </c>
      <c r="BR182" s="3">
        <f t="shared" si="104"/>
        <v>17961.661341853036</v>
      </c>
      <c r="BS182" s="3" t="s">
        <v>52</v>
      </c>
      <c r="BT182" s="3"/>
      <c r="BU182" s="3"/>
      <c r="BV182" s="3">
        <f t="shared" si="105"/>
        <v>16616.129032258064</v>
      </c>
      <c r="BW182" s="3" t="s">
        <v>52</v>
      </c>
      <c r="BX182" s="3"/>
      <c r="BY182" s="3"/>
      <c r="BZ182" s="8">
        <f t="shared" si="97"/>
        <v>8.0977483202182329E-2</v>
      </c>
      <c r="CA182" s="8">
        <f>VLOOKUP(F182,'[15]Sheet 2'!$A:$S,18,0)/VLOOKUP(F182,'[15]Sheet 2'!$A:$U,20,0)</f>
        <v>18393.817117821905</v>
      </c>
      <c r="CB182" s="8">
        <f t="shared" si="98"/>
        <v>-2.3494621763426718E-2</v>
      </c>
      <c r="CC182" s="19">
        <v>41.709166000000003</v>
      </c>
      <c r="CD182" s="19">
        <v>-87.981992000000005</v>
      </c>
      <c r="CE182" s="20">
        <v>30237</v>
      </c>
      <c r="CF182" s="18">
        <v>30504</v>
      </c>
      <c r="CG182" s="18">
        <v>30444</v>
      </c>
      <c r="CH182" s="18">
        <v>30497</v>
      </c>
      <c r="CI182" s="21">
        <f t="shared" si="107"/>
        <v>-79</v>
      </c>
      <c r="CJ182" s="21">
        <f t="shared" si="101"/>
        <v>188</v>
      </c>
      <c r="CK182" s="30">
        <f t="shared" si="108"/>
        <v>268</v>
      </c>
      <c r="CL182" s="21">
        <f t="shared" si="106"/>
        <v>128</v>
      </c>
      <c r="CM182" s="21">
        <f t="shared" si="85"/>
        <v>181</v>
      </c>
      <c r="CN182" s="19">
        <f t="shared" si="86"/>
        <v>54</v>
      </c>
      <c r="CO182" s="29">
        <v>30463</v>
      </c>
      <c r="CP182" s="29">
        <v>30481</v>
      </c>
      <c r="CQ182" s="19">
        <f t="shared" si="110"/>
        <v>24</v>
      </c>
    </row>
    <row r="183" spans="1:95" s="19" customFormat="1" hidden="1" x14ac:dyDescent="0.3">
      <c r="A183" s="3">
        <v>1</v>
      </c>
      <c r="B183" s="3"/>
      <c r="C183" s="3"/>
      <c r="D183" s="3" t="s">
        <v>137</v>
      </c>
      <c r="E183" s="6" t="s">
        <v>138</v>
      </c>
      <c r="F183" s="6" t="str">
        <f t="shared" si="87"/>
        <v>1985-215Arthur-711983OTC</v>
      </c>
      <c r="G183" s="3" t="s">
        <v>139</v>
      </c>
      <c r="H183" s="3" t="s">
        <v>128</v>
      </c>
      <c r="I183" s="3" t="s">
        <v>129</v>
      </c>
      <c r="J183" s="3" t="s">
        <v>94</v>
      </c>
      <c r="K183" s="3" t="s">
        <v>142</v>
      </c>
      <c r="L183" s="3">
        <v>1983</v>
      </c>
      <c r="M183" s="3" t="s">
        <v>34</v>
      </c>
      <c r="N183" s="3" t="s">
        <v>49</v>
      </c>
      <c r="O183" s="3" t="s">
        <v>134</v>
      </c>
      <c r="P183" s="3"/>
      <c r="Q183" s="3">
        <f>(7*S183+5*0.976*S182)/12*U183*12/1000+S182/1.01*(90-U183)*12/1000</f>
        <v>53.850681980198019</v>
      </c>
      <c r="R183" s="3"/>
      <c r="S183" s="3">
        <v>62</v>
      </c>
      <c r="T183" s="3">
        <v>7</v>
      </c>
      <c r="U183" s="3">
        <f t="shared" si="109"/>
        <v>54</v>
      </c>
      <c r="V183" s="3">
        <v>4</v>
      </c>
      <c r="W183" s="9">
        <v>13.0387932804637</v>
      </c>
      <c r="X183" s="7">
        <v>30444</v>
      </c>
      <c r="Y183" s="7">
        <v>30497</v>
      </c>
      <c r="Z183" s="3">
        <v>521.4</v>
      </c>
      <c r="AA183" s="3" t="s">
        <v>51</v>
      </c>
      <c r="AB183" s="3">
        <v>40</v>
      </c>
      <c r="AC183" s="3" t="s">
        <v>144</v>
      </c>
      <c r="AD183" s="3">
        <v>515.1</v>
      </c>
      <c r="AE183" s="3" t="s">
        <v>51</v>
      </c>
      <c r="AF183" s="3">
        <v>40</v>
      </c>
      <c r="AG183" s="3" t="s">
        <v>144</v>
      </c>
      <c r="AH183" s="8">
        <f t="shared" si="89"/>
        <v>1.2230634828188612E-2</v>
      </c>
      <c r="AI183" s="8">
        <f>VLOOKUP(F183,'[11]Sheet 2'!$A:$S,18,0)/VLOOKUP(F183,'[11]Sheet 2'!$A:$U,20,0)</f>
        <v>626.28504135507183</v>
      </c>
      <c r="AJ183" s="8">
        <f t="shared" si="90"/>
        <v>-0.16747173320335995</v>
      </c>
      <c r="AK183" s="3">
        <v>30.4</v>
      </c>
      <c r="AL183" s="4" t="s">
        <v>37</v>
      </c>
      <c r="AM183" s="3"/>
      <c r="AN183" s="3"/>
      <c r="AO183" s="3">
        <v>31</v>
      </c>
      <c r="AP183" s="4" t="s">
        <v>37</v>
      </c>
      <c r="AQ183" s="3"/>
      <c r="AR183" s="3"/>
      <c r="AS183" s="8">
        <f t="shared" si="91"/>
        <v>-1.9354838709677465E-2</v>
      </c>
      <c r="AT183" s="8">
        <f>VLOOKUP(F183,'[12]Sheet 2'!$A:$S,18,0)/VLOOKUP(F183,'[12]Sheet 2'!$A:$U,20,0)</f>
        <v>34.013551729081996</v>
      </c>
      <c r="AU183" s="8">
        <f t="shared" si="92"/>
        <v>-0.10623858860327037</v>
      </c>
      <c r="AV183" s="57">
        <v>21.7</v>
      </c>
      <c r="AW183" s="3" t="s">
        <v>132</v>
      </c>
      <c r="AX183" s="3"/>
      <c r="AY183" s="3"/>
      <c r="AZ183" s="3">
        <v>20.2</v>
      </c>
      <c r="BA183" s="3" t="s">
        <v>132</v>
      </c>
      <c r="BB183" s="3"/>
      <c r="BC183" s="3"/>
      <c r="BD183" s="8">
        <f t="shared" si="93"/>
        <v>7.4257425742574254E-2</v>
      </c>
      <c r="BE183" s="8">
        <f>VLOOKUP(F183,'[13]Sheet 2'!$A:$S,18,0)/VLOOKUP(F183,'[13]Sheet 2'!$A:$U,20,0)</f>
        <v>22.619235455575545</v>
      </c>
      <c r="BF183" s="8">
        <f t="shared" si="94"/>
        <v>-4.0639545814045545E-2</v>
      </c>
      <c r="BG183" s="3">
        <v>137</v>
      </c>
      <c r="BH183" s="3" t="s">
        <v>141</v>
      </c>
      <c r="BI183" s="3"/>
      <c r="BJ183" s="3"/>
      <c r="BK183" s="3">
        <v>160</v>
      </c>
      <c r="BL183" s="3" t="s">
        <v>141</v>
      </c>
      <c r="BM183" s="3"/>
      <c r="BN183" s="3"/>
      <c r="BO183" s="8">
        <f t="shared" si="95"/>
        <v>-0.14374999999999999</v>
      </c>
      <c r="BP183" s="8">
        <f>VLOOKUP(F183,'[14]Sheet 2'!$A:$V,18,0)/VLOOKUP(F183,'[14]Sheet 2'!$A:$V,20,0)</f>
        <v>146.71094596592121</v>
      </c>
      <c r="BQ183" s="8">
        <f t="shared" si="96"/>
        <v>-6.6191011870218058E-2</v>
      </c>
      <c r="BR183" s="3">
        <f t="shared" si="104"/>
        <v>17151.315789473683</v>
      </c>
      <c r="BS183" s="3" t="s">
        <v>52</v>
      </c>
      <c r="BT183" s="3"/>
      <c r="BU183" s="3"/>
      <c r="BV183" s="3">
        <f t="shared" si="105"/>
        <v>16616.129032258064</v>
      </c>
      <c r="BW183" s="3" t="s">
        <v>52</v>
      </c>
      <c r="BX183" s="3"/>
      <c r="BY183" s="3"/>
      <c r="BZ183" s="8">
        <f t="shared" si="97"/>
        <v>3.2208871041902905E-2</v>
      </c>
      <c r="CA183" s="8">
        <f>VLOOKUP(F183,'[15]Sheet 2'!$A:$S,18,0)/VLOOKUP(F183,'[15]Sheet 2'!$A:$U,20,0)</f>
        <v>18393.817117821905</v>
      </c>
      <c r="CB183" s="8">
        <f t="shared" si="98"/>
        <v>-6.7549944657455216E-2</v>
      </c>
      <c r="CC183" s="19">
        <v>41.709166000000003</v>
      </c>
      <c r="CD183" s="19">
        <v>-87.981992000000005</v>
      </c>
      <c r="CE183" s="20">
        <v>30237</v>
      </c>
      <c r="CF183" s="18">
        <v>30504</v>
      </c>
      <c r="CG183" s="18">
        <v>30444</v>
      </c>
      <c r="CH183" s="18">
        <v>30497</v>
      </c>
      <c r="CI183" s="21">
        <f t="shared" si="107"/>
        <v>-79</v>
      </c>
      <c r="CJ183" s="21">
        <f t="shared" ref="CJ183:CJ214" si="111">CF183-INT(YEAR(CF183)&amp;"/1/1")+1</f>
        <v>188</v>
      </c>
      <c r="CK183" s="30">
        <f t="shared" si="108"/>
        <v>268</v>
      </c>
      <c r="CL183" s="21">
        <f t="shared" si="106"/>
        <v>128</v>
      </c>
      <c r="CM183" s="21">
        <f t="shared" ref="CM183:CM246" si="112">CH183-INT(YEAR(CH183)&amp;"/1/1")+1</f>
        <v>181</v>
      </c>
      <c r="CN183" s="19">
        <f t="shared" ref="CN183:CN246" si="113">CM183-CL183+1</f>
        <v>54</v>
      </c>
      <c r="CO183" s="29">
        <v>30463</v>
      </c>
      <c r="CP183" s="29">
        <v>30481</v>
      </c>
      <c r="CQ183" s="19">
        <f t="shared" si="110"/>
        <v>24</v>
      </c>
    </row>
    <row r="184" spans="1:95" s="19" customFormat="1" hidden="1" x14ac:dyDescent="0.3">
      <c r="A184" s="3">
        <v>1</v>
      </c>
      <c r="B184" s="3"/>
      <c r="C184" s="3"/>
      <c r="D184" s="3" t="s">
        <v>137</v>
      </c>
      <c r="E184" s="6" t="s">
        <v>138</v>
      </c>
      <c r="F184" s="6" t="str">
        <f t="shared" si="87"/>
        <v>1985-215Arthur-711983OTC</v>
      </c>
      <c r="G184" s="3" t="s">
        <v>139</v>
      </c>
      <c r="H184" s="3" t="s">
        <v>128</v>
      </c>
      <c r="I184" s="3" t="s">
        <v>129</v>
      </c>
      <c r="J184" s="3" t="s">
        <v>94</v>
      </c>
      <c r="K184" s="3" t="s">
        <v>142</v>
      </c>
      <c r="L184" s="3">
        <v>1983</v>
      </c>
      <c r="M184" s="3" t="s">
        <v>34</v>
      </c>
      <c r="N184" s="3" t="s">
        <v>49</v>
      </c>
      <c r="O184" s="3" t="s">
        <v>135</v>
      </c>
      <c r="P184" s="3"/>
      <c r="Q184" s="3">
        <f>(7*S184+5*0.976*S182)/12*U184*12/1000+S182/1.01*(90-U184)*12/1000</f>
        <v>59.89868198019802</v>
      </c>
      <c r="R184" s="3"/>
      <c r="S184" s="3">
        <v>78</v>
      </c>
      <c r="T184" s="3">
        <v>7</v>
      </c>
      <c r="U184" s="3">
        <f t="shared" si="109"/>
        <v>54</v>
      </c>
      <c r="V184" s="3">
        <v>4</v>
      </c>
      <c r="W184" s="9">
        <v>18.443321520960399</v>
      </c>
      <c r="X184" s="7">
        <v>30444</v>
      </c>
      <c r="Y184" s="7">
        <v>30497</v>
      </c>
      <c r="Z184" s="3">
        <v>494.3</v>
      </c>
      <c r="AA184" s="3" t="s">
        <v>51</v>
      </c>
      <c r="AB184" s="3">
        <v>40</v>
      </c>
      <c r="AC184" s="3" t="s">
        <v>144</v>
      </c>
      <c r="AD184" s="3">
        <v>515.1</v>
      </c>
      <c r="AE184" s="3" t="s">
        <v>51</v>
      </c>
      <c r="AF184" s="3">
        <v>40</v>
      </c>
      <c r="AG184" s="3" t="s">
        <v>144</v>
      </c>
      <c r="AH184" s="8">
        <f t="shared" si="89"/>
        <v>-4.0380508639099227E-2</v>
      </c>
      <c r="AI184" s="8">
        <f>VLOOKUP(F184,'[11]Sheet 2'!$A:$S,18,0)/VLOOKUP(F184,'[11]Sheet 2'!$A:$U,20,0)</f>
        <v>626.28504135507183</v>
      </c>
      <c r="AJ184" s="8">
        <f t="shared" si="90"/>
        <v>-0.21074276509862064</v>
      </c>
      <c r="AK184" s="3">
        <v>27.3</v>
      </c>
      <c r="AL184" s="4" t="s">
        <v>37</v>
      </c>
      <c r="AM184" s="3"/>
      <c r="AN184" s="3"/>
      <c r="AO184" s="3">
        <v>31</v>
      </c>
      <c r="AP184" s="4" t="s">
        <v>37</v>
      </c>
      <c r="AQ184" s="3"/>
      <c r="AR184" s="3"/>
      <c r="AS184" s="8">
        <f t="shared" si="91"/>
        <v>-0.11935483870967739</v>
      </c>
      <c r="AT184" s="8">
        <f>VLOOKUP(F184,'[12]Sheet 2'!$A:$S,18,0)/VLOOKUP(F184,'[12]Sheet 2'!$A:$U,20,0)</f>
        <v>34.013551729081996</v>
      </c>
      <c r="AU184" s="8">
        <f t="shared" si="92"/>
        <v>-0.19737873252859472</v>
      </c>
      <c r="AV184" s="57">
        <v>21.4</v>
      </c>
      <c r="AW184" s="3" t="s">
        <v>132</v>
      </c>
      <c r="AX184" s="3"/>
      <c r="AY184" s="3"/>
      <c r="AZ184" s="3">
        <v>20.2</v>
      </c>
      <c r="BA184" s="3" t="s">
        <v>132</v>
      </c>
      <c r="BB184" s="3"/>
      <c r="BC184" s="3"/>
      <c r="BD184" s="8">
        <f t="shared" si="93"/>
        <v>5.9405940594059375E-2</v>
      </c>
      <c r="BE184" s="8">
        <f>VLOOKUP(F184,'[13]Sheet 2'!$A:$S,18,0)/VLOOKUP(F184,'[13]Sheet 2'!$A:$U,20,0)</f>
        <v>22.619235455575545</v>
      </c>
      <c r="BF184" s="8">
        <f t="shared" si="94"/>
        <v>-5.3902593567768449E-2</v>
      </c>
      <c r="BG184" s="3">
        <v>157</v>
      </c>
      <c r="BH184" s="3" t="s">
        <v>141</v>
      </c>
      <c r="BI184" s="3"/>
      <c r="BJ184" s="3"/>
      <c r="BK184" s="3">
        <v>160</v>
      </c>
      <c r="BL184" s="3" t="s">
        <v>141</v>
      </c>
      <c r="BM184" s="3"/>
      <c r="BN184" s="3"/>
      <c r="BO184" s="8">
        <f t="shared" si="95"/>
        <v>-1.8749999999999999E-2</v>
      </c>
      <c r="BP184" s="8">
        <f>VLOOKUP(F184,'[14]Sheet 2'!$A:$V,18,0)/VLOOKUP(F184,'[14]Sheet 2'!$A:$V,20,0)</f>
        <v>146.71094596592121</v>
      </c>
      <c r="BQ184" s="8">
        <f t="shared" si="96"/>
        <v>7.0131468148728199E-2</v>
      </c>
      <c r="BR184" s="3">
        <f t="shared" si="104"/>
        <v>18106.227106227107</v>
      </c>
      <c r="BS184" s="3" t="s">
        <v>52</v>
      </c>
      <c r="BT184" s="3"/>
      <c r="BU184" s="3"/>
      <c r="BV184" s="3">
        <f t="shared" si="105"/>
        <v>16616.129032258064</v>
      </c>
      <c r="BW184" s="3" t="s">
        <v>52</v>
      </c>
      <c r="BX184" s="3"/>
      <c r="BY184" s="3"/>
      <c r="BZ184" s="8">
        <f t="shared" si="97"/>
        <v>8.967781070285441E-2</v>
      </c>
      <c r="CA184" s="8">
        <f>VLOOKUP(F184,'[15]Sheet 2'!$A:$S,18,0)/VLOOKUP(F184,'[15]Sheet 2'!$A:$U,20,0)</f>
        <v>18393.817117821905</v>
      </c>
      <c r="CB184" s="8">
        <f t="shared" si="98"/>
        <v>-1.5635145753197185E-2</v>
      </c>
      <c r="CC184" s="19">
        <v>41.709166000000003</v>
      </c>
      <c r="CD184" s="19">
        <v>-87.981992000000005</v>
      </c>
      <c r="CE184" s="20">
        <v>30237</v>
      </c>
      <c r="CF184" s="18">
        <v>30504</v>
      </c>
      <c r="CG184" s="18">
        <v>30444</v>
      </c>
      <c r="CH184" s="18">
        <v>30497</v>
      </c>
      <c r="CI184" s="21">
        <f t="shared" si="107"/>
        <v>-79</v>
      </c>
      <c r="CJ184" s="21">
        <f t="shared" si="111"/>
        <v>188</v>
      </c>
      <c r="CK184" s="30">
        <f t="shared" si="108"/>
        <v>268</v>
      </c>
      <c r="CL184" s="21">
        <f t="shared" si="106"/>
        <v>128</v>
      </c>
      <c r="CM184" s="21">
        <f t="shared" si="112"/>
        <v>181</v>
      </c>
      <c r="CN184" s="19">
        <f t="shared" si="113"/>
        <v>54</v>
      </c>
      <c r="CO184" s="29">
        <v>30463</v>
      </c>
      <c r="CP184" s="29">
        <v>30481</v>
      </c>
      <c r="CQ184" s="19">
        <f t="shared" si="110"/>
        <v>24</v>
      </c>
    </row>
    <row r="185" spans="1:95" s="19" customFormat="1" hidden="1" x14ac:dyDescent="0.3">
      <c r="A185" s="3">
        <v>1</v>
      </c>
      <c r="B185" s="3"/>
      <c r="C185" s="3"/>
      <c r="D185" s="3" t="s">
        <v>137</v>
      </c>
      <c r="E185" s="6" t="s">
        <v>138</v>
      </c>
      <c r="F185" s="6" t="str">
        <f t="shared" si="87"/>
        <v>1985-215Arthur-711983OTC</v>
      </c>
      <c r="G185" s="3" t="s">
        <v>139</v>
      </c>
      <c r="H185" s="3" t="s">
        <v>128</v>
      </c>
      <c r="I185" s="3" t="s">
        <v>129</v>
      </c>
      <c r="J185" s="3" t="s">
        <v>94</v>
      </c>
      <c r="K185" s="3" t="s">
        <v>142</v>
      </c>
      <c r="L185" s="3">
        <v>1983</v>
      </c>
      <c r="M185" s="3" t="s">
        <v>34</v>
      </c>
      <c r="N185" s="3" t="s">
        <v>49</v>
      </c>
      <c r="O185" s="3" t="s">
        <v>136</v>
      </c>
      <c r="P185" s="3"/>
      <c r="Q185" s="3">
        <f>(7*S185+5*0.976*S182)/12*U185*12/1000+S182/1.01*(90-U185)*12/1000</f>
        <v>66.324681980198022</v>
      </c>
      <c r="R185" s="3"/>
      <c r="S185" s="3">
        <v>95</v>
      </c>
      <c r="T185" s="3">
        <v>7</v>
      </c>
      <c r="U185" s="3">
        <f t="shared" si="109"/>
        <v>54</v>
      </c>
      <c r="V185" s="3">
        <v>4</v>
      </c>
      <c r="W185" s="9">
        <v>24.466415950252401</v>
      </c>
      <c r="X185" s="7">
        <v>30444</v>
      </c>
      <c r="Y185" s="7">
        <v>30497</v>
      </c>
      <c r="Z185" s="3">
        <v>439.7</v>
      </c>
      <c r="AA185" s="3" t="s">
        <v>51</v>
      </c>
      <c r="AB185" s="3">
        <v>40</v>
      </c>
      <c r="AC185" s="3" t="s">
        <v>144</v>
      </c>
      <c r="AD185" s="3">
        <v>515.1</v>
      </c>
      <c r="AE185" s="3" t="s">
        <v>51</v>
      </c>
      <c r="AF185" s="3">
        <v>40</v>
      </c>
      <c r="AG185" s="3" t="s">
        <v>144</v>
      </c>
      <c r="AH185" s="8">
        <f t="shared" si="89"/>
        <v>-0.14637934381673467</v>
      </c>
      <c r="AI185" s="8">
        <f>VLOOKUP(F185,'[11]Sheet 2'!$A:$S,18,0)/VLOOKUP(F185,'[11]Sheet 2'!$A:$U,20,0)</f>
        <v>626.28504135507183</v>
      </c>
      <c r="AJ185" s="8">
        <f t="shared" si="90"/>
        <v>-0.29792351570678438</v>
      </c>
      <c r="AK185" s="3">
        <v>25.9</v>
      </c>
      <c r="AL185" s="4" t="s">
        <v>37</v>
      </c>
      <c r="AM185" s="3"/>
      <c r="AN185" s="3"/>
      <c r="AO185" s="3">
        <v>31</v>
      </c>
      <c r="AP185" s="4" t="s">
        <v>37</v>
      </c>
      <c r="AQ185" s="3"/>
      <c r="AR185" s="3"/>
      <c r="AS185" s="8">
        <f t="shared" si="91"/>
        <v>-0.16451612903225812</v>
      </c>
      <c r="AT185" s="8">
        <f>VLOOKUP(F185,'[12]Sheet 2'!$A:$S,18,0)/VLOOKUP(F185,'[12]Sheet 2'!$A:$U,20,0)</f>
        <v>34.013551729081996</v>
      </c>
      <c r="AU185" s="8">
        <f t="shared" si="92"/>
        <v>-0.23853879752712837</v>
      </c>
      <c r="AV185" s="57">
        <v>21.9</v>
      </c>
      <c r="AW185" s="3" t="s">
        <v>132</v>
      </c>
      <c r="AX185" s="3"/>
      <c r="AY185" s="3"/>
      <c r="AZ185" s="3">
        <v>20.2</v>
      </c>
      <c r="BA185" s="3" t="s">
        <v>132</v>
      </c>
      <c r="BB185" s="3"/>
      <c r="BC185" s="3"/>
      <c r="BD185" s="8">
        <f t="shared" si="93"/>
        <v>8.4158415841584122E-2</v>
      </c>
      <c r="BE185" s="8">
        <f>VLOOKUP(F185,'[13]Sheet 2'!$A:$S,18,0)/VLOOKUP(F185,'[13]Sheet 2'!$A:$U,20,0)</f>
        <v>22.619235455575545</v>
      </c>
      <c r="BF185" s="8">
        <f t="shared" si="94"/>
        <v>-3.179751397823033E-2</v>
      </c>
      <c r="BG185" s="3">
        <v>136</v>
      </c>
      <c r="BH185" s="3" t="s">
        <v>141</v>
      </c>
      <c r="BI185" s="3"/>
      <c r="BJ185" s="3"/>
      <c r="BK185" s="3">
        <v>160</v>
      </c>
      <c r="BL185" s="3" t="s">
        <v>141</v>
      </c>
      <c r="BM185" s="3"/>
      <c r="BN185" s="3"/>
      <c r="BO185" s="8">
        <f t="shared" si="95"/>
        <v>-0.15</v>
      </c>
      <c r="BP185" s="8">
        <f>VLOOKUP(F185,'[14]Sheet 2'!$A:$V,18,0)/VLOOKUP(F185,'[14]Sheet 2'!$A:$V,20,0)</f>
        <v>146.71094596592121</v>
      </c>
      <c r="BQ185" s="8">
        <f t="shared" si="96"/>
        <v>-7.3007135871165377E-2</v>
      </c>
      <c r="BR185" s="3">
        <f t="shared" si="104"/>
        <v>16976.833976833976</v>
      </c>
      <c r="BS185" s="3" t="s">
        <v>52</v>
      </c>
      <c r="BT185" s="3"/>
      <c r="BU185" s="3"/>
      <c r="BV185" s="3">
        <f t="shared" si="105"/>
        <v>16616.129032258064</v>
      </c>
      <c r="BW185" s="3" t="s">
        <v>52</v>
      </c>
      <c r="BX185" s="3"/>
      <c r="BY185" s="3"/>
      <c r="BZ185" s="8">
        <f t="shared" si="97"/>
        <v>2.1708121300433408E-2</v>
      </c>
      <c r="CA185" s="8">
        <f>VLOOKUP(F185,'[15]Sheet 2'!$A:$S,18,0)/VLOOKUP(F185,'[15]Sheet 2'!$A:$U,20,0)</f>
        <v>18393.817117821905</v>
      </c>
      <c r="CB185" s="8">
        <f t="shared" si="98"/>
        <v>-7.7035839375341197E-2</v>
      </c>
      <c r="CC185" s="19">
        <v>41.709166000000003</v>
      </c>
      <c r="CD185" s="19">
        <v>-87.981992000000005</v>
      </c>
      <c r="CE185" s="20">
        <v>30237</v>
      </c>
      <c r="CF185" s="18">
        <v>30504</v>
      </c>
      <c r="CG185" s="18">
        <v>30444</v>
      </c>
      <c r="CH185" s="18">
        <v>30497</v>
      </c>
      <c r="CI185" s="21">
        <f t="shared" si="107"/>
        <v>-79</v>
      </c>
      <c r="CJ185" s="21">
        <f t="shared" si="111"/>
        <v>188</v>
      </c>
      <c r="CK185" s="30">
        <f t="shared" si="108"/>
        <v>268</v>
      </c>
      <c r="CL185" s="21">
        <f t="shared" si="106"/>
        <v>128</v>
      </c>
      <c r="CM185" s="21">
        <f t="shared" si="112"/>
        <v>181</v>
      </c>
      <c r="CN185" s="19">
        <f t="shared" si="113"/>
        <v>54</v>
      </c>
      <c r="CO185" s="29">
        <v>30463</v>
      </c>
      <c r="CP185" s="29">
        <v>30481</v>
      </c>
      <c r="CQ185" s="19">
        <f t="shared" si="110"/>
        <v>24</v>
      </c>
    </row>
    <row r="186" spans="1:95" s="42" customFormat="1" hidden="1" x14ac:dyDescent="0.3">
      <c r="A186" s="31">
        <v>0</v>
      </c>
      <c r="B186" s="31"/>
      <c r="C186" s="31"/>
      <c r="D186" s="31" t="s">
        <v>145</v>
      </c>
      <c r="E186" s="34" t="s">
        <v>146</v>
      </c>
      <c r="F186" s="34" t="str">
        <f t="shared" si="87"/>
        <v>1996-89/91Massey1991OTC</v>
      </c>
      <c r="G186" s="31" t="s">
        <v>147</v>
      </c>
      <c r="H186" s="31" t="s">
        <v>128</v>
      </c>
      <c r="I186" s="31" t="s">
        <v>129</v>
      </c>
      <c r="J186" s="31" t="s">
        <v>94</v>
      </c>
      <c r="K186" s="31" t="s">
        <v>148</v>
      </c>
      <c r="L186" s="31">
        <v>1991</v>
      </c>
      <c r="M186" s="31" t="s">
        <v>95</v>
      </c>
      <c r="N186" s="31" t="s">
        <v>35</v>
      </c>
      <c r="O186" s="31" t="s">
        <v>72</v>
      </c>
      <c r="P186" s="31"/>
      <c r="Q186" s="32">
        <f>S186/1.01*1.08</f>
        <v>48.653465346534652</v>
      </c>
      <c r="R186" s="31"/>
      <c r="S186" s="31">
        <v>45.5</v>
      </c>
      <c r="T186" s="31">
        <v>7</v>
      </c>
      <c r="U186" s="31">
        <f t="shared" si="109"/>
        <v>61</v>
      </c>
      <c r="V186" s="31">
        <v>4</v>
      </c>
      <c r="W186" s="43">
        <v>8.8102571203145104</v>
      </c>
      <c r="X186" s="35">
        <v>33329</v>
      </c>
      <c r="Y186" s="35">
        <v>33389</v>
      </c>
      <c r="Z186" s="31"/>
      <c r="AA186" s="31"/>
      <c r="AB186" s="31"/>
      <c r="AC186" s="31"/>
      <c r="AD186" s="31"/>
      <c r="AE186" s="31"/>
      <c r="AF186" s="31"/>
      <c r="AG186" s="31"/>
      <c r="AH186" s="8" t="e">
        <f t="shared" si="89"/>
        <v>#DIV/0!</v>
      </c>
      <c r="AI186" s="8">
        <f>VLOOKUP(F186,'[11]Sheet 2'!$A:$S,18,0)/VLOOKUP(F186,'[11]Sheet 2'!$A:$U,20,0)</f>
        <v>518.3419959744366</v>
      </c>
      <c r="AJ186" s="8"/>
      <c r="AK186" s="31"/>
      <c r="AL186" s="32"/>
      <c r="AM186" s="31"/>
      <c r="AN186" s="31"/>
      <c r="AO186" s="31"/>
      <c r="AP186" s="31"/>
      <c r="AQ186" s="31"/>
      <c r="AR186" s="31"/>
      <c r="AS186" s="8" t="e">
        <f t="shared" si="91"/>
        <v>#DIV/0!</v>
      </c>
      <c r="AT186" s="8">
        <f>VLOOKUP(F186,'[12]Sheet 2'!$A:$S,18,0)/VLOOKUP(F186,'[12]Sheet 2'!$A:$U,20,0)</f>
        <v>33.523717700326635</v>
      </c>
      <c r="AU186" s="8"/>
      <c r="AV186" s="57"/>
      <c r="AW186" s="31"/>
      <c r="AX186" s="31"/>
      <c r="AY186" s="31"/>
      <c r="AZ186" s="31"/>
      <c r="BA186" s="31"/>
      <c r="BB186" s="31"/>
      <c r="BC186" s="31"/>
      <c r="BD186" s="8" t="e">
        <f t="shared" si="93"/>
        <v>#DIV/0!</v>
      </c>
      <c r="BE186" s="8" t="e">
        <f>VLOOKUP(F186,'[13]Sheet 2'!$A:$S,18,0)/VLOOKUP(F186,'[13]Sheet 2'!$A:$U,20,0)</f>
        <v>#N/A</v>
      </c>
      <c r="BF186" s="8" t="e">
        <f t="shared" si="94"/>
        <v>#N/A</v>
      </c>
      <c r="BG186" s="31"/>
      <c r="BH186" s="31"/>
      <c r="BI186" s="31"/>
      <c r="BJ186" s="31"/>
      <c r="BK186" s="31"/>
      <c r="BL186" s="31"/>
      <c r="BM186" s="31"/>
      <c r="BN186" s="31"/>
      <c r="BO186" s="8" t="e">
        <f t="shared" si="95"/>
        <v>#DIV/0!</v>
      </c>
      <c r="BP186" s="8" t="e">
        <f>VLOOKUP(F186,'[14]Sheet 2'!$A:$V,18,0)/VLOOKUP(F186,'[14]Sheet 2'!$A:$V,20,0)</f>
        <v>#N/A</v>
      </c>
      <c r="BQ186" s="8" t="e">
        <f t="shared" si="96"/>
        <v>#N/A</v>
      </c>
      <c r="BR186" s="31"/>
      <c r="BS186" s="31"/>
      <c r="BT186" s="31"/>
      <c r="BU186" s="31"/>
      <c r="BV186" s="31"/>
      <c r="BW186" s="31"/>
      <c r="BX186" s="31"/>
      <c r="BY186" s="31"/>
      <c r="BZ186" s="8" t="e">
        <f t="shared" si="97"/>
        <v>#DIV/0!</v>
      </c>
      <c r="CA186" s="8">
        <f>VLOOKUP(F186,'[15]Sheet 2'!$A:$S,18,0)/VLOOKUP(F186,'[15]Sheet 2'!$A:$U,20,0)</f>
        <v>17212.232290663433</v>
      </c>
      <c r="CB186" s="8"/>
      <c r="CC186" s="54">
        <f t="shared" ref="CC186:CC191" si="114">39+2/60</f>
        <v>39.033333333333331</v>
      </c>
      <c r="CD186" s="54">
        <f t="shared" ref="CD186:CD191" si="115">-(76+53/60)</f>
        <v>-76.88333333333334</v>
      </c>
      <c r="CE186" s="38">
        <v>33161</v>
      </c>
      <c r="CF186" s="39">
        <v>33389</v>
      </c>
      <c r="CG186" s="39">
        <v>33329</v>
      </c>
      <c r="CH186" s="39">
        <v>33389</v>
      </c>
      <c r="CI186" s="40">
        <f t="shared" si="107"/>
        <v>-77</v>
      </c>
      <c r="CJ186" s="40">
        <f t="shared" si="111"/>
        <v>151</v>
      </c>
      <c r="CK186" s="41">
        <f t="shared" si="108"/>
        <v>229</v>
      </c>
      <c r="CL186" s="40">
        <f t="shared" si="106"/>
        <v>91</v>
      </c>
      <c r="CM186" s="40">
        <f t="shared" si="112"/>
        <v>151</v>
      </c>
      <c r="CN186" s="42">
        <f t="shared" si="113"/>
        <v>61</v>
      </c>
    </row>
    <row r="187" spans="1:95" s="42" customFormat="1" hidden="1" x14ac:dyDescent="0.3">
      <c r="A187" s="31">
        <v>1</v>
      </c>
      <c r="B187" s="31"/>
      <c r="C187" s="31"/>
      <c r="D187" s="31" t="s">
        <v>145</v>
      </c>
      <c r="E187" s="34" t="s">
        <v>146</v>
      </c>
      <c r="F187" s="34" t="str">
        <f t="shared" si="87"/>
        <v>1996-89/91Massey1991OTC</v>
      </c>
      <c r="G187" s="31" t="s">
        <v>147</v>
      </c>
      <c r="H187" s="31" t="s">
        <v>128</v>
      </c>
      <c r="I187" s="31" t="s">
        <v>129</v>
      </c>
      <c r="J187" s="31" t="s">
        <v>94</v>
      </c>
      <c r="K187" s="31" t="s">
        <v>148</v>
      </c>
      <c r="L187" s="31">
        <v>1991</v>
      </c>
      <c r="M187" s="31" t="s">
        <v>95</v>
      </c>
      <c r="N187" s="31" t="s">
        <v>35</v>
      </c>
      <c r="O187" s="31" t="s">
        <v>130</v>
      </c>
      <c r="P187" s="32" t="s">
        <v>267</v>
      </c>
      <c r="Q187" s="31">
        <f>S187/1.01*U187*12/1000+S186/1.01*(90-U187)*12/1000</f>
        <v>29.15762376237624</v>
      </c>
      <c r="R187" s="31"/>
      <c r="S187" s="31">
        <v>18.600000000000001</v>
      </c>
      <c r="T187" s="31">
        <v>7</v>
      </c>
      <c r="U187" s="31">
        <f t="shared" si="109"/>
        <v>61</v>
      </c>
      <c r="V187" s="31">
        <v>4</v>
      </c>
      <c r="W187" s="43">
        <v>0.75102620657091901</v>
      </c>
      <c r="X187" s="35">
        <v>33329</v>
      </c>
      <c r="Y187" s="35">
        <v>33389</v>
      </c>
      <c r="Z187" s="31">
        <v>538</v>
      </c>
      <c r="AA187" s="31" t="s">
        <v>78</v>
      </c>
      <c r="AB187" s="31"/>
      <c r="AC187" s="31"/>
      <c r="AD187" s="31">
        <v>538</v>
      </c>
      <c r="AE187" s="31" t="s">
        <v>78</v>
      </c>
      <c r="AF187" s="31"/>
      <c r="AG187" s="31"/>
      <c r="AH187" s="8">
        <f t="shared" si="89"/>
        <v>0</v>
      </c>
      <c r="AI187" s="8">
        <f>VLOOKUP(F187,'[11]Sheet 2'!$A:$S,18,0)/VLOOKUP(F187,'[11]Sheet 2'!$A:$U,20,0)</f>
        <v>518.3419959744366</v>
      </c>
      <c r="AJ187" s="8">
        <f t="shared" si="90"/>
        <v>3.7924775878149929E-2</v>
      </c>
      <c r="AK187" s="31">
        <v>33.700000000000003</v>
      </c>
      <c r="AL187" s="32" t="s">
        <v>37</v>
      </c>
      <c r="AM187" s="31"/>
      <c r="AN187" s="31"/>
      <c r="AO187" s="31">
        <v>33.700000000000003</v>
      </c>
      <c r="AP187" s="32" t="s">
        <v>37</v>
      </c>
      <c r="AQ187" s="31"/>
      <c r="AR187" s="31"/>
      <c r="AS187" s="8">
        <f t="shared" si="91"/>
        <v>0</v>
      </c>
      <c r="AT187" s="8">
        <f>VLOOKUP(F187,'[12]Sheet 2'!$A:$S,18,0)/VLOOKUP(F187,'[12]Sheet 2'!$A:$U,20,0)</f>
        <v>33.523717700326635</v>
      </c>
      <c r="AU187" s="8">
        <f t="shared" si="92"/>
        <v>5.2584352740701525E-3</v>
      </c>
      <c r="AV187" s="57"/>
      <c r="AW187" s="31"/>
      <c r="AX187" s="31"/>
      <c r="AY187" s="31"/>
      <c r="AZ187" s="31"/>
      <c r="BA187" s="31"/>
      <c r="BB187" s="31"/>
      <c r="BC187" s="31"/>
      <c r="BD187" s="8" t="e">
        <f t="shared" si="93"/>
        <v>#DIV/0!</v>
      </c>
      <c r="BE187" s="8" t="e">
        <f>VLOOKUP(F187,'[13]Sheet 2'!$A:$S,18,0)/VLOOKUP(F187,'[13]Sheet 2'!$A:$U,20,0)</f>
        <v>#N/A</v>
      </c>
      <c r="BF187" s="8" t="e">
        <f t="shared" si="94"/>
        <v>#N/A</v>
      </c>
      <c r="BG187" s="31"/>
      <c r="BH187" s="31"/>
      <c r="BI187" s="31"/>
      <c r="BJ187" s="31"/>
      <c r="BK187" s="31"/>
      <c r="BL187" s="31"/>
      <c r="BM187" s="31"/>
      <c r="BN187" s="31"/>
      <c r="BO187" s="8" t="e">
        <f t="shared" si="95"/>
        <v>#DIV/0!</v>
      </c>
      <c r="BP187" s="8" t="e">
        <f>VLOOKUP(F187,'[14]Sheet 2'!$A:$V,18,0)/VLOOKUP(F187,'[14]Sheet 2'!$A:$V,20,0)</f>
        <v>#N/A</v>
      </c>
      <c r="BQ187" s="8" t="e">
        <f t="shared" si="96"/>
        <v>#N/A</v>
      </c>
      <c r="BR187" s="31">
        <v>17300</v>
      </c>
      <c r="BS187" s="31" t="s">
        <v>52</v>
      </c>
      <c r="BT187" s="31"/>
      <c r="BU187" s="31"/>
      <c r="BV187" s="31">
        <v>17300</v>
      </c>
      <c r="BW187" s="31" t="s">
        <v>52</v>
      </c>
      <c r="BX187" s="31"/>
      <c r="BY187" s="31"/>
      <c r="BZ187" s="8">
        <f t="shared" si="97"/>
        <v>0</v>
      </c>
      <c r="CA187" s="8">
        <f>VLOOKUP(F187,'[15]Sheet 2'!$A:$S,18,0)/VLOOKUP(F187,'[15]Sheet 2'!$A:$U,20,0)</f>
        <v>17212.232290663433</v>
      </c>
      <c r="CB187" s="8">
        <f t="shared" si="98"/>
        <v>5.0991473885799157E-3</v>
      </c>
      <c r="CC187" s="54">
        <f t="shared" si="114"/>
        <v>39.033333333333331</v>
      </c>
      <c r="CD187" s="54">
        <f t="shared" si="115"/>
        <v>-76.88333333333334</v>
      </c>
      <c r="CE187" s="38">
        <v>33161</v>
      </c>
      <c r="CF187" s="39">
        <v>33389</v>
      </c>
      <c r="CG187" s="39">
        <v>33329</v>
      </c>
      <c r="CH187" s="39">
        <v>33389</v>
      </c>
      <c r="CI187" s="40">
        <f t="shared" si="107"/>
        <v>-77</v>
      </c>
      <c r="CJ187" s="40">
        <f t="shared" si="111"/>
        <v>151</v>
      </c>
      <c r="CK187" s="41">
        <f t="shared" si="108"/>
        <v>229</v>
      </c>
      <c r="CL187" s="40">
        <f t="shared" si="106"/>
        <v>91</v>
      </c>
      <c r="CM187" s="40">
        <f t="shared" si="112"/>
        <v>151</v>
      </c>
      <c r="CN187" s="42">
        <f t="shared" si="113"/>
        <v>61</v>
      </c>
    </row>
    <row r="188" spans="1:95" s="42" customFormat="1" hidden="1" x14ac:dyDescent="0.3">
      <c r="A188" s="31">
        <v>1</v>
      </c>
      <c r="B188" s="31"/>
      <c r="C188" s="31"/>
      <c r="D188" s="31" t="s">
        <v>145</v>
      </c>
      <c r="E188" s="34" t="s">
        <v>146</v>
      </c>
      <c r="F188" s="34" t="str">
        <f t="shared" si="87"/>
        <v>1996-89/91Massey1991OTC</v>
      </c>
      <c r="G188" s="31" t="s">
        <v>147</v>
      </c>
      <c r="H188" s="31" t="s">
        <v>128</v>
      </c>
      <c r="I188" s="31" t="s">
        <v>129</v>
      </c>
      <c r="J188" s="31" t="s">
        <v>94</v>
      </c>
      <c r="K188" s="31" t="s">
        <v>148</v>
      </c>
      <c r="L188" s="31">
        <v>1991</v>
      </c>
      <c r="M188" s="31" t="s">
        <v>95</v>
      </c>
      <c r="N188" s="31" t="s">
        <v>35</v>
      </c>
      <c r="O188" s="31" t="s">
        <v>149</v>
      </c>
      <c r="P188" s="31"/>
      <c r="Q188" s="31">
        <f>(7*S188+5*0.976*S187)/12*U188*12/1000+S186/1.01*(90-U188)*12/1000</f>
        <v>47.132975722772279</v>
      </c>
      <c r="R188" s="31"/>
      <c r="S188" s="31">
        <v>60.7</v>
      </c>
      <c r="T188" s="31">
        <v>7</v>
      </c>
      <c r="U188" s="31">
        <f t="shared" si="109"/>
        <v>61</v>
      </c>
      <c r="V188" s="31">
        <v>4</v>
      </c>
      <c r="W188" s="43">
        <v>7.6927950240969301</v>
      </c>
      <c r="X188" s="35">
        <v>33329</v>
      </c>
      <c r="Y188" s="35">
        <v>33389</v>
      </c>
      <c r="Z188" s="31">
        <v>414</v>
      </c>
      <c r="AA188" s="31" t="s">
        <v>78</v>
      </c>
      <c r="AB188" s="31"/>
      <c r="AC188" s="31"/>
      <c r="AD188" s="31">
        <v>538</v>
      </c>
      <c r="AE188" s="31" t="s">
        <v>78</v>
      </c>
      <c r="AF188" s="31"/>
      <c r="AG188" s="31"/>
      <c r="AH188" s="8">
        <f t="shared" si="89"/>
        <v>-0.23048327137546468</v>
      </c>
      <c r="AI188" s="8">
        <f>VLOOKUP(F188,'[11]Sheet 2'!$A:$S,18,0)/VLOOKUP(F188,'[11]Sheet 2'!$A:$U,20,0)</f>
        <v>518.3419959744366</v>
      </c>
      <c r="AJ188" s="8">
        <f t="shared" si="90"/>
        <v>-0.20129952190789208</v>
      </c>
      <c r="AK188" s="31">
        <v>29.9</v>
      </c>
      <c r="AL188" s="32" t="s">
        <v>37</v>
      </c>
      <c r="AM188" s="31"/>
      <c r="AN188" s="31"/>
      <c r="AO188" s="31">
        <v>33.700000000000003</v>
      </c>
      <c r="AP188" s="32" t="s">
        <v>37</v>
      </c>
      <c r="AQ188" s="31"/>
      <c r="AR188" s="31"/>
      <c r="AS188" s="8">
        <f t="shared" si="91"/>
        <v>-0.11275964391691407</v>
      </c>
      <c r="AT188" s="8">
        <f>VLOOKUP(F188,'[12]Sheet 2'!$A:$S,18,0)/VLOOKUP(F188,'[12]Sheet 2'!$A:$U,20,0)</f>
        <v>33.523717700326635</v>
      </c>
      <c r="AU188" s="8">
        <f t="shared" si="92"/>
        <v>-0.1080941479319082</v>
      </c>
      <c r="AV188" s="57"/>
      <c r="AW188" s="31"/>
      <c r="AX188" s="31"/>
      <c r="AY188" s="31"/>
      <c r="AZ188" s="31"/>
      <c r="BA188" s="31"/>
      <c r="BB188" s="31"/>
      <c r="BC188" s="31"/>
      <c r="BD188" s="8" t="e">
        <f t="shared" si="93"/>
        <v>#DIV/0!</v>
      </c>
      <c r="BE188" s="8" t="e">
        <f>VLOOKUP(F188,'[13]Sheet 2'!$A:$S,18,0)/VLOOKUP(F188,'[13]Sheet 2'!$A:$U,20,0)</f>
        <v>#N/A</v>
      </c>
      <c r="BF188" s="8" t="e">
        <f t="shared" si="94"/>
        <v>#N/A</v>
      </c>
      <c r="BG188" s="31"/>
      <c r="BH188" s="31"/>
      <c r="BI188" s="31"/>
      <c r="BJ188" s="31"/>
      <c r="BK188" s="31"/>
      <c r="BL188" s="31"/>
      <c r="BM188" s="31"/>
      <c r="BN188" s="31"/>
      <c r="BO188" s="8" t="e">
        <f t="shared" si="95"/>
        <v>#DIV/0!</v>
      </c>
      <c r="BP188" s="8" t="e">
        <f>VLOOKUP(F188,'[14]Sheet 2'!$A:$V,18,0)/VLOOKUP(F188,'[14]Sheet 2'!$A:$V,20,0)</f>
        <v>#N/A</v>
      </c>
      <c r="BQ188" s="8" t="e">
        <f t="shared" si="96"/>
        <v>#N/A</v>
      </c>
      <c r="BR188" s="31">
        <v>16500</v>
      </c>
      <c r="BS188" s="31" t="s">
        <v>52</v>
      </c>
      <c r="BT188" s="31"/>
      <c r="BU188" s="31"/>
      <c r="BV188" s="31">
        <v>17300</v>
      </c>
      <c r="BW188" s="31" t="s">
        <v>52</v>
      </c>
      <c r="BX188" s="31"/>
      <c r="BY188" s="31"/>
      <c r="BZ188" s="8">
        <f t="shared" si="97"/>
        <v>-4.6242774566473986E-2</v>
      </c>
      <c r="CA188" s="8">
        <f>VLOOKUP(F188,'[15]Sheet 2'!$A:$S,18,0)/VLOOKUP(F188,'[15]Sheet 2'!$A:$U,20,0)</f>
        <v>17212.232290663433</v>
      </c>
      <c r="CB188" s="8">
        <f t="shared" si="98"/>
        <v>-4.13794259010654E-2</v>
      </c>
      <c r="CC188" s="54">
        <f t="shared" si="114"/>
        <v>39.033333333333331</v>
      </c>
      <c r="CD188" s="54">
        <f t="shared" si="115"/>
        <v>-76.88333333333334</v>
      </c>
      <c r="CE188" s="38">
        <v>33161</v>
      </c>
      <c r="CF188" s="39">
        <v>33389</v>
      </c>
      <c r="CG188" s="39">
        <v>33329</v>
      </c>
      <c r="CH188" s="39">
        <v>33389</v>
      </c>
      <c r="CI188" s="40">
        <f t="shared" si="107"/>
        <v>-77</v>
      </c>
      <c r="CJ188" s="40">
        <f t="shared" si="111"/>
        <v>151</v>
      </c>
      <c r="CK188" s="41">
        <f t="shared" si="108"/>
        <v>229</v>
      </c>
      <c r="CL188" s="40">
        <f t="shared" ref="CL188:CL219" si="116">CG188-INT(YEAR(CG188)&amp;"/1/1")+1</f>
        <v>91</v>
      </c>
      <c r="CM188" s="40">
        <f t="shared" si="112"/>
        <v>151</v>
      </c>
      <c r="CN188" s="42">
        <f t="shared" si="113"/>
        <v>61</v>
      </c>
    </row>
    <row r="189" spans="1:95" s="19" customFormat="1" hidden="1" x14ac:dyDescent="0.3">
      <c r="A189" s="3">
        <v>0</v>
      </c>
      <c r="B189" s="3"/>
      <c r="C189" s="3"/>
      <c r="D189" s="3" t="s">
        <v>145</v>
      </c>
      <c r="E189" s="6" t="s">
        <v>150</v>
      </c>
      <c r="F189" s="6" t="str">
        <f t="shared" si="87"/>
        <v>1996-89/91Saluda1992OTC</v>
      </c>
      <c r="G189" s="3" t="s">
        <v>147</v>
      </c>
      <c r="H189" s="3" t="s">
        <v>128</v>
      </c>
      <c r="I189" s="3" t="s">
        <v>129</v>
      </c>
      <c r="J189" s="3" t="s">
        <v>94</v>
      </c>
      <c r="K189" s="3" t="s">
        <v>151</v>
      </c>
      <c r="L189" s="3">
        <v>1992</v>
      </c>
      <c r="M189" s="3" t="s">
        <v>95</v>
      </c>
      <c r="N189" s="3" t="s">
        <v>35</v>
      </c>
      <c r="O189" s="3" t="s">
        <v>72</v>
      </c>
      <c r="P189" s="3"/>
      <c r="Q189" s="4">
        <f>S189/1.01*1.08</f>
        <v>43.520792079207929</v>
      </c>
      <c r="R189" s="3"/>
      <c r="S189" s="3">
        <v>40.700000000000003</v>
      </c>
      <c r="T189" s="3">
        <v>7</v>
      </c>
      <c r="U189" s="3">
        <f t="shared" si="109"/>
        <v>71</v>
      </c>
      <c r="V189" s="3">
        <v>4</v>
      </c>
      <c r="W189" s="9">
        <v>5.3473211011920796</v>
      </c>
      <c r="X189" s="7">
        <v>33708</v>
      </c>
      <c r="Y189" s="7">
        <v>33778</v>
      </c>
      <c r="Z189" s="3"/>
      <c r="AA189" s="3"/>
      <c r="AB189" s="3"/>
      <c r="AC189" s="3"/>
      <c r="AD189" s="3"/>
      <c r="AE189" s="3"/>
      <c r="AF189" s="3"/>
      <c r="AG189" s="3"/>
      <c r="AH189" s="8" t="e">
        <f t="shared" si="89"/>
        <v>#DIV/0!</v>
      </c>
      <c r="AI189" s="8">
        <f>VLOOKUP(F189,'[11]Sheet 2'!$A:$S,18,0)/VLOOKUP(F189,'[11]Sheet 2'!$A:$U,20,0)</f>
        <v>540.9587809616371</v>
      </c>
      <c r="AJ189" s="8"/>
      <c r="AK189" s="3"/>
      <c r="AL189" s="4"/>
      <c r="AM189" s="3"/>
      <c r="AN189" s="3"/>
      <c r="AO189" s="3"/>
      <c r="AP189" s="3"/>
      <c r="AQ189" s="3"/>
      <c r="AR189" s="3"/>
      <c r="AS189" s="8" t="e">
        <f t="shared" si="91"/>
        <v>#DIV/0!</v>
      </c>
      <c r="AT189" s="8">
        <f>VLOOKUP(F189,'[12]Sheet 2'!$A:$S,18,0)/VLOOKUP(F189,'[12]Sheet 2'!$A:$U,20,0)</f>
        <v>35.933705771764942</v>
      </c>
      <c r="AU189" s="8"/>
      <c r="AV189" s="57"/>
      <c r="AW189" s="3"/>
      <c r="AX189" s="3"/>
      <c r="AY189" s="3"/>
      <c r="AZ189" s="3"/>
      <c r="BA189" s="3"/>
      <c r="BB189" s="3"/>
      <c r="BC189" s="3"/>
      <c r="BD189" s="8" t="e">
        <f t="shared" si="93"/>
        <v>#DIV/0!</v>
      </c>
      <c r="BE189" s="8" t="e">
        <f>VLOOKUP(F189,'[13]Sheet 2'!$A:$S,18,0)/VLOOKUP(F189,'[13]Sheet 2'!$A:$U,20,0)</f>
        <v>#N/A</v>
      </c>
      <c r="BF189" s="8" t="e">
        <f t="shared" si="94"/>
        <v>#N/A</v>
      </c>
      <c r="BG189" s="3"/>
      <c r="BH189" s="3"/>
      <c r="BI189" s="3"/>
      <c r="BJ189" s="3"/>
      <c r="BK189" s="3"/>
      <c r="BL189" s="3"/>
      <c r="BM189" s="3"/>
      <c r="BN189" s="3"/>
      <c r="BO189" s="8" t="e">
        <f t="shared" si="95"/>
        <v>#DIV/0!</v>
      </c>
      <c r="BP189" s="8" t="e">
        <f>VLOOKUP(F189,'[14]Sheet 2'!$A:$V,18,0)/VLOOKUP(F189,'[14]Sheet 2'!$A:$V,20,0)</f>
        <v>#N/A</v>
      </c>
      <c r="BQ189" s="8" t="e">
        <f t="shared" si="96"/>
        <v>#N/A</v>
      </c>
      <c r="BR189" s="3"/>
      <c r="BS189" s="3"/>
      <c r="BT189" s="3"/>
      <c r="BU189" s="3"/>
      <c r="BV189" s="3"/>
      <c r="BW189" s="3"/>
      <c r="BX189" s="3"/>
      <c r="BY189" s="3"/>
      <c r="BZ189" s="8" t="e">
        <f t="shared" si="97"/>
        <v>#DIV/0!</v>
      </c>
      <c r="CA189" s="8">
        <f>VLOOKUP(F189,'[15]Sheet 2'!$A:$S,18,0)/VLOOKUP(F189,'[15]Sheet 2'!$A:$U,20,0)</f>
        <v>16069.083956620078</v>
      </c>
      <c r="CB189" s="8"/>
      <c r="CC189" s="23">
        <f t="shared" si="114"/>
        <v>39.033333333333331</v>
      </c>
      <c r="CD189" s="23">
        <f t="shared" si="115"/>
        <v>-76.88333333333334</v>
      </c>
      <c r="CE189" s="20">
        <v>33526</v>
      </c>
      <c r="CF189" s="18">
        <v>33778</v>
      </c>
      <c r="CG189" s="18">
        <v>33708</v>
      </c>
      <c r="CH189" s="18">
        <v>33778</v>
      </c>
      <c r="CI189" s="21">
        <f t="shared" si="107"/>
        <v>-77</v>
      </c>
      <c r="CJ189" s="21">
        <f t="shared" si="111"/>
        <v>175</v>
      </c>
      <c r="CK189" s="30">
        <f t="shared" si="108"/>
        <v>253</v>
      </c>
      <c r="CL189" s="21">
        <f t="shared" si="116"/>
        <v>105</v>
      </c>
      <c r="CM189" s="21">
        <f t="shared" si="112"/>
        <v>175</v>
      </c>
      <c r="CN189" s="19">
        <f t="shared" si="113"/>
        <v>71</v>
      </c>
    </row>
    <row r="190" spans="1:95" s="19" customFormat="1" hidden="1" x14ac:dyDescent="0.3">
      <c r="A190" s="3">
        <v>1</v>
      </c>
      <c r="B190" s="3"/>
      <c r="C190" s="3"/>
      <c r="D190" s="3" t="s">
        <v>145</v>
      </c>
      <c r="E190" s="6" t="s">
        <v>146</v>
      </c>
      <c r="F190" s="6" t="str">
        <f t="shared" si="87"/>
        <v>1996-89/91Saluda1992OTC</v>
      </c>
      <c r="G190" s="3" t="s">
        <v>147</v>
      </c>
      <c r="H190" s="3" t="s">
        <v>128</v>
      </c>
      <c r="I190" s="3" t="s">
        <v>129</v>
      </c>
      <c r="J190" s="3" t="s">
        <v>94</v>
      </c>
      <c r="K190" s="3" t="s">
        <v>151</v>
      </c>
      <c r="L190" s="3">
        <v>1992</v>
      </c>
      <c r="M190" s="3" t="s">
        <v>95</v>
      </c>
      <c r="N190" s="3" t="s">
        <v>35</v>
      </c>
      <c r="O190" s="3" t="s">
        <v>130</v>
      </c>
      <c r="P190" s="32" t="s">
        <v>267</v>
      </c>
      <c r="Q190" s="3">
        <f>S190/1.01*U190*12/1000+S189/1.01*(90-U190)*12/1000</f>
        <v>26.227722772277229</v>
      </c>
      <c r="R190" s="3"/>
      <c r="S190" s="3">
        <v>20.2</v>
      </c>
      <c r="T190" s="3">
        <v>7</v>
      </c>
      <c r="U190" s="3">
        <f t="shared" si="109"/>
        <v>71</v>
      </c>
      <c r="V190" s="3">
        <v>4</v>
      </c>
      <c r="W190" s="9">
        <v>0.39988967535184999</v>
      </c>
      <c r="X190" s="7">
        <v>33708</v>
      </c>
      <c r="Y190" s="7">
        <v>33778</v>
      </c>
      <c r="Z190" s="3">
        <v>520</v>
      </c>
      <c r="AA190" s="3" t="s">
        <v>78</v>
      </c>
      <c r="AB190" s="3"/>
      <c r="AC190" s="3"/>
      <c r="AD190" s="3">
        <v>520</v>
      </c>
      <c r="AE190" s="3" t="s">
        <v>78</v>
      </c>
      <c r="AF190" s="3"/>
      <c r="AG190" s="3"/>
      <c r="AH190" s="8">
        <f t="shared" si="89"/>
        <v>0</v>
      </c>
      <c r="AI190" s="8">
        <f>VLOOKUP(F190,'[11]Sheet 2'!$A:$S,18,0)/VLOOKUP(F190,'[11]Sheet 2'!$A:$U,20,0)</f>
        <v>540.9587809616371</v>
      </c>
      <c r="AJ190" s="8">
        <f t="shared" si="90"/>
        <v>-3.8743766991598989E-2</v>
      </c>
      <c r="AK190" s="3">
        <v>33.9</v>
      </c>
      <c r="AL190" s="4" t="s">
        <v>37</v>
      </c>
      <c r="AM190" s="3"/>
      <c r="AN190" s="3"/>
      <c r="AO190" s="3">
        <v>33.9</v>
      </c>
      <c r="AP190" s="4" t="s">
        <v>37</v>
      </c>
      <c r="AQ190" s="3"/>
      <c r="AR190" s="3"/>
      <c r="AS190" s="8">
        <f t="shared" si="91"/>
        <v>0</v>
      </c>
      <c r="AT190" s="8">
        <f>VLOOKUP(F190,'[12]Sheet 2'!$A:$S,18,0)/VLOOKUP(F190,'[12]Sheet 2'!$A:$U,20,0)</f>
        <v>35.933705771764942</v>
      </c>
      <c r="AU190" s="8">
        <f t="shared" si="92"/>
        <v>-5.659604897647199E-2</v>
      </c>
      <c r="AV190" s="57"/>
      <c r="AW190" s="3"/>
      <c r="AX190" s="3"/>
      <c r="AY190" s="3"/>
      <c r="AZ190" s="3"/>
      <c r="BA190" s="3"/>
      <c r="BB190" s="3"/>
      <c r="BC190" s="3"/>
      <c r="BD190" s="8" t="e">
        <f t="shared" si="93"/>
        <v>#DIV/0!</v>
      </c>
      <c r="BE190" s="8" t="e">
        <f>VLOOKUP(F190,'[13]Sheet 2'!$A:$S,18,0)/VLOOKUP(F190,'[13]Sheet 2'!$A:$U,20,0)</f>
        <v>#N/A</v>
      </c>
      <c r="BF190" s="8" t="e">
        <f t="shared" si="94"/>
        <v>#N/A</v>
      </c>
      <c r="BG190" s="3"/>
      <c r="BH190" s="3"/>
      <c r="BI190" s="3"/>
      <c r="BJ190" s="3"/>
      <c r="BK190" s="3"/>
      <c r="BL190" s="3"/>
      <c r="BM190" s="3"/>
      <c r="BN190" s="3"/>
      <c r="BO190" s="8" t="e">
        <f t="shared" si="95"/>
        <v>#DIV/0!</v>
      </c>
      <c r="BP190" s="8" t="e">
        <f>VLOOKUP(F190,'[14]Sheet 2'!$A:$V,18,0)/VLOOKUP(F190,'[14]Sheet 2'!$A:$V,20,0)</f>
        <v>#N/A</v>
      </c>
      <c r="BQ190" s="8" t="e">
        <f t="shared" si="96"/>
        <v>#N/A</v>
      </c>
      <c r="BR190" s="3">
        <v>16000</v>
      </c>
      <c r="BS190" s="3" t="s">
        <v>52</v>
      </c>
      <c r="BT190" s="3"/>
      <c r="BU190" s="3"/>
      <c r="BV190" s="3">
        <v>16000</v>
      </c>
      <c r="BW190" s="3" t="s">
        <v>52</v>
      </c>
      <c r="BX190" s="3"/>
      <c r="BY190" s="3"/>
      <c r="BZ190" s="8">
        <f t="shared" si="97"/>
        <v>0</v>
      </c>
      <c r="CA190" s="8">
        <f>VLOOKUP(F190,'[15]Sheet 2'!$A:$S,18,0)/VLOOKUP(F190,'[15]Sheet 2'!$A:$U,20,0)</f>
        <v>16069.083956620078</v>
      </c>
      <c r="CB190" s="8">
        <f t="shared" si="98"/>
        <v>-4.2991844965510045E-3</v>
      </c>
      <c r="CC190" s="23">
        <f t="shared" si="114"/>
        <v>39.033333333333331</v>
      </c>
      <c r="CD190" s="23">
        <f t="shared" si="115"/>
        <v>-76.88333333333334</v>
      </c>
      <c r="CE190" s="20">
        <v>33526</v>
      </c>
      <c r="CF190" s="18">
        <v>33778</v>
      </c>
      <c r="CG190" s="18">
        <v>33708</v>
      </c>
      <c r="CH190" s="18">
        <v>33778</v>
      </c>
      <c r="CI190" s="21">
        <f t="shared" si="107"/>
        <v>-77</v>
      </c>
      <c r="CJ190" s="21">
        <f t="shared" si="111"/>
        <v>175</v>
      </c>
      <c r="CK190" s="30">
        <f t="shared" si="108"/>
        <v>253</v>
      </c>
      <c r="CL190" s="21">
        <f t="shared" si="116"/>
        <v>105</v>
      </c>
      <c r="CM190" s="21">
        <f t="shared" si="112"/>
        <v>175</v>
      </c>
      <c r="CN190" s="19">
        <f t="shared" si="113"/>
        <v>71</v>
      </c>
    </row>
    <row r="191" spans="1:95" s="19" customFormat="1" hidden="1" x14ac:dyDescent="0.3">
      <c r="A191" s="3">
        <v>1</v>
      </c>
      <c r="B191" s="3"/>
      <c r="C191" s="3"/>
      <c r="D191" s="3" t="s">
        <v>145</v>
      </c>
      <c r="E191" s="6" t="s">
        <v>146</v>
      </c>
      <c r="F191" s="6" t="str">
        <f t="shared" si="87"/>
        <v>1996-89/91Saluda1992OTC</v>
      </c>
      <c r="G191" s="3" t="s">
        <v>147</v>
      </c>
      <c r="H191" s="3" t="s">
        <v>128</v>
      </c>
      <c r="I191" s="3" t="s">
        <v>129</v>
      </c>
      <c r="J191" s="3" t="s">
        <v>94</v>
      </c>
      <c r="K191" s="3" t="s">
        <v>151</v>
      </c>
      <c r="L191" s="3">
        <v>1992</v>
      </c>
      <c r="M191" s="3" t="s">
        <v>95</v>
      </c>
      <c r="N191" s="3" t="s">
        <v>35</v>
      </c>
      <c r="O191" s="3" t="s">
        <v>73</v>
      </c>
      <c r="P191" s="3"/>
      <c r="Q191" s="3">
        <f>(7*S191+5*0.976*S189)/12*U191*12/1000+S189/1.01*(90-U191)*12/1000</f>
        <v>55.495058772277233</v>
      </c>
      <c r="R191" s="3"/>
      <c r="S191" s="3">
        <v>64.8</v>
      </c>
      <c r="T191" s="3">
        <v>7</v>
      </c>
      <c r="U191" s="3">
        <f t="shared" si="109"/>
        <v>71</v>
      </c>
      <c r="V191" s="3">
        <v>4</v>
      </c>
      <c r="W191" s="9">
        <v>14.4705939061522</v>
      </c>
      <c r="X191" s="7">
        <v>33708</v>
      </c>
      <c r="Y191" s="7">
        <v>33778</v>
      </c>
      <c r="Z191" s="3">
        <v>434</v>
      </c>
      <c r="AA191" s="3" t="s">
        <v>78</v>
      </c>
      <c r="AB191" s="3"/>
      <c r="AC191" s="3"/>
      <c r="AD191" s="3">
        <v>520</v>
      </c>
      <c r="AE191" s="3" t="s">
        <v>78</v>
      </c>
      <c r="AF191" s="3"/>
      <c r="AG191" s="3"/>
      <c r="AH191" s="8">
        <f t="shared" si="89"/>
        <v>-0.16538461538461538</v>
      </c>
      <c r="AI191" s="8">
        <f>VLOOKUP(F191,'[11]Sheet 2'!$A:$S,18,0)/VLOOKUP(F191,'[11]Sheet 2'!$A:$U,20,0)</f>
        <v>540.9587809616371</v>
      </c>
      <c r="AJ191" s="8">
        <f t="shared" si="90"/>
        <v>-0.1977207593737576</v>
      </c>
      <c r="AK191" s="3">
        <v>31.8</v>
      </c>
      <c r="AL191" s="4" t="s">
        <v>37</v>
      </c>
      <c r="AM191" s="3"/>
      <c r="AN191" s="3"/>
      <c r="AO191" s="3">
        <v>33.9</v>
      </c>
      <c r="AP191" s="4" t="s">
        <v>37</v>
      </c>
      <c r="AQ191" s="3"/>
      <c r="AR191" s="3"/>
      <c r="AS191" s="8">
        <f t="shared" si="91"/>
        <v>-6.1946902654867193E-2</v>
      </c>
      <c r="AT191" s="8">
        <f>VLOOKUP(F191,'[12]Sheet 2'!$A:$S,18,0)/VLOOKUP(F191,'[12]Sheet 2'!$A:$U,20,0)</f>
        <v>35.933705771764942</v>
      </c>
      <c r="AU191" s="8">
        <f t="shared" si="92"/>
        <v>-0.11503700169474358</v>
      </c>
      <c r="AV191" s="57"/>
      <c r="AW191" s="3"/>
      <c r="AX191" s="3"/>
      <c r="AY191" s="3"/>
      <c r="AZ191" s="3"/>
      <c r="BA191" s="3"/>
      <c r="BB191" s="3"/>
      <c r="BC191" s="3"/>
      <c r="BD191" s="8" t="e">
        <f t="shared" si="93"/>
        <v>#DIV/0!</v>
      </c>
      <c r="BE191" s="8" t="e">
        <f>VLOOKUP(F191,'[13]Sheet 2'!$A:$S,18,0)/VLOOKUP(F191,'[13]Sheet 2'!$A:$U,20,0)</f>
        <v>#N/A</v>
      </c>
      <c r="BF191" s="8" t="e">
        <f t="shared" si="94"/>
        <v>#N/A</v>
      </c>
      <c r="BG191" s="3"/>
      <c r="BH191" s="3"/>
      <c r="BI191" s="3"/>
      <c r="BJ191" s="3"/>
      <c r="BK191" s="3"/>
      <c r="BL191" s="3"/>
      <c r="BM191" s="3"/>
      <c r="BN191" s="3"/>
      <c r="BO191" s="8" t="e">
        <f t="shared" si="95"/>
        <v>#DIV/0!</v>
      </c>
      <c r="BP191" s="8" t="e">
        <f>VLOOKUP(F191,'[14]Sheet 2'!$A:$V,18,0)/VLOOKUP(F191,'[14]Sheet 2'!$A:$V,20,0)</f>
        <v>#N/A</v>
      </c>
      <c r="BQ191" s="8" t="e">
        <f t="shared" si="96"/>
        <v>#N/A</v>
      </c>
      <c r="BR191" s="3">
        <v>15100</v>
      </c>
      <c r="BS191" s="3" t="s">
        <v>52</v>
      </c>
      <c r="BT191" s="3"/>
      <c r="BU191" s="3"/>
      <c r="BV191" s="3">
        <v>16000</v>
      </c>
      <c r="BW191" s="3" t="s">
        <v>52</v>
      </c>
      <c r="BX191" s="3"/>
      <c r="BY191" s="3"/>
      <c r="BZ191" s="8">
        <f t="shared" si="97"/>
        <v>-5.6250000000000001E-2</v>
      </c>
      <c r="CA191" s="8">
        <f>VLOOKUP(F191,'[15]Sheet 2'!$A:$S,18,0)/VLOOKUP(F191,'[15]Sheet 2'!$A:$U,20,0)</f>
        <v>16069.083956620078</v>
      </c>
      <c r="CB191" s="8">
        <f t="shared" si="98"/>
        <v>-6.030735536862001E-2</v>
      </c>
      <c r="CC191" s="23">
        <f t="shared" si="114"/>
        <v>39.033333333333331</v>
      </c>
      <c r="CD191" s="23">
        <f t="shared" si="115"/>
        <v>-76.88333333333334</v>
      </c>
      <c r="CE191" s="20">
        <v>33526</v>
      </c>
      <c r="CF191" s="18">
        <v>33778</v>
      </c>
      <c r="CG191" s="18">
        <v>33708</v>
      </c>
      <c r="CH191" s="18">
        <v>33778</v>
      </c>
      <c r="CI191" s="21">
        <f t="shared" si="107"/>
        <v>-77</v>
      </c>
      <c r="CJ191" s="21">
        <f t="shared" si="111"/>
        <v>175</v>
      </c>
      <c r="CK191" s="30">
        <f t="shared" si="108"/>
        <v>253</v>
      </c>
      <c r="CL191" s="21">
        <f t="shared" si="116"/>
        <v>105</v>
      </c>
      <c r="CM191" s="21">
        <f t="shared" si="112"/>
        <v>175</v>
      </c>
      <c r="CN191" s="19">
        <f t="shared" si="113"/>
        <v>71</v>
      </c>
    </row>
    <row r="192" spans="1:95" s="42" customFormat="1" hidden="1" x14ac:dyDescent="0.3">
      <c r="A192" s="31">
        <v>1</v>
      </c>
      <c r="B192" s="31"/>
      <c r="C192" s="31"/>
      <c r="D192" s="31" t="s">
        <v>152</v>
      </c>
      <c r="E192" s="31" t="s">
        <v>153</v>
      </c>
      <c r="F192" s="34" t="str">
        <f t="shared" si="87"/>
        <v>1985-119Albis1986OTC</v>
      </c>
      <c r="G192" s="31" t="s">
        <v>154</v>
      </c>
      <c r="H192" s="31" t="s">
        <v>155</v>
      </c>
      <c r="I192" s="31" t="s">
        <v>156</v>
      </c>
      <c r="J192" s="31" t="s">
        <v>94</v>
      </c>
      <c r="K192" s="31" t="s">
        <v>157</v>
      </c>
      <c r="L192" s="31">
        <v>1986</v>
      </c>
      <c r="M192" s="31" t="s">
        <v>34</v>
      </c>
      <c r="N192" s="31" t="s">
        <v>49</v>
      </c>
      <c r="O192" s="31" t="s">
        <v>130</v>
      </c>
      <c r="P192" s="32" t="s">
        <v>267</v>
      </c>
      <c r="Q192" s="31">
        <f>(8 * S192+ 4 * 0.97*S192) / 12*U192*12/1000+S193/1.01*(90-U192)*12/1000</f>
        <v>24.592348514851487</v>
      </c>
      <c r="R192" s="31"/>
      <c r="S192" s="31">
        <v>20</v>
      </c>
      <c r="T192" s="31">
        <v>8</v>
      </c>
      <c r="U192" s="31">
        <f t="shared" si="109"/>
        <v>72</v>
      </c>
      <c r="V192" s="34">
        <v>4</v>
      </c>
      <c r="W192" s="43">
        <v>0.13472763978990401</v>
      </c>
      <c r="X192" s="35">
        <v>31553</v>
      </c>
      <c r="Y192" s="35">
        <v>31624</v>
      </c>
      <c r="Z192" s="31">
        <v>664</v>
      </c>
      <c r="AA192" s="31" t="s">
        <v>51</v>
      </c>
      <c r="AB192" s="31"/>
      <c r="AC192" s="31"/>
      <c r="AD192" s="31">
        <v>664</v>
      </c>
      <c r="AE192" s="31" t="s">
        <v>51</v>
      </c>
      <c r="AF192" s="31"/>
      <c r="AG192" s="31"/>
      <c r="AH192" s="8">
        <f t="shared" si="89"/>
        <v>0</v>
      </c>
      <c r="AI192" s="8">
        <f>VLOOKUP(F192,'[16]Sheet 2'!$A:$S,18,0)/VLOOKUP(F192,'[16]Sheet 2'!$A:$U,20,0)</f>
        <v>652.94857538902829</v>
      </c>
      <c r="AJ192" s="8">
        <f t="shared" si="90"/>
        <v>1.6925413466730124E-2</v>
      </c>
      <c r="AK192" s="31">
        <v>33.5</v>
      </c>
      <c r="AL192" s="32" t="s">
        <v>37</v>
      </c>
      <c r="AM192" s="31"/>
      <c r="AN192" s="31"/>
      <c r="AO192" s="31">
        <v>33.5</v>
      </c>
      <c r="AP192" s="32" t="s">
        <v>37</v>
      </c>
      <c r="AQ192" s="31"/>
      <c r="AR192" s="31"/>
      <c r="AS192" s="8">
        <f t="shared" si="91"/>
        <v>0</v>
      </c>
      <c r="AT192" s="8">
        <f>VLOOKUP(F192,'[17]Sheet 2'!$A:$S,18,0)/VLOOKUP(F192,'[17]Sheet 2'!$A:$U,20,0)</f>
        <v>33.37615368353471</v>
      </c>
      <c r="AU192" s="8">
        <f t="shared" si="92"/>
        <v>3.7106227889400676E-3</v>
      </c>
      <c r="AV192" s="57">
        <v>41.1</v>
      </c>
      <c r="AW192" s="31" t="s">
        <v>132</v>
      </c>
      <c r="AX192" s="31"/>
      <c r="AY192" s="31"/>
      <c r="AZ192" s="31">
        <v>41.1</v>
      </c>
      <c r="BA192" s="31" t="s">
        <v>132</v>
      </c>
      <c r="BB192" s="31"/>
      <c r="BC192" s="31"/>
      <c r="BD192" s="8">
        <f t="shared" si="93"/>
        <v>0</v>
      </c>
      <c r="BE192" s="8">
        <f>VLOOKUP(F192,'[18]Sheet 2'!$A:$S,18,0)/VLOOKUP(F192,'[18]Sheet 2'!$A:$U,20,0)</f>
        <v>39.614691453390783</v>
      </c>
      <c r="BF192" s="8">
        <f t="shared" si="94"/>
        <v>3.7493881489819976E-2</v>
      </c>
      <c r="BG192" s="31">
        <v>501.3</v>
      </c>
      <c r="BH192" s="31" t="s">
        <v>52</v>
      </c>
      <c r="BI192" s="31"/>
      <c r="BJ192" s="31"/>
      <c r="BK192" s="31">
        <v>501.3</v>
      </c>
      <c r="BL192" s="31" t="s">
        <v>52</v>
      </c>
      <c r="BM192" s="31"/>
      <c r="BN192" s="31"/>
      <c r="BO192" s="8">
        <f t="shared" si="95"/>
        <v>0</v>
      </c>
      <c r="BP192" s="8">
        <f>VLOOKUP(F192,'[19]Sheet 2'!$A:$S,18,0)/VLOOKUP(F192,'[19]Sheet 2'!$A:$U,20,0)</f>
        <v>514.39893200565302</v>
      </c>
      <c r="BQ192" s="8">
        <f t="shared" si="96"/>
        <v>-2.5464539661036973E-2</v>
      </c>
      <c r="BR192" s="31">
        <f t="shared" ref="BR192:BR223" si="117">Z192/AK192*1000</f>
        <v>19820.895522388058</v>
      </c>
      <c r="BS192" s="31" t="s">
        <v>52</v>
      </c>
      <c r="BT192" s="31"/>
      <c r="BU192" s="31"/>
      <c r="BV192" s="31">
        <f t="shared" ref="BV192:BV223" si="118">AD192/AO192*1000</f>
        <v>19820.895522388058</v>
      </c>
      <c r="BW192" s="31" t="s">
        <v>52</v>
      </c>
      <c r="BX192" s="31"/>
      <c r="BY192" s="31"/>
      <c r="BZ192" s="8">
        <f t="shared" si="97"/>
        <v>0</v>
      </c>
      <c r="CA192" s="8">
        <f>VLOOKUP(F192,'[20]Sheet 2'!$A:$S,18,0)/VLOOKUP(F192,'[20]Sheet 2'!$A:$U,20,0)</f>
        <v>19493.425343598825</v>
      </c>
      <c r="CB192" s="8">
        <f t="shared" si="98"/>
        <v>1.6799006486398094E-2</v>
      </c>
      <c r="CC192" s="54">
        <f t="shared" ref="CC192:CC202" si="119">47+7/60</f>
        <v>47.116666666666667</v>
      </c>
      <c r="CD192" s="54">
        <f t="shared" ref="CD192:CD202" si="120">7+37/60</f>
        <v>7.6166666666666671</v>
      </c>
      <c r="CE192" s="38">
        <v>31511</v>
      </c>
      <c r="CF192" s="39">
        <v>31624</v>
      </c>
      <c r="CG192" s="39">
        <v>31553</v>
      </c>
      <c r="CH192" s="39">
        <v>31624</v>
      </c>
      <c r="CI192" s="40">
        <f t="shared" si="107"/>
        <v>99</v>
      </c>
      <c r="CJ192" s="40">
        <f t="shared" si="111"/>
        <v>212</v>
      </c>
      <c r="CK192" s="41">
        <f t="shared" si="108"/>
        <v>114</v>
      </c>
      <c r="CL192" s="40">
        <f t="shared" si="116"/>
        <v>141</v>
      </c>
      <c r="CM192" s="40">
        <f t="shared" si="112"/>
        <v>212</v>
      </c>
      <c r="CN192" s="42">
        <f t="shared" si="113"/>
        <v>72</v>
      </c>
      <c r="CP192" s="47">
        <v>31591</v>
      </c>
      <c r="CQ192" s="42">
        <f t="shared" ref="CQ192:CQ217" si="121">CF192-CP192+1</f>
        <v>34</v>
      </c>
    </row>
    <row r="193" spans="1:95" s="42" customFormat="1" hidden="1" x14ac:dyDescent="0.3">
      <c r="A193" s="31">
        <v>1</v>
      </c>
      <c r="B193" s="31"/>
      <c r="C193" s="31"/>
      <c r="D193" s="31" t="s">
        <v>152</v>
      </c>
      <c r="E193" s="31" t="s">
        <v>153</v>
      </c>
      <c r="F193" s="34" t="str">
        <f t="shared" si="87"/>
        <v>1985-119Albis1986OTC</v>
      </c>
      <c r="G193" s="31" t="s">
        <v>154</v>
      </c>
      <c r="H193" s="31" t="s">
        <v>155</v>
      </c>
      <c r="I193" s="31" t="s">
        <v>156</v>
      </c>
      <c r="J193" s="31" t="s">
        <v>94</v>
      </c>
      <c r="K193" s="31" t="s">
        <v>157</v>
      </c>
      <c r="L193" s="31">
        <v>1986</v>
      </c>
      <c r="M193" s="31" t="s">
        <v>34</v>
      </c>
      <c r="N193" s="31" t="s">
        <v>49</v>
      </c>
      <c r="O193" s="31" t="s">
        <v>101</v>
      </c>
      <c r="P193" s="31"/>
      <c r="Q193" s="31">
        <f>S193/1.01*U193*12/1000+S193/1.01*(90-U193)*12/1000</f>
        <v>37.42574257425742</v>
      </c>
      <c r="R193" s="31"/>
      <c r="S193" s="31">
        <v>35</v>
      </c>
      <c r="T193" s="31">
        <v>8</v>
      </c>
      <c r="U193" s="31">
        <f t="shared" si="109"/>
        <v>72</v>
      </c>
      <c r="V193" s="34">
        <v>4</v>
      </c>
      <c r="W193" s="43">
        <v>2.7820454495208602</v>
      </c>
      <c r="X193" s="35">
        <v>31553</v>
      </c>
      <c r="Y193" s="35">
        <v>31624</v>
      </c>
      <c r="Z193" s="31">
        <v>611</v>
      </c>
      <c r="AA193" s="31" t="s">
        <v>51</v>
      </c>
      <c r="AB193" s="31"/>
      <c r="AC193" s="31"/>
      <c r="AD193" s="31">
        <v>664</v>
      </c>
      <c r="AE193" s="31" t="s">
        <v>51</v>
      </c>
      <c r="AF193" s="31"/>
      <c r="AG193" s="31"/>
      <c r="AH193" s="8">
        <f t="shared" si="89"/>
        <v>-7.9819277108433728E-2</v>
      </c>
      <c r="AI193" s="8">
        <f>VLOOKUP(F193,'[16]Sheet 2'!$A:$S,18,0)/VLOOKUP(F193,'[16]Sheet 2'!$A:$U,20,0)</f>
        <v>652.94857538902829</v>
      </c>
      <c r="AJ193" s="8">
        <f t="shared" si="90"/>
        <v>-6.4244837909379363E-2</v>
      </c>
      <c r="AK193" s="31">
        <v>30.7</v>
      </c>
      <c r="AL193" s="32" t="s">
        <v>37</v>
      </c>
      <c r="AM193" s="31"/>
      <c r="AN193" s="31"/>
      <c r="AO193" s="31">
        <v>33.5</v>
      </c>
      <c r="AP193" s="32" t="s">
        <v>37</v>
      </c>
      <c r="AQ193" s="31"/>
      <c r="AR193" s="31"/>
      <c r="AS193" s="8">
        <f t="shared" si="91"/>
        <v>-8.3582089552238822E-2</v>
      </c>
      <c r="AT193" s="8">
        <f>VLOOKUP(F193,'[17]Sheet 2'!$A:$S,18,0)/VLOOKUP(F193,'[17]Sheet 2'!$A:$U,20,0)</f>
        <v>33.37615368353471</v>
      </c>
      <c r="AU193" s="8">
        <f t="shared" si="92"/>
        <v>-8.0181608369538526E-2</v>
      </c>
      <c r="AV193" s="57">
        <v>39</v>
      </c>
      <c r="AW193" s="31" t="s">
        <v>132</v>
      </c>
      <c r="AX193" s="31"/>
      <c r="AY193" s="31"/>
      <c r="AZ193" s="31">
        <v>41.1</v>
      </c>
      <c r="BA193" s="31" t="s">
        <v>132</v>
      </c>
      <c r="BB193" s="31"/>
      <c r="BC193" s="31"/>
      <c r="BD193" s="8">
        <f t="shared" si="93"/>
        <v>-5.109489051094894E-2</v>
      </c>
      <c r="BE193" s="8">
        <f>VLOOKUP(F193,'[18]Sheet 2'!$A:$S,18,0)/VLOOKUP(F193,'[18]Sheet 2'!$A:$U,20,0)</f>
        <v>39.614691453390783</v>
      </c>
      <c r="BF193" s="8">
        <f t="shared" si="94"/>
        <v>-1.5516754790681811E-2</v>
      </c>
      <c r="BG193" s="31">
        <v>522</v>
      </c>
      <c r="BH193" s="31" t="s">
        <v>52</v>
      </c>
      <c r="BI193" s="31"/>
      <c r="BJ193" s="31"/>
      <c r="BK193" s="31">
        <v>501.3</v>
      </c>
      <c r="BL193" s="31" t="s">
        <v>52</v>
      </c>
      <c r="BM193" s="31"/>
      <c r="BN193" s="31"/>
      <c r="BO193" s="8">
        <f t="shared" si="95"/>
        <v>4.129263913824055E-2</v>
      </c>
      <c r="BP193" s="8">
        <f>VLOOKUP(F193,'[19]Sheet 2'!$A:$S,18,0)/VLOOKUP(F193,'[19]Sheet 2'!$A:$U,20,0)</f>
        <v>514.39893200565302</v>
      </c>
      <c r="BQ193" s="8">
        <f t="shared" si="96"/>
        <v>1.4776601430158966E-2</v>
      </c>
      <c r="BR193" s="31">
        <f t="shared" si="117"/>
        <v>19902.280130293162</v>
      </c>
      <c r="BS193" s="31" t="s">
        <v>52</v>
      </c>
      <c r="BT193" s="31"/>
      <c r="BU193" s="31"/>
      <c r="BV193" s="31">
        <f t="shared" si="118"/>
        <v>19820.895522388058</v>
      </c>
      <c r="BW193" s="31" t="s">
        <v>52</v>
      </c>
      <c r="BX193" s="31"/>
      <c r="BY193" s="31"/>
      <c r="BZ193" s="8">
        <f t="shared" si="97"/>
        <v>4.1060005494291743E-3</v>
      </c>
      <c r="CA193" s="8">
        <f>VLOOKUP(F193,'[20]Sheet 2'!$A:$S,18,0)/VLOOKUP(F193,'[20]Sheet 2'!$A:$U,20,0)</f>
        <v>19493.425343598825</v>
      </c>
      <c r="CB193" s="8">
        <f t="shared" si="98"/>
        <v>2.097398376569028E-2</v>
      </c>
      <c r="CC193" s="54">
        <f t="shared" si="119"/>
        <v>47.116666666666667</v>
      </c>
      <c r="CD193" s="54">
        <f t="shared" si="120"/>
        <v>7.6166666666666671</v>
      </c>
      <c r="CE193" s="38">
        <v>31511</v>
      </c>
      <c r="CF193" s="39">
        <v>31624</v>
      </c>
      <c r="CG193" s="39">
        <v>31553</v>
      </c>
      <c r="CH193" s="39">
        <v>31624</v>
      </c>
      <c r="CI193" s="40">
        <f t="shared" ref="CI193:CI224" si="122">CE193-INT(YEAR(CF193)&amp;"/1/1")+1</f>
        <v>99</v>
      </c>
      <c r="CJ193" s="40">
        <f t="shared" si="111"/>
        <v>212</v>
      </c>
      <c r="CK193" s="41">
        <f t="shared" ref="CK193:CK224" si="123">CJ193-CI193+1</f>
        <v>114</v>
      </c>
      <c r="CL193" s="40">
        <f t="shared" si="116"/>
        <v>141</v>
      </c>
      <c r="CM193" s="40">
        <f t="shared" si="112"/>
        <v>212</v>
      </c>
      <c r="CN193" s="42">
        <f t="shared" si="113"/>
        <v>72</v>
      </c>
      <c r="CP193" s="47">
        <v>31591</v>
      </c>
      <c r="CQ193" s="42">
        <f t="shared" si="121"/>
        <v>34</v>
      </c>
    </row>
    <row r="194" spans="1:95" s="42" customFormat="1" hidden="1" x14ac:dyDescent="0.3">
      <c r="A194" s="31">
        <v>1</v>
      </c>
      <c r="B194" s="31"/>
      <c r="C194" s="31"/>
      <c r="D194" s="31" t="s">
        <v>152</v>
      </c>
      <c r="E194" s="31" t="s">
        <v>153</v>
      </c>
      <c r="F194" s="34" t="str">
        <f t="shared" ref="F194:F259" si="124">D194&amp;K194&amp;L194&amp;M194</f>
        <v>1985-119Albis1986OTC</v>
      </c>
      <c r="G194" s="31" t="s">
        <v>154</v>
      </c>
      <c r="H194" s="31" t="s">
        <v>155</v>
      </c>
      <c r="I194" s="31" t="s">
        <v>156</v>
      </c>
      <c r="J194" s="31" t="s">
        <v>94</v>
      </c>
      <c r="K194" s="31" t="s">
        <v>157</v>
      </c>
      <c r="L194" s="31">
        <v>1986</v>
      </c>
      <c r="M194" s="31" t="s">
        <v>34</v>
      </c>
      <c r="N194" s="31" t="s">
        <v>49</v>
      </c>
      <c r="O194" s="31" t="s">
        <v>135</v>
      </c>
      <c r="P194" s="31"/>
      <c r="Q194" s="31">
        <f>(8 * S194+ 4 * 0.97*S193) / 12*U194*12/1000+S193/1.01*(90-U194)*12/1000</f>
        <v>76.590748514851498</v>
      </c>
      <c r="R194" s="31"/>
      <c r="S194" s="31">
        <v>103</v>
      </c>
      <c r="T194" s="31">
        <v>8</v>
      </c>
      <c r="U194" s="31">
        <f t="shared" si="109"/>
        <v>72</v>
      </c>
      <c r="V194" s="34">
        <v>4</v>
      </c>
      <c r="W194" s="43">
        <v>34.528958228277801</v>
      </c>
      <c r="X194" s="35">
        <v>31553</v>
      </c>
      <c r="Y194" s="35">
        <v>31624</v>
      </c>
      <c r="Z194" s="31">
        <v>256</v>
      </c>
      <c r="AA194" s="31" t="s">
        <v>51</v>
      </c>
      <c r="AB194" s="31"/>
      <c r="AC194" s="31"/>
      <c r="AD194" s="31">
        <v>664</v>
      </c>
      <c r="AE194" s="31" t="s">
        <v>51</v>
      </c>
      <c r="AF194" s="31"/>
      <c r="AG194" s="31"/>
      <c r="AH194" s="8">
        <f t="shared" si="89"/>
        <v>-0.61445783132530118</v>
      </c>
      <c r="AI194" s="8">
        <f>VLOOKUP(F194,'[16]Sheet 2'!$A:$S,18,0)/VLOOKUP(F194,'[16]Sheet 2'!$A:$U,20,0)</f>
        <v>652.94857538902829</v>
      </c>
      <c r="AJ194" s="8">
        <f t="shared" si="90"/>
        <v>-0.60793237071162209</v>
      </c>
      <c r="AK194" s="31">
        <v>20.3</v>
      </c>
      <c r="AL194" s="32" t="s">
        <v>37</v>
      </c>
      <c r="AM194" s="31"/>
      <c r="AN194" s="31"/>
      <c r="AO194" s="31">
        <v>33.5</v>
      </c>
      <c r="AP194" s="32" t="s">
        <v>37</v>
      </c>
      <c r="AQ194" s="31"/>
      <c r="AR194" s="31"/>
      <c r="AS194" s="8">
        <f t="shared" si="91"/>
        <v>-0.39402985074626862</v>
      </c>
      <c r="AT194" s="8">
        <f>VLOOKUP(F194,'[17]Sheet 2'!$A:$S,18,0)/VLOOKUP(F194,'[17]Sheet 2'!$A:$U,20,0)</f>
        <v>33.37615368353471</v>
      </c>
      <c r="AU194" s="8">
        <f t="shared" si="92"/>
        <v>-0.39178132410103034</v>
      </c>
      <c r="AV194" s="57">
        <v>29.1</v>
      </c>
      <c r="AW194" s="31" t="s">
        <v>132</v>
      </c>
      <c r="AX194" s="31"/>
      <c r="AY194" s="31"/>
      <c r="AZ194" s="31">
        <v>41.1</v>
      </c>
      <c r="BA194" s="31" t="s">
        <v>132</v>
      </c>
      <c r="BB194" s="31"/>
      <c r="BC194" s="31"/>
      <c r="BD194" s="8">
        <f t="shared" si="93"/>
        <v>-0.29197080291970801</v>
      </c>
      <c r="BE194" s="8">
        <f>VLOOKUP(F194,'[18]Sheet 2'!$A:$S,18,0)/VLOOKUP(F194,'[18]Sheet 2'!$A:$U,20,0)</f>
        <v>39.614691453390783</v>
      </c>
      <c r="BF194" s="8">
        <f t="shared" si="94"/>
        <v>-0.26542404011304715</v>
      </c>
      <c r="BG194" s="31">
        <v>491.3</v>
      </c>
      <c r="BH194" s="31" t="s">
        <v>52</v>
      </c>
      <c r="BI194" s="31"/>
      <c r="BJ194" s="31"/>
      <c r="BK194" s="31">
        <v>501.3</v>
      </c>
      <c r="BL194" s="31" t="s">
        <v>52</v>
      </c>
      <c r="BM194" s="31"/>
      <c r="BN194" s="31"/>
      <c r="BO194" s="8">
        <f t="shared" si="95"/>
        <v>-1.9948134849391581E-2</v>
      </c>
      <c r="BP194" s="8">
        <f>VLOOKUP(F194,'[19]Sheet 2'!$A:$S,18,0)/VLOOKUP(F194,'[19]Sheet 2'!$A:$U,20,0)</f>
        <v>514.39893200565302</v>
      </c>
      <c r="BQ194" s="8">
        <f t="shared" si="96"/>
        <v>-4.4904704439392505E-2</v>
      </c>
      <c r="BR194" s="31">
        <f t="shared" si="117"/>
        <v>12610.837438423645</v>
      </c>
      <c r="BS194" s="31" t="s">
        <v>52</v>
      </c>
      <c r="BT194" s="31"/>
      <c r="BU194" s="31"/>
      <c r="BV194" s="31">
        <f t="shared" si="118"/>
        <v>19820.895522388058</v>
      </c>
      <c r="BW194" s="31" t="s">
        <v>52</v>
      </c>
      <c r="BX194" s="31"/>
      <c r="BY194" s="31"/>
      <c r="BZ194" s="8">
        <f t="shared" si="97"/>
        <v>-0.36376046056145761</v>
      </c>
      <c r="CA194" s="8">
        <f>VLOOKUP(F194,'[20]Sheet 2'!$A:$S,18,0)/VLOOKUP(F194,'[20]Sheet 2'!$A:$U,20,0)</f>
        <v>19493.425343598825</v>
      </c>
      <c r="CB194" s="8">
        <f t="shared" si="98"/>
        <v>-0.35307226841152661</v>
      </c>
      <c r="CC194" s="54">
        <f t="shared" si="119"/>
        <v>47.116666666666667</v>
      </c>
      <c r="CD194" s="54">
        <f t="shared" si="120"/>
        <v>7.6166666666666671</v>
      </c>
      <c r="CE194" s="38">
        <v>31511</v>
      </c>
      <c r="CF194" s="39">
        <v>31624</v>
      </c>
      <c r="CG194" s="39">
        <v>31553</v>
      </c>
      <c r="CH194" s="39">
        <v>31624</v>
      </c>
      <c r="CI194" s="40">
        <f t="shared" si="122"/>
        <v>99</v>
      </c>
      <c r="CJ194" s="40">
        <f t="shared" si="111"/>
        <v>212</v>
      </c>
      <c r="CK194" s="41">
        <f t="shared" si="123"/>
        <v>114</v>
      </c>
      <c r="CL194" s="40">
        <f t="shared" si="116"/>
        <v>141</v>
      </c>
      <c r="CM194" s="40">
        <f t="shared" si="112"/>
        <v>212</v>
      </c>
      <c r="CN194" s="42">
        <f t="shared" si="113"/>
        <v>72</v>
      </c>
      <c r="CP194" s="47">
        <v>31591</v>
      </c>
      <c r="CQ194" s="42">
        <f t="shared" si="121"/>
        <v>34</v>
      </c>
    </row>
    <row r="195" spans="1:95" s="19" customFormat="1" hidden="1" x14ac:dyDescent="0.3">
      <c r="A195" s="3">
        <v>1</v>
      </c>
      <c r="B195" s="3"/>
      <c r="C195" s="3"/>
      <c r="D195" s="3" t="s">
        <v>152</v>
      </c>
      <c r="E195" s="3" t="s">
        <v>153</v>
      </c>
      <c r="F195" s="6" t="str">
        <f t="shared" si="124"/>
        <v>1985-119Albis1987OTC</v>
      </c>
      <c r="G195" s="3" t="s">
        <v>154</v>
      </c>
      <c r="H195" s="3" t="s">
        <v>155</v>
      </c>
      <c r="I195" s="3" t="s">
        <v>156</v>
      </c>
      <c r="J195" s="3" t="s">
        <v>94</v>
      </c>
      <c r="K195" s="3" t="s">
        <v>157</v>
      </c>
      <c r="L195" s="3">
        <v>1987</v>
      </c>
      <c r="M195" s="3" t="s">
        <v>34</v>
      </c>
      <c r="N195" s="3" t="s">
        <v>49</v>
      </c>
      <c r="O195" s="3" t="s">
        <v>130</v>
      </c>
      <c r="P195" s="32" t="s">
        <v>267</v>
      </c>
      <c r="Q195" s="4">
        <f>(8 * S195+ 4 * 0.97*S195) / 12*1.08</f>
        <v>17.107199999999999</v>
      </c>
      <c r="R195" s="3"/>
      <c r="S195" s="3">
        <v>16</v>
      </c>
      <c r="T195" s="3">
        <v>8</v>
      </c>
      <c r="U195" s="3">
        <f t="shared" ref="U195:U226" si="125">Y195-X195+1</f>
        <v>90</v>
      </c>
      <c r="V195" s="6">
        <v>4</v>
      </c>
      <c r="W195" s="9">
        <v>0</v>
      </c>
      <c r="X195" s="7">
        <v>31910</v>
      </c>
      <c r="Y195" s="7">
        <v>31999</v>
      </c>
      <c r="Z195" s="3">
        <v>617</v>
      </c>
      <c r="AA195" s="3" t="s">
        <v>51</v>
      </c>
      <c r="AB195" s="3"/>
      <c r="AC195" s="3"/>
      <c r="AD195" s="3">
        <v>617</v>
      </c>
      <c r="AE195" s="3" t="s">
        <v>51</v>
      </c>
      <c r="AF195" s="3"/>
      <c r="AG195" s="3"/>
      <c r="AH195" s="8">
        <f t="shared" ref="AH195:AH258" si="126">(Z195-AD195)/AD195</f>
        <v>0</v>
      </c>
      <c r="AI195" s="8">
        <f>VLOOKUP(F195,'[16]Sheet 2'!$A:$S,18,0)/VLOOKUP(F195,'[16]Sheet 2'!$A:$U,20,0)</f>
        <v>594.8198007911235</v>
      </c>
      <c r="AJ195" s="8">
        <f t="shared" ref="AJ195:AJ258" si="127">(Z195-AI195)/AI195</f>
        <v>3.7288938901119881E-2</v>
      </c>
      <c r="AK195" s="3">
        <v>33.700000000000003</v>
      </c>
      <c r="AL195" s="4" t="s">
        <v>37</v>
      </c>
      <c r="AM195" s="3"/>
      <c r="AN195" s="3"/>
      <c r="AO195" s="3">
        <v>33.700000000000003</v>
      </c>
      <c r="AP195" s="4" t="s">
        <v>37</v>
      </c>
      <c r="AQ195" s="3"/>
      <c r="AR195" s="3"/>
      <c r="AS195" s="8">
        <f t="shared" ref="AS195:AS258" si="128">(AK195-AO195)/AO195</f>
        <v>0</v>
      </c>
      <c r="AT195" s="8">
        <f>VLOOKUP(F195,'[17]Sheet 2'!$A:$S,18,0)/VLOOKUP(F195,'[17]Sheet 2'!$A:$U,20,0)</f>
        <v>32.222224947807028</v>
      </c>
      <c r="AU195" s="8">
        <f t="shared" ref="AU195:AU258" si="129">(AK195-AT195)/AT195</f>
        <v>4.586198049907006E-2</v>
      </c>
      <c r="AV195" s="57">
        <v>34.6</v>
      </c>
      <c r="AW195" s="3" t="s">
        <v>132</v>
      </c>
      <c r="AX195" s="3"/>
      <c r="AY195" s="3"/>
      <c r="AZ195" s="3">
        <v>34.6</v>
      </c>
      <c r="BA195" s="3" t="s">
        <v>132</v>
      </c>
      <c r="BB195" s="3"/>
      <c r="BC195" s="3"/>
      <c r="BD195" s="8">
        <f t="shared" ref="BD195:BD258" si="130">(AV195-AZ195)/AZ195</f>
        <v>0</v>
      </c>
      <c r="BE195" s="8">
        <f>VLOOKUP(F195,'[18]Sheet 2'!$A:$S,18,0)/VLOOKUP(F195,'[18]Sheet 2'!$A:$U,20,0)</f>
        <v>33.82580180789671</v>
      </c>
      <c r="BF195" s="8">
        <f t="shared" ref="BF195:BF258" si="131">(AV195-BE195)/BE195</f>
        <v>2.2887800162139937E-2</v>
      </c>
      <c r="BG195" s="3">
        <v>530</v>
      </c>
      <c r="BH195" s="3" t="s">
        <v>52</v>
      </c>
      <c r="BI195" s="3"/>
      <c r="BJ195" s="3"/>
      <c r="BK195" s="3">
        <v>530</v>
      </c>
      <c r="BL195" s="3" t="s">
        <v>52</v>
      </c>
      <c r="BM195" s="3"/>
      <c r="BN195" s="3"/>
      <c r="BO195" s="8">
        <f t="shared" ref="BO195:BO258" si="132">(BG195-BK195)/BK195</f>
        <v>0</v>
      </c>
      <c r="BP195" s="8">
        <f>VLOOKUP(F195,'[19]Sheet 2'!$A:$S,18,0)/VLOOKUP(F195,'[19]Sheet 2'!$A:$U,20,0)</f>
        <v>530.08664267788902</v>
      </c>
      <c r="BQ195" s="8">
        <f t="shared" ref="BQ195:BQ258" si="133">(BG195-BP195)/BP195</f>
        <v>-1.6345003045410881E-4</v>
      </c>
      <c r="BR195" s="3">
        <f t="shared" si="117"/>
        <v>18308.60534124629</v>
      </c>
      <c r="BS195" s="3" t="s">
        <v>52</v>
      </c>
      <c r="BT195" s="3"/>
      <c r="BU195" s="3"/>
      <c r="BV195" s="3">
        <f t="shared" si="118"/>
        <v>18308.60534124629</v>
      </c>
      <c r="BW195" s="3" t="s">
        <v>52</v>
      </c>
      <c r="BX195" s="3"/>
      <c r="BY195" s="3"/>
      <c r="BZ195" s="8">
        <f t="shared" ref="BZ195:BZ258" si="134">(BR195-BV195)/BV195</f>
        <v>0</v>
      </c>
      <c r="CA195" s="8">
        <f>VLOOKUP(F195,'[20]Sheet 2'!$A:$S,18,0)/VLOOKUP(F195,'[20]Sheet 2'!$A:$U,20,0)</f>
        <v>18382.525956962283</v>
      </c>
      <c r="CB195" s="8">
        <f t="shared" ref="CB195:CB258" si="135">(BR195-CA195)/CA195</f>
        <v>-4.0212436467685934E-3</v>
      </c>
      <c r="CC195" s="23">
        <f t="shared" si="119"/>
        <v>47.116666666666667</v>
      </c>
      <c r="CD195" s="23">
        <f t="shared" si="120"/>
        <v>7.6166666666666671</v>
      </c>
      <c r="CE195" s="20">
        <v>31870</v>
      </c>
      <c r="CF195" s="18">
        <v>31999</v>
      </c>
      <c r="CG195" s="18">
        <v>31910</v>
      </c>
      <c r="CH195" s="18">
        <v>31999</v>
      </c>
      <c r="CI195" s="21">
        <f t="shared" si="122"/>
        <v>93</v>
      </c>
      <c r="CJ195" s="21">
        <f t="shared" si="111"/>
        <v>222</v>
      </c>
      <c r="CK195" s="30">
        <f t="shared" si="123"/>
        <v>130</v>
      </c>
      <c r="CL195" s="21">
        <f t="shared" si="116"/>
        <v>133</v>
      </c>
      <c r="CM195" s="21">
        <f t="shared" si="112"/>
        <v>222</v>
      </c>
      <c r="CN195" s="19">
        <f t="shared" si="113"/>
        <v>90</v>
      </c>
      <c r="CP195" s="29">
        <v>31962</v>
      </c>
      <c r="CQ195" s="19">
        <f t="shared" si="121"/>
        <v>38</v>
      </c>
    </row>
    <row r="196" spans="1:95" s="19" customFormat="1" hidden="1" x14ac:dyDescent="0.3">
      <c r="A196" s="3">
        <v>1</v>
      </c>
      <c r="B196" s="3"/>
      <c r="C196" s="3"/>
      <c r="D196" s="3" t="s">
        <v>152</v>
      </c>
      <c r="E196" s="3" t="s">
        <v>153</v>
      </c>
      <c r="F196" s="6" t="str">
        <f t="shared" si="124"/>
        <v>1985-119Albis1987OTC</v>
      </c>
      <c r="G196" s="3" t="s">
        <v>154</v>
      </c>
      <c r="H196" s="3" t="s">
        <v>155</v>
      </c>
      <c r="I196" s="3" t="s">
        <v>156</v>
      </c>
      <c r="J196" s="3" t="s">
        <v>94</v>
      </c>
      <c r="K196" s="3" t="s">
        <v>157</v>
      </c>
      <c r="L196" s="3">
        <v>1987</v>
      </c>
      <c r="M196" s="3" t="s">
        <v>34</v>
      </c>
      <c r="N196" s="3" t="s">
        <v>49</v>
      </c>
      <c r="O196" s="3" t="s">
        <v>101</v>
      </c>
      <c r="P196" s="3"/>
      <c r="Q196" s="4">
        <f>S196/1.01*1.08</f>
        <v>35.287128712871286</v>
      </c>
      <c r="R196" s="3"/>
      <c r="S196" s="3">
        <v>33</v>
      </c>
      <c r="T196" s="3">
        <v>8</v>
      </c>
      <c r="U196" s="3">
        <f t="shared" si="125"/>
        <v>90</v>
      </c>
      <c r="V196" s="6">
        <v>4</v>
      </c>
      <c r="W196" s="9">
        <v>2.0812598193567</v>
      </c>
      <c r="X196" s="7">
        <v>31910</v>
      </c>
      <c r="Y196" s="7">
        <v>31999</v>
      </c>
      <c r="Z196" s="3">
        <v>554</v>
      </c>
      <c r="AA196" s="3" t="s">
        <v>51</v>
      </c>
      <c r="AB196" s="3"/>
      <c r="AC196" s="3"/>
      <c r="AD196" s="3">
        <v>617</v>
      </c>
      <c r="AE196" s="3" t="s">
        <v>51</v>
      </c>
      <c r="AF196" s="3"/>
      <c r="AG196" s="3"/>
      <c r="AH196" s="8">
        <f t="shared" si="126"/>
        <v>-0.10210696920583469</v>
      </c>
      <c r="AI196" s="8">
        <f>VLOOKUP(F196,'[16]Sheet 2'!$A:$S,18,0)/VLOOKUP(F196,'[16]Sheet 2'!$A:$U,20,0)</f>
        <v>594.8198007911235</v>
      </c>
      <c r="AJ196" s="8">
        <f t="shared" si="127"/>
        <v>-6.8625490840809697E-2</v>
      </c>
      <c r="AK196" s="3">
        <v>32.1</v>
      </c>
      <c r="AL196" s="4" t="s">
        <v>37</v>
      </c>
      <c r="AM196" s="3"/>
      <c r="AN196" s="3"/>
      <c r="AO196" s="3">
        <v>33.700000000000003</v>
      </c>
      <c r="AP196" s="4" t="s">
        <v>37</v>
      </c>
      <c r="AQ196" s="3"/>
      <c r="AR196" s="3"/>
      <c r="AS196" s="8">
        <f t="shared" si="128"/>
        <v>-4.7477744807121698E-2</v>
      </c>
      <c r="AT196" s="8">
        <f>VLOOKUP(F196,'[17]Sheet 2'!$A:$S,18,0)/VLOOKUP(F196,'[17]Sheet 2'!$A:$U,20,0)</f>
        <v>32.222224947807028</v>
      </c>
      <c r="AU196" s="8">
        <f t="shared" si="129"/>
        <v>-3.7931877145356814E-3</v>
      </c>
      <c r="AV196" s="57">
        <v>33.299999999999997</v>
      </c>
      <c r="AW196" s="3" t="s">
        <v>132</v>
      </c>
      <c r="AX196" s="3"/>
      <c r="AY196" s="3"/>
      <c r="AZ196" s="3">
        <v>34.6</v>
      </c>
      <c r="BA196" s="3" t="s">
        <v>132</v>
      </c>
      <c r="BB196" s="3"/>
      <c r="BC196" s="3"/>
      <c r="BD196" s="8">
        <f t="shared" si="130"/>
        <v>-3.7572254335260236E-2</v>
      </c>
      <c r="BE196" s="8">
        <f>VLOOKUP(F196,'[18]Sheet 2'!$A:$S,18,0)/VLOOKUP(F196,'[18]Sheet 2'!$A:$U,20,0)</f>
        <v>33.82580180789671</v>
      </c>
      <c r="BF196" s="8">
        <f t="shared" si="131"/>
        <v>-1.5544400421986833E-2</v>
      </c>
      <c r="BG196" s="3">
        <v>512.5</v>
      </c>
      <c r="BH196" s="3" t="s">
        <v>52</v>
      </c>
      <c r="BI196" s="3"/>
      <c r="BJ196" s="3"/>
      <c r="BK196" s="3">
        <v>530</v>
      </c>
      <c r="BL196" s="3" t="s">
        <v>52</v>
      </c>
      <c r="BM196" s="3"/>
      <c r="BN196" s="3"/>
      <c r="BO196" s="8">
        <f t="shared" si="132"/>
        <v>-3.3018867924528301E-2</v>
      </c>
      <c r="BP196" s="8">
        <f>VLOOKUP(F196,'[19]Sheet 2'!$A:$S,18,0)/VLOOKUP(F196,'[19]Sheet 2'!$A:$U,20,0)</f>
        <v>530.08664267788902</v>
      </c>
      <c r="BQ196" s="8">
        <f t="shared" si="133"/>
        <v>-3.3176921020014585E-2</v>
      </c>
      <c r="BR196" s="3">
        <f t="shared" si="117"/>
        <v>17258.566978193143</v>
      </c>
      <c r="BS196" s="3" t="s">
        <v>52</v>
      </c>
      <c r="BT196" s="3"/>
      <c r="BU196" s="3"/>
      <c r="BV196" s="3">
        <f t="shared" si="118"/>
        <v>18308.60534124629</v>
      </c>
      <c r="BW196" s="3" t="s">
        <v>52</v>
      </c>
      <c r="BX196" s="3"/>
      <c r="BY196" s="3"/>
      <c r="BZ196" s="8">
        <f t="shared" si="134"/>
        <v>-5.7352176393664592E-2</v>
      </c>
      <c r="CA196" s="8">
        <f>VLOOKUP(F196,'[20]Sheet 2'!$A:$S,18,0)/VLOOKUP(F196,'[20]Sheet 2'!$A:$U,20,0)</f>
        <v>18382.525956962283</v>
      </c>
      <c r="CB196" s="8">
        <f t="shared" si="135"/>
        <v>-6.1142792965481807E-2</v>
      </c>
      <c r="CC196" s="23">
        <f t="shared" si="119"/>
        <v>47.116666666666667</v>
      </c>
      <c r="CD196" s="23">
        <f t="shared" si="120"/>
        <v>7.6166666666666671</v>
      </c>
      <c r="CE196" s="20">
        <v>31870</v>
      </c>
      <c r="CF196" s="18">
        <v>31999</v>
      </c>
      <c r="CG196" s="18">
        <v>31910</v>
      </c>
      <c r="CH196" s="18">
        <v>31999</v>
      </c>
      <c r="CI196" s="21">
        <f t="shared" si="122"/>
        <v>93</v>
      </c>
      <c r="CJ196" s="21">
        <f t="shared" si="111"/>
        <v>222</v>
      </c>
      <c r="CK196" s="30">
        <f t="shared" si="123"/>
        <v>130</v>
      </c>
      <c r="CL196" s="21">
        <f t="shared" si="116"/>
        <v>133</v>
      </c>
      <c r="CM196" s="21">
        <f t="shared" si="112"/>
        <v>222</v>
      </c>
      <c r="CN196" s="19">
        <f t="shared" si="113"/>
        <v>90</v>
      </c>
      <c r="CP196" s="29">
        <v>31962</v>
      </c>
      <c r="CQ196" s="19">
        <f t="shared" si="121"/>
        <v>38</v>
      </c>
    </row>
    <row r="197" spans="1:95" s="19" customFormat="1" hidden="1" x14ac:dyDescent="0.3">
      <c r="A197" s="3">
        <v>1</v>
      </c>
      <c r="B197" s="3"/>
      <c r="C197" s="3"/>
      <c r="D197" s="3" t="s">
        <v>152</v>
      </c>
      <c r="E197" s="3" t="s">
        <v>153</v>
      </c>
      <c r="F197" s="6" t="str">
        <f t="shared" si="124"/>
        <v>1985-119Albis1987OTC</v>
      </c>
      <c r="G197" s="3" t="s">
        <v>154</v>
      </c>
      <c r="H197" s="3" t="s">
        <v>155</v>
      </c>
      <c r="I197" s="3" t="s">
        <v>156</v>
      </c>
      <c r="J197" s="3" t="s">
        <v>94</v>
      </c>
      <c r="K197" s="3" t="s">
        <v>157</v>
      </c>
      <c r="L197" s="3">
        <v>1987</v>
      </c>
      <c r="M197" s="3" t="s">
        <v>34</v>
      </c>
      <c r="N197" s="3" t="s">
        <v>49</v>
      </c>
      <c r="O197" s="3" t="s">
        <v>134</v>
      </c>
      <c r="P197" s="3"/>
      <c r="Q197" s="4">
        <f>(8 * S197+ 4 * 0.97*S196) / 12*1.08</f>
        <v>58.323599999999999</v>
      </c>
      <c r="R197" s="3"/>
      <c r="S197" s="3">
        <v>65</v>
      </c>
      <c r="T197" s="3">
        <v>8</v>
      </c>
      <c r="U197" s="3">
        <f t="shared" si="125"/>
        <v>90</v>
      </c>
      <c r="V197" s="6">
        <v>4</v>
      </c>
      <c r="W197" s="9">
        <v>17.275867995722599</v>
      </c>
      <c r="X197" s="7">
        <v>31910</v>
      </c>
      <c r="Y197" s="7">
        <v>31999</v>
      </c>
      <c r="Z197" s="3">
        <v>386</v>
      </c>
      <c r="AA197" s="3" t="s">
        <v>51</v>
      </c>
      <c r="AB197" s="3"/>
      <c r="AC197" s="3"/>
      <c r="AD197" s="3">
        <v>617</v>
      </c>
      <c r="AE197" s="3" t="s">
        <v>51</v>
      </c>
      <c r="AF197" s="3"/>
      <c r="AG197" s="3"/>
      <c r="AH197" s="8">
        <f t="shared" si="126"/>
        <v>-0.37439222042139386</v>
      </c>
      <c r="AI197" s="8">
        <f>VLOOKUP(F197,'[16]Sheet 2'!$A:$S,18,0)/VLOOKUP(F197,'[16]Sheet 2'!$A:$U,20,0)</f>
        <v>594.8198007911235</v>
      </c>
      <c r="AJ197" s="8">
        <f t="shared" si="127"/>
        <v>-0.35106397015262192</v>
      </c>
      <c r="AK197" s="3">
        <v>24.3</v>
      </c>
      <c r="AL197" s="4" t="s">
        <v>37</v>
      </c>
      <c r="AM197" s="3"/>
      <c r="AN197" s="3"/>
      <c r="AO197" s="3">
        <v>33.700000000000003</v>
      </c>
      <c r="AP197" s="4" t="s">
        <v>37</v>
      </c>
      <c r="AQ197" s="3"/>
      <c r="AR197" s="3"/>
      <c r="AS197" s="8">
        <f t="shared" si="128"/>
        <v>-0.27893175074183979</v>
      </c>
      <c r="AT197" s="8">
        <f>VLOOKUP(F197,'[17]Sheet 2'!$A:$S,18,0)/VLOOKUP(F197,'[17]Sheet 2'!$A:$U,20,0)</f>
        <v>32.222224947807028</v>
      </c>
      <c r="AU197" s="8">
        <f t="shared" si="129"/>
        <v>-0.24586213275586347</v>
      </c>
      <c r="AV197" s="57">
        <v>30.5</v>
      </c>
      <c r="AW197" s="3" t="s">
        <v>132</v>
      </c>
      <c r="AX197" s="3"/>
      <c r="AY197" s="3"/>
      <c r="AZ197" s="3">
        <v>34.6</v>
      </c>
      <c r="BA197" s="3" t="s">
        <v>132</v>
      </c>
      <c r="BB197" s="3"/>
      <c r="BC197" s="3"/>
      <c r="BD197" s="8">
        <f t="shared" si="130"/>
        <v>-0.11849710982658963</v>
      </c>
      <c r="BE197" s="8">
        <f>VLOOKUP(F197,'[18]Sheet 2'!$A:$S,18,0)/VLOOKUP(F197,'[18]Sheet 2'!$A:$U,20,0)</f>
        <v>33.82580180789671</v>
      </c>
      <c r="BF197" s="8">
        <f t="shared" si="131"/>
        <v>-9.8321447833951831E-2</v>
      </c>
      <c r="BG197" s="3">
        <v>522.5</v>
      </c>
      <c r="BH197" s="3" t="s">
        <v>52</v>
      </c>
      <c r="BI197" s="3"/>
      <c r="BJ197" s="3"/>
      <c r="BK197" s="3">
        <v>530</v>
      </c>
      <c r="BL197" s="3" t="s">
        <v>52</v>
      </c>
      <c r="BM197" s="3"/>
      <c r="BN197" s="3"/>
      <c r="BO197" s="8">
        <f t="shared" si="132"/>
        <v>-1.4150943396226415E-2</v>
      </c>
      <c r="BP197" s="8">
        <f>VLOOKUP(F197,'[19]Sheet 2'!$A:$S,18,0)/VLOOKUP(F197,'[19]Sheet 2'!$A:$U,20,0)</f>
        <v>530.08664267788902</v>
      </c>
      <c r="BQ197" s="8">
        <f t="shared" si="133"/>
        <v>-1.4312080454551457E-2</v>
      </c>
      <c r="BR197" s="3">
        <f t="shared" si="117"/>
        <v>15884.773662551441</v>
      </c>
      <c r="BS197" s="3" t="s">
        <v>52</v>
      </c>
      <c r="BT197" s="3"/>
      <c r="BU197" s="3"/>
      <c r="BV197" s="3">
        <f t="shared" si="118"/>
        <v>18308.60534124629</v>
      </c>
      <c r="BW197" s="3" t="s">
        <v>52</v>
      </c>
      <c r="BX197" s="3"/>
      <c r="BY197" s="3"/>
      <c r="BZ197" s="8">
        <f t="shared" si="134"/>
        <v>-0.132387564946542</v>
      </c>
      <c r="CA197" s="8">
        <f>VLOOKUP(F197,'[20]Sheet 2'!$A:$S,18,0)/VLOOKUP(F197,'[20]Sheet 2'!$A:$U,20,0)</f>
        <v>18382.525956962283</v>
      </c>
      <c r="CB197" s="8">
        <f t="shared" si="135"/>
        <v>-0.13587644593885814</v>
      </c>
      <c r="CC197" s="23">
        <f t="shared" si="119"/>
        <v>47.116666666666667</v>
      </c>
      <c r="CD197" s="23">
        <f t="shared" si="120"/>
        <v>7.6166666666666671</v>
      </c>
      <c r="CE197" s="20">
        <v>31870</v>
      </c>
      <c r="CF197" s="18">
        <v>31999</v>
      </c>
      <c r="CG197" s="18">
        <v>31910</v>
      </c>
      <c r="CH197" s="18">
        <v>31999</v>
      </c>
      <c r="CI197" s="21">
        <f t="shared" si="122"/>
        <v>93</v>
      </c>
      <c r="CJ197" s="21">
        <f t="shared" si="111"/>
        <v>222</v>
      </c>
      <c r="CK197" s="30">
        <f t="shared" si="123"/>
        <v>130</v>
      </c>
      <c r="CL197" s="21">
        <f t="shared" si="116"/>
        <v>133</v>
      </c>
      <c r="CM197" s="21">
        <f t="shared" si="112"/>
        <v>222</v>
      </c>
      <c r="CN197" s="19">
        <f t="shared" si="113"/>
        <v>90</v>
      </c>
      <c r="CP197" s="29">
        <v>31962</v>
      </c>
      <c r="CQ197" s="19">
        <f t="shared" si="121"/>
        <v>38</v>
      </c>
    </row>
    <row r="198" spans="1:95" s="19" customFormat="1" hidden="1" x14ac:dyDescent="0.3">
      <c r="A198" s="3">
        <v>1</v>
      </c>
      <c r="B198" s="3"/>
      <c r="C198" s="3"/>
      <c r="D198" s="3" t="s">
        <v>152</v>
      </c>
      <c r="E198" s="3" t="s">
        <v>153</v>
      </c>
      <c r="F198" s="6" t="str">
        <f t="shared" si="124"/>
        <v>1985-119Albis1987OTC</v>
      </c>
      <c r="G198" s="3" t="s">
        <v>154</v>
      </c>
      <c r="H198" s="3" t="s">
        <v>155</v>
      </c>
      <c r="I198" s="3" t="s">
        <v>156</v>
      </c>
      <c r="J198" s="3" t="s">
        <v>94</v>
      </c>
      <c r="K198" s="3" t="s">
        <v>157</v>
      </c>
      <c r="L198" s="3">
        <v>1987</v>
      </c>
      <c r="M198" s="3" t="s">
        <v>34</v>
      </c>
      <c r="N198" s="3" t="s">
        <v>49</v>
      </c>
      <c r="O198" s="3" t="s">
        <v>135</v>
      </c>
      <c r="P198" s="3"/>
      <c r="Q198" s="4">
        <f>(8 * S198+ 4 * 0.97*S196) / 12*1.08</f>
        <v>79.923600000000008</v>
      </c>
      <c r="R198" s="3"/>
      <c r="S198" s="3">
        <v>95</v>
      </c>
      <c r="T198" s="3">
        <v>8</v>
      </c>
      <c r="U198" s="3">
        <f t="shared" si="125"/>
        <v>90</v>
      </c>
      <c r="V198" s="6">
        <v>4</v>
      </c>
      <c r="W198" s="9">
        <v>37.769273886058301</v>
      </c>
      <c r="X198" s="7">
        <v>31910</v>
      </c>
      <c r="Y198" s="7">
        <v>31999</v>
      </c>
      <c r="Z198" s="3">
        <v>213</v>
      </c>
      <c r="AA198" s="3" t="s">
        <v>51</v>
      </c>
      <c r="AB198" s="3"/>
      <c r="AC198" s="3"/>
      <c r="AD198" s="3">
        <v>617</v>
      </c>
      <c r="AE198" s="3" t="s">
        <v>51</v>
      </c>
      <c r="AF198" s="3"/>
      <c r="AG198" s="3"/>
      <c r="AH198" s="8">
        <f t="shared" si="126"/>
        <v>-0.65478119935170176</v>
      </c>
      <c r="AI198" s="8">
        <f>VLOOKUP(F198,'[16]Sheet 2'!$A:$S,18,0)/VLOOKUP(F198,'[16]Sheet 2'!$A:$U,20,0)</f>
        <v>594.8198007911235</v>
      </c>
      <c r="AJ198" s="8">
        <f t="shared" si="127"/>
        <v>-0.64190835658680956</v>
      </c>
      <c r="AK198" s="3">
        <v>17.100000000000001</v>
      </c>
      <c r="AL198" s="4" t="s">
        <v>37</v>
      </c>
      <c r="AM198" s="3"/>
      <c r="AN198" s="3"/>
      <c r="AO198" s="3">
        <v>33.700000000000003</v>
      </c>
      <c r="AP198" s="4" t="s">
        <v>37</v>
      </c>
      <c r="AQ198" s="3"/>
      <c r="AR198" s="3"/>
      <c r="AS198" s="8">
        <f t="shared" si="128"/>
        <v>-0.49258160237388726</v>
      </c>
      <c r="AT198" s="8">
        <f>VLOOKUP(F198,'[17]Sheet 2'!$A:$S,18,0)/VLOOKUP(F198,'[17]Sheet 2'!$A:$U,20,0)</f>
        <v>32.222224947807028</v>
      </c>
      <c r="AU198" s="8">
        <f t="shared" si="129"/>
        <v>-0.4693103897170891</v>
      </c>
      <c r="AV198" s="57">
        <v>24.1</v>
      </c>
      <c r="AW198" s="3" t="s">
        <v>132</v>
      </c>
      <c r="AX198" s="3"/>
      <c r="AY198" s="3"/>
      <c r="AZ198" s="3">
        <v>34.6</v>
      </c>
      <c r="BA198" s="3" t="s">
        <v>132</v>
      </c>
      <c r="BB198" s="3"/>
      <c r="BC198" s="3"/>
      <c r="BD198" s="8">
        <f t="shared" si="130"/>
        <v>-0.30346820809248554</v>
      </c>
      <c r="BE198" s="8">
        <f>VLOOKUP(F198,'[18]Sheet 2'!$A:$S,18,0)/VLOOKUP(F198,'[18]Sheet 2'!$A:$U,20,0)</f>
        <v>33.82580180789671</v>
      </c>
      <c r="BF198" s="8">
        <f t="shared" si="131"/>
        <v>-0.28752612763272911</v>
      </c>
      <c r="BG198" s="3">
        <v>510</v>
      </c>
      <c r="BH198" s="3" t="s">
        <v>52</v>
      </c>
      <c r="BI198" s="3"/>
      <c r="BJ198" s="3"/>
      <c r="BK198" s="3">
        <v>530</v>
      </c>
      <c r="BL198" s="3" t="s">
        <v>52</v>
      </c>
      <c r="BM198" s="3"/>
      <c r="BN198" s="3"/>
      <c r="BO198" s="8">
        <f t="shared" si="132"/>
        <v>-3.7735849056603772E-2</v>
      </c>
      <c r="BP198" s="8">
        <f>VLOOKUP(F198,'[19]Sheet 2'!$A:$S,18,0)/VLOOKUP(F198,'[19]Sheet 2'!$A:$U,20,0)</f>
        <v>530.08664267788902</v>
      </c>
      <c r="BQ198" s="8">
        <f t="shared" si="133"/>
        <v>-3.7893131161380371E-2</v>
      </c>
      <c r="BR198" s="3">
        <f t="shared" si="117"/>
        <v>12456.140350877191</v>
      </c>
      <c r="BS198" s="3" t="s">
        <v>52</v>
      </c>
      <c r="BT198" s="3"/>
      <c r="BU198" s="3"/>
      <c r="BV198" s="3">
        <f t="shared" si="118"/>
        <v>18308.60534124629</v>
      </c>
      <c r="BW198" s="3" t="s">
        <v>52</v>
      </c>
      <c r="BX198" s="3"/>
      <c r="BY198" s="3"/>
      <c r="BZ198" s="8">
        <f t="shared" si="134"/>
        <v>-0.31965651568142406</v>
      </c>
      <c r="CA198" s="8">
        <f>VLOOKUP(F198,'[20]Sheet 2'!$A:$S,18,0)/VLOOKUP(F198,'[20]Sheet 2'!$A:$U,20,0)</f>
        <v>18382.525956962283</v>
      </c>
      <c r="CB198" s="8">
        <f t="shared" si="135"/>
        <v>-0.32239234259536054</v>
      </c>
      <c r="CC198" s="23">
        <f t="shared" si="119"/>
        <v>47.116666666666667</v>
      </c>
      <c r="CD198" s="23">
        <f t="shared" si="120"/>
        <v>7.6166666666666671</v>
      </c>
      <c r="CE198" s="20">
        <v>31870</v>
      </c>
      <c r="CF198" s="18">
        <v>31999</v>
      </c>
      <c r="CG198" s="18">
        <v>31910</v>
      </c>
      <c r="CH198" s="18">
        <v>31999</v>
      </c>
      <c r="CI198" s="21">
        <f t="shared" si="122"/>
        <v>93</v>
      </c>
      <c r="CJ198" s="21">
        <f t="shared" si="111"/>
        <v>222</v>
      </c>
      <c r="CK198" s="30">
        <f t="shared" si="123"/>
        <v>130</v>
      </c>
      <c r="CL198" s="21">
        <f t="shared" si="116"/>
        <v>133</v>
      </c>
      <c r="CM198" s="21">
        <f t="shared" si="112"/>
        <v>222</v>
      </c>
      <c r="CN198" s="19">
        <f t="shared" si="113"/>
        <v>90</v>
      </c>
      <c r="CP198" s="29">
        <v>31962</v>
      </c>
      <c r="CQ198" s="19">
        <f t="shared" si="121"/>
        <v>38</v>
      </c>
    </row>
    <row r="199" spans="1:95" s="42" customFormat="1" hidden="1" x14ac:dyDescent="0.3">
      <c r="A199" s="31">
        <v>1</v>
      </c>
      <c r="B199" s="31"/>
      <c r="C199" s="31"/>
      <c r="D199" s="31" t="s">
        <v>152</v>
      </c>
      <c r="E199" s="31" t="s">
        <v>153</v>
      </c>
      <c r="F199" s="34" t="str">
        <f t="shared" si="124"/>
        <v>1985-119Albis1988OTC</v>
      </c>
      <c r="G199" s="31" t="s">
        <v>154</v>
      </c>
      <c r="H199" s="31" t="s">
        <v>155</v>
      </c>
      <c r="I199" s="31" t="s">
        <v>156</v>
      </c>
      <c r="J199" s="31" t="s">
        <v>94</v>
      </c>
      <c r="K199" s="31" t="s">
        <v>157</v>
      </c>
      <c r="L199" s="31">
        <v>1988</v>
      </c>
      <c r="M199" s="31" t="s">
        <v>34</v>
      </c>
      <c r="N199" s="31" t="s">
        <v>49</v>
      </c>
      <c r="O199" s="31" t="s">
        <v>130</v>
      </c>
      <c r="P199" s="32" t="s">
        <v>267</v>
      </c>
      <c r="Q199" s="31">
        <f>(8 * S199+ 4 * 0.97*S199) / 12*U199*12/1000+S200/1.01*(90-U199)*12/1000</f>
        <v>24.91273425742574</v>
      </c>
      <c r="R199" s="31"/>
      <c r="S199" s="31">
        <v>22</v>
      </c>
      <c r="T199" s="31">
        <v>8</v>
      </c>
      <c r="U199" s="31">
        <f t="shared" si="125"/>
        <v>81</v>
      </c>
      <c r="V199" s="34">
        <v>4</v>
      </c>
      <c r="W199" s="43">
        <v>0.16916951417220799</v>
      </c>
      <c r="X199" s="35">
        <v>32276</v>
      </c>
      <c r="Y199" s="35">
        <v>32356</v>
      </c>
      <c r="Z199" s="31">
        <v>668</v>
      </c>
      <c r="AA199" s="31" t="s">
        <v>51</v>
      </c>
      <c r="AB199" s="31"/>
      <c r="AC199" s="31"/>
      <c r="AD199" s="31">
        <v>668</v>
      </c>
      <c r="AE199" s="31" t="s">
        <v>51</v>
      </c>
      <c r="AF199" s="31"/>
      <c r="AG199" s="31"/>
      <c r="AH199" s="8">
        <f t="shared" si="126"/>
        <v>0</v>
      </c>
      <c r="AI199" s="8">
        <f>VLOOKUP(F199,'[16]Sheet 2'!$A:$S,18,0)/VLOOKUP(F199,'[16]Sheet 2'!$A:$U,20,0)</f>
        <v>617.55174104377181</v>
      </c>
      <c r="AJ199" s="8">
        <f t="shared" si="127"/>
        <v>8.169074039198998E-2</v>
      </c>
      <c r="AK199" s="31">
        <v>36.1</v>
      </c>
      <c r="AL199" s="32" t="s">
        <v>37</v>
      </c>
      <c r="AM199" s="31"/>
      <c r="AN199" s="31"/>
      <c r="AO199" s="31">
        <v>36.1</v>
      </c>
      <c r="AP199" s="32" t="s">
        <v>37</v>
      </c>
      <c r="AQ199" s="31"/>
      <c r="AR199" s="31"/>
      <c r="AS199" s="8">
        <f t="shared" si="128"/>
        <v>0</v>
      </c>
      <c r="AT199" s="8">
        <f>VLOOKUP(F199,'[17]Sheet 2'!$A:$S,18,0)/VLOOKUP(F199,'[17]Sheet 2'!$A:$U,20,0)</f>
        <v>35.673927821113224</v>
      </c>
      <c r="AU199" s="8">
        <f t="shared" si="129"/>
        <v>1.1943517434450008E-2</v>
      </c>
      <c r="AV199" s="57">
        <v>34.799999999999997</v>
      </c>
      <c r="AW199" s="31" t="s">
        <v>132</v>
      </c>
      <c r="AX199" s="31"/>
      <c r="AY199" s="31"/>
      <c r="AZ199" s="31">
        <v>34.799999999999997</v>
      </c>
      <c r="BA199" s="31" t="s">
        <v>132</v>
      </c>
      <c r="BB199" s="31"/>
      <c r="BC199" s="31"/>
      <c r="BD199" s="8">
        <f t="shared" si="130"/>
        <v>0</v>
      </c>
      <c r="BE199" s="8">
        <f>VLOOKUP(F199,'[18]Sheet 2'!$A:$S,18,0)/VLOOKUP(F199,'[18]Sheet 2'!$A:$U,20,0)</f>
        <v>34.737843190429061</v>
      </c>
      <c r="BF199" s="8">
        <f t="shared" si="131"/>
        <v>1.7893111333999508E-3</v>
      </c>
      <c r="BG199" s="31">
        <v>528</v>
      </c>
      <c r="BH199" s="31" t="s">
        <v>52</v>
      </c>
      <c r="BI199" s="31"/>
      <c r="BJ199" s="31"/>
      <c r="BK199" s="31">
        <v>528</v>
      </c>
      <c r="BL199" s="31" t="s">
        <v>52</v>
      </c>
      <c r="BM199" s="31"/>
      <c r="BN199" s="31"/>
      <c r="BO199" s="8">
        <f t="shared" si="132"/>
        <v>0</v>
      </c>
      <c r="BP199" s="8">
        <f>VLOOKUP(F199,'[19]Sheet 2'!$A:$S,18,0)/VLOOKUP(F199,'[19]Sheet 2'!$A:$U,20,0)</f>
        <v>493.38235124851627</v>
      </c>
      <c r="BQ199" s="8">
        <f t="shared" si="133"/>
        <v>7.0163938097669909E-2</v>
      </c>
      <c r="BR199" s="31">
        <f t="shared" si="117"/>
        <v>18504.155124653738</v>
      </c>
      <c r="BS199" s="31" t="s">
        <v>52</v>
      </c>
      <c r="BT199" s="31"/>
      <c r="BU199" s="31"/>
      <c r="BV199" s="31">
        <f t="shared" si="118"/>
        <v>18504.155124653738</v>
      </c>
      <c r="BW199" s="31" t="s">
        <v>52</v>
      </c>
      <c r="BX199" s="31"/>
      <c r="BY199" s="31"/>
      <c r="BZ199" s="8">
        <f t="shared" si="134"/>
        <v>0</v>
      </c>
      <c r="CA199" s="8">
        <f>VLOOKUP(F199,'[20]Sheet 2'!$A:$S,18,0)/VLOOKUP(F199,'[20]Sheet 2'!$A:$U,20,0)</f>
        <v>17514.649329910782</v>
      </c>
      <c r="CB199" s="8">
        <f t="shared" si="135"/>
        <v>5.6495895299092255E-2</v>
      </c>
      <c r="CC199" s="54">
        <f t="shared" si="119"/>
        <v>47.116666666666667</v>
      </c>
      <c r="CD199" s="54">
        <f t="shared" si="120"/>
        <v>7.6166666666666671</v>
      </c>
      <c r="CE199" s="38">
        <v>32267</v>
      </c>
      <c r="CF199" s="38">
        <v>32356</v>
      </c>
      <c r="CG199" s="39">
        <v>32276</v>
      </c>
      <c r="CH199" s="39">
        <v>32356</v>
      </c>
      <c r="CI199" s="40">
        <f t="shared" si="122"/>
        <v>125</v>
      </c>
      <c r="CJ199" s="40">
        <f t="shared" si="111"/>
        <v>214</v>
      </c>
      <c r="CK199" s="41">
        <f t="shared" si="123"/>
        <v>90</v>
      </c>
      <c r="CL199" s="40">
        <f t="shared" si="116"/>
        <v>134</v>
      </c>
      <c r="CM199" s="40">
        <f t="shared" si="112"/>
        <v>214</v>
      </c>
      <c r="CN199" s="42">
        <f t="shared" si="113"/>
        <v>81</v>
      </c>
      <c r="CP199" s="47">
        <v>32314</v>
      </c>
      <c r="CQ199" s="42">
        <f t="shared" si="121"/>
        <v>43</v>
      </c>
    </row>
    <row r="200" spans="1:95" s="42" customFormat="1" hidden="1" x14ac:dyDescent="0.3">
      <c r="A200" s="31">
        <v>1</v>
      </c>
      <c r="B200" s="31"/>
      <c r="C200" s="31"/>
      <c r="D200" s="31" t="s">
        <v>152</v>
      </c>
      <c r="E200" s="31" t="s">
        <v>153</v>
      </c>
      <c r="F200" s="34" t="str">
        <f t="shared" si="124"/>
        <v>1985-119Albis1988OTC</v>
      </c>
      <c r="G200" s="31" t="s">
        <v>154</v>
      </c>
      <c r="H200" s="31" t="s">
        <v>155</v>
      </c>
      <c r="I200" s="31" t="s">
        <v>156</v>
      </c>
      <c r="J200" s="31" t="s">
        <v>94</v>
      </c>
      <c r="K200" s="31" t="s">
        <v>157</v>
      </c>
      <c r="L200" s="31">
        <v>1988</v>
      </c>
      <c r="M200" s="31" t="s">
        <v>34</v>
      </c>
      <c r="N200" s="31" t="s">
        <v>49</v>
      </c>
      <c r="O200" s="31" t="s">
        <v>101</v>
      </c>
      <c r="P200" s="31"/>
      <c r="Q200" s="31">
        <f>S200/1.01*U200*12/1000+S200/1.01*(90-U200)*12/1000</f>
        <v>37.425742574257427</v>
      </c>
      <c r="R200" s="31"/>
      <c r="S200" s="31">
        <v>35</v>
      </c>
      <c r="T200" s="31">
        <v>8</v>
      </c>
      <c r="U200" s="31">
        <f t="shared" si="125"/>
        <v>81</v>
      </c>
      <c r="V200" s="34">
        <v>4</v>
      </c>
      <c r="W200" s="43">
        <v>2.7820454495208602</v>
      </c>
      <c r="X200" s="35">
        <v>32276</v>
      </c>
      <c r="Y200" s="35">
        <v>32356</v>
      </c>
      <c r="Z200" s="31">
        <v>611</v>
      </c>
      <c r="AA200" s="31" t="s">
        <v>51</v>
      </c>
      <c r="AB200" s="31"/>
      <c r="AC200" s="31"/>
      <c r="AD200" s="31">
        <v>668</v>
      </c>
      <c r="AE200" s="31" t="s">
        <v>51</v>
      </c>
      <c r="AF200" s="31"/>
      <c r="AG200" s="31"/>
      <c r="AH200" s="8">
        <f t="shared" si="126"/>
        <v>-8.5329341317365276E-2</v>
      </c>
      <c r="AI200" s="8">
        <f>VLOOKUP(F200,'[16]Sheet 2'!$A:$S,18,0)/VLOOKUP(F200,'[16]Sheet 2'!$A:$U,20,0)</f>
        <v>617.55174104377181</v>
      </c>
      <c r="AJ200" s="8">
        <f t="shared" si="127"/>
        <v>-1.0609217994751679E-2</v>
      </c>
      <c r="AK200" s="31">
        <v>35.700000000000003</v>
      </c>
      <c r="AL200" s="32" t="s">
        <v>37</v>
      </c>
      <c r="AM200" s="31"/>
      <c r="AN200" s="31"/>
      <c r="AO200" s="31">
        <v>36.1</v>
      </c>
      <c r="AP200" s="32" t="s">
        <v>37</v>
      </c>
      <c r="AQ200" s="31"/>
      <c r="AR200" s="31"/>
      <c r="AS200" s="8">
        <f t="shared" si="128"/>
        <v>-1.1080332409972259E-2</v>
      </c>
      <c r="AT200" s="8">
        <f>VLOOKUP(F200,'[17]Sheet 2'!$A:$S,18,0)/VLOOKUP(F200,'[17]Sheet 2'!$A:$U,20,0)</f>
        <v>35.673927821113224</v>
      </c>
      <c r="AU200" s="8">
        <f t="shared" si="129"/>
        <v>7.3084688115974267E-4</v>
      </c>
      <c r="AV200" s="57">
        <v>36</v>
      </c>
      <c r="AW200" s="31" t="s">
        <v>132</v>
      </c>
      <c r="AX200" s="31"/>
      <c r="AY200" s="31"/>
      <c r="AZ200" s="31">
        <v>34.799999999999997</v>
      </c>
      <c r="BA200" s="31" t="s">
        <v>132</v>
      </c>
      <c r="BB200" s="31"/>
      <c r="BC200" s="31"/>
      <c r="BD200" s="8">
        <f t="shared" si="130"/>
        <v>3.4482758620689738E-2</v>
      </c>
      <c r="BE200" s="8">
        <f>VLOOKUP(F200,'[18]Sheet 2'!$A:$S,18,0)/VLOOKUP(F200,'[18]Sheet 2'!$A:$U,20,0)</f>
        <v>34.737843190429061</v>
      </c>
      <c r="BF200" s="8">
        <f t="shared" si="131"/>
        <v>3.6333770138000036E-2</v>
      </c>
      <c r="BG200" s="31">
        <v>475.5</v>
      </c>
      <c r="BH200" s="31" t="s">
        <v>52</v>
      </c>
      <c r="BI200" s="31"/>
      <c r="BJ200" s="31"/>
      <c r="BK200" s="31">
        <v>528</v>
      </c>
      <c r="BL200" s="31" t="s">
        <v>52</v>
      </c>
      <c r="BM200" s="31"/>
      <c r="BN200" s="31"/>
      <c r="BO200" s="8">
        <f t="shared" si="132"/>
        <v>-9.9431818181818177E-2</v>
      </c>
      <c r="BP200" s="8">
        <f>VLOOKUP(F200,'[19]Sheet 2'!$A:$S,18,0)/VLOOKUP(F200,'[19]Sheet 2'!$A:$U,20,0)</f>
        <v>493.38235124851627</v>
      </c>
      <c r="BQ200" s="8">
        <f t="shared" si="133"/>
        <v>-3.6244408019996135E-2</v>
      </c>
      <c r="BR200" s="31">
        <f t="shared" si="117"/>
        <v>17114.845938375351</v>
      </c>
      <c r="BS200" s="31" t="s">
        <v>52</v>
      </c>
      <c r="BT200" s="31"/>
      <c r="BU200" s="31"/>
      <c r="BV200" s="31">
        <f t="shared" si="118"/>
        <v>18504.155124653738</v>
      </c>
      <c r="BW200" s="31" t="s">
        <v>52</v>
      </c>
      <c r="BX200" s="31"/>
      <c r="BY200" s="31"/>
      <c r="BZ200" s="8">
        <f t="shared" si="134"/>
        <v>-7.5080930575823046E-2</v>
      </c>
      <c r="CA200" s="8">
        <f>VLOOKUP(F200,'[20]Sheet 2'!$A:$S,18,0)/VLOOKUP(F200,'[20]Sheet 2'!$A:$U,20,0)</f>
        <v>17514.649329910782</v>
      </c>
      <c r="CB200" s="8">
        <f t="shared" si="135"/>
        <v>-2.2826799669500908E-2</v>
      </c>
      <c r="CC200" s="54">
        <f t="shared" si="119"/>
        <v>47.116666666666667</v>
      </c>
      <c r="CD200" s="54">
        <f t="shared" si="120"/>
        <v>7.6166666666666671</v>
      </c>
      <c r="CE200" s="38">
        <v>32267</v>
      </c>
      <c r="CF200" s="38">
        <v>32356</v>
      </c>
      <c r="CG200" s="39">
        <v>32276</v>
      </c>
      <c r="CH200" s="39">
        <v>32356</v>
      </c>
      <c r="CI200" s="40">
        <f t="shared" si="122"/>
        <v>125</v>
      </c>
      <c r="CJ200" s="40">
        <f t="shared" si="111"/>
        <v>214</v>
      </c>
      <c r="CK200" s="41">
        <f t="shared" si="123"/>
        <v>90</v>
      </c>
      <c r="CL200" s="40">
        <f t="shared" si="116"/>
        <v>134</v>
      </c>
      <c r="CM200" s="40">
        <f t="shared" si="112"/>
        <v>214</v>
      </c>
      <c r="CN200" s="42">
        <f t="shared" si="113"/>
        <v>81</v>
      </c>
      <c r="CP200" s="47">
        <v>32314</v>
      </c>
      <c r="CQ200" s="42">
        <f t="shared" si="121"/>
        <v>43</v>
      </c>
    </row>
    <row r="201" spans="1:95" s="42" customFormat="1" hidden="1" x14ac:dyDescent="0.3">
      <c r="A201" s="31">
        <v>1</v>
      </c>
      <c r="B201" s="31"/>
      <c r="C201" s="31"/>
      <c r="D201" s="31" t="s">
        <v>152</v>
      </c>
      <c r="E201" s="31" t="s">
        <v>153</v>
      </c>
      <c r="F201" s="34" t="str">
        <f t="shared" si="124"/>
        <v>1985-119Albis1988OTC</v>
      </c>
      <c r="G201" s="31" t="s">
        <v>154</v>
      </c>
      <c r="H201" s="31" t="s">
        <v>155</v>
      </c>
      <c r="I201" s="31" t="s">
        <v>156</v>
      </c>
      <c r="J201" s="31" t="s">
        <v>94</v>
      </c>
      <c r="K201" s="31" t="s">
        <v>157</v>
      </c>
      <c r="L201" s="31">
        <v>1988</v>
      </c>
      <c r="M201" s="31" t="s">
        <v>34</v>
      </c>
      <c r="N201" s="31" t="s">
        <v>49</v>
      </c>
      <c r="O201" s="31" t="s">
        <v>134</v>
      </c>
      <c r="P201" s="31"/>
      <c r="Q201" s="31">
        <f>(8 * S201+ 4 * 0.97*S200) / 12*U201*12/1000+S200/1.01*(90-U201)*12/1000</f>
        <v>55.566374257425743</v>
      </c>
      <c r="R201" s="31"/>
      <c r="S201" s="31">
        <v>63</v>
      </c>
      <c r="T201" s="31">
        <v>8</v>
      </c>
      <c r="U201" s="31">
        <f t="shared" si="125"/>
        <v>81</v>
      </c>
      <c r="V201" s="34">
        <v>4</v>
      </c>
      <c r="W201" s="43">
        <v>14.829808857695401</v>
      </c>
      <c r="X201" s="35">
        <v>32276</v>
      </c>
      <c r="Y201" s="35">
        <v>32356</v>
      </c>
      <c r="Z201" s="31">
        <v>461.00000000000006</v>
      </c>
      <c r="AA201" s="31" t="s">
        <v>51</v>
      </c>
      <c r="AB201" s="31"/>
      <c r="AC201" s="31"/>
      <c r="AD201" s="31">
        <v>668</v>
      </c>
      <c r="AE201" s="31" t="s">
        <v>51</v>
      </c>
      <c r="AF201" s="31"/>
      <c r="AG201" s="31"/>
      <c r="AH201" s="8">
        <f t="shared" si="126"/>
        <v>-0.309880239520958</v>
      </c>
      <c r="AI201" s="8">
        <f>VLOOKUP(F201,'[16]Sheet 2'!$A:$S,18,0)/VLOOKUP(F201,'[16]Sheet 2'!$A:$U,20,0)</f>
        <v>617.55174104377181</v>
      </c>
      <c r="AJ201" s="8">
        <f t="shared" si="127"/>
        <v>-0.2535038453282823</v>
      </c>
      <c r="AK201" s="31">
        <v>27.6</v>
      </c>
      <c r="AL201" s="32" t="s">
        <v>37</v>
      </c>
      <c r="AM201" s="31"/>
      <c r="AN201" s="31"/>
      <c r="AO201" s="31">
        <v>36.1</v>
      </c>
      <c r="AP201" s="32" t="s">
        <v>37</v>
      </c>
      <c r="AQ201" s="31"/>
      <c r="AR201" s="31"/>
      <c r="AS201" s="8">
        <f t="shared" si="128"/>
        <v>-0.23545706371191136</v>
      </c>
      <c r="AT201" s="8">
        <f>VLOOKUP(F201,'[17]Sheet 2'!$A:$S,18,0)/VLOOKUP(F201,'[17]Sheet 2'!$A:$U,20,0)</f>
        <v>35.673927821113224</v>
      </c>
      <c r="AU201" s="8">
        <f t="shared" si="129"/>
        <v>-0.22632573182296897</v>
      </c>
      <c r="AV201" s="57">
        <v>32.1</v>
      </c>
      <c r="AW201" s="31" t="s">
        <v>132</v>
      </c>
      <c r="AX201" s="31"/>
      <c r="AY201" s="31"/>
      <c r="AZ201" s="31">
        <v>34.799999999999997</v>
      </c>
      <c r="BA201" s="31" t="s">
        <v>132</v>
      </c>
      <c r="BB201" s="31"/>
      <c r="BC201" s="31"/>
      <c r="BD201" s="8">
        <f t="shared" si="130"/>
        <v>-7.7586206896551602E-2</v>
      </c>
      <c r="BE201" s="8">
        <f>VLOOKUP(F201,'[18]Sheet 2'!$A:$S,18,0)/VLOOKUP(F201,'[18]Sheet 2'!$A:$U,20,0)</f>
        <v>34.737843190429061</v>
      </c>
      <c r="BF201" s="8">
        <f t="shared" si="131"/>
        <v>-7.5935721626949934E-2</v>
      </c>
      <c r="BG201" s="31">
        <v>509</v>
      </c>
      <c r="BH201" s="31" t="s">
        <v>52</v>
      </c>
      <c r="BI201" s="31"/>
      <c r="BJ201" s="31"/>
      <c r="BK201" s="31">
        <v>528</v>
      </c>
      <c r="BL201" s="31" t="s">
        <v>52</v>
      </c>
      <c r="BM201" s="31"/>
      <c r="BN201" s="31"/>
      <c r="BO201" s="8">
        <f t="shared" si="132"/>
        <v>-3.5984848484848488E-2</v>
      </c>
      <c r="BP201" s="8">
        <f>VLOOKUP(F201,'[19]Sheet 2'!$A:$S,18,0)/VLOOKUP(F201,'[19]Sheet 2'!$A:$U,20,0)</f>
        <v>493.38235124851627</v>
      </c>
      <c r="BQ201" s="8">
        <f t="shared" si="133"/>
        <v>3.1654250931276481E-2</v>
      </c>
      <c r="BR201" s="31">
        <f t="shared" si="117"/>
        <v>16702.89855072464</v>
      </c>
      <c r="BS201" s="31" t="s">
        <v>52</v>
      </c>
      <c r="BT201" s="31"/>
      <c r="BU201" s="31"/>
      <c r="BV201" s="31">
        <f t="shared" si="118"/>
        <v>18504.155124653738</v>
      </c>
      <c r="BW201" s="31" t="s">
        <v>52</v>
      </c>
      <c r="BX201" s="31"/>
      <c r="BY201" s="31"/>
      <c r="BZ201" s="8">
        <f t="shared" si="134"/>
        <v>-9.7343356764731229E-2</v>
      </c>
      <c r="CA201" s="8">
        <f>VLOOKUP(F201,'[20]Sheet 2'!$A:$S,18,0)/VLOOKUP(F201,'[20]Sheet 2'!$A:$U,20,0)</f>
        <v>17514.649329910782</v>
      </c>
      <c r="CB201" s="8">
        <f t="shared" si="135"/>
        <v>-4.6346961557481414E-2</v>
      </c>
      <c r="CC201" s="54">
        <f t="shared" si="119"/>
        <v>47.116666666666667</v>
      </c>
      <c r="CD201" s="54">
        <f t="shared" si="120"/>
        <v>7.6166666666666671</v>
      </c>
      <c r="CE201" s="38">
        <v>32267</v>
      </c>
      <c r="CF201" s="38">
        <v>32356</v>
      </c>
      <c r="CG201" s="39">
        <v>32276</v>
      </c>
      <c r="CH201" s="39">
        <v>32356</v>
      </c>
      <c r="CI201" s="40">
        <f t="shared" si="122"/>
        <v>125</v>
      </c>
      <c r="CJ201" s="40">
        <f t="shared" si="111"/>
        <v>214</v>
      </c>
      <c r="CK201" s="41">
        <f t="shared" si="123"/>
        <v>90</v>
      </c>
      <c r="CL201" s="40">
        <f t="shared" si="116"/>
        <v>134</v>
      </c>
      <c r="CM201" s="40">
        <f t="shared" si="112"/>
        <v>214</v>
      </c>
      <c r="CN201" s="42">
        <f t="shared" si="113"/>
        <v>81</v>
      </c>
      <c r="CP201" s="47">
        <v>32314</v>
      </c>
      <c r="CQ201" s="42">
        <f t="shared" si="121"/>
        <v>43</v>
      </c>
    </row>
    <row r="202" spans="1:95" s="42" customFormat="1" hidden="1" x14ac:dyDescent="0.3">
      <c r="A202" s="31">
        <v>1</v>
      </c>
      <c r="B202" s="31"/>
      <c r="C202" s="31"/>
      <c r="D202" s="31" t="s">
        <v>152</v>
      </c>
      <c r="E202" s="31" t="s">
        <v>153</v>
      </c>
      <c r="F202" s="34" t="str">
        <f t="shared" si="124"/>
        <v>1985-119Albis1988OTC</v>
      </c>
      <c r="G202" s="31" t="s">
        <v>154</v>
      </c>
      <c r="H202" s="31" t="s">
        <v>155</v>
      </c>
      <c r="I202" s="31" t="s">
        <v>156</v>
      </c>
      <c r="J202" s="31" t="s">
        <v>94</v>
      </c>
      <c r="K202" s="31" t="s">
        <v>157</v>
      </c>
      <c r="L202" s="31">
        <v>1988</v>
      </c>
      <c r="M202" s="31" t="s">
        <v>34</v>
      </c>
      <c r="N202" s="31" t="s">
        <v>49</v>
      </c>
      <c r="O202" s="31" t="s">
        <v>135</v>
      </c>
      <c r="P202" s="31"/>
      <c r="Q202" s="31">
        <f>(8 * S202+ 4 * 0.97*S200) / 12*U202*12/1000+S200/1.01*(90-U202)*12/1000</f>
        <v>72.414374257425735</v>
      </c>
      <c r="R202" s="31"/>
      <c r="S202" s="31">
        <v>89</v>
      </c>
      <c r="T202" s="31">
        <v>8</v>
      </c>
      <c r="U202" s="31">
        <f t="shared" si="125"/>
        <v>81</v>
      </c>
      <c r="V202" s="34">
        <v>4</v>
      </c>
      <c r="W202" s="43">
        <v>30.493562298089302</v>
      </c>
      <c r="X202" s="35">
        <v>32276</v>
      </c>
      <c r="Y202" s="35">
        <v>32356</v>
      </c>
      <c r="Z202" s="31">
        <v>231</v>
      </c>
      <c r="AA202" s="31" t="s">
        <v>51</v>
      </c>
      <c r="AB202" s="31"/>
      <c r="AC202" s="31"/>
      <c r="AD202" s="31">
        <v>668</v>
      </c>
      <c r="AE202" s="31" t="s">
        <v>51</v>
      </c>
      <c r="AF202" s="31"/>
      <c r="AG202" s="31"/>
      <c r="AH202" s="8">
        <f t="shared" si="126"/>
        <v>-0.65419161676646709</v>
      </c>
      <c r="AI202" s="8">
        <f>VLOOKUP(F202,'[16]Sheet 2'!$A:$S,18,0)/VLOOKUP(F202,'[16]Sheet 2'!$A:$U,20,0)</f>
        <v>617.55174104377181</v>
      </c>
      <c r="AJ202" s="8">
        <f t="shared" si="127"/>
        <v>-0.6259422739063627</v>
      </c>
      <c r="AK202" s="31">
        <v>21.2</v>
      </c>
      <c r="AL202" s="32" t="s">
        <v>37</v>
      </c>
      <c r="AM202" s="31"/>
      <c r="AN202" s="31"/>
      <c r="AO202" s="31">
        <v>36.1</v>
      </c>
      <c r="AP202" s="32" t="s">
        <v>37</v>
      </c>
      <c r="AQ202" s="31"/>
      <c r="AR202" s="31"/>
      <c r="AS202" s="8">
        <f t="shared" si="128"/>
        <v>-0.4127423822714682</v>
      </c>
      <c r="AT202" s="8">
        <f>VLOOKUP(F202,'[17]Sheet 2'!$A:$S,18,0)/VLOOKUP(F202,'[17]Sheet 2'!$A:$U,20,0)</f>
        <v>35.673927821113224</v>
      </c>
      <c r="AU202" s="8">
        <f t="shared" si="129"/>
        <v>-0.40572846067561391</v>
      </c>
      <c r="AV202" s="57">
        <v>25.3</v>
      </c>
      <c r="AW202" s="31" t="s">
        <v>132</v>
      </c>
      <c r="AX202" s="31"/>
      <c r="AY202" s="31"/>
      <c r="AZ202" s="31">
        <v>34.799999999999997</v>
      </c>
      <c r="BA202" s="31" t="s">
        <v>132</v>
      </c>
      <c r="BB202" s="31"/>
      <c r="BC202" s="31"/>
      <c r="BD202" s="8">
        <f t="shared" si="130"/>
        <v>-0.27298850574712635</v>
      </c>
      <c r="BE202" s="8">
        <f>VLOOKUP(F202,'[18]Sheet 2'!$A:$S,18,0)/VLOOKUP(F202,'[18]Sheet 2'!$A:$U,20,0)</f>
        <v>34.737843190429061</v>
      </c>
      <c r="BF202" s="8">
        <f t="shared" si="131"/>
        <v>-0.27168765598634997</v>
      </c>
      <c r="BG202" s="31">
        <v>431</v>
      </c>
      <c r="BH202" s="31" t="s">
        <v>52</v>
      </c>
      <c r="BI202" s="31"/>
      <c r="BJ202" s="31"/>
      <c r="BK202" s="31">
        <v>528</v>
      </c>
      <c r="BL202" s="31" t="s">
        <v>52</v>
      </c>
      <c r="BM202" s="31"/>
      <c r="BN202" s="31"/>
      <c r="BO202" s="8">
        <f t="shared" si="132"/>
        <v>-0.18371212121212122</v>
      </c>
      <c r="BP202" s="8">
        <f>VLOOKUP(F202,'[19]Sheet 2'!$A:$S,18,0)/VLOOKUP(F202,'[19]Sheet 2'!$A:$U,20,0)</f>
        <v>493.38235124851627</v>
      </c>
      <c r="BQ202" s="8">
        <f t="shared" si="133"/>
        <v>-0.12643814901497022</v>
      </c>
      <c r="BR202" s="31">
        <f t="shared" si="117"/>
        <v>10896.226415094339</v>
      </c>
      <c r="BS202" s="31" t="s">
        <v>52</v>
      </c>
      <c r="BT202" s="31"/>
      <c r="BU202" s="31"/>
      <c r="BV202" s="31">
        <f t="shared" si="118"/>
        <v>18504.155124653738</v>
      </c>
      <c r="BW202" s="31" t="s">
        <v>52</v>
      </c>
      <c r="BX202" s="31"/>
      <c r="BY202" s="31"/>
      <c r="BZ202" s="8">
        <f t="shared" si="134"/>
        <v>-0.41114704553157833</v>
      </c>
      <c r="CA202" s="8">
        <f>VLOOKUP(F202,'[20]Sheet 2'!$A:$S,18,0)/VLOOKUP(F202,'[20]Sheet 2'!$A:$U,20,0)</f>
        <v>17514.649329910782</v>
      </c>
      <c r="CB202" s="8">
        <f t="shared" si="135"/>
        <v>-0.37787927066936922</v>
      </c>
      <c r="CC202" s="54">
        <f t="shared" si="119"/>
        <v>47.116666666666667</v>
      </c>
      <c r="CD202" s="54">
        <f t="shared" si="120"/>
        <v>7.6166666666666671</v>
      </c>
      <c r="CE202" s="38">
        <v>32267</v>
      </c>
      <c r="CF202" s="38">
        <v>32356</v>
      </c>
      <c r="CG202" s="39">
        <v>32276</v>
      </c>
      <c r="CH202" s="39">
        <v>32356</v>
      </c>
      <c r="CI202" s="40">
        <f t="shared" si="122"/>
        <v>125</v>
      </c>
      <c r="CJ202" s="40">
        <f t="shared" si="111"/>
        <v>214</v>
      </c>
      <c r="CK202" s="41">
        <f t="shared" si="123"/>
        <v>90</v>
      </c>
      <c r="CL202" s="40">
        <f t="shared" si="116"/>
        <v>134</v>
      </c>
      <c r="CM202" s="40">
        <f t="shared" si="112"/>
        <v>214</v>
      </c>
      <c r="CN202" s="42">
        <f t="shared" si="113"/>
        <v>81</v>
      </c>
      <c r="CP202" s="47">
        <v>32314</v>
      </c>
      <c r="CQ202" s="42">
        <f t="shared" si="121"/>
        <v>43</v>
      </c>
    </row>
    <row r="203" spans="1:95" s="19" customFormat="1" hidden="1" x14ac:dyDescent="0.3">
      <c r="A203" s="3">
        <v>1</v>
      </c>
      <c r="B203" s="3"/>
      <c r="C203" s="3"/>
      <c r="D203" s="3" t="s">
        <v>158</v>
      </c>
      <c r="E203" s="6" t="s">
        <v>159</v>
      </c>
      <c r="F203" s="6" t="str">
        <f t="shared" si="124"/>
        <v>1991-89Drabant1987OTC</v>
      </c>
      <c r="G203" s="3" t="s">
        <v>160</v>
      </c>
      <c r="H203" s="3" t="s">
        <v>155</v>
      </c>
      <c r="I203" s="6" t="s">
        <v>161</v>
      </c>
      <c r="J203" s="3" t="s">
        <v>94</v>
      </c>
      <c r="K203" s="6" t="s">
        <v>162</v>
      </c>
      <c r="L203" s="6">
        <v>1987</v>
      </c>
      <c r="M203" s="6" t="s">
        <v>34</v>
      </c>
      <c r="N203" s="6" t="s">
        <v>49</v>
      </c>
      <c r="O203" s="6" t="s">
        <v>36</v>
      </c>
      <c r="P203" s="32" t="s">
        <v>267</v>
      </c>
      <c r="Q203" s="3">
        <f>(7*S203+5*0.976*S203)/12*U203*12/1000+S204/1.01*(90-U203)*12/1000</f>
        <v>7.1997790099009897</v>
      </c>
      <c r="R203" s="3"/>
      <c r="S203" s="6">
        <v>3</v>
      </c>
      <c r="T203" s="3">
        <v>7</v>
      </c>
      <c r="U203" s="3">
        <f t="shared" si="125"/>
        <v>62</v>
      </c>
      <c r="V203" s="6">
        <v>7</v>
      </c>
      <c r="W203" s="9">
        <v>0</v>
      </c>
      <c r="X203" s="7">
        <v>31974</v>
      </c>
      <c r="Y203" s="7">
        <v>32035</v>
      </c>
      <c r="Z203" s="3">
        <v>423</v>
      </c>
      <c r="AA203" s="3" t="s">
        <v>51</v>
      </c>
      <c r="AB203" s="3" t="s">
        <v>163</v>
      </c>
      <c r="AC203" s="3">
        <v>17</v>
      </c>
      <c r="AD203" s="3">
        <v>423</v>
      </c>
      <c r="AE203" s="3" t="s">
        <v>51</v>
      </c>
      <c r="AF203" s="3" t="s">
        <v>163</v>
      </c>
      <c r="AG203" s="3">
        <v>17</v>
      </c>
      <c r="AH203" s="8">
        <f t="shared" si="126"/>
        <v>0</v>
      </c>
      <c r="AI203" s="8">
        <f>VLOOKUP(F203,'[16]Sheet 2'!$A:$S,18,0)/VLOOKUP(F203,'[16]Sheet 2'!$A:$U,20,0)</f>
        <v>397.52805122382978</v>
      </c>
      <c r="AJ203" s="8">
        <f t="shared" si="127"/>
        <v>6.4075852503369973E-2</v>
      </c>
      <c r="AK203" s="3">
        <v>39</v>
      </c>
      <c r="AL203" s="4" t="s">
        <v>37</v>
      </c>
      <c r="AM203" s="3"/>
      <c r="AN203" s="3"/>
      <c r="AO203" s="3">
        <v>39</v>
      </c>
      <c r="AP203" s="4" t="s">
        <v>37</v>
      </c>
      <c r="AQ203" s="3"/>
      <c r="AR203" s="3"/>
      <c r="AS203" s="8">
        <f t="shared" si="128"/>
        <v>0</v>
      </c>
      <c r="AT203" s="8">
        <f>VLOOKUP(F203,'[17]Sheet 2'!$A:$S,18,0)/VLOOKUP(F203,'[17]Sheet 2'!$A:$U,20,0)</f>
        <v>36.275109978604668</v>
      </c>
      <c r="AU203" s="8">
        <f t="shared" si="129"/>
        <v>7.5117346935749951E-2</v>
      </c>
      <c r="AV203" s="57">
        <v>22.363203806502778</v>
      </c>
      <c r="AW203" s="3" t="s">
        <v>132</v>
      </c>
      <c r="AX203" s="3"/>
      <c r="AY203" s="3"/>
      <c r="AZ203" s="3">
        <v>22.363203806502778</v>
      </c>
      <c r="BA203" s="3" t="s">
        <v>261</v>
      </c>
      <c r="BB203" s="3"/>
      <c r="BC203" s="3"/>
      <c r="BD203" s="8">
        <f t="shared" si="130"/>
        <v>0</v>
      </c>
      <c r="BE203" s="8">
        <f>VLOOKUP(F203,'[18]Sheet 2'!$A:$S,18,0)/VLOOKUP(F203,'[18]Sheet 2'!$A:$U,20,0)</f>
        <v>22.451623176021592</v>
      </c>
      <c r="BF203" s="8">
        <f t="shared" si="131"/>
        <v>-3.9382172427179334E-3</v>
      </c>
      <c r="BG203" s="3">
        <v>485</v>
      </c>
      <c r="BH203" s="3" t="s">
        <v>164</v>
      </c>
      <c r="BI203" s="3"/>
      <c r="BJ203" s="3">
        <v>36</v>
      </c>
      <c r="BK203" s="3">
        <v>485</v>
      </c>
      <c r="BL203" s="3" t="s">
        <v>164</v>
      </c>
      <c r="BM203" s="3"/>
      <c r="BN203" s="3">
        <v>36</v>
      </c>
      <c r="BO203" s="8">
        <f t="shared" si="132"/>
        <v>0</v>
      </c>
      <c r="BP203" s="8">
        <f>VLOOKUP(F203,'[19]Sheet 2'!$A:$S,18,0)/VLOOKUP(F203,'[19]Sheet 2'!$A:$U,20,0)</f>
        <v>488.98572532343877</v>
      </c>
      <c r="BQ203" s="8">
        <f t="shared" si="133"/>
        <v>-8.1510054732219835E-3</v>
      </c>
      <c r="BR203" s="3">
        <f t="shared" si="117"/>
        <v>10846.153846153848</v>
      </c>
      <c r="BS203" s="3" t="s">
        <v>52</v>
      </c>
      <c r="BT203" s="3"/>
      <c r="BU203" s="3"/>
      <c r="BV203" s="3">
        <f t="shared" si="118"/>
        <v>10846.153846153848</v>
      </c>
      <c r="BW203" s="3" t="s">
        <v>52</v>
      </c>
      <c r="BX203" s="3"/>
      <c r="BY203" s="3"/>
      <c r="BZ203" s="8">
        <f t="shared" si="134"/>
        <v>0</v>
      </c>
      <c r="CA203" s="8">
        <f>VLOOKUP(F203,'[20]Sheet 2'!$A:$S,18,0)/VLOOKUP(F203,'[20]Sheet 2'!$A:$U,20,0)</f>
        <v>10979.883102846205</v>
      </c>
      <c r="CB203" s="8">
        <f t="shared" si="135"/>
        <v>-1.2179479092786672E-2</v>
      </c>
      <c r="CC203" s="23">
        <f t="shared" ref="CC203:CC209" si="136">57+54/60</f>
        <v>57.9</v>
      </c>
      <c r="CD203" s="23">
        <f t="shared" ref="CD203:CD209" si="137">12+24/60</f>
        <v>12.4</v>
      </c>
      <c r="CE203" s="20">
        <v>31898</v>
      </c>
      <c r="CF203" s="20">
        <v>32050</v>
      </c>
      <c r="CG203" s="18">
        <v>31974</v>
      </c>
      <c r="CH203" s="18">
        <v>32035</v>
      </c>
      <c r="CI203" s="21">
        <f t="shared" si="122"/>
        <v>121</v>
      </c>
      <c r="CJ203" s="21">
        <f t="shared" si="111"/>
        <v>273</v>
      </c>
      <c r="CK203" s="30">
        <f t="shared" si="123"/>
        <v>153</v>
      </c>
      <c r="CL203" s="21">
        <f t="shared" si="116"/>
        <v>197</v>
      </c>
      <c r="CM203" s="21">
        <f t="shared" si="112"/>
        <v>258</v>
      </c>
      <c r="CN203" s="19">
        <f t="shared" si="113"/>
        <v>62</v>
      </c>
      <c r="CP203" s="18">
        <v>31979</v>
      </c>
      <c r="CQ203" s="19">
        <f t="shared" si="121"/>
        <v>72</v>
      </c>
    </row>
    <row r="204" spans="1:95" s="19" customFormat="1" hidden="1" x14ac:dyDescent="0.3">
      <c r="A204" s="3">
        <v>1</v>
      </c>
      <c r="B204" s="3"/>
      <c r="C204" s="3"/>
      <c r="D204" s="3" t="s">
        <v>158</v>
      </c>
      <c r="E204" s="6" t="s">
        <v>159</v>
      </c>
      <c r="F204" s="6" t="str">
        <f t="shared" si="124"/>
        <v>1991-89Drabant1987OTC</v>
      </c>
      <c r="G204" s="3" t="s">
        <v>160</v>
      </c>
      <c r="H204" s="3" t="s">
        <v>155</v>
      </c>
      <c r="I204" s="6" t="s">
        <v>161</v>
      </c>
      <c r="J204" s="3" t="s">
        <v>94</v>
      </c>
      <c r="K204" s="13" t="s">
        <v>162</v>
      </c>
      <c r="L204" s="13">
        <v>1987</v>
      </c>
      <c r="M204" s="6" t="s">
        <v>34</v>
      </c>
      <c r="N204" s="6" t="s">
        <v>49</v>
      </c>
      <c r="O204" s="13" t="s">
        <v>40</v>
      </c>
      <c r="P204" s="13"/>
      <c r="Q204" s="4">
        <f>S204/1.01*1.08</f>
        <v>16.039603960396043</v>
      </c>
      <c r="R204" s="3"/>
      <c r="S204" s="13">
        <v>15</v>
      </c>
      <c r="T204" s="3">
        <v>7</v>
      </c>
      <c r="U204" s="3">
        <f t="shared" si="125"/>
        <v>62</v>
      </c>
      <c r="V204" s="13">
        <v>7</v>
      </c>
      <c r="W204" s="9">
        <v>0</v>
      </c>
      <c r="X204" s="7">
        <v>31974</v>
      </c>
      <c r="Y204" s="7">
        <v>32035</v>
      </c>
      <c r="Z204" s="3">
        <v>396</v>
      </c>
      <c r="AA204" s="3" t="s">
        <v>51</v>
      </c>
      <c r="AB204" s="3" t="s">
        <v>163</v>
      </c>
      <c r="AC204" s="3">
        <v>34</v>
      </c>
      <c r="AD204" s="3">
        <v>423</v>
      </c>
      <c r="AE204" s="3" t="s">
        <v>51</v>
      </c>
      <c r="AF204" s="3" t="s">
        <v>163</v>
      </c>
      <c r="AG204" s="3">
        <v>17</v>
      </c>
      <c r="AH204" s="8">
        <f t="shared" si="126"/>
        <v>-6.3829787234042548E-2</v>
      </c>
      <c r="AI204" s="8">
        <f>VLOOKUP(F204,'[16]Sheet 2'!$A:$S,18,0)/VLOOKUP(F204,'[16]Sheet 2'!$A:$U,20,0)</f>
        <v>397.52805122382978</v>
      </c>
      <c r="AJ204" s="8">
        <f t="shared" si="127"/>
        <v>-3.8438827628025727E-3</v>
      </c>
      <c r="AK204" s="3">
        <v>36.799999999999997</v>
      </c>
      <c r="AL204" s="4" t="s">
        <v>37</v>
      </c>
      <c r="AM204" s="3"/>
      <c r="AN204" s="3"/>
      <c r="AO204" s="3">
        <v>39</v>
      </c>
      <c r="AP204" s="4" t="s">
        <v>37</v>
      </c>
      <c r="AQ204" s="3"/>
      <c r="AR204" s="3"/>
      <c r="AS204" s="8">
        <f t="shared" si="128"/>
        <v>-5.641025641025648E-2</v>
      </c>
      <c r="AT204" s="8">
        <f>VLOOKUP(F204,'[17]Sheet 2'!$A:$S,18,0)/VLOOKUP(F204,'[17]Sheet 2'!$A:$U,20,0)</f>
        <v>36.275109978604668</v>
      </c>
      <c r="AU204" s="8">
        <f t="shared" si="129"/>
        <v>1.4469701723989623E-2</v>
      </c>
      <c r="AV204" s="57">
        <v>22.559474979491387</v>
      </c>
      <c r="AW204" s="3" t="s">
        <v>132</v>
      </c>
      <c r="AX204" s="3"/>
      <c r="AY204" s="3"/>
      <c r="AZ204" s="3">
        <v>22.363203806502778</v>
      </c>
      <c r="BA204" s="3" t="s">
        <v>261</v>
      </c>
      <c r="BB204" s="3"/>
      <c r="BC204" s="3"/>
      <c r="BD204" s="8">
        <f t="shared" si="130"/>
        <v>8.7765230191005888E-3</v>
      </c>
      <c r="BE204" s="8">
        <f>VLOOKUP(F204,'[18]Sheet 2'!$A:$S,18,0)/VLOOKUP(F204,'[18]Sheet 2'!$A:$U,20,0)</f>
        <v>22.451623176021592</v>
      </c>
      <c r="BF204" s="8">
        <f t="shared" si="131"/>
        <v>4.8037419220977222E-3</v>
      </c>
      <c r="BG204" s="3">
        <v>477</v>
      </c>
      <c r="BH204" s="3" t="s">
        <v>164</v>
      </c>
      <c r="BI204" s="3"/>
      <c r="BJ204" s="3">
        <v>33</v>
      </c>
      <c r="BK204" s="3">
        <v>485</v>
      </c>
      <c r="BL204" s="3" t="s">
        <v>164</v>
      </c>
      <c r="BM204" s="3"/>
      <c r="BN204" s="3">
        <v>36</v>
      </c>
      <c r="BO204" s="8">
        <f t="shared" si="132"/>
        <v>-1.6494845360824743E-2</v>
      </c>
      <c r="BP204" s="8">
        <f>VLOOKUP(F204,'[19]Sheet 2'!$A:$S,18,0)/VLOOKUP(F204,'[19]Sheet 2'!$A:$U,20,0)</f>
        <v>488.98572532343877</v>
      </c>
      <c r="BQ204" s="8">
        <f t="shared" si="133"/>
        <v>-2.4511401259230695E-2</v>
      </c>
      <c r="BR204" s="3">
        <f t="shared" si="117"/>
        <v>10760.869565217392</v>
      </c>
      <c r="BS204" s="3" t="s">
        <v>52</v>
      </c>
      <c r="BT204" s="3"/>
      <c r="BU204" s="3"/>
      <c r="BV204" s="3">
        <f t="shared" si="118"/>
        <v>10846.153846153848</v>
      </c>
      <c r="BW204" s="3" t="s">
        <v>52</v>
      </c>
      <c r="BX204" s="3"/>
      <c r="BY204" s="3"/>
      <c r="BZ204" s="8">
        <f t="shared" si="134"/>
        <v>-7.8630897317299494E-3</v>
      </c>
      <c r="CA204" s="8">
        <f>VLOOKUP(F204,'[20]Sheet 2'!$A:$S,18,0)/VLOOKUP(F204,'[20]Sheet 2'!$A:$U,20,0)</f>
        <v>10979.883102846205</v>
      </c>
      <c r="CB204" s="8">
        <f t="shared" si="135"/>
        <v>-1.9946800487524313E-2</v>
      </c>
      <c r="CC204" s="23">
        <f t="shared" si="136"/>
        <v>57.9</v>
      </c>
      <c r="CD204" s="23">
        <f t="shared" si="137"/>
        <v>12.4</v>
      </c>
      <c r="CE204" s="20">
        <v>31898</v>
      </c>
      <c r="CF204" s="20">
        <v>32050</v>
      </c>
      <c r="CG204" s="18">
        <v>31974</v>
      </c>
      <c r="CH204" s="18">
        <v>32035</v>
      </c>
      <c r="CI204" s="21">
        <f t="shared" si="122"/>
        <v>121</v>
      </c>
      <c r="CJ204" s="21">
        <f t="shared" si="111"/>
        <v>273</v>
      </c>
      <c r="CK204" s="30">
        <f t="shared" si="123"/>
        <v>153</v>
      </c>
      <c r="CL204" s="21">
        <f t="shared" si="116"/>
        <v>197</v>
      </c>
      <c r="CM204" s="21">
        <f t="shared" si="112"/>
        <v>258</v>
      </c>
      <c r="CN204" s="19">
        <f t="shared" si="113"/>
        <v>62</v>
      </c>
      <c r="CP204" s="18">
        <v>31979</v>
      </c>
      <c r="CQ204" s="19">
        <f t="shared" si="121"/>
        <v>72</v>
      </c>
    </row>
    <row r="205" spans="1:95" s="19" customFormat="1" hidden="1" x14ac:dyDescent="0.3">
      <c r="A205" s="3">
        <v>1</v>
      </c>
      <c r="B205" s="3"/>
      <c r="C205" s="3"/>
      <c r="D205" s="3" t="s">
        <v>158</v>
      </c>
      <c r="E205" s="6" t="s">
        <v>159</v>
      </c>
      <c r="F205" s="6" t="str">
        <f t="shared" si="124"/>
        <v>1991-89Drabant1987OTC</v>
      </c>
      <c r="G205" s="3" t="s">
        <v>160</v>
      </c>
      <c r="H205" s="3" t="s">
        <v>155</v>
      </c>
      <c r="I205" s="6" t="s">
        <v>161</v>
      </c>
      <c r="J205" s="3" t="s">
        <v>94</v>
      </c>
      <c r="K205" s="13" t="s">
        <v>162</v>
      </c>
      <c r="L205" s="13">
        <v>1987</v>
      </c>
      <c r="M205" s="6" t="s">
        <v>34</v>
      </c>
      <c r="N205" s="6" t="s">
        <v>49</v>
      </c>
      <c r="O205" s="3" t="s">
        <v>73</v>
      </c>
      <c r="P205" s="3"/>
      <c r="Q205" s="3">
        <f>(7*S205+5*0.976*S204)/12*U205*12/1000+S204/1.01*(90-U205)*12/1000</f>
        <v>27.756499009900988</v>
      </c>
      <c r="R205" s="3"/>
      <c r="S205" s="13">
        <v>42</v>
      </c>
      <c r="T205" s="3">
        <v>7</v>
      </c>
      <c r="U205" s="3">
        <f t="shared" si="125"/>
        <v>62</v>
      </c>
      <c r="V205" s="13">
        <v>7</v>
      </c>
      <c r="W205" s="9">
        <v>0.52157833216543703</v>
      </c>
      <c r="X205" s="7">
        <v>31974</v>
      </c>
      <c r="Y205" s="7">
        <v>32035</v>
      </c>
      <c r="Z205" s="3">
        <v>368</v>
      </c>
      <c r="AA205" s="3" t="s">
        <v>51</v>
      </c>
      <c r="AB205" s="3" t="s">
        <v>163</v>
      </c>
      <c r="AC205" s="3">
        <v>7</v>
      </c>
      <c r="AD205" s="3">
        <v>423</v>
      </c>
      <c r="AE205" s="3" t="s">
        <v>51</v>
      </c>
      <c r="AF205" s="3" t="s">
        <v>163</v>
      </c>
      <c r="AG205" s="3">
        <v>17</v>
      </c>
      <c r="AH205" s="8">
        <f t="shared" si="126"/>
        <v>-0.13002364066193853</v>
      </c>
      <c r="AI205" s="8">
        <f>VLOOKUP(F205,'[16]Sheet 2'!$A:$S,18,0)/VLOOKUP(F205,'[16]Sheet 2'!$A:$U,20,0)</f>
        <v>397.52805122382978</v>
      </c>
      <c r="AJ205" s="8">
        <f t="shared" si="127"/>
        <v>-7.4279163779574109E-2</v>
      </c>
      <c r="AK205" s="3">
        <v>32.6</v>
      </c>
      <c r="AL205" s="4" t="s">
        <v>37</v>
      </c>
      <c r="AM205" s="3"/>
      <c r="AN205" s="3"/>
      <c r="AO205" s="3">
        <v>39</v>
      </c>
      <c r="AP205" s="4" t="s">
        <v>37</v>
      </c>
      <c r="AQ205" s="3"/>
      <c r="AR205" s="3"/>
      <c r="AS205" s="8">
        <f t="shared" si="128"/>
        <v>-0.16410256410256407</v>
      </c>
      <c r="AT205" s="8">
        <f>VLOOKUP(F205,'[17]Sheet 2'!$A:$S,18,0)/VLOOKUP(F205,'[17]Sheet 2'!$A:$U,20,0)</f>
        <v>36.275109978604668</v>
      </c>
      <c r="AU205" s="8">
        <f t="shared" si="129"/>
        <v>-0.10131216640755256</v>
      </c>
      <c r="AV205" s="57">
        <v>22.353155560954868</v>
      </c>
      <c r="AW205" s="3" t="s">
        <v>132</v>
      </c>
      <c r="AX205" s="3"/>
      <c r="AY205" s="3"/>
      <c r="AZ205" s="3">
        <v>22.363203806502778</v>
      </c>
      <c r="BA205" s="3" t="s">
        <v>261</v>
      </c>
      <c r="BB205" s="3"/>
      <c r="BC205" s="3"/>
      <c r="BD205" s="8">
        <f t="shared" si="130"/>
        <v>-4.4932048354308037E-4</v>
      </c>
      <c r="BE205" s="8">
        <f>VLOOKUP(F205,'[18]Sheet 2'!$A:$S,18,0)/VLOOKUP(F205,'[18]Sheet 2'!$A:$U,20,0)</f>
        <v>22.451623176021592</v>
      </c>
      <c r="BF205" s="8">
        <f t="shared" si="131"/>
        <v>-4.3857682045852176E-3</v>
      </c>
      <c r="BG205" s="3">
        <v>505</v>
      </c>
      <c r="BH205" s="3" t="s">
        <v>164</v>
      </c>
      <c r="BI205" s="3"/>
      <c r="BJ205" s="3">
        <v>25</v>
      </c>
      <c r="BK205" s="3">
        <v>485</v>
      </c>
      <c r="BL205" s="3" t="s">
        <v>164</v>
      </c>
      <c r="BM205" s="3"/>
      <c r="BN205" s="3">
        <v>36</v>
      </c>
      <c r="BO205" s="8">
        <f t="shared" si="132"/>
        <v>4.1237113402061855E-2</v>
      </c>
      <c r="BP205" s="8">
        <f>VLOOKUP(F205,'[19]Sheet 2'!$A:$S,18,0)/VLOOKUP(F205,'[19]Sheet 2'!$A:$U,20,0)</f>
        <v>488.98572532343877</v>
      </c>
      <c r="BQ205" s="8">
        <f t="shared" si="133"/>
        <v>3.2749983991799791E-2</v>
      </c>
      <c r="BR205" s="3">
        <f t="shared" si="117"/>
        <v>11288.343558282208</v>
      </c>
      <c r="BS205" s="3" t="s">
        <v>52</v>
      </c>
      <c r="BT205" s="3"/>
      <c r="BU205" s="3"/>
      <c r="BV205" s="3">
        <f t="shared" si="118"/>
        <v>10846.153846153848</v>
      </c>
      <c r="BW205" s="3" t="s">
        <v>52</v>
      </c>
      <c r="BX205" s="3"/>
      <c r="BY205" s="3"/>
      <c r="BZ205" s="8">
        <f t="shared" si="134"/>
        <v>4.0769264238784964E-2</v>
      </c>
      <c r="CA205" s="8">
        <f>VLOOKUP(F205,'[20]Sheet 2'!$A:$S,18,0)/VLOOKUP(F205,'[20]Sheet 2'!$A:$U,20,0)</f>
        <v>10979.883102846205</v>
      </c>
      <c r="CB205" s="8">
        <f t="shared" si="135"/>
        <v>2.8093236744573712E-2</v>
      </c>
      <c r="CC205" s="23">
        <f t="shared" si="136"/>
        <v>57.9</v>
      </c>
      <c r="CD205" s="23">
        <f t="shared" si="137"/>
        <v>12.4</v>
      </c>
      <c r="CE205" s="20">
        <v>31898</v>
      </c>
      <c r="CF205" s="20">
        <v>32050</v>
      </c>
      <c r="CG205" s="18">
        <v>31974</v>
      </c>
      <c r="CH205" s="18">
        <v>32035</v>
      </c>
      <c r="CI205" s="21">
        <f t="shared" si="122"/>
        <v>121</v>
      </c>
      <c r="CJ205" s="21">
        <f t="shared" si="111"/>
        <v>273</v>
      </c>
      <c r="CK205" s="30">
        <f t="shared" si="123"/>
        <v>153</v>
      </c>
      <c r="CL205" s="21">
        <f t="shared" si="116"/>
        <v>197</v>
      </c>
      <c r="CM205" s="21">
        <f t="shared" si="112"/>
        <v>258</v>
      </c>
      <c r="CN205" s="19">
        <f t="shared" si="113"/>
        <v>62</v>
      </c>
      <c r="CP205" s="18">
        <v>31979</v>
      </c>
      <c r="CQ205" s="19">
        <f t="shared" si="121"/>
        <v>72</v>
      </c>
    </row>
    <row r="206" spans="1:95" s="42" customFormat="1" hidden="1" x14ac:dyDescent="0.3">
      <c r="A206" s="31">
        <v>1</v>
      </c>
      <c r="B206" s="31"/>
      <c r="C206" s="31"/>
      <c r="D206" s="31" t="s">
        <v>158</v>
      </c>
      <c r="E206" s="34" t="s">
        <v>159</v>
      </c>
      <c r="F206" s="34" t="str">
        <f t="shared" si="124"/>
        <v>1991-89Drabant1988OTC</v>
      </c>
      <c r="G206" s="31" t="s">
        <v>160</v>
      </c>
      <c r="H206" s="31" t="s">
        <v>155</v>
      </c>
      <c r="I206" s="34" t="s">
        <v>161</v>
      </c>
      <c r="J206" s="31" t="s">
        <v>94</v>
      </c>
      <c r="K206" s="34" t="s">
        <v>162</v>
      </c>
      <c r="L206" s="34">
        <v>1988</v>
      </c>
      <c r="M206" s="34" t="s">
        <v>34</v>
      </c>
      <c r="N206" s="34" t="s">
        <v>49</v>
      </c>
      <c r="O206" s="34" t="s">
        <v>36</v>
      </c>
      <c r="P206" s="32" t="s">
        <v>267</v>
      </c>
      <c r="Q206" s="31">
        <f>(7*S206+5*0.976*S206)/12*U206*12/1000+S207/1.01*(90-U206)*12/1000</f>
        <v>12.878808712871288</v>
      </c>
      <c r="R206" s="31"/>
      <c r="S206" s="34">
        <v>6</v>
      </c>
      <c r="T206" s="31">
        <v>7</v>
      </c>
      <c r="U206" s="31">
        <f t="shared" si="125"/>
        <v>56</v>
      </c>
      <c r="V206" s="34">
        <v>5</v>
      </c>
      <c r="W206" s="43">
        <v>0</v>
      </c>
      <c r="X206" s="35">
        <v>32330</v>
      </c>
      <c r="Y206" s="35">
        <v>32385</v>
      </c>
      <c r="Z206" s="31">
        <v>615</v>
      </c>
      <c r="AA206" s="31" t="s">
        <v>51</v>
      </c>
      <c r="AB206" s="31" t="s">
        <v>163</v>
      </c>
      <c r="AC206" s="31">
        <v>58</v>
      </c>
      <c r="AD206" s="31">
        <v>615</v>
      </c>
      <c r="AE206" s="31" t="s">
        <v>51</v>
      </c>
      <c r="AF206" s="31" t="s">
        <v>163</v>
      </c>
      <c r="AG206" s="31">
        <v>58</v>
      </c>
      <c r="AH206" s="8">
        <f t="shared" si="126"/>
        <v>0</v>
      </c>
      <c r="AI206" s="8">
        <f>VLOOKUP(F206,'[16]Sheet 2'!$A:$S,18,0)/VLOOKUP(F206,'[16]Sheet 2'!$A:$U,20,0)</f>
        <v>557.20908142831797</v>
      </c>
      <c r="AJ206" s="8">
        <f t="shared" si="127"/>
        <v>0.10371496175823998</v>
      </c>
      <c r="AK206" s="31">
        <v>41.2</v>
      </c>
      <c r="AL206" s="32" t="s">
        <v>37</v>
      </c>
      <c r="AM206" s="31"/>
      <c r="AN206" s="31"/>
      <c r="AO206" s="31">
        <v>41.2</v>
      </c>
      <c r="AP206" s="32" t="s">
        <v>37</v>
      </c>
      <c r="AQ206" s="31"/>
      <c r="AR206" s="31"/>
      <c r="AS206" s="8">
        <f t="shared" si="128"/>
        <v>0</v>
      </c>
      <c r="AT206" s="8">
        <f>VLOOKUP(F206,'[17]Sheet 2'!$A:$S,18,0)/VLOOKUP(F206,'[17]Sheet 2'!$A:$U,20,0)</f>
        <v>37.857343582417265</v>
      </c>
      <c r="AU206" s="8">
        <f t="shared" si="129"/>
        <v>8.8296116453749948E-2</v>
      </c>
      <c r="AV206" s="57">
        <v>23.107096696624485</v>
      </c>
      <c r="AW206" s="31" t="s">
        <v>132</v>
      </c>
      <c r="AX206" s="31"/>
      <c r="AY206" s="31"/>
      <c r="AZ206" s="31">
        <v>23.107096696624485</v>
      </c>
      <c r="BA206" s="31" t="s">
        <v>261</v>
      </c>
      <c r="BB206" s="31"/>
      <c r="BC206" s="31"/>
      <c r="BD206" s="8">
        <f t="shared" si="130"/>
        <v>0</v>
      </c>
      <c r="BE206" s="8">
        <f>VLOOKUP(F206,'[18]Sheet 2'!$A:$S,18,0)/VLOOKUP(F206,'[18]Sheet 2'!$A:$U,20,0)</f>
        <v>21.981391175390467</v>
      </c>
      <c r="BF206" s="8">
        <f t="shared" si="131"/>
        <v>5.1211750532619379E-2</v>
      </c>
      <c r="BG206" s="31">
        <v>646</v>
      </c>
      <c r="BH206" s="31" t="s">
        <v>164</v>
      </c>
      <c r="BI206" s="31"/>
      <c r="BJ206" s="31">
        <v>52</v>
      </c>
      <c r="BK206" s="31">
        <v>646</v>
      </c>
      <c r="BL206" s="31" t="s">
        <v>164</v>
      </c>
      <c r="BM206" s="31"/>
      <c r="BN206" s="31">
        <v>52</v>
      </c>
      <c r="BO206" s="8">
        <f t="shared" si="132"/>
        <v>0</v>
      </c>
      <c r="BP206" s="8">
        <f>VLOOKUP(F206,'[19]Sheet 2'!$A:$S,18,0)/VLOOKUP(F206,'[19]Sheet 2'!$A:$U,20,0)</f>
        <v>673.80253333890187</v>
      </c>
      <c r="BQ206" s="8">
        <f t="shared" si="133"/>
        <v>-4.1262138331732943E-2</v>
      </c>
      <c r="BR206" s="31">
        <f t="shared" si="117"/>
        <v>14927.184466019417</v>
      </c>
      <c r="BS206" s="31" t="s">
        <v>52</v>
      </c>
      <c r="BT206" s="31"/>
      <c r="BU206" s="31"/>
      <c r="BV206" s="31">
        <f t="shared" si="118"/>
        <v>14927.184466019417</v>
      </c>
      <c r="BW206" s="31" t="s">
        <v>52</v>
      </c>
      <c r="BX206" s="31"/>
      <c r="BY206" s="31"/>
      <c r="BZ206" s="8">
        <f t="shared" si="134"/>
        <v>0</v>
      </c>
      <c r="CA206" s="8">
        <f>VLOOKUP(F206,'[20]Sheet 2'!$A:$S,18,0)/VLOOKUP(F206,'[20]Sheet 2'!$A:$U,20,0)</f>
        <v>14821.824737211267</v>
      </c>
      <c r="CB206" s="8">
        <f t="shared" si="135"/>
        <v>7.10841820600104E-3</v>
      </c>
      <c r="CC206" s="54">
        <f t="shared" si="136"/>
        <v>57.9</v>
      </c>
      <c r="CD206" s="54">
        <f t="shared" si="137"/>
        <v>12.4</v>
      </c>
      <c r="CE206" s="38">
        <v>32262</v>
      </c>
      <c r="CF206" s="38">
        <v>32386</v>
      </c>
      <c r="CG206" s="39">
        <v>32330</v>
      </c>
      <c r="CH206" s="39">
        <v>32385</v>
      </c>
      <c r="CI206" s="40">
        <f t="shared" si="122"/>
        <v>120</v>
      </c>
      <c r="CJ206" s="40">
        <f t="shared" si="111"/>
        <v>244</v>
      </c>
      <c r="CK206" s="41">
        <f t="shared" si="123"/>
        <v>125</v>
      </c>
      <c r="CL206" s="40">
        <f t="shared" si="116"/>
        <v>188</v>
      </c>
      <c r="CM206" s="40">
        <f t="shared" si="112"/>
        <v>243</v>
      </c>
      <c r="CN206" s="42">
        <f t="shared" si="113"/>
        <v>56</v>
      </c>
      <c r="CP206" s="39">
        <v>32335</v>
      </c>
      <c r="CQ206" s="42">
        <f t="shared" si="121"/>
        <v>52</v>
      </c>
    </row>
    <row r="207" spans="1:95" s="42" customFormat="1" hidden="1" x14ac:dyDescent="0.3">
      <c r="A207" s="31">
        <v>1</v>
      </c>
      <c r="B207" s="31"/>
      <c r="C207" s="31"/>
      <c r="D207" s="31" t="s">
        <v>158</v>
      </c>
      <c r="E207" s="34" t="s">
        <v>159</v>
      </c>
      <c r="F207" s="34" t="str">
        <f t="shared" si="124"/>
        <v>1991-89Drabant1988OTC</v>
      </c>
      <c r="G207" s="31" t="s">
        <v>160</v>
      </c>
      <c r="H207" s="31" t="s">
        <v>155</v>
      </c>
      <c r="I207" s="34" t="s">
        <v>161</v>
      </c>
      <c r="J207" s="31" t="s">
        <v>94</v>
      </c>
      <c r="K207" s="56" t="s">
        <v>162</v>
      </c>
      <c r="L207" s="56">
        <v>1988</v>
      </c>
      <c r="M207" s="34" t="s">
        <v>34</v>
      </c>
      <c r="N207" s="34" t="s">
        <v>49</v>
      </c>
      <c r="O207" s="56" t="s">
        <v>40</v>
      </c>
      <c r="P207" s="56"/>
      <c r="Q207" s="32">
        <f>S207/1.01*1.08</f>
        <v>23.524752475247528</v>
      </c>
      <c r="R207" s="31"/>
      <c r="S207" s="56">
        <v>22</v>
      </c>
      <c r="T207" s="31">
        <v>7</v>
      </c>
      <c r="U207" s="31">
        <f t="shared" si="125"/>
        <v>56</v>
      </c>
      <c r="V207" s="56">
        <v>5</v>
      </c>
      <c r="W207" s="43">
        <v>2.6422220032823501E-2</v>
      </c>
      <c r="X207" s="35">
        <v>32330</v>
      </c>
      <c r="Y207" s="35">
        <v>32385</v>
      </c>
      <c r="Z207" s="31">
        <v>577</v>
      </c>
      <c r="AA207" s="31" t="s">
        <v>51</v>
      </c>
      <c r="AB207" s="31" t="s">
        <v>163</v>
      </c>
      <c r="AC207" s="31">
        <v>73</v>
      </c>
      <c r="AD207" s="31">
        <v>615</v>
      </c>
      <c r="AE207" s="31" t="s">
        <v>51</v>
      </c>
      <c r="AF207" s="31" t="s">
        <v>163</v>
      </c>
      <c r="AG207" s="31">
        <v>58</v>
      </c>
      <c r="AH207" s="8">
        <f t="shared" si="126"/>
        <v>-6.1788617886178863E-2</v>
      </c>
      <c r="AI207" s="8">
        <f>VLOOKUP(F207,'[16]Sheet 2'!$A:$S,18,0)/VLOOKUP(F207,'[16]Sheet 2'!$A:$U,20,0)</f>
        <v>557.20908142831797</v>
      </c>
      <c r="AJ207" s="8">
        <f t="shared" si="127"/>
        <v>3.5517939730901581E-2</v>
      </c>
      <c r="AK207" s="31">
        <v>39.6</v>
      </c>
      <c r="AL207" s="32" t="s">
        <v>37</v>
      </c>
      <c r="AM207" s="31"/>
      <c r="AN207" s="31"/>
      <c r="AO207" s="31">
        <v>41.2</v>
      </c>
      <c r="AP207" s="32" t="s">
        <v>37</v>
      </c>
      <c r="AQ207" s="31"/>
      <c r="AR207" s="31"/>
      <c r="AS207" s="8">
        <f t="shared" si="128"/>
        <v>-3.8834951456310711E-2</v>
      </c>
      <c r="AT207" s="8">
        <f>VLOOKUP(F207,'[17]Sheet 2'!$A:$S,18,0)/VLOOKUP(F207,'[17]Sheet 2'!$A:$U,20,0)</f>
        <v>37.857343582417265</v>
      </c>
      <c r="AU207" s="8">
        <f t="shared" si="129"/>
        <v>4.6032189601177095E-2</v>
      </c>
      <c r="AV207" s="57">
        <v>22.313487091435025</v>
      </c>
      <c r="AW207" s="31" t="s">
        <v>132</v>
      </c>
      <c r="AX207" s="31"/>
      <c r="AY207" s="31"/>
      <c r="AZ207" s="31">
        <v>23.107096696624485</v>
      </c>
      <c r="BA207" s="31" t="s">
        <v>261</v>
      </c>
      <c r="BB207" s="31"/>
      <c r="BC207" s="31"/>
      <c r="BD207" s="8">
        <f t="shared" si="130"/>
        <v>-3.4344842868355284E-2</v>
      </c>
      <c r="BE207" s="8">
        <f>VLOOKUP(F207,'[18]Sheet 2'!$A:$S,18,0)/VLOOKUP(F207,'[18]Sheet 2'!$A:$U,20,0)</f>
        <v>21.981391175390467</v>
      </c>
      <c r="BF207" s="8">
        <f t="shared" si="131"/>
        <v>1.510804813920787E-2</v>
      </c>
      <c r="BG207" s="31">
        <v>653</v>
      </c>
      <c r="BH207" s="31" t="s">
        <v>164</v>
      </c>
      <c r="BI207" s="31"/>
      <c r="BJ207" s="31">
        <v>45</v>
      </c>
      <c r="BK207" s="31">
        <v>646</v>
      </c>
      <c r="BL207" s="31" t="s">
        <v>164</v>
      </c>
      <c r="BM207" s="31"/>
      <c r="BN207" s="31">
        <v>52</v>
      </c>
      <c r="BO207" s="8">
        <f t="shared" si="132"/>
        <v>1.0835913312693499E-2</v>
      </c>
      <c r="BP207" s="8">
        <f>VLOOKUP(F207,'[19]Sheet 2'!$A:$S,18,0)/VLOOKUP(F207,'[19]Sheet 2'!$A:$U,20,0)</f>
        <v>673.80253333890187</v>
      </c>
      <c r="BQ207" s="8">
        <f t="shared" si="133"/>
        <v>-3.0873337973098471E-2</v>
      </c>
      <c r="BR207" s="31">
        <f t="shared" si="117"/>
        <v>14570.707070707071</v>
      </c>
      <c r="BS207" s="31" t="s">
        <v>52</v>
      </c>
      <c r="BT207" s="31"/>
      <c r="BU207" s="31"/>
      <c r="BV207" s="31">
        <f t="shared" si="118"/>
        <v>14927.184466019417</v>
      </c>
      <c r="BW207" s="31" t="s">
        <v>52</v>
      </c>
      <c r="BX207" s="31"/>
      <c r="BY207" s="31"/>
      <c r="BZ207" s="8">
        <f t="shared" si="134"/>
        <v>-2.388108729572138E-2</v>
      </c>
      <c r="CA207" s="8">
        <f>VLOOKUP(F207,'[20]Sheet 2'!$A:$S,18,0)/VLOOKUP(F207,'[20]Sheet 2'!$A:$U,20,0)</f>
        <v>14821.824737211267</v>
      </c>
      <c r="CB207" s="8">
        <f t="shared" si="135"/>
        <v>-1.6942425845432346E-2</v>
      </c>
      <c r="CC207" s="54">
        <f t="shared" si="136"/>
        <v>57.9</v>
      </c>
      <c r="CD207" s="54">
        <f t="shared" si="137"/>
        <v>12.4</v>
      </c>
      <c r="CE207" s="38">
        <v>32262</v>
      </c>
      <c r="CF207" s="38">
        <v>32386</v>
      </c>
      <c r="CG207" s="39">
        <v>32330</v>
      </c>
      <c r="CH207" s="39">
        <v>32385</v>
      </c>
      <c r="CI207" s="40">
        <f t="shared" si="122"/>
        <v>120</v>
      </c>
      <c r="CJ207" s="40">
        <f t="shared" si="111"/>
        <v>244</v>
      </c>
      <c r="CK207" s="41">
        <f t="shared" si="123"/>
        <v>125</v>
      </c>
      <c r="CL207" s="40">
        <f t="shared" si="116"/>
        <v>188</v>
      </c>
      <c r="CM207" s="40">
        <f t="shared" si="112"/>
        <v>243</v>
      </c>
      <c r="CN207" s="42">
        <f t="shared" si="113"/>
        <v>56</v>
      </c>
      <c r="CP207" s="39">
        <v>32335</v>
      </c>
      <c r="CQ207" s="42">
        <f t="shared" si="121"/>
        <v>52</v>
      </c>
    </row>
    <row r="208" spans="1:95" s="42" customFormat="1" hidden="1" x14ac:dyDescent="0.3">
      <c r="A208" s="31">
        <v>1</v>
      </c>
      <c r="B208" s="31"/>
      <c r="C208" s="31"/>
      <c r="D208" s="31" t="s">
        <v>158</v>
      </c>
      <c r="E208" s="34" t="s">
        <v>159</v>
      </c>
      <c r="F208" s="34" t="str">
        <f t="shared" si="124"/>
        <v>1991-89Drabant1988OTC</v>
      </c>
      <c r="G208" s="31" t="s">
        <v>160</v>
      </c>
      <c r="H208" s="31" t="s">
        <v>155</v>
      </c>
      <c r="I208" s="34" t="s">
        <v>161</v>
      </c>
      <c r="J208" s="31" t="s">
        <v>94</v>
      </c>
      <c r="K208" s="56" t="s">
        <v>162</v>
      </c>
      <c r="L208" s="56">
        <v>1988</v>
      </c>
      <c r="M208" s="34" t="s">
        <v>34</v>
      </c>
      <c r="N208" s="34" t="s">
        <v>49</v>
      </c>
      <c r="O208" s="31" t="s">
        <v>134</v>
      </c>
      <c r="P208" s="31"/>
      <c r="Q208" s="31">
        <f>(7*S208+5*0.976*S207)/12*U208*12/1000+S207/1.01*(90-U208)*12/1000</f>
        <v>32.147288712871287</v>
      </c>
      <c r="R208" s="31"/>
      <c r="S208" s="56">
        <v>44</v>
      </c>
      <c r="T208" s="31">
        <v>7</v>
      </c>
      <c r="U208" s="31">
        <f t="shared" si="125"/>
        <v>56</v>
      </c>
      <c r="V208" s="56">
        <v>5</v>
      </c>
      <c r="W208" s="43">
        <v>1.28822803845163</v>
      </c>
      <c r="X208" s="35">
        <v>32330</v>
      </c>
      <c r="Y208" s="35">
        <v>32385</v>
      </c>
      <c r="Z208" s="31">
        <v>535</v>
      </c>
      <c r="AA208" s="31" t="s">
        <v>51</v>
      </c>
      <c r="AB208" s="31" t="s">
        <v>163</v>
      </c>
      <c r="AC208" s="31">
        <v>60</v>
      </c>
      <c r="AD208" s="31">
        <v>615</v>
      </c>
      <c r="AE208" s="31" t="s">
        <v>51</v>
      </c>
      <c r="AF208" s="31" t="s">
        <v>163</v>
      </c>
      <c r="AG208" s="31">
        <v>58</v>
      </c>
      <c r="AH208" s="8">
        <f t="shared" si="126"/>
        <v>-0.13008130081300814</v>
      </c>
      <c r="AI208" s="8">
        <f>VLOOKUP(F208,'[16]Sheet 2'!$A:$S,18,0)/VLOOKUP(F208,'[16]Sheet 2'!$A:$U,20,0)</f>
        <v>557.20908142831797</v>
      </c>
      <c r="AJ208" s="8">
        <f t="shared" si="127"/>
        <v>-3.9857716194051394E-2</v>
      </c>
      <c r="AK208" s="31">
        <v>37.299999999999997</v>
      </c>
      <c r="AL208" s="32" t="s">
        <v>37</v>
      </c>
      <c r="AM208" s="31"/>
      <c r="AN208" s="31"/>
      <c r="AO208" s="31">
        <v>41.2</v>
      </c>
      <c r="AP208" s="32" t="s">
        <v>37</v>
      </c>
      <c r="AQ208" s="31"/>
      <c r="AR208" s="31"/>
      <c r="AS208" s="8">
        <f t="shared" si="128"/>
        <v>-9.466019417475742E-2</v>
      </c>
      <c r="AT208" s="8">
        <f>VLOOKUP(F208,'[17]Sheet 2'!$A:$S,18,0)/VLOOKUP(F208,'[17]Sheet 2'!$A:$U,20,0)</f>
        <v>37.857343582417265</v>
      </c>
      <c r="AU208" s="8">
        <f t="shared" si="129"/>
        <v>-1.4722205249396429E-2</v>
      </c>
      <c r="AV208" s="57">
        <v>20.578426885041598</v>
      </c>
      <c r="AW208" s="31" t="s">
        <v>132</v>
      </c>
      <c r="AX208" s="31"/>
      <c r="AY208" s="31"/>
      <c r="AZ208" s="31">
        <v>23.107096696624485</v>
      </c>
      <c r="BA208" s="31" t="s">
        <v>261</v>
      </c>
      <c r="BB208" s="31"/>
      <c r="BC208" s="31"/>
      <c r="BD208" s="8">
        <f t="shared" si="130"/>
        <v>-0.10943260612884692</v>
      </c>
      <c r="BE208" s="8">
        <f>VLOOKUP(F208,'[18]Sheet 2'!$A:$S,18,0)/VLOOKUP(F208,'[18]Sheet 2'!$A:$U,20,0)</f>
        <v>21.981391175390467</v>
      </c>
      <c r="BF208" s="8">
        <f t="shared" si="131"/>
        <v>-6.3825090921432445E-2</v>
      </c>
      <c r="BG208" s="31">
        <v>697</v>
      </c>
      <c r="BH208" s="31" t="s">
        <v>164</v>
      </c>
      <c r="BI208" s="31"/>
      <c r="BJ208" s="31">
        <v>60</v>
      </c>
      <c r="BK208" s="31">
        <v>646</v>
      </c>
      <c r="BL208" s="31" t="s">
        <v>164</v>
      </c>
      <c r="BM208" s="31"/>
      <c r="BN208" s="31">
        <v>52</v>
      </c>
      <c r="BO208" s="8">
        <f t="shared" si="132"/>
        <v>7.8947368421052627E-2</v>
      </c>
      <c r="BP208" s="8">
        <f>VLOOKUP(F208,'[19]Sheet 2'!$A:$S,18,0)/VLOOKUP(F208,'[19]Sheet 2'!$A:$U,20,0)</f>
        <v>673.80253333890187</v>
      </c>
      <c r="BQ208" s="8">
        <f t="shared" si="133"/>
        <v>3.4427692852603928E-2</v>
      </c>
      <c r="BR208" s="31">
        <f t="shared" si="117"/>
        <v>14343.163538873994</v>
      </c>
      <c r="BS208" s="31" t="s">
        <v>52</v>
      </c>
      <c r="BT208" s="31"/>
      <c r="BU208" s="31"/>
      <c r="BV208" s="31">
        <f t="shared" si="118"/>
        <v>14927.184466019417</v>
      </c>
      <c r="BW208" s="31" t="s">
        <v>52</v>
      </c>
      <c r="BX208" s="31"/>
      <c r="BY208" s="31"/>
      <c r="BZ208" s="8">
        <f t="shared" si="134"/>
        <v>-3.9124653981124233E-2</v>
      </c>
      <c r="CA208" s="8">
        <f>VLOOKUP(F208,'[20]Sheet 2'!$A:$S,18,0)/VLOOKUP(F208,'[20]Sheet 2'!$A:$U,20,0)</f>
        <v>14821.824737211267</v>
      </c>
      <c r="CB208" s="8">
        <f t="shared" si="135"/>
        <v>-3.2294350177786105E-2</v>
      </c>
      <c r="CC208" s="54">
        <f t="shared" si="136"/>
        <v>57.9</v>
      </c>
      <c r="CD208" s="54">
        <f t="shared" si="137"/>
        <v>12.4</v>
      </c>
      <c r="CE208" s="38">
        <v>32262</v>
      </c>
      <c r="CF208" s="38">
        <v>32386</v>
      </c>
      <c r="CG208" s="39">
        <v>32330</v>
      </c>
      <c r="CH208" s="39">
        <v>32385</v>
      </c>
      <c r="CI208" s="40">
        <f t="shared" si="122"/>
        <v>120</v>
      </c>
      <c r="CJ208" s="40">
        <f t="shared" si="111"/>
        <v>244</v>
      </c>
      <c r="CK208" s="41">
        <f t="shared" si="123"/>
        <v>125</v>
      </c>
      <c r="CL208" s="40">
        <f t="shared" si="116"/>
        <v>188</v>
      </c>
      <c r="CM208" s="40">
        <f t="shared" si="112"/>
        <v>243</v>
      </c>
      <c r="CN208" s="42">
        <f t="shared" si="113"/>
        <v>56</v>
      </c>
      <c r="CP208" s="39">
        <v>32335</v>
      </c>
      <c r="CQ208" s="42">
        <f t="shared" si="121"/>
        <v>52</v>
      </c>
    </row>
    <row r="209" spans="1:95" s="42" customFormat="1" hidden="1" x14ac:dyDescent="0.3">
      <c r="A209" s="31">
        <v>1</v>
      </c>
      <c r="B209" s="31"/>
      <c r="C209" s="31"/>
      <c r="D209" s="31" t="s">
        <v>158</v>
      </c>
      <c r="E209" s="34" t="s">
        <v>159</v>
      </c>
      <c r="F209" s="34" t="str">
        <f t="shared" si="124"/>
        <v>1991-89Drabant1988OTC</v>
      </c>
      <c r="G209" s="31" t="s">
        <v>160</v>
      </c>
      <c r="H209" s="31" t="s">
        <v>155</v>
      </c>
      <c r="I209" s="34" t="s">
        <v>161</v>
      </c>
      <c r="J209" s="31" t="s">
        <v>94</v>
      </c>
      <c r="K209" s="56" t="s">
        <v>162</v>
      </c>
      <c r="L209" s="56">
        <v>1988</v>
      </c>
      <c r="M209" s="34" t="s">
        <v>34</v>
      </c>
      <c r="N209" s="34" t="s">
        <v>49</v>
      </c>
      <c r="O209" s="31" t="s">
        <v>135</v>
      </c>
      <c r="P209" s="31"/>
      <c r="Q209" s="31">
        <f>(7*S209+5*0.976*S207)/12*U209*12/1000+S207/1.01*(90-U209)*12/1000</f>
        <v>36.851288712871295</v>
      </c>
      <c r="R209" s="31"/>
      <c r="S209" s="56">
        <v>56</v>
      </c>
      <c r="T209" s="31">
        <v>7</v>
      </c>
      <c r="U209" s="31">
        <f t="shared" si="125"/>
        <v>56</v>
      </c>
      <c r="V209" s="56">
        <v>5</v>
      </c>
      <c r="W209" s="43">
        <v>2.5792630900391802</v>
      </c>
      <c r="X209" s="35">
        <v>32330</v>
      </c>
      <c r="Y209" s="35">
        <v>32385</v>
      </c>
      <c r="Z209" s="31">
        <v>448</v>
      </c>
      <c r="AA209" s="31" t="s">
        <v>51</v>
      </c>
      <c r="AB209" s="31" t="s">
        <v>163</v>
      </c>
      <c r="AC209" s="31">
        <v>44</v>
      </c>
      <c r="AD209" s="31">
        <v>615</v>
      </c>
      <c r="AE209" s="31" t="s">
        <v>51</v>
      </c>
      <c r="AF209" s="31" t="s">
        <v>163</v>
      </c>
      <c r="AG209" s="31">
        <v>58</v>
      </c>
      <c r="AH209" s="8">
        <f t="shared" si="126"/>
        <v>-0.27154471544715447</v>
      </c>
      <c r="AI209" s="8">
        <f>VLOOKUP(F209,'[16]Sheet 2'!$A:$S,18,0)/VLOOKUP(F209,'[16]Sheet 2'!$A:$U,20,0)</f>
        <v>557.20908142831797</v>
      </c>
      <c r="AJ209" s="8">
        <f t="shared" si="127"/>
        <v>-0.19599300346716828</v>
      </c>
      <c r="AK209" s="31">
        <v>30</v>
      </c>
      <c r="AL209" s="32" t="s">
        <v>37</v>
      </c>
      <c r="AM209" s="31"/>
      <c r="AN209" s="31"/>
      <c r="AO209" s="31">
        <v>41.2</v>
      </c>
      <c r="AP209" s="32" t="s">
        <v>37</v>
      </c>
      <c r="AQ209" s="31"/>
      <c r="AR209" s="31"/>
      <c r="AS209" s="8">
        <f t="shared" si="128"/>
        <v>-0.2718446601941748</v>
      </c>
      <c r="AT209" s="8">
        <f>VLOOKUP(F209,'[17]Sheet 2'!$A:$S,18,0)/VLOOKUP(F209,'[17]Sheet 2'!$A:$U,20,0)</f>
        <v>37.857343582417265</v>
      </c>
      <c r="AU209" s="8">
        <f t="shared" si="129"/>
        <v>-0.20755137151425981</v>
      </c>
      <c r="AV209" s="57">
        <v>21.425155428024869</v>
      </c>
      <c r="AW209" s="31" t="s">
        <v>132</v>
      </c>
      <c r="AX209" s="31"/>
      <c r="AY209" s="31"/>
      <c r="AZ209" s="31">
        <v>23.107096696624485</v>
      </c>
      <c r="BA209" s="31" t="s">
        <v>261</v>
      </c>
      <c r="BB209" s="31"/>
      <c r="BC209" s="31"/>
      <c r="BD209" s="8">
        <f t="shared" si="130"/>
        <v>-7.2788948377288595E-2</v>
      </c>
      <c r="BE209" s="8">
        <f>VLOOKUP(F209,'[18]Sheet 2'!$A:$S,18,0)/VLOOKUP(F209,'[18]Sheet 2'!$A:$U,20,0)</f>
        <v>21.981391175390467</v>
      </c>
      <c r="BF209" s="8">
        <f t="shared" si="131"/>
        <v>-2.5304847310498636E-2</v>
      </c>
      <c r="BG209" s="31">
        <v>697</v>
      </c>
      <c r="BH209" s="31" t="s">
        <v>164</v>
      </c>
      <c r="BI209" s="31"/>
      <c r="BJ209" s="31">
        <v>60</v>
      </c>
      <c r="BK209" s="31">
        <v>646</v>
      </c>
      <c r="BL209" s="31" t="s">
        <v>164</v>
      </c>
      <c r="BM209" s="31"/>
      <c r="BN209" s="31">
        <v>52</v>
      </c>
      <c r="BO209" s="8">
        <f t="shared" si="132"/>
        <v>7.8947368421052627E-2</v>
      </c>
      <c r="BP209" s="8">
        <f>VLOOKUP(F209,'[19]Sheet 2'!$A:$S,18,0)/VLOOKUP(F209,'[19]Sheet 2'!$A:$U,20,0)</f>
        <v>673.80253333890187</v>
      </c>
      <c r="BQ209" s="8">
        <f t="shared" si="133"/>
        <v>3.4427692852603928E-2</v>
      </c>
      <c r="BR209" s="31">
        <f t="shared" si="117"/>
        <v>14933.333333333334</v>
      </c>
      <c r="BS209" s="31" t="s">
        <v>52</v>
      </c>
      <c r="BT209" s="31"/>
      <c r="BU209" s="31"/>
      <c r="BV209" s="31">
        <f t="shared" si="118"/>
        <v>14927.184466019417</v>
      </c>
      <c r="BW209" s="31" t="s">
        <v>52</v>
      </c>
      <c r="BX209" s="31"/>
      <c r="BY209" s="31"/>
      <c r="BZ209" s="8">
        <f t="shared" si="134"/>
        <v>4.1192411924129813E-4</v>
      </c>
      <c r="CA209" s="8">
        <f>VLOOKUP(F209,'[20]Sheet 2'!$A:$S,18,0)/VLOOKUP(F209,'[20]Sheet 2'!$A:$U,20,0)</f>
        <v>14821.824737211267</v>
      </c>
      <c r="CB209" s="8">
        <f t="shared" si="135"/>
        <v>7.5232704541510443E-3</v>
      </c>
      <c r="CC209" s="54">
        <f t="shared" si="136"/>
        <v>57.9</v>
      </c>
      <c r="CD209" s="54">
        <f t="shared" si="137"/>
        <v>12.4</v>
      </c>
      <c r="CE209" s="38">
        <v>32262</v>
      </c>
      <c r="CF209" s="38">
        <v>32386</v>
      </c>
      <c r="CG209" s="39">
        <v>32330</v>
      </c>
      <c r="CH209" s="39">
        <v>32385</v>
      </c>
      <c r="CI209" s="40">
        <f t="shared" si="122"/>
        <v>120</v>
      </c>
      <c r="CJ209" s="40">
        <f t="shared" si="111"/>
        <v>244</v>
      </c>
      <c r="CK209" s="41">
        <f t="shared" si="123"/>
        <v>125</v>
      </c>
      <c r="CL209" s="40">
        <f t="shared" si="116"/>
        <v>188</v>
      </c>
      <c r="CM209" s="40">
        <f t="shared" si="112"/>
        <v>243</v>
      </c>
      <c r="CN209" s="42">
        <f t="shared" si="113"/>
        <v>56</v>
      </c>
      <c r="CP209" s="39">
        <v>32335</v>
      </c>
      <c r="CQ209" s="42">
        <f t="shared" si="121"/>
        <v>52</v>
      </c>
    </row>
    <row r="210" spans="1:95" s="19" customFormat="1" hidden="1" x14ac:dyDescent="0.3">
      <c r="A210" s="3">
        <v>1</v>
      </c>
      <c r="B210" s="3"/>
      <c r="C210" s="3"/>
      <c r="D210" s="3" t="s">
        <v>165</v>
      </c>
      <c r="E210" s="6" t="s">
        <v>166</v>
      </c>
      <c r="F210" s="6" t="str">
        <f t="shared" si="124"/>
        <v>1992-37Albis1989OTC</v>
      </c>
      <c r="G210" s="3" t="s">
        <v>154</v>
      </c>
      <c r="H210" s="3" t="s">
        <v>155</v>
      </c>
      <c r="I210" s="6" t="s">
        <v>167</v>
      </c>
      <c r="J210" s="3" t="s">
        <v>94</v>
      </c>
      <c r="K210" s="6" t="s">
        <v>157</v>
      </c>
      <c r="L210" s="6">
        <v>1989</v>
      </c>
      <c r="M210" s="6" t="s">
        <v>34</v>
      </c>
      <c r="N210" s="6" t="s">
        <v>49</v>
      </c>
      <c r="O210" s="6" t="s">
        <v>36</v>
      </c>
      <c r="P210" s="32" t="s">
        <v>267</v>
      </c>
      <c r="Q210" s="4">
        <f>(7*S210+5*0.976*S210)/12*1.08</f>
        <v>21.384587804962081</v>
      </c>
      <c r="R210" s="3"/>
      <c r="S210" s="6">
        <v>20.000549761468459</v>
      </c>
      <c r="T210" s="3">
        <v>7</v>
      </c>
      <c r="U210" s="3">
        <f t="shared" si="125"/>
        <v>91</v>
      </c>
      <c r="V210" s="6">
        <v>3</v>
      </c>
      <c r="W210" s="9">
        <v>0</v>
      </c>
      <c r="X210" s="7">
        <v>32644</v>
      </c>
      <c r="Y210" s="7">
        <v>32734</v>
      </c>
      <c r="Z210" s="15">
        <v>661</v>
      </c>
      <c r="AA210" s="3" t="s">
        <v>51</v>
      </c>
      <c r="AB210" s="3" t="s">
        <v>168</v>
      </c>
      <c r="AC210" s="3"/>
      <c r="AD210" s="15">
        <v>661</v>
      </c>
      <c r="AE210" s="3" t="s">
        <v>51</v>
      </c>
      <c r="AF210" s="3" t="s">
        <v>168</v>
      </c>
      <c r="AG210" s="3"/>
      <c r="AH210" s="8">
        <f t="shared" si="126"/>
        <v>0</v>
      </c>
      <c r="AI210" s="8">
        <f>VLOOKUP(F210,'[16]Sheet 2'!$A:$S,18,0)/VLOOKUP(F210,'[16]Sheet 2'!$A:$U,20,0)</f>
        <v>701.51152524462304</v>
      </c>
      <c r="AJ210" s="8">
        <f t="shared" si="127"/>
        <v>-5.774890901542399E-2</v>
      </c>
      <c r="AK210" s="15">
        <v>37.700000000000003</v>
      </c>
      <c r="AL210" s="4" t="s">
        <v>37</v>
      </c>
      <c r="AM210" s="3"/>
      <c r="AN210" s="3"/>
      <c r="AO210" s="15">
        <v>37.700000000000003</v>
      </c>
      <c r="AP210" s="4" t="s">
        <v>37</v>
      </c>
      <c r="AQ210" s="3"/>
      <c r="AR210" s="3"/>
      <c r="AS210" s="8">
        <f t="shared" si="128"/>
        <v>0</v>
      </c>
      <c r="AT210" s="8">
        <f>VLOOKUP(F210,'[17]Sheet 2'!$A:$S,18,0)/VLOOKUP(F210,'[17]Sheet 2'!$A:$U,20,0)</f>
        <v>40.281572302003447</v>
      </c>
      <c r="AU210" s="8">
        <f t="shared" si="129"/>
        <v>-6.4088171202667951E-2</v>
      </c>
      <c r="AV210" s="57">
        <v>38.4</v>
      </c>
      <c r="AW210" s="3" t="s">
        <v>132</v>
      </c>
      <c r="AX210" s="3"/>
      <c r="AY210" s="3"/>
      <c r="AZ210" s="3">
        <v>38.4</v>
      </c>
      <c r="BA210" s="3" t="s">
        <v>261</v>
      </c>
      <c r="BB210" s="3"/>
      <c r="BC210" s="3"/>
      <c r="BD210" s="8">
        <f t="shared" si="130"/>
        <v>0</v>
      </c>
      <c r="BE210" s="8">
        <f>VLOOKUP(F210,'[18]Sheet 2'!$A:$S,18,0)/VLOOKUP(F210,'[18]Sheet 2'!$A:$U,20,0)</f>
        <v>38.616860731355615</v>
      </c>
      <c r="BF210" s="8">
        <f t="shared" si="131"/>
        <v>-5.6157006874339947E-3</v>
      </c>
      <c r="BG210" s="3">
        <v>456</v>
      </c>
      <c r="BH210" s="3" t="s">
        <v>164</v>
      </c>
      <c r="BI210" s="3"/>
      <c r="BJ210" s="3"/>
      <c r="BK210" s="3">
        <v>456</v>
      </c>
      <c r="BL210" s="3" t="s">
        <v>164</v>
      </c>
      <c r="BM210" s="3"/>
      <c r="BN210" s="3"/>
      <c r="BO210" s="8">
        <f t="shared" si="132"/>
        <v>0</v>
      </c>
      <c r="BP210" s="8">
        <f>VLOOKUP(F210,'[19]Sheet 2'!$A:$S,18,0)/VLOOKUP(F210,'[19]Sheet 2'!$A:$U,20,0)</f>
        <v>457.509083429729</v>
      </c>
      <c r="BQ210" s="8">
        <f t="shared" si="133"/>
        <v>-3.2984775262080461E-3</v>
      </c>
      <c r="BR210" s="3">
        <f t="shared" si="117"/>
        <v>17533.156498673739</v>
      </c>
      <c r="BS210" s="3" t="s">
        <v>52</v>
      </c>
      <c r="BT210" s="3"/>
      <c r="BU210" s="3"/>
      <c r="BV210" s="3">
        <f t="shared" si="118"/>
        <v>17533.156498673739</v>
      </c>
      <c r="BW210" s="3" t="s">
        <v>52</v>
      </c>
      <c r="BX210" s="3"/>
      <c r="BY210" s="3"/>
      <c r="BZ210" s="8">
        <f t="shared" si="134"/>
        <v>0</v>
      </c>
      <c r="CA210" s="8">
        <f>VLOOKUP(F210,'[20]Sheet 2'!$A:$S,18,0)/VLOOKUP(F210,'[20]Sheet 2'!$A:$U,20,0)</f>
        <v>17758.75129266232</v>
      </c>
      <c r="CB210" s="8">
        <f t="shared" si="135"/>
        <v>-1.270330274188781E-2</v>
      </c>
      <c r="CC210" s="23">
        <f t="shared" ref="CC210:CC217" si="138">46+53/60</f>
        <v>46.883333333333333</v>
      </c>
      <c r="CD210" s="23">
        <f t="shared" ref="CD210:CD217" si="139">7+26/7</f>
        <v>10.714285714285715</v>
      </c>
      <c r="CE210" s="20">
        <v>32595</v>
      </c>
      <c r="CF210" s="18">
        <v>32734</v>
      </c>
      <c r="CG210" s="18">
        <v>32644</v>
      </c>
      <c r="CH210" s="18">
        <v>32734</v>
      </c>
      <c r="CI210" s="21">
        <f t="shared" si="122"/>
        <v>87</v>
      </c>
      <c r="CJ210" s="21">
        <f t="shared" si="111"/>
        <v>226</v>
      </c>
      <c r="CK210" s="30">
        <f t="shared" si="123"/>
        <v>140</v>
      </c>
      <c r="CL210" s="21">
        <f t="shared" si="116"/>
        <v>136</v>
      </c>
      <c r="CM210" s="21">
        <f t="shared" si="112"/>
        <v>226</v>
      </c>
      <c r="CN210" s="19">
        <f t="shared" si="113"/>
        <v>91</v>
      </c>
      <c r="CP210" s="29">
        <v>32686</v>
      </c>
      <c r="CQ210" s="19">
        <f t="shared" si="121"/>
        <v>49</v>
      </c>
    </row>
    <row r="211" spans="1:95" s="19" customFormat="1" hidden="1" x14ac:dyDescent="0.3">
      <c r="A211" s="3">
        <v>1</v>
      </c>
      <c r="B211" s="3"/>
      <c r="C211" s="3"/>
      <c r="D211" s="3" t="s">
        <v>165</v>
      </c>
      <c r="E211" s="6" t="s">
        <v>166</v>
      </c>
      <c r="F211" s="6" t="str">
        <f t="shared" si="124"/>
        <v>1992-37Albis1989OTC</v>
      </c>
      <c r="G211" s="3" t="s">
        <v>154</v>
      </c>
      <c r="H211" s="3" t="s">
        <v>155</v>
      </c>
      <c r="I211" s="6" t="s">
        <v>167</v>
      </c>
      <c r="J211" s="3" t="s">
        <v>94</v>
      </c>
      <c r="K211" s="6" t="s">
        <v>157</v>
      </c>
      <c r="L211" s="13">
        <v>1989</v>
      </c>
      <c r="M211" s="6" t="s">
        <v>34</v>
      </c>
      <c r="N211" s="6" t="s">
        <v>49</v>
      </c>
      <c r="O211" s="13" t="s">
        <v>40</v>
      </c>
      <c r="P211" s="13"/>
      <c r="Q211" s="4">
        <f>S211/1.01*1.08</f>
        <v>41.585301484241342</v>
      </c>
      <c r="R211" s="3"/>
      <c r="S211" s="6">
        <v>38.889957869521993</v>
      </c>
      <c r="T211" s="3">
        <v>7</v>
      </c>
      <c r="U211" s="3">
        <f t="shared" si="125"/>
        <v>91</v>
      </c>
      <c r="V211" s="6">
        <v>3</v>
      </c>
      <c r="W211" s="9">
        <v>4.6083782087559699</v>
      </c>
      <c r="X211" s="7">
        <v>32644</v>
      </c>
      <c r="Y211" s="7">
        <v>32734</v>
      </c>
      <c r="Z211" s="15">
        <v>630</v>
      </c>
      <c r="AA211" s="3" t="s">
        <v>51</v>
      </c>
      <c r="AB211" s="3" t="s">
        <v>168</v>
      </c>
      <c r="AC211" s="3"/>
      <c r="AD211" s="15">
        <v>661</v>
      </c>
      <c r="AE211" s="3" t="s">
        <v>51</v>
      </c>
      <c r="AF211" s="3" t="s">
        <v>168</v>
      </c>
      <c r="AG211" s="3"/>
      <c r="AH211" s="8">
        <f t="shared" si="126"/>
        <v>-4.6898638426626324E-2</v>
      </c>
      <c r="AI211" s="8">
        <f>VLOOKUP(F211,'[16]Sheet 2'!$A:$S,18,0)/VLOOKUP(F211,'[16]Sheet 2'!$A:$U,20,0)</f>
        <v>701.51152524462304</v>
      </c>
      <c r="AJ211" s="8">
        <f t="shared" si="127"/>
        <v>-0.1019392022386038</v>
      </c>
      <c r="AK211" s="15">
        <v>38.4</v>
      </c>
      <c r="AL211" s="4" t="s">
        <v>37</v>
      </c>
      <c r="AM211" s="3"/>
      <c r="AN211" s="3"/>
      <c r="AO211" s="15">
        <v>37.700000000000003</v>
      </c>
      <c r="AP211" s="4" t="s">
        <v>37</v>
      </c>
      <c r="AQ211" s="3"/>
      <c r="AR211" s="3"/>
      <c r="AS211" s="8">
        <f t="shared" si="128"/>
        <v>1.8567639257294315E-2</v>
      </c>
      <c r="AT211" s="8">
        <f>VLOOKUP(F211,'[17]Sheet 2'!$A:$S,18,0)/VLOOKUP(F211,'[17]Sheet 2'!$A:$U,20,0)</f>
        <v>40.281572302003447</v>
      </c>
      <c r="AU211" s="8">
        <f t="shared" si="129"/>
        <v>-4.6710497988924488E-2</v>
      </c>
      <c r="AV211" s="57">
        <v>36.200000000000003</v>
      </c>
      <c r="AW211" s="3" t="s">
        <v>132</v>
      </c>
      <c r="AX211" s="3"/>
      <c r="AY211" s="3"/>
      <c r="AZ211" s="3">
        <v>38.4</v>
      </c>
      <c r="BA211" s="3" t="s">
        <v>261</v>
      </c>
      <c r="BB211" s="3"/>
      <c r="BC211" s="3"/>
      <c r="BD211" s="8">
        <f t="shared" si="130"/>
        <v>-5.729166666666656E-2</v>
      </c>
      <c r="BE211" s="8">
        <f>VLOOKUP(F211,'[18]Sheet 2'!$A:$S,18,0)/VLOOKUP(F211,'[18]Sheet 2'!$A:$U,20,0)</f>
        <v>38.616860731355615</v>
      </c>
      <c r="BF211" s="8">
        <f t="shared" si="131"/>
        <v>-6.2585634502216311E-2</v>
      </c>
      <c r="BG211" s="3">
        <v>462</v>
      </c>
      <c r="BH211" s="3" t="s">
        <v>164</v>
      </c>
      <c r="BI211" s="3"/>
      <c r="BJ211" s="3"/>
      <c r="BK211" s="3">
        <v>456</v>
      </c>
      <c r="BL211" s="3" t="s">
        <v>164</v>
      </c>
      <c r="BM211" s="3"/>
      <c r="BN211" s="3"/>
      <c r="BO211" s="8">
        <f t="shared" si="132"/>
        <v>1.3157894736842105E-2</v>
      </c>
      <c r="BP211" s="8">
        <f>VLOOKUP(F211,'[19]Sheet 2'!$A:$S,18,0)/VLOOKUP(F211,'[19]Sheet 2'!$A:$U,20,0)</f>
        <v>457.509083429729</v>
      </c>
      <c r="BQ211" s="8">
        <f t="shared" si="133"/>
        <v>9.8160161905523746E-3</v>
      </c>
      <c r="BR211" s="3">
        <f t="shared" si="117"/>
        <v>16406.25</v>
      </c>
      <c r="BS211" s="3" t="s">
        <v>52</v>
      </c>
      <c r="BT211" s="3"/>
      <c r="BU211" s="3"/>
      <c r="BV211" s="3">
        <f t="shared" si="118"/>
        <v>17533.156498673739</v>
      </c>
      <c r="BW211" s="3" t="s">
        <v>52</v>
      </c>
      <c r="BX211" s="3"/>
      <c r="BY211" s="3"/>
      <c r="BZ211" s="8">
        <f t="shared" si="134"/>
        <v>-6.4272881996974243E-2</v>
      </c>
      <c r="CA211" s="8">
        <f>VLOOKUP(F211,'[20]Sheet 2'!$A:$S,18,0)/VLOOKUP(F211,'[20]Sheet 2'!$A:$U,20,0)</f>
        <v>17758.75129266232</v>
      </c>
      <c r="CB211" s="8">
        <f t="shared" si="135"/>
        <v>-7.6159706860760859E-2</v>
      </c>
      <c r="CC211" s="23">
        <f t="shared" si="138"/>
        <v>46.883333333333333</v>
      </c>
      <c r="CD211" s="23">
        <f t="shared" si="139"/>
        <v>10.714285714285715</v>
      </c>
      <c r="CE211" s="20">
        <v>32595</v>
      </c>
      <c r="CF211" s="18">
        <v>32734</v>
      </c>
      <c r="CG211" s="18">
        <v>32644</v>
      </c>
      <c r="CH211" s="18">
        <v>32734</v>
      </c>
      <c r="CI211" s="21">
        <f t="shared" si="122"/>
        <v>87</v>
      </c>
      <c r="CJ211" s="21">
        <f t="shared" si="111"/>
        <v>226</v>
      </c>
      <c r="CK211" s="30">
        <f t="shared" si="123"/>
        <v>140</v>
      </c>
      <c r="CL211" s="21">
        <f t="shared" si="116"/>
        <v>136</v>
      </c>
      <c r="CM211" s="21">
        <f t="shared" si="112"/>
        <v>226</v>
      </c>
      <c r="CN211" s="19">
        <f t="shared" si="113"/>
        <v>91</v>
      </c>
      <c r="CP211" s="29">
        <v>32686</v>
      </c>
      <c r="CQ211" s="19">
        <f t="shared" si="121"/>
        <v>49</v>
      </c>
    </row>
    <row r="212" spans="1:95" s="19" customFormat="1" hidden="1" x14ac:dyDescent="0.3">
      <c r="A212" s="3">
        <v>1</v>
      </c>
      <c r="B212" s="3"/>
      <c r="C212" s="3"/>
      <c r="D212" s="3" t="s">
        <v>165</v>
      </c>
      <c r="E212" s="6" t="s">
        <v>166</v>
      </c>
      <c r="F212" s="6" t="str">
        <f t="shared" si="124"/>
        <v>1992-37Albis1989OTC</v>
      </c>
      <c r="G212" s="3" t="s">
        <v>154</v>
      </c>
      <c r="H212" s="3" t="s">
        <v>155</v>
      </c>
      <c r="I212" s="6" t="s">
        <v>167</v>
      </c>
      <c r="J212" s="3" t="s">
        <v>94</v>
      </c>
      <c r="K212" s="6" t="s">
        <v>157</v>
      </c>
      <c r="L212" s="13">
        <v>1989</v>
      </c>
      <c r="M212" s="6" t="s">
        <v>34</v>
      </c>
      <c r="N212" s="6" t="s">
        <v>49</v>
      </c>
      <c r="O212" s="3" t="s">
        <v>134</v>
      </c>
      <c r="P212" s="3"/>
      <c r="Q212" s="4">
        <f>(7*S212+5*0.976*S211)/12*1.08</f>
        <v>51.031402716386772</v>
      </c>
      <c r="R212" s="3"/>
      <c r="S212" s="6">
        <v>53.890370190623344</v>
      </c>
      <c r="T212" s="3">
        <v>7</v>
      </c>
      <c r="U212" s="3">
        <f t="shared" si="125"/>
        <v>91</v>
      </c>
      <c r="V212" s="6">
        <v>3</v>
      </c>
      <c r="W212" s="9">
        <v>11.012574761161099</v>
      </c>
      <c r="X212" s="7">
        <v>32644</v>
      </c>
      <c r="Y212" s="7">
        <v>32734</v>
      </c>
      <c r="Z212" s="15">
        <v>536</v>
      </c>
      <c r="AA212" s="3" t="s">
        <v>51</v>
      </c>
      <c r="AB212" s="3" t="s">
        <v>168</v>
      </c>
      <c r="AC212" s="3"/>
      <c r="AD212" s="15">
        <v>661</v>
      </c>
      <c r="AE212" s="3" t="s">
        <v>51</v>
      </c>
      <c r="AF212" s="3" t="s">
        <v>168</v>
      </c>
      <c r="AG212" s="3"/>
      <c r="AH212" s="8">
        <f t="shared" si="126"/>
        <v>-0.18910741301059</v>
      </c>
      <c r="AI212" s="8">
        <f>VLOOKUP(F212,'[16]Sheet 2'!$A:$S,18,0)/VLOOKUP(F212,'[16]Sheet 2'!$A:$U,20,0)</f>
        <v>701.51152524462304</v>
      </c>
      <c r="AJ212" s="8">
        <f t="shared" si="127"/>
        <v>-0.23593557523792325</v>
      </c>
      <c r="AK212" s="15">
        <v>34</v>
      </c>
      <c r="AL212" s="4" t="s">
        <v>37</v>
      </c>
      <c r="AM212" s="3"/>
      <c r="AN212" s="3"/>
      <c r="AO212" s="15">
        <v>37.700000000000003</v>
      </c>
      <c r="AP212" s="4" t="s">
        <v>37</v>
      </c>
      <c r="AQ212" s="3"/>
      <c r="AR212" s="3"/>
      <c r="AS212" s="8">
        <f t="shared" si="128"/>
        <v>-9.8143236074270626E-2</v>
      </c>
      <c r="AT212" s="8">
        <f>VLOOKUP(F212,'[17]Sheet 2'!$A:$S,18,0)/VLOOKUP(F212,'[17]Sheet 2'!$A:$U,20,0)</f>
        <v>40.281572302003447</v>
      </c>
      <c r="AU212" s="8">
        <f t="shared" si="129"/>
        <v>-0.15594158676102685</v>
      </c>
      <c r="AV212" s="57">
        <v>36.1</v>
      </c>
      <c r="AW212" s="3" t="s">
        <v>132</v>
      </c>
      <c r="AX212" s="3"/>
      <c r="AY212" s="3"/>
      <c r="AZ212" s="3">
        <v>38.4</v>
      </c>
      <c r="BA212" s="3" t="s">
        <v>261</v>
      </c>
      <c r="BB212" s="3"/>
      <c r="BC212" s="3"/>
      <c r="BD212" s="8">
        <f t="shared" si="130"/>
        <v>-5.9895833333333259E-2</v>
      </c>
      <c r="BE212" s="8">
        <f>VLOOKUP(F212,'[18]Sheet 2'!$A:$S,18,0)/VLOOKUP(F212,'[18]Sheet 2'!$A:$U,20,0)</f>
        <v>38.616860731355615</v>
      </c>
      <c r="BF212" s="8">
        <f t="shared" si="131"/>
        <v>-6.5175176948342822E-2</v>
      </c>
      <c r="BG212" s="3">
        <v>451</v>
      </c>
      <c r="BH212" s="3" t="s">
        <v>164</v>
      </c>
      <c r="BI212" s="3"/>
      <c r="BJ212" s="3"/>
      <c r="BK212" s="3">
        <v>456</v>
      </c>
      <c r="BL212" s="3" t="s">
        <v>164</v>
      </c>
      <c r="BM212" s="3"/>
      <c r="BN212" s="3"/>
      <c r="BO212" s="8">
        <f t="shared" si="132"/>
        <v>-1.0964912280701754E-2</v>
      </c>
      <c r="BP212" s="8">
        <f>VLOOKUP(F212,'[19]Sheet 2'!$A:$S,18,0)/VLOOKUP(F212,'[19]Sheet 2'!$A:$U,20,0)</f>
        <v>457.509083429729</v>
      </c>
      <c r="BQ212" s="8">
        <f t="shared" si="133"/>
        <v>-1.4227222290175062E-2</v>
      </c>
      <c r="BR212" s="3">
        <f t="shared" si="117"/>
        <v>15764.705882352942</v>
      </c>
      <c r="BS212" s="3" t="s">
        <v>52</v>
      </c>
      <c r="BT212" s="3"/>
      <c r="BU212" s="3"/>
      <c r="BV212" s="3">
        <f t="shared" si="118"/>
        <v>17533.156498673739</v>
      </c>
      <c r="BW212" s="3" t="s">
        <v>52</v>
      </c>
      <c r="BX212" s="3"/>
      <c r="BY212" s="3"/>
      <c r="BZ212" s="8">
        <f t="shared" si="134"/>
        <v>-0.10086321972056589</v>
      </c>
      <c r="CA212" s="8">
        <f>VLOOKUP(F212,'[20]Sheet 2'!$A:$S,18,0)/VLOOKUP(F212,'[20]Sheet 2'!$A:$U,20,0)</f>
        <v>17758.75129266232</v>
      </c>
      <c r="CB212" s="8">
        <f t="shared" si="135"/>
        <v>-0.1122852264468218</v>
      </c>
      <c r="CC212" s="23">
        <f t="shared" si="138"/>
        <v>46.883333333333333</v>
      </c>
      <c r="CD212" s="23">
        <f t="shared" si="139"/>
        <v>10.714285714285715</v>
      </c>
      <c r="CE212" s="20">
        <v>32595</v>
      </c>
      <c r="CF212" s="18">
        <v>32734</v>
      </c>
      <c r="CG212" s="18">
        <v>32644</v>
      </c>
      <c r="CH212" s="18">
        <v>32734</v>
      </c>
      <c r="CI212" s="21">
        <f t="shared" si="122"/>
        <v>87</v>
      </c>
      <c r="CJ212" s="21">
        <f t="shared" si="111"/>
        <v>226</v>
      </c>
      <c r="CK212" s="30">
        <f t="shared" si="123"/>
        <v>140</v>
      </c>
      <c r="CL212" s="21">
        <f t="shared" si="116"/>
        <v>136</v>
      </c>
      <c r="CM212" s="21">
        <f t="shared" si="112"/>
        <v>226</v>
      </c>
      <c r="CN212" s="19">
        <f t="shared" si="113"/>
        <v>91</v>
      </c>
      <c r="CP212" s="29">
        <v>32686</v>
      </c>
      <c r="CQ212" s="19">
        <f t="shared" si="121"/>
        <v>49</v>
      </c>
    </row>
    <row r="213" spans="1:95" s="19" customFormat="1" hidden="1" x14ac:dyDescent="0.3">
      <c r="A213" s="3">
        <v>1</v>
      </c>
      <c r="B213" s="3"/>
      <c r="C213" s="3"/>
      <c r="D213" s="3" t="s">
        <v>165</v>
      </c>
      <c r="E213" s="6" t="s">
        <v>166</v>
      </c>
      <c r="F213" s="6" t="str">
        <f t="shared" si="124"/>
        <v>1992-37Albis1989OTC</v>
      </c>
      <c r="G213" s="3" t="s">
        <v>154</v>
      </c>
      <c r="H213" s="3" t="s">
        <v>155</v>
      </c>
      <c r="I213" s="6" t="s">
        <v>167</v>
      </c>
      <c r="J213" s="3" t="s">
        <v>94</v>
      </c>
      <c r="K213" s="6" t="s">
        <v>157</v>
      </c>
      <c r="L213" s="13">
        <v>1989</v>
      </c>
      <c r="M213" s="6" t="s">
        <v>34</v>
      </c>
      <c r="N213" s="6" t="s">
        <v>49</v>
      </c>
      <c r="O213" s="3" t="s">
        <v>135</v>
      </c>
      <c r="P213" s="3"/>
      <c r="Q213" s="4">
        <f>(7*S213+5*0.976*S211)/12*1.08</f>
        <v>59.781643237029208</v>
      </c>
      <c r="R213" s="3"/>
      <c r="S213" s="6">
        <v>67.779640858309762</v>
      </c>
      <c r="T213" s="3">
        <v>7</v>
      </c>
      <c r="U213" s="3">
        <f t="shared" si="125"/>
        <v>91</v>
      </c>
      <c r="V213" s="6">
        <v>3</v>
      </c>
      <c r="W213" s="9">
        <v>18.596503033997301</v>
      </c>
      <c r="X213" s="7">
        <v>32644</v>
      </c>
      <c r="Y213" s="7">
        <v>32734</v>
      </c>
      <c r="Z213" s="15">
        <v>467</v>
      </c>
      <c r="AA213" s="3" t="s">
        <v>51</v>
      </c>
      <c r="AB213" s="3" t="s">
        <v>168</v>
      </c>
      <c r="AC213" s="3"/>
      <c r="AD213" s="15">
        <v>661</v>
      </c>
      <c r="AE213" s="3" t="s">
        <v>51</v>
      </c>
      <c r="AF213" s="3" t="s">
        <v>168</v>
      </c>
      <c r="AG213" s="3"/>
      <c r="AH213" s="8">
        <f t="shared" si="126"/>
        <v>-0.29349470499243568</v>
      </c>
      <c r="AI213" s="8">
        <f>VLOOKUP(F213,'[16]Sheet 2'!$A:$S,18,0)/VLOOKUP(F213,'[16]Sheet 2'!$A:$U,20,0)</f>
        <v>701.51152524462304</v>
      </c>
      <c r="AJ213" s="8">
        <f t="shared" si="127"/>
        <v>-0.33429461499274282</v>
      </c>
      <c r="AK213" s="15">
        <v>29.6</v>
      </c>
      <c r="AL213" s="4" t="s">
        <v>37</v>
      </c>
      <c r="AM213" s="3"/>
      <c r="AN213" s="3"/>
      <c r="AO213" s="15">
        <v>37.700000000000003</v>
      </c>
      <c r="AP213" s="4" t="s">
        <v>37</v>
      </c>
      <c r="AQ213" s="3"/>
      <c r="AR213" s="3"/>
      <c r="AS213" s="8">
        <f t="shared" si="128"/>
        <v>-0.21485411140583557</v>
      </c>
      <c r="AT213" s="8">
        <f>VLOOKUP(F213,'[17]Sheet 2'!$A:$S,18,0)/VLOOKUP(F213,'[17]Sheet 2'!$A:$U,20,0)</f>
        <v>40.281572302003447</v>
      </c>
      <c r="AU213" s="8">
        <f t="shared" si="129"/>
        <v>-0.26517267553312923</v>
      </c>
      <c r="AV213" s="57">
        <v>34.700000000000003</v>
      </c>
      <c r="AW213" s="3" t="s">
        <v>132</v>
      </c>
      <c r="AX213" s="3"/>
      <c r="AY213" s="3"/>
      <c r="AZ213" s="3">
        <v>38.4</v>
      </c>
      <c r="BA213" s="3" t="s">
        <v>261</v>
      </c>
      <c r="BB213" s="3"/>
      <c r="BC213" s="3"/>
      <c r="BD213" s="8">
        <f t="shared" si="130"/>
        <v>-9.635416666666656E-2</v>
      </c>
      <c r="BE213" s="8">
        <f>VLOOKUP(F213,'[18]Sheet 2'!$A:$S,18,0)/VLOOKUP(F213,'[18]Sheet 2'!$A:$U,20,0)</f>
        <v>38.616860731355615</v>
      </c>
      <c r="BF213" s="8">
        <f t="shared" si="131"/>
        <v>-0.10142877119411342</v>
      </c>
      <c r="BG213" s="3">
        <v>438</v>
      </c>
      <c r="BH213" s="3" t="s">
        <v>164</v>
      </c>
      <c r="BI213" s="3"/>
      <c r="BJ213" s="3"/>
      <c r="BK213" s="3">
        <v>456</v>
      </c>
      <c r="BL213" s="3" t="s">
        <v>164</v>
      </c>
      <c r="BM213" s="3"/>
      <c r="BN213" s="3"/>
      <c r="BO213" s="8">
        <f t="shared" si="132"/>
        <v>-3.9473684210526314E-2</v>
      </c>
      <c r="BP213" s="8">
        <f>VLOOKUP(F213,'[19]Sheet 2'!$A:$S,18,0)/VLOOKUP(F213,'[19]Sheet 2'!$A:$U,20,0)</f>
        <v>457.509083429729</v>
      </c>
      <c r="BQ213" s="8">
        <f t="shared" si="133"/>
        <v>-4.264195867648931E-2</v>
      </c>
      <c r="BR213" s="3">
        <f t="shared" si="117"/>
        <v>15777.027027027027</v>
      </c>
      <c r="BS213" s="3" t="s">
        <v>52</v>
      </c>
      <c r="BT213" s="3"/>
      <c r="BU213" s="3"/>
      <c r="BV213" s="3">
        <f t="shared" si="118"/>
        <v>17533.156498673739</v>
      </c>
      <c r="BW213" s="3" t="s">
        <v>52</v>
      </c>
      <c r="BX213" s="3"/>
      <c r="BY213" s="3"/>
      <c r="BZ213" s="8">
        <f t="shared" si="134"/>
        <v>-0.10016048575050086</v>
      </c>
      <c r="CA213" s="8">
        <f>VLOOKUP(F213,'[20]Sheet 2'!$A:$S,18,0)/VLOOKUP(F213,'[20]Sheet 2'!$A:$U,20,0)</f>
        <v>17758.75129266232</v>
      </c>
      <c r="CB213" s="8">
        <f t="shared" si="135"/>
        <v>-0.11159141951912553</v>
      </c>
      <c r="CC213" s="23">
        <f t="shared" si="138"/>
        <v>46.883333333333333</v>
      </c>
      <c r="CD213" s="23">
        <f t="shared" si="139"/>
        <v>10.714285714285715</v>
      </c>
      <c r="CE213" s="20">
        <v>32595</v>
      </c>
      <c r="CF213" s="18">
        <v>32734</v>
      </c>
      <c r="CG213" s="18">
        <v>32644</v>
      </c>
      <c r="CH213" s="18">
        <v>32734</v>
      </c>
      <c r="CI213" s="21">
        <f t="shared" si="122"/>
        <v>87</v>
      </c>
      <c r="CJ213" s="21">
        <f t="shared" si="111"/>
        <v>226</v>
      </c>
      <c r="CK213" s="30">
        <f t="shared" si="123"/>
        <v>140</v>
      </c>
      <c r="CL213" s="21">
        <f t="shared" si="116"/>
        <v>136</v>
      </c>
      <c r="CM213" s="21">
        <f t="shared" si="112"/>
        <v>226</v>
      </c>
      <c r="CN213" s="19">
        <f t="shared" si="113"/>
        <v>91</v>
      </c>
      <c r="CP213" s="29">
        <v>32686</v>
      </c>
      <c r="CQ213" s="19">
        <f t="shared" si="121"/>
        <v>49</v>
      </c>
    </row>
    <row r="214" spans="1:95" s="42" customFormat="1" hidden="1" x14ac:dyDescent="0.3">
      <c r="A214" s="31">
        <v>1</v>
      </c>
      <c r="B214" s="31"/>
      <c r="C214" s="31"/>
      <c r="D214" s="31" t="s">
        <v>165</v>
      </c>
      <c r="E214" s="34" t="s">
        <v>166</v>
      </c>
      <c r="F214" s="34" t="str">
        <f t="shared" si="124"/>
        <v>1992-37Albis1990OTC</v>
      </c>
      <c r="G214" s="31" t="s">
        <v>154</v>
      </c>
      <c r="H214" s="31" t="s">
        <v>155</v>
      </c>
      <c r="I214" s="34" t="s">
        <v>167</v>
      </c>
      <c r="J214" s="31" t="s">
        <v>94</v>
      </c>
      <c r="K214" s="34" t="s">
        <v>157</v>
      </c>
      <c r="L214" s="34">
        <v>1990</v>
      </c>
      <c r="M214" s="34" t="s">
        <v>34</v>
      </c>
      <c r="N214" s="34" t="s">
        <v>49</v>
      </c>
      <c r="O214" s="34" t="s">
        <v>36</v>
      </c>
      <c r="P214" s="32" t="s">
        <v>267</v>
      </c>
      <c r="Q214" s="31">
        <f>(7*S214+5*0.976*S214)/12*U214*12/1000+S215/1.01*(90-U214)*12/1000</f>
        <v>20.672845300495926</v>
      </c>
      <c r="R214" s="31"/>
      <c r="S214" s="34">
        <v>18.81820060661811</v>
      </c>
      <c r="T214" s="31">
        <v>7</v>
      </c>
      <c r="U214" s="31">
        <f t="shared" si="125"/>
        <v>88</v>
      </c>
      <c r="V214" s="34">
        <v>3</v>
      </c>
      <c r="W214" s="43">
        <v>0</v>
      </c>
      <c r="X214" s="35">
        <v>33007</v>
      </c>
      <c r="Y214" s="35">
        <v>33094</v>
      </c>
      <c r="Z214" s="59">
        <v>739</v>
      </c>
      <c r="AA214" s="31" t="s">
        <v>51</v>
      </c>
      <c r="AB214" s="31" t="s">
        <v>168</v>
      </c>
      <c r="AC214" s="31"/>
      <c r="AD214" s="59">
        <v>739</v>
      </c>
      <c r="AE214" s="31" t="s">
        <v>51</v>
      </c>
      <c r="AF214" s="31" t="s">
        <v>168</v>
      </c>
      <c r="AG214" s="31"/>
      <c r="AH214" s="8">
        <f t="shared" si="126"/>
        <v>0</v>
      </c>
      <c r="AI214" s="8">
        <f>VLOOKUP(F214,'[16]Sheet 2'!$A:$S,18,0)/VLOOKUP(F214,'[16]Sheet 2'!$A:$U,20,0)</f>
        <v>843.8627948866374</v>
      </c>
      <c r="AJ214" s="8">
        <f t="shared" si="127"/>
        <v>-0.12426521885080197</v>
      </c>
      <c r="AK214" s="59">
        <v>39.1</v>
      </c>
      <c r="AL214" s="32" t="s">
        <v>37</v>
      </c>
      <c r="AM214" s="31"/>
      <c r="AN214" s="31"/>
      <c r="AO214" s="59">
        <v>39.1</v>
      </c>
      <c r="AP214" s="32" t="s">
        <v>37</v>
      </c>
      <c r="AQ214" s="31"/>
      <c r="AR214" s="31"/>
      <c r="AS214" s="8">
        <f t="shared" si="128"/>
        <v>0</v>
      </c>
      <c r="AT214" s="8">
        <f>VLOOKUP(F214,'[17]Sheet 2'!$A:$S,18,0)/VLOOKUP(F214,'[17]Sheet 2'!$A:$U,20,0)</f>
        <v>43.629919254803767</v>
      </c>
      <c r="AU214" s="8">
        <f t="shared" si="129"/>
        <v>-0.10382598299915509</v>
      </c>
      <c r="AV214" s="57">
        <v>37.200000000000003</v>
      </c>
      <c r="AW214" s="31" t="s">
        <v>132</v>
      </c>
      <c r="AX214" s="31"/>
      <c r="AY214" s="31"/>
      <c r="AZ214" s="31">
        <v>37.200000000000003</v>
      </c>
      <c r="BA214" s="31" t="s">
        <v>261</v>
      </c>
      <c r="BB214" s="31"/>
      <c r="BC214" s="31"/>
      <c r="BD214" s="8">
        <f t="shared" si="130"/>
        <v>0</v>
      </c>
      <c r="BE214" s="8">
        <f>VLOOKUP(F214,'[18]Sheet 2'!$A:$S,18,0)/VLOOKUP(F214,'[18]Sheet 2'!$A:$U,20,0)</f>
        <v>38.683488486925818</v>
      </c>
      <c r="BF214" s="8">
        <f t="shared" si="131"/>
        <v>-3.8349397765074927E-2</v>
      </c>
      <c r="BG214" s="31">
        <v>515</v>
      </c>
      <c r="BH214" s="31" t="s">
        <v>164</v>
      </c>
      <c r="BI214" s="31"/>
      <c r="BJ214" s="31"/>
      <c r="BK214" s="31">
        <v>515</v>
      </c>
      <c r="BL214" s="31" t="s">
        <v>164</v>
      </c>
      <c r="BM214" s="31"/>
      <c r="BN214" s="31"/>
      <c r="BO214" s="8">
        <f t="shared" si="132"/>
        <v>0</v>
      </c>
      <c r="BP214" s="8">
        <f>VLOOKUP(F214,'[19]Sheet 2'!$A:$S,18,0)/VLOOKUP(F214,'[19]Sheet 2'!$A:$U,20,0)</f>
        <v>505.95364712443586</v>
      </c>
      <c r="BQ214" s="8">
        <f t="shared" si="133"/>
        <v>1.7879805644210031E-2</v>
      </c>
      <c r="BR214" s="31">
        <f t="shared" si="117"/>
        <v>18900.2557544757</v>
      </c>
      <c r="BS214" s="31" t="s">
        <v>52</v>
      </c>
      <c r="BT214" s="31"/>
      <c r="BU214" s="31"/>
      <c r="BV214" s="31">
        <f t="shared" si="118"/>
        <v>18900.2557544757</v>
      </c>
      <c r="BW214" s="31" t="s">
        <v>52</v>
      </c>
      <c r="BX214" s="31"/>
      <c r="BY214" s="31"/>
      <c r="BZ214" s="8">
        <f t="shared" si="134"/>
        <v>0</v>
      </c>
      <c r="CA214" s="8">
        <f>VLOOKUP(F214,'[20]Sheet 2'!$A:$S,18,0)/VLOOKUP(F214,'[20]Sheet 2'!$A:$U,20,0)</f>
        <v>19695.350821528347</v>
      </c>
      <c r="CB214" s="8">
        <f t="shared" si="135"/>
        <v>-4.0369682888997067E-2</v>
      </c>
      <c r="CC214" s="54">
        <f t="shared" si="138"/>
        <v>46.883333333333333</v>
      </c>
      <c r="CD214" s="54">
        <f t="shared" si="139"/>
        <v>10.714285714285715</v>
      </c>
      <c r="CE214" s="38">
        <v>32951</v>
      </c>
      <c r="CF214" s="39">
        <v>33094</v>
      </c>
      <c r="CG214" s="39">
        <v>33007</v>
      </c>
      <c r="CH214" s="39">
        <v>33094</v>
      </c>
      <c r="CI214" s="40">
        <f t="shared" si="122"/>
        <v>78</v>
      </c>
      <c r="CJ214" s="40">
        <f t="shared" si="111"/>
        <v>221</v>
      </c>
      <c r="CK214" s="41">
        <f t="shared" si="123"/>
        <v>144</v>
      </c>
      <c r="CL214" s="40">
        <f t="shared" si="116"/>
        <v>134</v>
      </c>
      <c r="CM214" s="40">
        <f t="shared" si="112"/>
        <v>221</v>
      </c>
      <c r="CN214" s="42">
        <f t="shared" si="113"/>
        <v>88</v>
      </c>
      <c r="CP214" s="47">
        <v>33055</v>
      </c>
      <c r="CQ214" s="42">
        <f t="shared" si="121"/>
        <v>40</v>
      </c>
    </row>
    <row r="215" spans="1:95" s="42" customFormat="1" hidden="1" x14ac:dyDescent="0.3">
      <c r="A215" s="31">
        <v>1</v>
      </c>
      <c r="B215" s="31"/>
      <c r="C215" s="31"/>
      <c r="D215" s="31" t="s">
        <v>165</v>
      </c>
      <c r="E215" s="34" t="s">
        <v>166</v>
      </c>
      <c r="F215" s="34" t="str">
        <f t="shared" si="124"/>
        <v>1992-37Albis1990OTC</v>
      </c>
      <c r="G215" s="31" t="s">
        <v>154</v>
      </c>
      <c r="H215" s="31" t="s">
        <v>155</v>
      </c>
      <c r="I215" s="34" t="s">
        <v>167</v>
      </c>
      <c r="J215" s="31" t="s">
        <v>94</v>
      </c>
      <c r="K215" s="34" t="s">
        <v>157</v>
      </c>
      <c r="L215" s="56">
        <v>1990</v>
      </c>
      <c r="M215" s="34" t="s">
        <v>34</v>
      </c>
      <c r="N215" s="34" t="s">
        <v>49</v>
      </c>
      <c r="O215" s="56" t="s">
        <v>40</v>
      </c>
      <c r="P215" s="56"/>
      <c r="Q215" s="32">
        <f>S215/1.01*1.08</f>
        <v>44.979554624088941</v>
      </c>
      <c r="R215" s="31"/>
      <c r="S215" s="34">
        <v>42.064213120675767</v>
      </c>
      <c r="T215" s="31">
        <v>7</v>
      </c>
      <c r="U215" s="31">
        <f t="shared" si="125"/>
        <v>88</v>
      </c>
      <c r="V215" s="34">
        <v>3</v>
      </c>
      <c r="W215" s="43">
        <v>6.5846869894592803</v>
      </c>
      <c r="X215" s="35">
        <v>33007</v>
      </c>
      <c r="Y215" s="35">
        <v>33094</v>
      </c>
      <c r="Z215" s="59">
        <v>688</v>
      </c>
      <c r="AA215" s="31" t="s">
        <v>51</v>
      </c>
      <c r="AB215" s="31" t="s">
        <v>168</v>
      </c>
      <c r="AC215" s="31"/>
      <c r="AD215" s="59">
        <v>739</v>
      </c>
      <c r="AE215" s="31" t="s">
        <v>51</v>
      </c>
      <c r="AF215" s="31" t="s">
        <v>168</v>
      </c>
      <c r="AG215" s="31"/>
      <c r="AH215" s="8">
        <f t="shared" si="126"/>
        <v>-6.9012178619756434E-2</v>
      </c>
      <c r="AI215" s="8">
        <f>VLOOKUP(F215,'[16]Sheet 2'!$A:$S,18,0)/VLOOKUP(F215,'[16]Sheet 2'!$A:$U,20,0)</f>
        <v>843.8627948866374</v>
      </c>
      <c r="AJ215" s="8">
        <f t="shared" si="127"/>
        <v>-0.18470158399100373</v>
      </c>
      <c r="AK215" s="59">
        <v>38.6</v>
      </c>
      <c r="AL215" s="32" t="s">
        <v>37</v>
      </c>
      <c r="AM215" s="31"/>
      <c r="AN215" s="31"/>
      <c r="AO215" s="59">
        <v>39.1</v>
      </c>
      <c r="AP215" s="32" t="s">
        <v>37</v>
      </c>
      <c r="AQ215" s="31"/>
      <c r="AR215" s="31"/>
      <c r="AS215" s="8">
        <f t="shared" si="128"/>
        <v>-1.278772378516624E-2</v>
      </c>
      <c r="AT215" s="8">
        <f>VLOOKUP(F215,'[17]Sheet 2'!$A:$S,18,0)/VLOOKUP(F215,'[17]Sheet 2'!$A:$U,20,0)</f>
        <v>43.629919254803767</v>
      </c>
      <c r="AU215" s="8">
        <f t="shared" si="129"/>
        <v>-0.11528600879200476</v>
      </c>
      <c r="AV215" s="57">
        <v>35.200000000000003</v>
      </c>
      <c r="AW215" s="31" t="s">
        <v>132</v>
      </c>
      <c r="AX215" s="31"/>
      <c r="AY215" s="31"/>
      <c r="AZ215" s="31">
        <v>37.200000000000003</v>
      </c>
      <c r="BA215" s="31" t="s">
        <v>261</v>
      </c>
      <c r="BB215" s="31"/>
      <c r="BC215" s="31"/>
      <c r="BD215" s="8">
        <f t="shared" si="130"/>
        <v>-5.3763440860215048E-2</v>
      </c>
      <c r="BE215" s="8">
        <f>VLOOKUP(F215,'[18]Sheet 2'!$A:$S,18,0)/VLOOKUP(F215,'[18]Sheet 2'!$A:$U,20,0)</f>
        <v>38.683488486925818</v>
      </c>
      <c r="BF215" s="8">
        <f t="shared" si="131"/>
        <v>-9.0051043046522505E-2</v>
      </c>
      <c r="BG215" s="31">
        <v>508</v>
      </c>
      <c r="BH215" s="31" t="s">
        <v>164</v>
      </c>
      <c r="BI215" s="31"/>
      <c r="BJ215" s="31"/>
      <c r="BK215" s="31">
        <v>515</v>
      </c>
      <c r="BL215" s="31" t="s">
        <v>164</v>
      </c>
      <c r="BM215" s="31"/>
      <c r="BN215" s="31"/>
      <c r="BO215" s="8">
        <f t="shared" si="132"/>
        <v>-1.3592233009708738E-2</v>
      </c>
      <c r="BP215" s="8">
        <f>VLOOKUP(F215,'[19]Sheet 2'!$A:$S,18,0)/VLOOKUP(F215,'[19]Sheet 2'!$A:$U,20,0)</f>
        <v>505.95364712443586</v>
      </c>
      <c r="BQ215" s="8">
        <f t="shared" si="133"/>
        <v>4.0445461500168856E-3</v>
      </c>
      <c r="BR215" s="31">
        <f t="shared" si="117"/>
        <v>17823.834196891192</v>
      </c>
      <c r="BS215" s="31" t="s">
        <v>52</v>
      </c>
      <c r="BT215" s="31"/>
      <c r="BU215" s="31"/>
      <c r="BV215" s="31">
        <f t="shared" si="118"/>
        <v>18900.2557544757</v>
      </c>
      <c r="BW215" s="31" t="s">
        <v>52</v>
      </c>
      <c r="BX215" s="31"/>
      <c r="BY215" s="31"/>
      <c r="BZ215" s="8">
        <f t="shared" si="134"/>
        <v>-5.6952750881670205E-2</v>
      </c>
      <c r="CA215" s="8">
        <f>VLOOKUP(F215,'[20]Sheet 2'!$A:$S,18,0)/VLOOKUP(F215,'[20]Sheet 2'!$A:$U,20,0)</f>
        <v>19695.350821528347</v>
      </c>
      <c r="CB215" s="8">
        <f t="shared" si="135"/>
        <v>-9.5023269277918196E-2</v>
      </c>
      <c r="CC215" s="54">
        <f t="shared" si="138"/>
        <v>46.883333333333333</v>
      </c>
      <c r="CD215" s="54">
        <f t="shared" si="139"/>
        <v>10.714285714285715</v>
      </c>
      <c r="CE215" s="38">
        <v>32951</v>
      </c>
      <c r="CF215" s="39">
        <v>33094</v>
      </c>
      <c r="CG215" s="39">
        <v>33007</v>
      </c>
      <c r="CH215" s="39">
        <v>33094</v>
      </c>
      <c r="CI215" s="40">
        <f t="shared" si="122"/>
        <v>78</v>
      </c>
      <c r="CJ215" s="40">
        <f t="shared" ref="CJ215:CJ233" si="140">CF215-INT(YEAR(CF215)&amp;"/1/1")+1</f>
        <v>221</v>
      </c>
      <c r="CK215" s="41">
        <f t="shared" si="123"/>
        <v>144</v>
      </c>
      <c r="CL215" s="40">
        <f t="shared" si="116"/>
        <v>134</v>
      </c>
      <c r="CM215" s="40">
        <f t="shared" si="112"/>
        <v>221</v>
      </c>
      <c r="CN215" s="42">
        <f t="shared" si="113"/>
        <v>88</v>
      </c>
      <c r="CP215" s="47">
        <v>33055</v>
      </c>
      <c r="CQ215" s="42">
        <f t="shared" si="121"/>
        <v>40</v>
      </c>
    </row>
    <row r="216" spans="1:95" s="42" customFormat="1" hidden="1" x14ac:dyDescent="0.3">
      <c r="A216" s="31">
        <v>1</v>
      </c>
      <c r="B216" s="31"/>
      <c r="C216" s="31"/>
      <c r="D216" s="31" t="s">
        <v>165</v>
      </c>
      <c r="E216" s="34" t="s">
        <v>166</v>
      </c>
      <c r="F216" s="34" t="str">
        <f t="shared" si="124"/>
        <v>1992-37Albis1990OTC</v>
      </c>
      <c r="G216" s="31" t="s">
        <v>154</v>
      </c>
      <c r="H216" s="31" t="s">
        <v>155</v>
      </c>
      <c r="I216" s="34" t="s">
        <v>167</v>
      </c>
      <c r="J216" s="31" t="s">
        <v>94</v>
      </c>
      <c r="K216" s="34" t="s">
        <v>157</v>
      </c>
      <c r="L216" s="56">
        <v>1990</v>
      </c>
      <c r="M216" s="34" t="s">
        <v>34</v>
      </c>
      <c r="N216" s="34" t="s">
        <v>49</v>
      </c>
      <c r="O216" s="31" t="s">
        <v>134</v>
      </c>
      <c r="P216" s="31"/>
      <c r="Q216" s="31">
        <f>(7*S216+5*0.976*S215)/12*U216*12/1000+S215/1.01*(90-U216)*12/1000</f>
        <v>56.226226679996273</v>
      </c>
      <c r="R216" s="31"/>
      <c r="S216" s="34">
        <v>60.328937238863936</v>
      </c>
      <c r="T216" s="31">
        <v>7</v>
      </c>
      <c r="U216" s="31">
        <f t="shared" si="125"/>
        <v>88</v>
      </c>
      <c r="V216" s="34">
        <v>3</v>
      </c>
      <c r="W216" s="43">
        <v>15.4082260212028</v>
      </c>
      <c r="X216" s="35">
        <v>33007</v>
      </c>
      <c r="Y216" s="35">
        <v>33094</v>
      </c>
      <c r="Z216" s="59">
        <v>630</v>
      </c>
      <c r="AA216" s="31" t="s">
        <v>51</v>
      </c>
      <c r="AB216" s="31" t="s">
        <v>168</v>
      </c>
      <c r="AC216" s="31"/>
      <c r="AD216" s="59">
        <v>739</v>
      </c>
      <c r="AE216" s="31" t="s">
        <v>51</v>
      </c>
      <c r="AF216" s="31" t="s">
        <v>168</v>
      </c>
      <c r="AG216" s="31"/>
      <c r="AH216" s="8">
        <f t="shared" si="126"/>
        <v>-0.14749661705006767</v>
      </c>
      <c r="AI216" s="8">
        <f>VLOOKUP(F216,'[16]Sheet 2'!$A:$S,18,0)/VLOOKUP(F216,'[16]Sheet 2'!$A:$U,20,0)</f>
        <v>843.8627948866374</v>
      </c>
      <c r="AJ216" s="8">
        <f t="shared" si="127"/>
        <v>-0.25343313650339006</v>
      </c>
      <c r="AK216" s="59">
        <v>36.4</v>
      </c>
      <c r="AL216" s="32" t="s">
        <v>37</v>
      </c>
      <c r="AM216" s="31"/>
      <c r="AN216" s="31"/>
      <c r="AO216" s="59">
        <v>39.1</v>
      </c>
      <c r="AP216" s="32" t="s">
        <v>37</v>
      </c>
      <c r="AQ216" s="31"/>
      <c r="AR216" s="31"/>
      <c r="AS216" s="8">
        <f t="shared" si="128"/>
        <v>-6.9053708439897762E-2</v>
      </c>
      <c r="AT216" s="8">
        <f>VLOOKUP(F216,'[17]Sheet 2'!$A:$S,18,0)/VLOOKUP(F216,'[17]Sheet 2'!$A:$U,20,0)</f>
        <v>43.629919254803767</v>
      </c>
      <c r="AU216" s="8">
        <f t="shared" si="129"/>
        <v>-0.16571012228054341</v>
      </c>
      <c r="AV216" s="57">
        <v>36.1</v>
      </c>
      <c r="AW216" s="31" t="s">
        <v>132</v>
      </c>
      <c r="AX216" s="31"/>
      <c r="AY216" s="31"/>
      <c r="AZ216" s="31">
        <v>37.200000000000003</v>
      </c>
      <c r="BA216" s="31" t="s">
        <v>261</v>
      </c>
      <c r="BB216" s="31"/>
      <c r="BC216" s="31"/>
      <c r="BD216" s="8">
        <f t="shared" si="130"/>
        <v>-2.9569892473118316E-2</v>
      </c>
      <c r="BE216" s="8">
        <f>VLOOKUP(F216,'[18]Sheet 2'!$A:$S,18,0)/VLOOKUP(F216,'[18]Sheet 2'!$A:$U,20,0)</f>
        <v>38.683488486925818</v>
      </c>
      <c r="BF216" s="8">
        <f t="shared" si="131"/>
        <v>-6.6785302669871136E-2</v>
      </c>
      <c r="BG216" s="31">
        <v>481</v>
      </c>
      <c r="BH216" s="31" t="s">
        <v>164</v>
      </c>
      <c r="BI216" s="31"/>
      <c r="BJ216" s="31"/>
      <c r="BK216" s="31">
        <v>515</v>
      </c>
      <c r="BL216" s="31" t="s">
        <v>164</v>
      </c>
      <c r="BM216" s="31"/>
      <c r="BN216" s="31"/>
      <c r="BO216" s="8">
        <f t="shared" si="132"/>
        <v>-6.6019417475728162E-2</v>
      </c>
      <c r="BP216" s="8">
        <f>VLOOKUP(F216,'[19]Sheet 2'!$A:$S,18,0)/VLOOKUP(F216,'[19]Sheet 2'!$A:$U,20,0)</f>
        <v>505.95364712443586</v>
      </c>
      <c r="BQ216" s="8">
        <f t="shared" si="133"/>
        <v>-4.9320026184728104E-2</v>
      </c>
      <c r="BR216" s="31">
        <f t="shared" si="117"/>
        <v>17307.692307692305</v>
      </c>
      <c r="BS216" s="31" t="s">
        <v>52</v>
      </c>
      <c r="BT216" s="31"/>
      <c r="BU216" s="31"/>
      <c r="BV216" s="31">
        <f t="shared" si="118"/>
        <v>18900.2557544757</v>
      </c>
      <c r="BW216" s="31" t="s">
        <v>52</v>
      </c>
      <c r="BX216" s="31"/>
      <c r="BY216" s="31"/>
      <c r="BZ216" s="8">
        <f t="shared" si="134"/>
        <v>-8.4261476007078159E-2</v>
      </c>
      <c r="CA216" s="8">
        <f>VLOOKUP(F216,'[20]Sheet 2'!$A:$S,18,0)/VLOOKUP(F216,'[20]Sheet 2'!$A:$U,20,0)</f>
        <v>19695.350821528347</v>
      </c>
      <c r="CB216" s="8">
        <f t="shared" si="135"/>
        <v>-0.12122954982991065</v>
      </c>
      <c r="CC216" s="54">
        <f t="shared" si="138"/>
        <v>46.883333333333333</v>
      </c>
      <c r="CD216" s="54">
        <f t="shared" si="139"/>
        <v>10.714285714285715</v>
      </c>
      <c r="CE216" s="38">
        <v>32951</v>
      </c>
      <c r="CF216" s="39">
        <v>33094</v>
      </c>
      <c r="CG216" s="39">
        <v>33007</v>
      </c>
      <c r="CH216" s="39">
        <v>33094</v>
      </c>
      <c r="CI216" s="40">
        <f t="shared" si="122"/>
        <v>78</v>
      </c>
      <c r="CJ216" s="40">
        <f t="shared" si="140"/>
        <v>221</v>
      </c>
      <c r="CK216" s="41">
        <f t="shared" si="123"/>
        <v>144</v>
      </c>
      <c r="CL216" s="40">
        <f t="shared" si="116"/>
        <v>134</v>
      </c>
      <c r="CM216" s="40">
        <f t="shared" si="112"/>
        <v>221</v>
      </c>
      <c r="CN216" s="42">
        <f t="shared" si="113"/>
        <v>88</v>
      </c>
      <c r="CP216" s="47">
        <v>33055</v>
      </c>
      <c r="CQ216" s="42">
        <f t="shared" si="121"/>
        <v>40</v>
      </c>
    </row>
    <row r="217" spans="1:95" s="42" customFormat="1" hidden="1" x14ac:dyDescent="0.3">
      <c r="A217" s="31">
        <v>1</v>
      </c>
      <c r="B217" s="31"/>
      <c r="C217" s="31"/>
      <c r="D217" s="31" t="s">
        <v>165</v>
      </c>
      <c r="E217" s="34" t="s">
        <v>166</v>
      </c>
      <c r="F217" s="34" t="str">
        <f t="shared" si="124"/>
        <v>1992-37Albis1990OTC</v>
      </c>
      <c r="G217" s="31" t="s">
        <v>154</v>
      </c>
      <c r="H217" s="31" t="s">
        <v>155</v>
      </c>
      <c r="I217" s="34" t="s">
        <v>167</v>
      </c>
      <c r="J217" s="31" t="s">
        <v>94</v>
      </c>
      <c r="K217" s="34" t="s">
        <v>157</v>
      </c>
      <c r="L217" s="56">
        <v>1990</v>
      </c>
      <c r="M217" s="34" t="s">
        <v>34</v>
      </c>
      <c r="N217" s="34" t="s">
        <v>49</v>
      </c>
      <c r="O217" s="31" t="s">
        <v>135</v>
      </c>
      <c r="P217" s="31"/>
      <c r="Q217" s="31">
        <f>(7*S217+5*0.976*S215)/12*U217*12/1000+S215/1.01*(90-U217)*12/1000</f>
        <v>66.795413703054479</v>
      </c>
      <c r="R217" s="31"/>
      <c r="S217" s="34">
        <v>77.486708380192198</v>
      </c>
      <c r="T217" s="31">
        <v>7</v>
      </c>
      <c r="U217" s="31">
        <f t="shared" si="125"/>
        <v>88</v>
      </c>
      <c r="V217" s="34">
        <v>3</v>
      </c>
      <c r="W217" s="43">
        <v>25.126809126261598</v>
      </c>
      <c r="X217" s="35">
        <v>33007</v>
      </c>
      <c r="Y217" s="35">
        <v>33094</v>
      </c>
      <c r="Z217" s="59">
        <v>501.99999999999994</v>
      </c>
      <c r="AA217" s="31" t="s">
        <v>51</v>
      </c>
      <c r="AB217" s="31" t="s">
        <v>168</v>
      </c>
      <c r="AC217" s="31"/>
      <c r="AD217" s="59">
        <v>739</v>
      </c>
      <c r="AE217" s="31" t="s">
        <v>51</v>
      </c>
      <c r="AF217" s="31" t="s">
        <v>168</v>
      </c>
      <c r="AG217" s="31"/>
      <c r="AH217" s="8">
        <f t="shared" si="126"/>
        <v>-0.32070365358592701</v>
      </c>
      <c r="AI217" s="8">
        <f>VLOOKUP(F217,'[16]Sheet 2'!$A:$S,18,0)/VLOOKUP(F217,'[16]Sheet 2'!$A:$U,20,0)</f>
        <v>843.8627948866374</v>
      </c>
      <c r="AJ217" s="8">
        <f t="shared" si="127"/>
        <v>-0.40511656273762198</v>
      </c>
      <c r="AK217" s="59">
        <v>31</v>
      </c>
      <c r="AL217" s="32" t="s">
        <v>37</v>
      </c>
      <c r="AM217" s="31"/>
      <c r="AN217" s="31"/>
      <c r="AO217" s="59">
        <v>39.1</v>
      </c>
      <c r="AP217" s="32" t="s">
        <v>37</v>
      </c>
      <c r="AQ217" s="31"/>
      <c r="AR217" s="31"/>
      <c r="AS217" s="8">
        <f t="shared" si="128"/>
        <v>-0.20716112531969313</v>
      </c>
      <c r="AT217" s="8">
        <f>VLOOKUP(F217,'[17]Sheet 2'!$A:$S,18,0)/VLOOKUP(F217,'[17]Sheet 2'!$A:$U,20,0)</f>
        <v>43.629919254803767</v>
      </c>
      <c r="AU217" s="8">
        <f t="shared" si="129"/>
        <v>-0.28947840084331994</v>
      </c>
      <c r="AV217" s="57">
        <v>33.6</v>
      </c>
      <c r="AW217" s="31" t="s">
        <v>132</v>
      </c>
      <c r="AX217" s="31"/>
      <c r="AY217" s="31"/>
      <c r="AZ217" s="31">
        <v>37.200000000000003</v>
      </c>
      <c r="BA217" s="31" t="s">
        <v>261</v>
      </c>
      <c r="BB217" s="31"/>
      <c r="BC217" s="31"/>
      <c r="BD217" s="8">
        <f t="shared" si="130"/>
        <v>-9.6774193548387122E-2</v>
      </c>
      <c r="BE217" s="8">
        <f>VLOOKUP(F217,'[18]Sheet 2'!$A:$S,18,0)/VLOOKUP(F217,'[18]Sheet 2'!$A:$U,20,0)</f>
        <v>38.683488486925818</v>
      </c>
      <c r="BF217" s="8">
        <f t="shared" si="131"/>
        <v>-0.1314123592716806</v>
      </c>
      <c r="BG217" s="31">
        <v>485</v>
      </c>
      <c r="BH217" s="31" t="s">
        <v>164</v>
      </c>
      <c r="BI217" s="31"/>
      <c r="BJ217" s="31"/>
      <c r="BK217" s="31">
        <v>515</v>
      </c>
      <c r="BL217" s="31" t="s">
        <v>164</v>
      </c>
      <c r="BM217" s="31"/>
      <c r="BN217" s="31"/>
      <c r="BO217" s="8">
        <f t="shared" si="132"/>
        <v>-5.8252427184466021E-2</v>
      </c>
      <c r="BP217" s="8">
        <f>VLOOKUP(F217,'[19]Sheet 2'!$A:$S,18,0)/VLOOKUP(F217,'[19]Sheet 2'!$A:$U,20,0)</f>
        <v>505.95364712443586</v>
      </c>
      <c r="BQ217" s="8">
        <f t="shared" si="133"/>
        <v>-4.141416361661774E-2</v>
      </c>
      <c r="BR217" s="31">
        <f t="shared" si="117"/>
        <v>16193.548387096773</v>
      </c>
      <c r="BS217" s="31" t="s">
        <v>52</v>
      </c>
      <c r="BT217" s="31"/>
      <c r="BU217" s="31"/>
      <c r="BV217" s="31">
        <f t="shared" si="118"/>
        <v>18900.2557544757</v>
      </c>
      <c r="BW217" s="31" t="s">
        <v>52</v>
      </c>
      <c r="BX217" s="31"/>
      <c r="BY217" s="31"/>
      <c r="BZ217" s="8">
        <f t="shared" si="134"/>
        <v>-0.14321009210354002</v>
      </c>
      <c r="CA217" s="8">
        <f>VLOOKUP(F217,'[20]Sheet 2'!$A:$S,18,0)/VLOOKUP(F217,'[20]Sheet 2'!$A:$U,20,0)</f>
        <v>19695.350821528347</v>
      </c>
      <c r="CB217" s="8">
        <f t="shared" si="135"/>
        <v>-0.17779842898781312</v>
      </c>
      <c r="CC217" s="54">
        <f t="shared" si="138"/>
        <v>46.883333333333333</v>
      </c>
      <c r="CD217" s="54">
        <f t="shared" si="139"/>
        <v>10.714285714285715</v>
      </c>
      <c r="CE217" s="38">
        <v>32951</v>
      </c>
      <c r="CF217" s="39">
        <v>33094</v>
      </c>
      <c r="CG217" s="39">
        <v>33007</v>
      </c>
      <c r="CH217" s="39">
        <v>33094</v>
      </c>
      <c r="CI217" s="40">
        <f t="shared" si="122"/>
        <v>78</v>
      </c>
      <c r="CJ217" s="40">
        <f t="shared" si="140"/>
        <v>221</v>
      </c>
      <c r="CK217" s="41">
        <f t="shared" si="123"/>
        <v>144</v>
      </c>
      <c r="CL217" s="40">
        <f t="shared" si="116"/>
        <v>134</v>
      </c>
      <c r="CM217" s="40">
        <f t="shared" si="112"/>
        <v>221</v>
      </c>
      <c r="CN217" s="42">
        <f t="shared" si="113"/>
        <v>88</v>
      </c>
      <c r="CP217" s="47">
        <v>33055</v>
      </c>
      <c r="CQ217" s="42">
        <f t="shared" si="121"/>
        <v>40</v>
      </c>
    </row>
    <row r="218" spans="1:95" s="19" customFormat="1" hidden="1" x14ac:dyDescent="0.3">
      <c r="A218" s="3">
        <v>1</v>
      </c>
      <c r="B218" s="3"/>
      <c r="C218" s="3"/>
      <c r="D218" s="3" t="s">
        <v>169</v>
      </c>
      <c r="E218" s="6" t="s">
        <v>170</v>
      </c>
      <c r="F218" s="6" t="str">
        <f t="shared" si="124"/>
        <v>1996-30Promessa1991OTC</v>
      </c>
      <c r="G218" s="3" t="s">
        <v>171</v>
      </c>
      <c r="H218" s="3" t="s">
        <v>155</v>
      </c>
      <c r="I218" s="3" t="s">
        <v>172</v>
      </c>
      <c r="J218" s="3" t="s">
        <v>94</v>
      </c>
      <c r="K218" s="3" t="s">
        <v>173</v>
      </c>
      <c r="L218" s="3">
        <v>1991</v>
      </c>
      <c r="M218" s="3" t="s">
        <v>95</v>
      </c>
      <c r="N218" s="3" t="s">
        <v>35</v>
      </c>
      <c r="O218" s="3" t="s">
        <v>130</v>
      </c>
      <c r="P218" s="32" t="s">
        <v>267</v>
      </c>
      <c r="Q218" s="3">
        <f t="shared" ref="Q218:Q227" si="141">S218/1.01*1.08</f>
        <v>5.9881188118811881</v>
      </c>
      <c r="R218" s="3"/>
      <c r="S218" s="3">
        <v>5.6</v>
      </c>
      <c r="T218" s="3">
        <v>12</v>
      </c>
      <c r="U218" s="3">
        <f t="shared" si="125"/>
        <v>102</v>
      </c>
      <c r="V218" s="3">
        <v>3</v>
      </c>
      <c r="W218" s="9">
        <v>0</v>
      </c>
      <c r="X218" s="7">
        <v>33359</v>
      </c>
      <c r="Y218" s="7">
        <v>33460</v>
      </c>
      <c r="Z218" s="3">
        <f>4.04*400</f>
        <v>1616</v>
      </c>
      <c r="AA218" s="3" t="s">
        <v>51</v>
      </c>
      <c r="AB218" s="3" t="s">
        <v>214</v>
      </c>
      <c r="AC218" s="3">
        <v>0.34</v>
      </c>
      <c r="AD218" s="3">
        <f t="shared" ref="AD218:AD220" si="142">4.04*400</f>
        <v>1616</v>
      </c>
      <c r="AE218" s="3" t="s">
        <v>51</v>
      </c>
      <c r="AF218" s="3" t="s">
        <v>214</v>
      </c>
      <c r="AG218" s="3">
        <v>0.34</v>
      </c>
      <c r="AH218" s="8">
        <f t="shared" si="126"/>
        <v>0</v>
      </c>
      <c r="AI218" s="8">
        <f>VLOOKUP(F218,'[16]Sheet 2'!$A:$S,18,0)/VLOOKUP(F218,'[16]Sheet 2'!$A:$U,20,0)</f>
        <v>1300.6544394831117</v>
      </c>
      <c r="AJ218" s="8">
        <f t="shared" si="127"/>
        <v>0.24245145439414995</v>
      </c>
      <c r="AK218" s="3">
        <v>51.66</v>
      </c>
      <c r="AL218" s="4" t="s">
        <v>37</v>
      </c>
      <c r="AM218" s="3"/>
      <c r="AN218" s="3">
        <v>0.88</v>
      </c>
      <c r="AO218" s="3">
        <v>51.66</v>
      </c>
      <c r="AP218" s="4" t="s">
        <v>37</v>
      </c>
      <c r="AQ218" s="3"/>
      <c r="AR218" s="3">
        <v>0.88</v>
      </c>
      <c r="AS218" s="8">
        <f t="shared" si="128"/>
        <v>0</v>
      </c>
      <c r="AT218" s="8">
        <f>VLOOKUP(F218,'[17]Sheet 2'!$A:$S,18,0)/VLOOKUP(F218,'[17]Sheet 2'!$A:$U,20,0)</f>
        <v>45.468505190040453</v>
      </c>
      <c r="AU218" s="8">
        <f t="shared" si="129"/>
        <v>0.13617106575379007</v>
      </c>
      <c r="AV218" s="57">
        <v>38.33</v>
      </c>
      <c r="AW218" s="3" t="s">
        <v>132</v>
      </c>
      <c r="AX218" s="3"/>
      <c r="AY218" s="3">
        <v>0.56999999999999995</v>
      </c>
      <c r="AZ218" s="3">
        <v>38.33</v>
      </c>
      <c r="BA218" s="3" t="s">
        <v>261</v>
      </c>
      <c r="BB218" s="3"/>
      <c r="BC218" s="3">
        <v>0.56999999999999995</v>
      </c>
      <c r="BD218" s="8">
        <f t="shared" si="130"/>
        <v>0</v>
      </c>
      <c r="BE218" s="8">
        <f>VLOOKUP(F218,'[18]Sheet 2'!$A:$S,18,0)/VLOOKUP(F218,'[18]Sheet 2'!$A:$U,20,0)</f>
        <v>36.090293758341893</v>
      </c>
      <c r="BF218" s="8">
        <f t="shared" si="131"/>
        <v>6.2058409849889917E-2</v>
      </c>
      <c r="BG218" s="3">
        <v>2.39</v>
      </c>
      <c r="BH218" s="3" t="s">
        <v>65</v>
      </c>
      <c r="BI218" s="3"/>
      <c r="BJ218" s="3">
        <v>0.13</v>
      </c>
      <c r="BK218" s="3">
        <v>2.39</v>
      </c>
      <c r="BL218" s="3" t="s">
        <v>65</v>
      </c>
      <c r="BM218" s="3"/>
      <c r="BN218" s="3">
        <v>0.13</v>
      </c>
      <c r="BO218" s="8">
        <f t="shared" si="132"/>
        <v>0</v>
      </c>
      <c r="BP218" s="8">
        <f>VLOOKUP(F218,'[19]Sheet 2'!$A:$S,18,0)/VLOOKUP(F218,'[19]Sheet 2'!$A:$U,20,0)</f>
        <v>2.3234221919148057</v>
      </c>
      <c r="BQ218" s="8">
        <f t="shared" si="133"/>
        <v>2.8655062483639939E-2</v>
      </c>
      <c r="BR218" s="3">
        <f t="shared" si="117"/>
        <v>31281.455671699576</v>
      </c>
      <c r="BS218" s="3" t="s">
        <v>65</v>
      </c>
      <c r="BT218" s="3"/>
      <c r="BU218" s="3"/>
      <c r="BV218" s="3">
        <f t="shared" si="118"/>
        <v>31281.455671699576</v>
      </c>
      <c r="BW218" s="3" t="s">
        <v>65</v>
      </c>
      <c r="BX218" s="3"/>
      <c r="BY218" s="3"/>
      <c r="BZ218" s="8">
        <f t="shared" si="134"/>
        <v>0</v>
      </c>
      <c r="CA218" s="8">
        <f>VLOOKUP(F218,'[20]Sheet 2'!$A:$S,18,0)/VLOOKUP(F218,'[20]Sheet 2'!$A:$U,20,0)</f>
        <v>28784.138712775999</v>
      </c>
      <c r="CB218" s="8">
        <f t="shared" si="135"/>
        <v>8.6760176632109151E-2</v>
      </c>
      <c r="CC218" s="23">
        <f t="shared" ref="CC218:CC226" si="143">52+51/60+12/3600</f>
        <v>52.853333333333332</v>
      </c>
      <c r="CD218" s="23">
        <v>-6.9041666666666703</v>
      </c>
      <c r="CE218" s="20">
        <v>33355</v>
      </c>
      <c r="CF218" s="20">
        <v>33482</v>
      </c>
      <c r="CG218" s="18">
        <v>33359</v>
      </c>
      <c r="CH218" s="18">
        <v>33460</v>
      </c>
      <c r="CI218" s="21">
        <f t="shared" si="122"/>
        <v>117</v>
      </c>
      <c r="CJ218" s="21">
        <f t="shared" si="140"/>
        <v>244</v>
      </c>
      <c r="CK218" s="30">
        <f t="shared" si="123"/>
        <v>128</v>
      </c>
      <c r="CL218" s="21">
        <f t="shared" si="116"/>
        <v>121</v>
      </c>
      <c r="CM218" s="21">
        <f t="shared" si="112"/>
        <v>222</v>
      </c>
      <c r="CN218" s="19">
        <f t="shared" si="113"/>
        <v>102</v>
      </c>
    </row>
    <row r="219" spans="1:95" s="19" customFormat="1" hidden="1" x14ac:dyDescent="0.3">
      <c r="A219" s="3">
        <v>1</v>
      </c>
      <c r="B219" s="3"/>
      <c r="C219" s="3"/>
      <c r="D219" s="3" t="s">
        <v>169</v>
      </c>
      <c r="E219" s="6" t="s">
        <v>170</v>
      </c>
      <c r="F219" s="6" t="str">
        <f t="shared" si="124"/>
        <v>1996-30Promessa1991OTC</v>
      </c>
      <c r="G219" s="3" t="s">
        <v>171</v>
      </c>
      <c r="H219" s="3" t="s">
        <v>155</v>
      </c>
      <c r="I219" s="3" t="s">
        <v>172</v>
      </c>
      <c r="J219" s="3" t="s">
        <v>94</v>
      </c>
      <c r="K219" s="3" t="s">
        <v>173</v>
      </c>
      <c r="L219" s="3">
        <v>1991</v>
      </c>
      <c r="M219" s="3" t="s">
        <v>95</v>
      </c>
      <c r="N219" s="3" t="s">
        <v>35</v>
      </c>
      <c r="O219" s="3" t="s">
        <v>101</v>
      </c>
      <c r="P219" s="3"/>
      <c r="Q219" s="3">
        <f t="shared" si="141"/>
        <v>26.636328712871286</v>
      </c>
      <c r="R219" s="3"/>
      <c r="S219" s="3">
        <v>24.9099</v>
      </c>
      <c r="T219" s="3">
        <v>12</v>
      </c>
      <c r="U219" s="3">
        <f t="shared" si="125"/>
        <v>102</v>
      </c>
      <c r="V219" s="3">
        <v>3</v>
      </c>
      <c r="W219" s="9">
        <v>0.37197880276734202</v>
      </c>
      <c r="X219" s="7">
        <v>33359</v>
      </c>
      <c r="Y219" s="7">
        <v>33460</v>
      </c>
      <c r="Z219" s="3">
        <f>4.19*400</f>
        <v>1676.0000000000002</v>
      </c>
      <c r="AA219" s="3" t="s">
        <v>51</v>
      </c>
      <c r="AB219" s="3" t="s">
        <v>214</v>
      </c>
      <c r="AC219" s="3">
        <v>0.64</v>
      </c>
      <c r="AD219" s="3">
        <f t="shared" si="142"/>
        <v>1616</v>
      </c>
      <c r="AE219" s="3" t="s">
        <v>51</v>
      </c>
      <c r="AF219" s="3" t="s">
        <v>214</v>
      </c>
      <c r="AG219" s="3">
        <v>0.34</v>
      </c>
      <c r="AH219" s="8">
        <f t="shared" si="126"/>
        <v>3.7128712871287273E-2</v>
      </c>
      <c r="AI219" s="8">
        <f>VLOOKUP(F219,'[16]Sheet 2'!$A:$S,18,0)/VLOOKUP(F219,'[16]Sheet 2'!$A:$U,20,0)</f>
        <v>1300.6544394831117</v>
      </c>
      <c r="AJ219" s="8">
        <f t="shared" si="127"/>
        <v>0.28858207770086364</v>
      </c>
      <c r="AK219" s="3">
        <v>50.66</v>
      </c>
      <c r="AL219" s="4" t="s">
        <v>37</v>
      </c>
      <c r="AM219" s="3"/>
      <c r="AN219" s="3">
        <v>0.33</v>
      </c>
      <c r="AO219" s="3">
        <v>51.66</v>
      </c>
      <c r="AP219" s="4" t="s">
        <v>37</v>
      </c>
      <c r="AQ219" s="3"/>
      <c r="AR219" s="3">
        <v>0.88</v>
      </c>
      <c r="AS219" s="8">
        <f t="shared" si="128"/>
        <v>-1.9357336430507164E-2</v>
      </c>
      <c r="AT219" s="8">
        <f>VLOOKUP(F219,'[17]Sheet 2'!$A:$S,18,0)/VLOOKUP(F219,'[17]Sheet 2'!$A:$U,20,0)</f>
        <v>45.468505190040453</v>
      </c>
      <c r="AU219" s="8">
        <f t="shared" si="129"/>
        <v>0.11417782019138607</v>
      </c>
      <c r="AV219" s="57">
        <v>39.979999999999997</v>
      </c>
      <c r="AW219" s="3" t="s">
        <v>132</v>
      </c>
      <c r="AX219" s="3"/>
      <c r="AY219" s="3">
        <v>1.39</v>
      </c>
      <c r="AZ219" s="3">
        <v>38.33</v>
      </c>
      <c r="BA219" s="3" t="s">
        <v>261</v>
      </c>
      <c r="BB219" s="3"/>
      <c r="BC219" s="3">
        <v>0.56999999999999995</v>
      </c>
      <c r="BD219" s="8">
        <f t="shared" si="130"/>
        <v>4.3047221497521486E-2</v>
      </c>
      <c r="BE219" s="8">
        <f>VLOOKUP(F219,'[18]Sheet 2'!$A:$S,18,0)/VLOOKUP(F219,'[18]Sheet 2'!$A:$U,20,0)</f>
        <v>36.090293758341893</v>
      </c>
      <c r="BF219" s="8">
        <f t="shared" si="131"/>
        <v>0.10777707346200359</v>
      </c>
      <c r="BG219" s="3">
        <v>2.41</v>
      </c>
      <c r="BH219" s="3" t="s">
        <v>65</v>
      </c>
      <c r="BI219" s="3"/>
      <c r="BJ219" s="3">
        <v>0.27</v>
      </c>
      <c r="BK219" s="3">
        <v>2.39</v>
      </c>
      <c r="BL219" s="3" t="s">
        <v>65</v>
      </c>
      <c r="BM219" s="3"/>
      <c r="BN219" s="3">
        <v>0.13</v>
      </c>
      <c r="BO219" s="8">
        <f t="shared" si="132"/>
        <v>8.3682008368200899E-3</v>
      </c>
      <c r="BP219" s="8">
        <f>VLOOKUP(F219,'[19]Sheet 2'!$A:$S,18,0)/VLOOKUP(F219,'[19]Sheet 2'!$A:$U,20,0)</f>
        <v>2.3234221919148057</v>
      </c>
      <c r="BQ219" s="8">
        <f t="shared" si="133"/>
        <v>3.7263054638314759E-2</v>
      </c>
      <c r="BR219" s="3">
        <f t="shared" si="117"/>
        <v>33083.300434267672</v>
      </c>
      <c r="BS219" s="3" t="s">
        <v>65</v>
      </c>
      <c r="BT219" s="3"/>
      <c r="BU219" s="3"/>
      <c r="BV219" s="3">
        <f t="shared" si="118"/>
        <v>31281.455671699576</v>
      </c>
      <c r="BW219" s="3" t="s">
        <v>65</v>
      </c>
      <c r="BX219" s="3"/>
      <c r="BY219" s="3"/>
      <c r="BZ219" s="8">
        <f t="shared" si="134"/>
        <v>5.7601052248928128E-2</v>
      </c>
      <c r="CA219" s="8">
        <f>VLOOKUP(F219,'[20]Sheet 2'!$A:$S,18,0)/VLOOKUP(F219,'[20]Sheet 2'!$A:$U,20,0)</f>
        <v>28784.138712775999</v>
      </c>
      <c r="CB219" s="8">
        <f t="shared" si="135"/>
        <v>0.14935870634834963</v>
      </c>
      <c r="CC219" s="23">
        <f t="shared" si="143"/>
        <v>52.853333333333332</v>
      </c>
      <c r="CD219" s="23">
        <v>-6.9041666666666703</v>
      </c>
      <c r="CE219" s="20">
        <v>33355</v>
      </c>
      <c r="CF219" s="20">
        <v>33482</v>
      </c>
      <c r="CG219" s="18">
        <v>33359</v>
      </c>
      <c r="CH219" s="18">
        <v>33460</v>
      </c>
      <c r="CI219" s="21">
        <f t="shared" si="122"/>
        <v>117</v>
      </c>
      <c r="CJ219" s="21">
        <f t="shared" si="140"/>
        <v>244</v>
      </c>
      <c r="CK219" s="30">
        <f t="shared" si="123"/>
        <v>128</v>
      </c>
      <c r="CL219" s="21">
        <f t="shared" si="116"/>
        <v>121</v>
      </c>
      <c r="CM219" s="21">
        <f t="shared" si="112"/>
        <v>222</v>
      </c>
      <c r="CN219" s="19">
        <f t="shared" si="113"/>
        <v>102</v>
      </c>
    </row>
    <row r="220" spans="1:95" s="19" customFormat="1" hidden="1" x14ac:dyDescent="0.3">
      <c r="A220" s="3">
        <v>1</v>
      </c>
      <c r="B220" s="3"/>
      <c r="C220" s="3"/>
      <c r="D220" s="3" t="s">
        <v>169</v>
      </c>
      <c r="E220" s="6" t="s">
        <v>170</v>
      </c>
      <c r="F220" s="6" t="str">
        <f t="shared" si="124"/>
        <v>1996-30Promessa1991OTC</v>
      </c>
      <c r="G220" s="3" t="s">
        <v>171</v>
      </c>
      <c r="H220" s="3" t="s">
        <v>155</v>
      </c>
      <c r="I220" s="3" t="s">
        <v>172</v>
      </c>
      <c r="J220" s="3" t="s">
        <v>94</v>
      </c>
      <c r="K220" s="3" t="s">
        <v>173</v>
      </c>
      <c r="L220" s="3">
        <v>1991</v>
      </c>
      <c r="M220" s="3" t="s">
        <v>95</v>
      </c>
      <c r="N220" s="3" t="s">
        <v>35</v>
      </c>
      <c r="O220" s="3" t="s">
        <v>134</v>
      </c>
      <c r="P220" s="3"/>
      <c r="Q220" s="3">
        <f t="shared" si="141"/>
        <v>34.874483168316836</v>
      </c>
      <c r="R220" s="3"/>
      <c r="S220" s="3">
        <v>32.614100000000001</v>
      </c>
      <c r="T220" s="3">
        <v>12</v>
      </c>
      <c r="U220" s="3">
        <f t="shared" si="125"/>
        <v>102</v>
      </c>
      <c r="V220" s="3">
        <v>3</v>
      </c>
      <c r="W220" s="9">
        <v>1.9622365305235701</v>
      </c>
      <c r="X220" s="7">
        <v>33359</v>
      </c>
      <c r="Y220" s="7">
        <v>33460</v>
      </c>
      <c r="Z220" s="3">
        <f>1.88*400</f>
        <v>752</v>
      </c>
      <c r="AA220" s="3" t="s">
        <v>51</v>
      </c>
      <c r="AB220" s="3" t="s">
        <v>214</v>
      </c>
      <c r="AC220" s="3">
        <v>0.08</v>
      </c>
      <c r="AD220" s="3">
        <f t="shared" si="142"/>
        <v>1616</v>
      </c>
      <c r="AE220" s="3" t="s">
        <v>51</v>
      </c>
      <c r="AF220" s="3" t="s">
        <v>214</v>
      </c>
      <c r="AG220" s="3">
        <v>0.34</v>
      </c>
      <c r="AH220" s="8">
        <f t="shared" si="126"/>
        <v>-0.53465346534653468</v>
      </c>
      <c r="AI220" s="8">
        <f>VLOOKUP(F220,'[16]Sheet 2'!$A:$S,18,0)/VLOOKUP(F220,'[16]Sheet 2'!$A:$U,20,0)</f>
        <v>1300.6544394831117</v>
      </c>
      <c r="AJ220" s="8">
        <f t="shared" si="127"/>
        <v>-0.42182952122252426</v>
      </c>
      <c r="AK220" s="3">
        <v>33.33</v>
      </c>
      <c r="AL220" s="4" t="s">
        <v>37</v>
      </c>
      <c r="AM220" s="3"/>
      <c r="AN220" s="3">
        <v>1.33</v>
      </c>
      <c r="AO220" s="3">
        <v>51.66</v>
      </c>
      <c r="AP220" s="4" t="s">
        <v>37</v>
      </c>
      <c r="AQ220" s="3"/>
      <c r="AR220" s="3">
        <v>0.88</v>
      </c>
      <c r="AS220" s="8">
        <f t="shared" si="128"/>
        <v>-0.35481997677119625</v>
      </c>
      <c r="AT220" s="8">
        <f>VLOOKUP(F220,'[17]Sheet 2'!$A:$S,18,0)/VLOOKUP(F220,'[17]Sheet 2'!$A:$U,20,0)</f>
        <v>45.468505190040453</v>
      </c>
      <c r="AU220" s="8">
        <f t="shared" si="129"/>
        <v>-0.26696512540507505</v>
      </c>
      <c r="AV220" s="57">
        <v>30.19</v>
      </c>
      <c r="AW220" s="3" t="s">
        <v>132</v>
      </c>
      <c r="AX220" s="3"/>
      <c r="AY220" s="3">
        <v>0.94</v>
      </c>
      <c r="AZ220" s="3">
        <v>38.33</v>
      </c>
      <c r="BA220" s="3" t="s">
        <v>261</v>
      </c>
      <c r="BB220" s="3"/>
      <c r="BC220" s="3">
        <v>0.56999999999999995</v>
      </c>
      <c r="BD220" s="8">
        <f t="shared" si="130"/>
        <v>-0.2123662927211061</v>
      </c>
      <c r="BE220" s="8">
        <f>VLOOKUP(F220,'[18]Sheet 2'!$A:$S,18,0)/VLOOKUP(F220,'[18]Sheet 2'!$A:$U,20,0)</f>
        <v>36.090293758341893</v>
      </c>
      <c r="BF220" s="8">
        <f t="shared" si="131"/>
        <v>-0.16348699730320429</v>
      </c>
      <c r="BG220" s="3">
        <v>2.17</v>
      </c>
      <c r="BH220" s="3" t="s">
        <v>65</v>
      </c>
      <c r="BI220" s="3"/>
      <c r="BJ220" s="3">
        <v>0.16</v>
      </c>
      <c r="BK220" s="3">
        <v>2.39</v>
      </c>
      <c r="BL220" s="3" t="s">
        <v>65</v>
      </c>
      <c r="BM220" s="3"/>
      <c r="BN220" s="3">
        <v>0.13</v>
      </c>
      <c r="BO220" s="8">
        <f t="shared" si="132"/>
        <v>-9.2050209205020994E-2</v>
      </c>
      <c r="BP220" s="8">
        <f>VLOOKUP(F220,'[19]Sheet 2'!$A:$S,18,0)/VLOOKUP(F220,'[19]Sheet 2'!$A:$U,20,0)</f>
        <v>2.3234221919148057</v>
      </c>
      <c r="BQ220" s="8">
        <f t="shared" si="133"/>
        <v>-6.6032851217783059E-2</v>
      </c>
      <c r="BR220" s="3">
        <f t="shared" si="117"/>
        <v>22562.256225622561</v>
      </c>
      <c r="BS220" s="3" t="s">
        <v>65</v>
      </c>
      <c r="BT220" s="3"/>
      <c r="BU220" s="3"/>
      <c r="BV220" s="3">
        <f t="shared" si="118"/>
        <v>31281.455671699576</v>
      </c>
      <c r="BW220" s="3" t="s">
        <v>65</v>
      </c>
      <c r="BX220" s="3"/>
      <c r="BY220" s="3"/>
      <c r="BZ220" s="8">
        <f t="shared" si="134"/>
        <v>-0.27873381397545705</v>
      </c>
      <c r="CA220" s="8">
        <f>VLOOKUP(F220,'[20]Sheet 2'!$A:$S,18,0)/VLOOKUP(F220,'[20]Sheet 2'!$A:$U,20,0)</f>
        <v>28784.138712775999</v>
      </c>
      <c r="CB220" s="8">
        <f t="shared" si="135"/>
        <v>-0.21615663227719997</v>
      </c>
      <c r="CC220" s="23">
        <f t="shared" si="143"/>
        <v>52.853333333333332</v>
      </c>
      <c r="CD220" s="23">
        <v>-6.9041666666666703</v>
      </c>
      <c r="CE220" s="20">
        <v>33355</v>
      </c>
      <c r="CF220" s="20">
        <v>33482</v>
      </c>
      <c r="CG220" s="18">
        <v>33359</v>
      </c>
      <c r="CH220" s="18">
        <v>33460</v>
      </c>
      <c r="CI220" s="21">
        <f t="shared" si="122"/>
        <v>117</v>
      </c>
      <c r="CJ220" s="21">
        <f t="shared" si="140"/>
        <v>244</v>
      </c>
      <c r="CK220" s="30">
        <f t="shared" si="123"/>
        <v>128</v>
      </c>
      <c r="CL220" s="21">
        <f t="shared" ref="CL220:CL251" si="144">CG220-INT(YEAR(CG220)&amp;"/1/1")+1</f>
        <v>121</v>
      </c>
      <c r="CM220" s="21">
        <f t="shared" si="112"/>
        <v>222</v>
      </c>
      <c r="CN220" s="19">
        <f t="shared" si="113"/>
        <v>102</v>
      </c>
    </row>
    <row r="221" spans="1:95" s="42" customFormat="1" hidden="1" x14ac:dyDescent="0.3">
      <c r="A221" s="31">
        <v>1</v>
      </c>
      <c r="B221" s="31"/>
      <c r="C221" s="31"/>
      <c r="D221" s="31" t="s">
        <v>169</v>
      </c>
      <c r="E221" s="34" t="s">
        <v>170</v>
      </c>
      <c r="F221" s="34" t="str">
        <f t="shared" si="124"/>
        <v>1996-30Promessa1992OTC</v>
      </c>
      <c r="G221" s="31" t="s">
        <v>171</v>
      </c>
      <c r="H221" s="31" t="s">
        <v>155</v>
      </c>
      <c r="I221" s="31" t="s">
        <v>172</v>
      </c>
      <c r="J221" s="31" t="s">
        <v>94</v>
      </c>
      <c r="K221" s="31" t="s">
        <v>173</v>
      </c>
      <c r="L221" s="31">
        <v>1992</v>
      </c>
      <c r="M221" s="31" t="s">
        <v>95</v>
      </c>
      <c r="N221" s="31" t="s">
        <v>35</v>
      </c>
      <c r="O221" s="31" t="s">
        <v>130</v>
      </c>
      <c r="P221" s="32" t="s">
        <v>267</v>
      </c>
      <c r="Q221" s="31">
        <f t="shared" si="141"/>
        <v>6.662744554455446</v>
      </c>
      <c r="R221" s="31"/>
      <c r="S221" s="31">
        <v>6.2309000000000001</v>
      </c>
      <c r="T221" s="31">
        <v>12</v>
      </c>
      <c r="U221" s="31">
        <f t="shared" si="125"/>
        <v>102</v>
      </c>
      <c r="V221" s="31">
        <v>3</v>
      </c>
      <c r="W221" s="43">
        <v>0</v>
      </c>
      <c r="X221" s="35">
        <v>33725</v>
      </c>
      <c r="Y221" s="35">
        <v>33826</v>
      </c>
      <c r="Z221" s="31">
        <f>3.22*400</f>
        <v>1288</v>
      </c>
      <c r="AA221" s="31" t="s">
        <v>51</v>
      </c>
      <c r="AB221" s="31" t="s">
        <v>214</v>
      </c>
      <c r="AC221" s="31">
        <v>0.25</v>
      </c>
      <c r="AD221" s="31">
        <f t="shared" ref="AD221:AD223" si="145">3.22*400</f>
        <v>1288</v>
      </c>
      <c r="AE221" s="31" t="s">
        <v>51</v>
      </c>
      <c r="AF221" s="31" t="s">
        <v>214</v>
      </c>
      <c r="AG221" s="31">
        <v>0.25</v>
      </c>
      <c r="AH221" s="8">
        <f t="shared" si="126"/>
        <v>0</v>
      </c>
      <c r="AI221" s="8">
        <f>VLOOKUP(F221,'[16]Sheet 2'!$A:$S,18,0)/VLOOKUP(F221,'[16]Sheet 2'!$A:$U,20,0)</f>
        <v>1412.1948477001156</v>
      </c>
      <c r="AJ221" s="8">
        <f t="shared" si="127"/>
        <v>-8.7944555174080896E-2</v>
      </c>
      <c r="AK221" s="31">
        <v>47.33</v>
      </c>
      <c r="AL221" s="32" t="s">
        <v>37</v>
      </c>
      <c r="AM221" s="31"/>
      <c r="AN221" s="31">
        <v>2.33</v>
      </c>
      <c r="AO221" s="31">
        <v>47.33</v>
      </c>
      <c r="AP221" s="32" t="s">
        <v>37</v>
      </c>
      <c r="AQ221" s="31"/>
      <c r="AR221" s="31">
        <v>2.33</v>
      </c>
      <c r="AS221" s="8">
        <f t="shared" si="128"/>
        <v>0</v>
      </c>
      <c r="AT221" s="8">
        <f>VLOOKUP(F221,'[17]Sheet 2'!$A:$S,18,0)/VLOOKUP(F221,'[17]Sheet 2'!$A:$U,20,0)</f>
        <v>49.943228111500588</v>
      </c>
      <c r="AU221" s="8">
        <f t="shared" si="129"/>
        <v>-5.2323972845055904E-2</v>
      </c>
      <c r="AV221" s="57">
        <v>38.33</v>
      </c>
      <c r="AW221" s="31" t="s">
        <v>132</v>
      </c>
      <c r="AX221" s="31"/>
      <c r="AY221" s="31">
        <v>2.91</v>
      </c>
      <c r="AZ221" s="31">
        <v>38.33</v>
      </c>
      <c r="BA221" s="31" t="s">
        <v>261</v>
      </c>
      <c r="BB221" s="31"/>
      <c r="BC221" s="31">
        <v>2.91</v>
      </c>
      <c r="BD221" s="8">
        <f t="shared" si="130"/>
        <v>0</v>
      </c>
      <c r="BE221" s="8">
        <f>VLOOKUP(F221,'[18]Sheet 2'!$A:$S,18,0)/VLOOKUP(F221,'[18]Sheet 2'!$A:$U,20,0)</f>
        <v>39.107384612493014</v>
      </c>
      <c r="BF221" s="8">
        <f t="shared" si="131"/>
        <v>-1.9878205106170083E-2</v>
      </c>
      <c r="BG221" s="31">
        <v>2.1</v>
      </c>
      <c r="BH221" s="31" t="s">
        <v>65</v>
      </c>
      <c r="BI221" s="31"/>
      <c r="BJ221" s="31">
        <v>0.11</v>
      </c>
      <c r="BK221" s="31">
        <v>2.1</v>
      </c>
      <c r="BL221" s="31" t="s">
        <v>65</v>
      </c>
      <c r="BM221" s="31"/>
      <c r="BN221" s="31">
        <v>0.11</v>
      </c>
      <c r="BO221" s="8">
        <f t="shared" si="132"/>
        <v>0</v>
      </c>
      <c r="BP221" s="8">
        <f>VLOOKUP(F221,'[19]Sheet 2'!$A:$S,18,0)/VLOOKUP(F221,'[19]Sheet 2'!$A:$U,20,0)</f>
        <v>2.1799595828662106</v>
      </c>
      <c r="BQ221" s="8">
        <f t="shared" si="133"/>
        <v>-3.6679387771529078E-2</v>
      </c>
      <c r="BR221" s="31">
        <f t="shared" si="117"/>
        <v>27213.184027044161</v>
      </c>
      <c r="BS221" s="31" t="s">
        <v>65</v>
      </c>
      <c r="BT221" s="31"/>
      <c r="BU221" s="31"/>
      <c r="BV221" s="31">
        <f t="shared" si="118"/>
        <v>27213.184027044161</v>
      </c>
      <c r="BW221" s="31" t="s">
        <v>65</v>
      </c>
      <c r="BX221" s="31"/>
      <c r="BY221" s="31"/>
      <c r="BZ221" s="8">
        <f t="shared" si="134"/>
        <v>0</v>
      </c>
      <c r="CA221" s="8">
        <f>VLOOKUP(F221,'[20]Sheet 2'!$A:$S,18,0)/VLOOKUP(F221,'[20]Sheet 2'!$A:$U,20,0)</f>
        <v>28463.686338772543</v>
      </c>
      <c r="CB221" s="8">
        <f t="shared" si="135"/>
        <v>-4.3933252244456399E-2</v>
      </c>
      <c r="CC221" s="54">
        <f t="shared" si="143"/>
        <v>52.853333333333332</v>
      </c>
      <c r="CD221" s="54">
        <v>-6.9041666666666703</v>
      </c>
      <c r="CE221" s="38">
        <v>33702</v>
      </c>
      <c r="CF221" s="38">
        <v>33835</v>
      </c>
      <c r="CG221" s="39">
        <v>33725</v>
      </c>
      <c r="CH221" s="39">
        <v>33826</v>
      </c>
      <c r="CI221" s="40">
        <f t="shared" si="122"/>
        <v>99</v>
      </c>
      <c r="CJ221" s="40">
        <f t="shared" si="140"/>
        <v>232</v>
      </c>
      <c r="CK221" s="41">
        <f t="shared" si="123"/>
        <v>134</v>
      </c>
      <c r="CL221" s="40">
        <f t="shared" si="144"/>
        <v>122</v>
      </c>
      <c r="CM221" s="40">
        <f t="shared" si="112"/>
        <v>223</v>
      </c>
      <c r="CN221" s="42">
        <f t="shared" si="113"/>
        <v>102</v>
      </c>
    </row>
    <row r="222" spans="1:95" s="42" customFormat="1" hidden="1" x14ac:dyDescent="0.3">
      <c r="A222" s="31">
        <v>1</v>
      </c>
      <c r="B222" s="31"/>
      <c r="C222" s="31"/>
      <c r="D222" s="31" t="s">
        <v>169</v>
      </c>
      <c r="E222" s="34" t="s">
        <v>170</v>
      </c>
      <c r="F222" s="34" t="str">
        <f t="shared" si="124"/>
        <v>1996-30Promessa1992OTC</v>
      </c>
      <c r="G222" s="31" t="s">
        <v>171</v>
      </c>
      <c r="H222" s="31" t="s">
        <v>155</v>
      </c>
      <c r="I222" s="31" t="s">
        <v>172</v>
      </c>
      <c r="J222" s="31" t="s">
        <v>94</v>
      </c>
      <c r="K222" s="31" t="s">
        <v>173</v>
      </c>
      <c r="L222" s="31">
        <v>1992</v>
      </c>
      <c r="M222" s="31" t="s">
        <v>95</v>
      </c>
      <c r="N222" s="31" t="s">
        <v>35</v>
      </c>
      <c r="O222" s="31" t="s">
        <v>101</v>
      </c>
      <c r="P222" s="31"/>
      <c r="Q222" s="31">
        <f t="shared" si="141"/>
        <v>26.838213861386141</v>
      </c>
      <c r="R222" s="31"/>
      <c r="S222" s="31">
        <v>25.098700000000001</v>
      </c>
      <c r="T222" s="31">
        <v>12</v>
      </c>
      <c r="U222" s="31">
        <f t="shared" si="125"/>
        <v>102</v>
      </c>
      <c r="V222" s="31">
        <v>3</v>
      </c>
      <c r="W222" s="43">
        <v>0.39783406177585601</v>
      </c>
      <c r="X222" s="35">
        <v>33725</v>
      </c>
      <c r="Y222" s="35">
        <v>33826</v>
      </c>
      <c r="Z222" s="31">
        <f>3.32*400</f>
        <v>1328</v>
      </c>
      <c r="AA222" s="31" t="s">
        <v>51</v>
      </c>
      <c r="AB222" s="31" t="s">
        <v>214</v>
      </c>
      <c r="AC222" s="31">
        <v>0.23</v>
      </c>
      <c r="AD222" s="31">
        <f t="shared" si="145"/>
        <v>1288</v>
      </c>
      <c r="AE222" s="31" t="s">
        <v>51</v>
      </c>
      <c r="AF222" s="31" t="s">
        <v>214</v>
      </c>
      <c r="AG222" s="31">
        <v>0.25</v>
      </c>
      <c r="AH222" s="8">
        <f t="shared" si="126"/>
        <v>3.1055900621118012E-2</v>
      </c>
      <c r="AI222" s="8">
        <f>VLOOKUP(F222,'[16]Sheet 2'!$A:$S,18,0)/VLOOKUP(F222,'[16]Sheet 2'!$A:$U,20,0)</f>
        <v>1412.1948477001156</v>
      </c>
      <c r="AJ222" s="8">
        <f t="shared" si="127"/>
        <v>-5.9619851918617572E-2</v>
      </c>
      <c r="AK222" s="31">
        <v>46.66</v>
      </c>
      <c r="AL222" s="32" t="s">
        <v>37</v>
      </c>
      <c r="AM222" s="31"/>
      <c r="AN222" s="31">
        <v>1.2</v>
      </c>
      <c r="AO222" s="31">
        <v>47.33</v>
      </c>
      <c r="AP222" s="32" t="s">
        <v>37</v>
      </c>
      <c r="AQ222" s="31"/>
      <c r="AR222" s="31">
        <v>2.33</v>
      </c>
      <c r="AS222" s="8">
        <f t="shared" si="128"/>
        <v>-1.4155926473695367E-2</v>
      </c>
      <c r="AT222" s="8">
        <f>VLOOKUP(F222,'[17]Sheet 2'!$A:$S,18,0)/VLOOKUP(F222,'[17]Sheet 2'!$A:$U,20,0)</f>
        <v>49.943228111500588</v>
      </c>
      <c r="AU222" s="8">
        <f t="shared" si="129"/>
        <v>-6.5739205006345031E-2</v>
      </c>
      <c r="AV222" s="57">
        <v>40.229999999999997</v>
      </c>
      <c r="AW222" s="31" t="s">
        <v>132</v>
      </c>
      <c r="AX222" s="31"/>
      <c r="AY222" s="31">
        <v>1.46</v>
      </c>
      <c r="AZ222" s="31">
        <v>38.33</v>
      </c>
      <c r="BA222" s="31" t="s">
        <v>261</v>
      </c>
      <c r="BB222" s="31"/>
      <c r="BC222" s="31">
        <v>2.91</v>
      </c>
      <c r="BD222" s="8">
        <f t="shared" si="130"/>
        <v>4.9569527785024749E-2</v>
      </c>
      <c r="BE222" s="8">
        <f>VLOOKUP(F222,'[18]Sheet 2'!$A:$S,18,0)/VLOOKUP(F222,'[18]Sheet 2'!$A:$U,20,0)</f>
        <v>39.107384612493014</v>
      </c>
      <c r="BF222" s="8">
        <f t="shared" si="131"/>
        <v>2.8705969438527948E-2</v>
      </c>
      <c r="BG222" s="31">
        <v>2.1</v>
      </c>
      <c r="BH222" s="31" t="s">
        <v>65</v>
      </c>
      <c r="BI222" s="31"/>
      <c r="BJ222" s="31">
        <v>0.17</v>
      </c>
      <c r="BK222" s="31">
        <v>2.1</v>
      </c>
      <c r="BL222" s="31" t="s">
        <v>65</v>
      </c>
      <c r="BM222" s="31"/>
      <c r="BN222" s="31">
        <v>0.11</v>
      </c>
      <c r="BO222" s="8">
        <f t="shared" si="132"/>
        <v>0</v>
      </c>
      <c r="BP222" s="8">
        <f>VLOOKUP(F222,'[19]Sheet 2'!$A:$S,18,0)/VLOOKUP(F222,'[19]Sheet 2'!$A:$U,20,0)</f>
        <v>2.1799595828662106</v>
      </c>
      <c r="BQ222" s="8">
        <f t="shared" si="133"/>
        <v>-3.6679387771529078E-2</v>
      </c>
      <c r="BR222" s="31">
        <f t="shared" si="117"/>
        <v>28461.208744106305</v>
      </c>
      <c r="BS222" s="31" t="s">
        <v>65</v>
      </c>
      <c r="BT222" s="31"/>
      <c r="BU222" s="31"/>
      <c r="BV222" s="31">
        <f t="shared" si="118"/>
        <v>27213.184027044161</v>
      </c>
      <c r="BW222" s="31" t="s">
        <v>65</v>
      </c>
      <c r="BX222" s="31"/>
      <c r="BY222" s="31"/>
      <c r="BZ222" s="8">
        <f t="shared" si="134"/>
        <v>4.5861032498875215E-2</v>
      </c>
      <c r="CA222" s="8">
        <f>VLOOKUP(F222,'[20]Sheet 2'!$A:$S,18,0)/VLOOKUP(F222,'[20]Sheet 2'!$A:$U,20,0)</f>
        <v>28463.686338772543</v>
      </c>
      <c r="CB222" s="8">
        <f t="shared" si="135"/>
        <v>-8.7044054545480466E-5</v>
      </c>
      <c r="CC222" s="54">
        <f t="shared" si="143"/>
        <v>52.853333333333332</v>
      </c>
      <c r="CD222" s="54">
        <v>-6.9041666666666703</v>
      </c>
      <c r="CE222" s="38">
        <v>33702</v>
      </c>
      <c r="CF222" s="38">
        <v>33835</v>
      </c>
      <c r="CG222" s="39">
        <v>33725</v>
      </c>
      <c r="CH222" s="39">
        <v>33826</v>
      </c>
      <c r="CI222" s="40">
        <f t="shared" si="122"/>
        <v>99</v>
      </c>
      <c r="CJ222" s="40">
        <f t="shared" si="140"/>
        <v>232</v>
      </c>
      <c r="CK222" s="41">
        <f t="shared" si="123"/>
        <v>134</v>
      </c>
      <c r="CL222" s="40">
        <f t="shared" si="144"/>
        <v>122</v>
      </c>
      <c r="CM222" s="40">
        <f t="shared" si="112"/>
        <v>223</v>
      </c>
      <c r="CN222" s="42">
        <f t="shared" si="113"/>
        <v>102</v>
      </c>
    </row>
    <row r="223" spans="1:95" s="42" customFormat="1" hidden="1" x14ac:dyDescent="0.3">
      <c r="A223" s="31">
        <v>1</v>
      </c>
      <c r="B223" s="31"/>
      <c r="C223" s="31"/>
      <c r="D223" s="31" t="s">
        <v>169</v>
      </c>
      <c r="E223" s="34" t="s">
        <v>170</v>
      </c>
      <c r="F223" s="34" t="str">
        <f t="shared" si="124"/>
        <v>1996-30Promessa1992OTC</v>
      </c>
      <c r="G223" s="31" t="s">
        <v>171</v>
      </c>
      <c r="H223" s="31" t="s">
        <v>155</v>
      </c>
      <c r="I223" s="31" t="s">
        <v>172</v>
      </c>
      <c r="J223" s="31" t="s">
        <v>94</v>
      </c>
      <c r="K223" s="31" t="s">
        <v>173</v>
      </c>
      <c r="L223" s="31">
        <v>1992</v>
      </c>
      <c r="M223" s="31" t="s">
        <v>95</v>
      </c>
      <c r="N223" s="31" t="s">
        <v>35</v>
      </c>
      <c r="O223" s="31" t="s">
        <v>135</v>
      </c>
      <c r="P223" s="31"/>
      <c r="Q223" s="31">
        <f t="shared" si="141"/>
        <v>35.734740594059403</v>
      </c>
      <c r="R223" s="31"/>
      <c r="S223" s="31">
        <v>33.418599999999998</v>
      </c>
      <c r="T223" s="31">
        <v>12</v>
      </c>
      <c r="U223" s="31">
        <f t="shared" si="125"/>
        <v>102</v>
      </c>
      <c r="V223" s="31">
        <v>3</v>
      </c>
      <c r="W223" s="43">
        <v>2.2160216957603098</v>
      </c>
      <c r="X223" s="35">
        <v>33725</v>
      </c>
      <c r="Y223" s="35">
        <v>33826</v>
      </c>
      <c r="Z223" s="31">
        <f>3.78*400</f>
        <v>1512</v>
      </c>
      <c r="AA223" s="31" t="s">
        <v>51</v>
      </c>
      <c r="AB223" s="31" t="s">
        <v>214</v>
      </c>
      <c r="AC223" s="31">
        <v>0.3</v>
      </c>
      <c r="AD223" s="31">
        <f t="shared" si="145"/>
        <v>1288</v>
      </c>
      <c r="AE223" s="31" t="s">
        <v>51</v>
      </c>
      <c r="AF223" s="31" t="s">
        <v>214</v>
      </c>
      <c r="AG223" s="31">
        <v>0.25</v>
      </c>
      <c r="AH223" s="8">
        <f t="shared" si="126"/>
        <v>0.17391304347826086</v>
      </c>
      <c r="AI223" s="8">
        <f>VLOOKUP(F223,'[16]Sheet 2'!$A:$S,18,0)/VLOOKUP(F223,'[16]Sheet 2'!$A:$U,20,0)</f>
        <v>1412.1948477001156</v>
      </c>
      <c r="AJ223" s="8">
        <f t="shared" si="127"/>
        <v>7.0673783056513728E-2</v>
      </c>
      <c r="AK223" s="31">
        <v>52</v>
      </c>
      <c r="AL223" s="32" t="s">
        <v>37</v>
      </c>
      <c r="AM223" s="31"/>
      <c r="AN223" s="31">
        <v>0.57999999999999996</v>
      </c>
      <c r="AO223" s="31">
        <v>47.33</v>
      </c>
      <c r="AP223" s="32" t="s">
        <v>37</v>
      </c>
      <c r="AQ223" s="31"/>
      <c r="AR223" s="31">
        <v>2.33</v>
      </c>
      <c r="AS223" s="8">
        <f t="shared" si="128"/>
        <v>9.8668920346503319E-2</v>
      </c>
      <c r="AT223" s="8">
        <f>VLOOKUP(F223,'[17]Sheet 2'!$A:$S,18,0)/VLOOKUP(F223,'[17]Sheet 2'!$A:$U,20,0)</f>
        <v>49.943228111500588</v>
      </c>
      <c r="AU223" s="8">
        <f t="shared" si="129"/>
        <v>4.1182197592585984E-2</v>
      </c>
      <c r="AV223" s="57">
        <v>38.1</v>
      </c>
      <c r="AW223" s="31" t="s">
        <v>132</v>
      </c>
      <c r="AX223" s="31"/>
      <c r="AY223" s="31">
        <v>0.56999999999999995</v>
      </c>
      <c r="AZ223" s="31">
        <v>38.33</v>
      </c>
      <c r="BA223" s="31" t="s">
        <v>261</v>
      </c>
      <c r="BB223" s="31"/>
      <c r="BC223" s="31">
        <v>2.91</v>
      </c>
      <c r="BD223" s="8">
        <f t="shared" si="130"/>
        <v>-6.0005217845029192E-3</v>
      </c>
      <c r="BE223" s="8">
        <f>VLOOKUP(F223,'[18]Sheet 2'!$A:$S,18,0)/VLOOKUP(F223,'[18]Sheet 2'!$A:$U,20,0)</f>
        <v>39.107384612493014</v>
      </c>
      <c r="BF223" s="8">
        <f t="shared" si="131"/>
        <v>-2.5759447287896611E-2</v>
      </c>
      <c r="BG223" s="31">
        <v>2.34</v>
      </c>
      <c r="BH223" s="31" t="s">
        <v>65</v>
      </c>
      <c r="BI223" s="31"/>
      <c r="BJ223" s="31">
        <v>0.2</v>
      </c>
      <c r="BK223" s="31">
        <v>2.1</v>
      </c>
      <c r="BL223" s="31" t="s">
        <v>65</v>
      </c>
      <c r="BM223" s="31"/>
      <c r="BN223" s="31">
        <v>0.11</v>
      </c>
      <c r="BO223" s="8">
        <f t="shared" si="132"/>
        <v>0.11428571428571417</v>
      </c>
      <c r="BP223" s="8">
        <f>VLOOKUP(F223,'[19]Sheet 2'!$A:$S,18,0)/VLOOKUP(F223,'[19]Sheet 2'!$A:$U,20,0)</f>
        <v>2.1799595828662106</v>
      </c>
      <c r="BQ223" s="8">
        <f t="shared" si="133"/>
        <v>7.3414396483153205E-2</v>
      </c>
      <c r="BR223" s="31">
        <f t="shared" si="117"/>
        <v>29076.923076923078</v>
      </c>
      <c r="BS223" s="31" t="s">
        <v>65</v>
      </c>
      <c r="BT223" s="31"/>
      <c r="BU223" s="31"/>
      <c r="BV223" s="31">
        <f t="shared" si="118"/>
        <v>27213.184027044161</v>
      </c>
      <c r="BW223" s="31" t="s">
        <v>65</v>
      </c>
      <c r="BX223" s="31"/>
      <c r="BY223" s="31"/>
      <c r="BZ223" s="8">
        <f t="shared" si="134"/>
        <v>6.8486622073578529E-2</v>
      </c>
      <c r="CA223" s="8">
        <f>VLOOKUP(F223,'[20]Sheet 2'!$A:$S,18,0)/VLOOKUP(F223,'[20]Sheet 2'!$A:$U,20,0)</f>
        <v>28463.686338772543</v>
      </c>
      <c r="CB223" s="8">
        <f t="shared" si="135"/>
        <v>2.154452978619285E-2</v>
      </c>
      <c r="CC223" s="54">
        <f t="shared" si="143"/>
        <v>52.853333333333332</v>
      </c>
      <c r="CD223" s="54">
        <v>-6.9041666666666703</v>
      </c>
      <c r="CE223" s="38">
        <v>33702</v>
      </c>
      <c r="CF223" s="38">
        <v>33835</v>
      </c>
      <c r="CG223" s="39">
        <v>33725</v>
      </c>
      <c r="CH223" s="39">
        <v>33826</v>
      </c>
      <c r="CI223" s="40">
        <f t="shared" si="122"/>
        <v>99</v>
      </c>
      <c r="CJ223" s="40">
        <f t="shared" si="140"/>
        <v>232</v>
      </c>
      <c r="CK223" s="41">
        <f t="shared" si="123"/>
        <v>134</v>
      </c>
      <c r="CL223" s="40">
        <f t="shared" si="144"/>
        <v>122</v>
      </c>
      <c r="CM223" s="40">
        <f t="shared" si="112"/>
        <v>223</v>
      </c>
      <c r="CN223" s="42">
        <f t="shared" si="113"/>
        <v>102</v>
      </c>
    </row>
    <row r="224" spans="1:95" s="19" customFormat="1" hidden="1" x14ac:dyDescent="0.3">
      <c r="A224" s="3">
        <v>1</v>
      </c>
      <c r="B224" s="3"/>
      <c r="C224" s="3"/>
      <c r="D224" s="3" t="s">
        <v>169</v>
      </c>
      <c r="E224" s="6" t="s">
        <v>170</v>
      </c>
      <c r="F224" s="6" t="str">
        <f t="shared" si="124"/>
        <v>1996-30Promessa1993OTC</v>
      </c>
      <c r="G224" s="3" t="s">
        <v>171</v>
      </c>
      <c r="H224" s="3" t="s">
        <v>155</v>
      </c>
      <c r="I224" s="3" t="s">
        <v>172</v>
      </c>
      <c r="J224" s="3" t="s">
        <v>94</v>
      </c>
      <c r="K224" s="3" t="s">
        <v>173</v>
      </c>
      <c r="L224" s="3">
        <v>1993</v>
      </c>
      <c r="M224" s="3" t="s">
        <v>95</v>
      </c>
      <c r="N224" s="3" t="s">
        <v>35</v>
      </c>
      <c r="O224" s="3" t="s">
        <v>130</v>
      </c>
      <c r="P224" s="32" t="s">
        <v>267</v>
      </c>
      <c r="Q224" s="3">
        <f t="shared" si="141"/>
        <v>7.1645702970297025</v>
      </c>
      <c r="R224" s="3"/>
      <c r="S224" s="3">
        <v>6.7001999999999997</v>
      </c>
      <c r="T224" s="3">
        <v>12</v>
      </c>
      <c r="U224" s="3">
        <f t="shared" si="125"/>
        <v>102</v>
      </c>
      <c r="V224" s="3">
        <v>3</v>
      </c>
      <c r="W224" s="9">
        <v>0</v>
      </c>
      <c r="X224" s="7">
        <v>34090</v>
      </c>
      <c r="Y224" s="7">
        <v>34191</v>
      </c>
      <c r="Z224" s="3">
        <f>4.05*400</f>
        <v>1620</v>
      </c>
      <c r="AA224" s="3" t="s">
        <v>51</v>
      </c>
      <c r="AB224" s="3" t="s">
        <v>214</v>
      </c>
      <c r="AC224" s="3">
        <v>0.09</v>
      </c>
      <c r="AD224" s="3">
        <f t="shared" ref="AD224:AD226" si="146">4.05*400</f>
        <v>1620</v>
      </c>
      <c r="AE224" s="3" t="s">
        <v>51</v>
      </c>
      <c r="AF224" s="3" t="s">
        <v>214</v>
      </c>
      <c r="AG224" s="3">
        <v>0.09</v>
      </c>
      <c r="AH224" s="8">
        <f t="shared" si="126"/>
        <v>0</v>
      </c>
      <c r="AI224" s="8">
        <f>VLOOKUP(F224,'[16]Sheet 2'!$A:$S,18,0)/VLOOKUP(F224,'[16]Sheet 2'!$A:$U,20,0)</f>
        <v>1585.5380628811486</v>
      </c>
      <c r="AJ224" s="8">
        <f t="shared" si="127"/>
        <v>2.1735168600260021E-2</v>
      </c>
      <c r="AK224" s="3">
        <v>54.66</v>
      </c>
      <c r="AL224" s="4" t="s">
        <v>37</v>
      </c>
      <c r="AM224" s="3"/>
      <c r="AN224" s="3">
        <v>0.88</v>
      </c>
      <c r="AO224" s="3">
        <v>54.66</v>
      </c>
      <c r="AP224" s="4" t="s">
        <v>37</v>
      </c>
      <c r="AQ224" s="3"/>
      <c r="AR224" s="3">
        <v>0.88</v>
      </c>
      <c r="AS224" s="8">
        <f t="shared" si="128"/>
        <v>0</v>
      </c>
      <c r="AT224" s="8">
        <f>VLOOKUP(F224,'[17]Sheet 2'!$A:$S,18,0)/VLOOKUP(F224,'[17]Sheet 2'!$A:$U,20,0)</f>
        <v>53.218967865588695</v>
      </c>
      <c r="AU224" s="8">
        <f t="shared" si="129"/>
        <v>2.7077416045550008E-2</v>
      </c>
      <c r="AV224" s="57">
        <v>36.82</v>
      </c>
      <c r="AW224" s="3" t="s">
        <v>132</v>
      </c>
      <c r="AX224" s="3"/>
      <c r="AY224" s="3">
        <v>1.38</v>
      </c>
      <c r="AZ224" s="3">
        <v>36.82</v>
      </c>
      <c r="BA224" s="3" t="s">
        <v>132</v>
      </c>
      <c r="BB224" s="3"/>
      <c r="BC224" s="3">
        <v>1.38</v>
      </c>
      <c r="BD224" s="8">
        <f t="shared" si="130"/>
        <v>0</v>
      </c>
      <c r="BE224" s="8">
        <f>VLOOKUP(F224,'[18]Sheet 2'!$A:$S,18,0)/VLOOKUP(F224,'[18]Sheet 2'!$A:$U,20,0)</f>
        <v>37.25017351698682</v>
      </c>
      <c r="BF224" s="8">
        <f t="shared" si="131"/>
        <v>-1.1548228541557043E-2</v>
      </c>
      <c r="BG224" s="3">
        <v>2.38</v>
      </c>
      <c r="BH224" s="3" t="s">
        <v>65</v>
      </c>
      <c r="BI224" s="3"/>
      <c r="BJ224" s="3">
        <v>0.08</v>
      </c>
      <c r="BK224" s="3">
        <v>2.38</v>
      </c>
      <c r="BL224" s="3" t="s">
        <v>65</v>
      </c>
      <c r="BM224" s="3"/>
      <c r="BN224" s="3">
        <v>0.08</v>
      </c>
      <c r="BO224" s="8">
        <f t="shared" si="132"/>
        <v>0</v>
      </c>
      <c r="BP224" s="8">
        <f>VLOOKUP(F224,'[19]Sheet 2'!$A:$S,18,0)/VLOOKUP(F224,'[19]Sheet 2'!$A:$U,20,0)</f>
        <v>2.3632031306103412</v>
      </c>
      <c r="BQ224" s="8">
        <f t="shared" si="133"/>
        <v>7.1076705900100252E-3</v>
      </c>
      <c r="BR224" s="3">
        <f t="shared" ref="BR224:BR245" si="147">Z224/AK224*1000</f>
        <v>29637.760702524702</v>
      </c>
      <c r="BS224" s="3" t="s">
        <v>65</v>
      </c>
      <c r="BT224" s="3"/>
      <c r="BU224" s="3"/>
      <c r="BV224" s="3">
        <f t="shared" ref="BV224:BV245" si="148">AD224/AO224*1000</f>
        <v>29637.760702524702</v>
      </c>
      <c r="BW224" s="3" t="s">
        <v>65</v>
      </c>
      <c r="BX224" s="3"/>
      <c r="BY224" s="3"/>
      <c r="BZ224" s="8">
        <f t="shared" si="134"/>
        <v>0</v>
      </c>
      <c r="CA224" s="8">
        <f>VLOOKUP(F224,'[20]Sheet 2'!$A:$S,18,0)/VLOOKUP(F224,'[20]Sheet 2'!$A:$U,20,0)</f>
        <v>30109.607968766184</v>
      </c>
      <c r="CB224" s="8">
        <f t="shared" si="135"/>
        <v>-1.5670986707331001E-2</v>
      </c>
      <c r="CC224" s="23">
        <f t="shared" si="143"/>
        <v>52.853333333333332</v>
      </c>
      <c r="CD224" s="23">
        <v>-6.9041666666666703</v>
      </c>
      <c r="CE224" s="20">
        <v>34087</v>
      </c>
      <c r="CF224" s="20">
        <v>34227</v>
      </c>
      <c r="CG224" s="18">
        <v>34090</v>
      </c>
      <c r="CH224" s="18">
        <v>34191</v>
      </c>
      <c r="CI224" s="21">
        <f t="shared" si="122"/>
        <v>118</v>
      </c>
      <c r="CJ224" s="21">
        <f t="shared" si="140"/>
        <v>258</v>
      </c>
      <c r="CK224" s="30">
        <f t="shared" si="123"/>
        <v>141</v>
      </c>
      <c r="CL224" s="21">
        <f t="shared" si="144"/>
        <v>121</v>
      </c>
      <c r="CM224" s="21">
        <f t="shared" si="112"/>
        <v>222</v>
      </c>
      <c r="CN224" s="19">
        <f t="shared" si="113"/>
        <v>102</v>
      </c>
    </row>
    <row r="225" spans="1:95" s="19" customFormat="1" hidden="1" x14ac:dyDescent="0.3">
      <c r="A225" s="3">
        <v>1</v>
      </c>
      <c r="B225" s="3"/>
      <c r="C225" s="3"/>
      <c r="D225" s="3" t="s">
        <v>169</v>
      </c>
      <c r="E225" s="6" t="s">
        <v>170</v>
      </c>
      <c r="F225" s="6" t="str">
        <f t="shared" si="124"/>
        <v>1996-30Promessa1993OTC</v>
      </c>
      <c r="G225" s="3" t="s">
        <v>171</v>
      </c>
      <c r="H225" s="3" t="s">
        <v>155</v>
      </c>
      <c r="I225" s="3" t="s">
        <v>172</v>
      </c>
      <c r="J225" s="3" t="s">
        <v>94</v>
      </c>
      <c r="K225" s="3" t="s">
        <v>173</v>
      </c>
      <c r="L225" s="3">
        <v>1993</v>
      </c>
      <c r="M225" s="3" t="s">
        <v>95</v>
      </c>
      <c r="N225" s="3" t="s">
        <v>35</v>
      </c>
      <c r="O225" s="3" t="s">
        <v>135</v>
      </c>
      <c r="P225" s="3"/>
      <c r="Q225" s="3">
        <f t="shared" si="141"/>
        <v>36.343069306930687</v>
      </c>
      <c r="R225" s="3"/>
      <c r="S225" s="3">
        <v>33.987499999999997</v>
      </c>
      <c r="T225" s="3">
        <v>12</v>
      </c>
      <c r="U225" s="3">
        <f t="shared" si="125"/>
        <v>102</v>
      </c>
      <c r="V225" s="3">
        <v>3</v>
      </c>
      <c r="W225" s="9">
        <v>2.4089980077313702</v>
      </c>
      <c r="X225" s="7">
        <v>34090</v>
      </c>
      <c r="Y225" s="7">
        <v>34191</v>
      </c>
      <c r="Z225" s="3">
        <f>3.92*400</f>
        <v>1568</v>
      </c>
      <c r="AA225" s="3" t="s">
        <v>51</v>
      </c>
      <c r="AB225" s="3" t="s">
        <v>214</v>
      </c>
      <c r="AC225" s="3">
        <v>0.12</v>
      </c>
      <c r="AD225" s="3">
        <f t="shared" si="146"/>
        <v>1620</v>
      </c>
      <c r="AE225" s="3" t="s">
        <v>51</v>
      </c>
      <c r="AF225" s="3" t="s">
        <v>214</v>
      </c>
      <c r="AG225" s="3">
        <v>0.09</v>
      </c>
      <c r="AH225" s="8">
        <f t="shared" si="126"/>
        <v>-3.2098765432098768E-2</v>
      </c>
      <c r="AI225" s="8">
        <f>VLOOKUP(F225,'[16]Sheet 2'!$A:$S,18,0)/VLOOKUP(F225,'[16]Sheet 2'!$A:$U,20,0)</f>
        <v>1585.5380628811486</v>
      </c>
      <c r="AJ225" s="8">
        <f t="shared" si="127"/>
        <v>-1.106126891036561E-2</v>
      </c>
      <c r="AK225" s="3">
        <v>50.66</v>
      </c>
      <c r="AL225" s="4" t="s">
        <v>37</v>
      </c>
      <c r="AM225" s="3"/>
      <c r="AN225" s="3">
        <v>1.45</v>
      </c>
      <c r="AO225" s="3">
        <v>54.66</v>
      </c>
      <c r="AP225" s="4" t="s">
        <v>37</v>
      </c>
      <c r="AQ225" s="3"/>
      <c r="AR225" s="3">
        <v>0.88</v>
      </c>
      <c r="AS225" s="8">
        <f t="shared" si="128"/>
        <v>-7.3179656055616549E-2</v>
      </c>
      <c r="AT225" s="8">
        <f>VLOOKUP(F225,'[17]Sheet 2'!$A:$S,18,0)/VLOOKUP(F225,'[17]Sheet 2'!$A:$U,20,0)</f>
        <v>53.218967865588695</v>
      </c>
      <c r="AU225" s="8">
        <f t="shared" si="129"/>
        <v>-4.8083756003154718E-2</v>
      </c>
      <c r="AV225" s="57">
        <v>35.76</v>
      </c>
      <c r="AW225" s="3" t="s">
        <v>132</v>
      </c>
      <c r="AX225" s="3"/>
      <c r="AY225" s="3">
        <v>0.88</v>
      </c>
      <c r="AZ225" s="3">
        <v>36.82</v>
      </c>
      <c r="BA225" s="3" t="s">
        <v>132</v>
      </c>
      <c r="BB225" s="3"/>
      <c r="BC225" s="3">
        <v>1.38</v>
      </c>
      <c r="BD225" s="8">
        <f t="shared" si="130"/>
        <v>-2.8788701792504135E-2</v>
      </c>
      <c r="BE225" s="8">
        <f>VLOOKUP(F225,'[18]Sheet 2'!$A:$S,18,0)/VLOOKUP(F225,'[18]Sheet 2'!$A:$U,20,0)</f>
        <v>37.25017351698682</v>
      </c>
      <c r="BF225" s="8">
        <f t="shared" si="131"/>
        <v>-4.0004471826346609E-2</v>
      </c>
      <c r="BG225" s="3">
        <v>2.48</v>
      </c>
      <c r="BH225" s="3" t="s">
        <v>65</v>
      </c>
      <c r="BI225" s="3"/>
      <c r="BJ225" s="3">
        <v>0.14000000000000001</v>
      </c>
      <c r="BK225" s="3">
        <v>2.38</v>
      </c>
      <c r="BL225" s="3" t="s">
        <v>65</v>
      </c>
      <c r="BM225" s="3"/>
      <c r="BN225" s="3">
        <v>0.08</v>
      </c>
      <c r="BO225" s="8">
        <f t="shared" si="132"/>
        <v>4.2016806722689114E-2</v>
      </c>
      <c r="BP225" s="8">
        <f>VLOOKUP(F225,'[19]Sheet 2'!$A:$S,18,0)/VLOOKUP(F225,'[19]Sheet 2'!$A:$U,20,0)</f>
        <v>2.3632031306103412</v>
      </c>
      <c r="BQ225" s="8">
        <f t="shared" si="133"/>
        <v>4.9423118934128131E-2</v>
      </c>
      <c r="BR225" s="3">
        <f t="shared" si="147"/>
        <v>30951.440979076197</v>
      </c>
      <c r="BS225" s="3" t="s">
        <v>65</v>
      </c>
      <c r="BT225" s="3"/>
      <c r="BU225" s="3"/>
      <c r="BV225" s="3">
        <f t="shared" si="148"/>
        <v>29637.760702524702</v>
      </c>
      <c r="BW225" s="3" t="s">
        <v>65</v>
      </c>
      <c r="BX225" s="3"/>
      <c r="BY225" s="3"/>
      <c r="BZ225" s="8">
        <f t="shared" si="134"/>
        <v>4.4324545627348583E-2</v>
      </c>
      <c r="CA225" s="8">
        <f>VLOOKUP(F225,'[20]Sheet 2'!$A:$S,18,0)/VLOOKUP(F225,'[20]Sheet 2'!$A:$U,20,0)</f>
        <v>30109.607968766184</v>
      </c>
      <c r="CB225" s="8">
        <f t="shared" si="135"/>
        <v>2.7958949554682914E-2</v>
      </c>
      <c r="CC225" s="23">
        <f t="shared" si="143"/>
        <v>52.853333333333332</v>
      </c>
      <c r="CD225" s="23">
        <v>-6.9041666666666703</v>
      </c>
      <c r="CE225" s="20">
        <v>34087</v>
      </c>
      <c r="CF225" s="20">
        <v>34227</v>
      </c>
      <c r="CG225" s="18">
        <v>34090</v>
      </c>
      <c r="CH225" s="18">
        <v>34191</v>
      </c>
      <c r="CI225" s="21">
        <f t="shared" ref="CI225:CI233" si="149">CE225-INT(YEAR(CF225)&amp;"/1/1")+1</f>
        <v>118</v>
      </c>
      <c r="CJ225" s="21">
        <f t="shared" si="140"/>
        <v>258</v>
      </c>
      <c r="CK225" s="30">
        <f t="shared" ref="CK225:CK233" si="150">CJ225-CI225+1</f>
        <v>141</v>
      </c>
      <c r="CL225" s="21">
        <f t="shared" si="144"/>
        <v>121</v>
      </c>
      <c r="CM225" s="21">
        <f t="shared" si="112"/>
        <v>222</v>
      </c>
      <c r="CN225" s="19">
        <f t="shared" si="113"/>
        <v>102</v>
      </c>
    </row>
    <row r="226" spans="1:95" s="19" customFormat="1" hidden="1" x14ac:dyDescent="0.3">
      <c r="A226" s="3">
        <v>1</v>
      </c>
      <c r="B226" s="3"/>
      <c r="C226" s="3"/>
      <c r="D226" s="3" t="s">
        <v>169</v>
      </c>
      <c r="E226" s="6" t="s">
        <v>170</v>
      </c>
      <c r="F226" s="6" t="str">
        <f t="shared" si="124"/>
        <v>1996-30Promessa1993OTC</v>
      </c>
      <c r="G226" s="3" t="s">
        <v>171</v>
      </c>
      <c r="H226" s="3" t="s">
        <v>155</v>
      </c>
      <c r="I226" s="3" t="s">
        <v>172</v>
      </c>
      <c r="J226" s="3" t="s">
        <v>94</v>
      </c>
      <c r="K226" s="3" t="s">
        <v>173</v>
      </c>
      <c r="L226" s="3">
        <v>1993</v>
      </c>
      <c r="M226" s="3" t="s">
        <v>95</v>
      </c>
      <c r="N226" s="3" t="s">
        <v>35</v>
      </c>
      <c r="O226" s="3" t="s">
        <v>134</v>
      </c>
      <c r="P226" s="3"/>
      <c r="Q226" s="3">
        <f t="shared" si="141"/>
        <v>36.360712871287127</v>
      </c>
      <c r="R226" s="3"/>
      <c r="S226" s="3">
        <v>34.003999999999998</v>
      </c>
      <c r="T226" s="3">
        <v>12</v>
      </c>
      <c r="U226" s="3">
        <f t="shared" si="125"/>
        <v>102</v>
      </c>
      <c r="V226" s="3">
        <v>3</v>
      </c>
      <c r="W226" s="9">
        <v>2.4147688436996</v>
      </c>
      <c r="X226" s="7">
        <v>34090</v>
      </c>
      <c r="Y226" s="7">
        <v>34191</v>
      </c>
      <c r="Z226" s="3">
        <f>3.37*400</f>
        <v>1348</v>
      </c>
      <c r="AA226" s="3" t="s">
        <v>51</v>
      </c>
      <c r="AB226" s="3" t="s">
        <v>214</v>
      </c>
      <c r="AC226" s="3">
        <v>0.28000000000000003</v>
      </c>
      <c r="AD226" s="3">
        <f t="shared" si="146"/>
        <v>1620</v>
      </c>
      <c r="AE226" s="3" t="s">
        <v>51</v>
      </c>
      <c r="AF226" s="3" t="s">
        <v>214</v>
      </c>
      <c r="AG226" s="3">
        <v>0.09</v>
      </c>
      <c r="AH226" s="8">
        <f t="shared" si="126"/>
        <v>-0.16790123456790124</v>
      </c>
      <c r="AI226" s="8">
        <f>VLOOKUP(F226,'[16]Sheet 2'!$A:$S,18,0)/VLOOKUP(F226,'[16]Sheet 2'!$A:$U,20,0)</f>
        <v>1585.5380628811486</v>
      </c>
      <c r="AJ226" s="8">
        <f t="shared" si="127"/>
        <v>-0.14981542760916636</v>
      </c>
      <c r="AK226" s="3">
        <v>47.33</v>
      </c>
      <c r="AL226" s="4" t="s">
        <v>37</v>
      </c>
      <c r="AM226" s="3"/>
      <c r="AN226" s="3">
        <v>2.96</v>
      </c>
      <c r="AO226" s="3">
        <v>54.66</v>
      </c>
      <c r="AP226" s="4" t="s">
        <v>37</v>
      </c>
      <c r="AQ226" s="3"/>
      <c r="AR226" s="3">
        <v>0.88</v>
      </c>
      <c r="AS226" s="8">
        <f t="shared" si="128"/>
        <v>-0.13410171972191728</v>
      </c>
      <c r="AT226" s="8">
        <f>VLOOKUP(F226,'[17]Sheet 2'!$A:$S,18,0)/VLOOKUP(F226,'[17]Sheet 2'!$A:$U,20,0)</f>
        <v>53.218967865588695</v>
      </c>
      <c r="AU226" s="8">
        <f t="shared" si="129"/>
        <v>-0.11065543173370138</v>
      </c>
      <c r="AV226" s="57">
        <v>37.979999999999997</v>
      </c>
      <c r="AW226" s="3" t="s">
        <v>132</v>
      </c>
      <c r="AX226" s="3"/>
      <c r="AY226" s="3">
        <v>0.42</v>
      </c>
      <c r="AZ226" s="3">
        <v>36.82</v>
      </c>
      <c r="BA226" s="3" t="s">
        <v>132</v>
      </c>
      <c r="BB226" s="3"/>
      <c r="BC226" s="3">
        <v>1.38</v>
      </c>
      <c r="BD226" s="8">
        <f t="shared" si="130"/>
        <v>3.1504617055947759E-2</v>
      </c>
      <c r="BE226" s="8">
        <f>VLOOKUP(F226,'[18]Sheet 2'!$A:$S,18,0)/VLOOKUP(F226,'[18]Sheet 2'!$A:$U,20,0)</f>
        <v>37.25017351698682</v>
      </c>
      <c r="BF226" s="8">
        <f t="shared" si="131"/>
        <v>1.9592565996514398E-2</v>
      </c>
      <c r="BG226" s="3">
        <v>2.2200000000000002</v>
      </c>
      <c r="BH226" s="3" t="s">
        <v>65</v>
      </c>
      <c r="BI226" s="3"/>
      <c r="BJ226" s="3">
        <v>0.06</v>
      </c>
      <c r="BK226" s="3">
        <v>2.38</v>
      </c>
      <c r="BL226" s="3" t="s">
        <v>65</v>
      </c>
      <c r="BM226" s="3"/>
      <c r="BN226" s="3">
        <v>0.08</v>
      </c>
      <c r="BO226" s="8">
        <f t="shared" si="132"/>
        <v>-6.7226890756302393E-2</v>
      </c>
      <c r="BP226" s="8">
        <f>VLOOKUP(F226,'[19]Sheet 2'!$A:$S,18,0)/VLOOKUP(F226,'[19]Sheet 2'!$A:$U,20,0)</f>
        <v>2.3632031306103412</v>
      </c>
      <c r="BQ226" s="8">
        <f t="shared" si="133"/>
        <v>-6.0597046760578761E-2</v>
      </c>
      <c r="BR226" s="3">
        <f t="shared" si="147"/>
        <v>28480.878935136279</v>
      </c>
      <c r="BS226" s="3" t="s">
        <v>65</v>
      </c>
      <c r="BT226" s="3"/>
      <c r="BU226" s="3"/>
      <c r="BV226" s="3">
        <f t="shared" si="148"/>
        <v>29637.760702524702</v>
      </c>
      <c r="BW226" s="3" t="s">
        <v>65</v>
      </c>
      <c r="BX226" s="3"/>
      <c r="BY226" s="3"/>
      <c r="BZ226" s="8">
        <f t="shared" si="134"/>
        <v>-3.9034047781142688E-2</v>
      </c>
      <c r="CA226" s="8">
        <f>VLOOKUP(F226,'[20]Sheet 2'!$A:$S,18,0)/VLOOKUP(F226,'[20]Sheet 2'!$A:$U,20,0)</f>
        <v>30109.607968766184</v>
      </c>
      <c r="CB226" s="8">
        <f t="shared" si="135"/>
        <v>-5.4093332444562076E-2</v>
      </c>
      <c r="CC226" s="23">
        <f t="shared" si="143"/>
        <v>52.853333333333332</v>
      </c>
      <c r="CD226" s="23">
        <v>-6.9041666666666703</v>
      </c>
      <c r="CE226" s="20">
        <v>34087</v>
      </c>
      <c r="CF226" s="20">
        <v>34227</v>
      </c>
      <c r="CG226" s="18">
        <v>34090</v>
      </c>
      <c r="CH226" s="18">
        <v>34191</v>
      </c>
      <c r="CI226" s="21">
        <f t="shared" si="149"/>
        <v>118</v>
      </c>
      <c r="CJ226" s="21">
        <f t="shared" si="140"/>
        <v>258</v>
      </c>
      <c r="CK226" s="30">
        <f t="shared" si="150"/>
        <v>141</v>
      </c>
      <c r="CL226" s="21">
        <f t="shared" si="144"/>
        <v>121</v>
      </c>
      <c r="CM226" s="21">
        <f t="shared" si="112"/>
        <v>222</v>
      </c>
      <c r="CN226" s="19">
        <f t="shared" si="113"/>
        <v>102</v>
      </c>
    </row>
    <row r="227" spans="1:95" s="42" customFormat="1" hidden="1" x14ac:dyDescent="0.3">
      <c r="A227" s="31">
        <v>1</v>
      </c>
      <c r="B227" s="31"/>
      <c r="C227" s="31"/>
      <c r="D227" s="31" t="s">
        <v>174</v>
      </c>
      <c r="E227" s="34" t="s">
        <v>175</v>
      </c>
      <c r="F227" s="34" t="str">
        <f t="shared" si="124"/>
        <v>1997-75Minaret1995OTC</v>
      </c>
      <c r="G227" s="31" t="s">
        <v>176</v>
      </c>
      <c r="H227" s="31" t="s">
        <v>155</v>
      </c>
      <c r="I227" s="31" t="s">
        <v>177</v>
      </c>
      <c r="J227" s="31" t="s">
        <v>94</v>
      </c>
      <c r="K227" s="31" t="s">
        <v>178</v>
      </c>
      <c r="L227" s="31">
        <v>1995</v>
      </c>
      <c r="M227" s="31" t="s">
        <v>95</v>
      </c>
      <c r="N227" s="31" t="s">
        <v>35</v>
      </c>
      <c r="O227" s="31" t="s">
        <v>72</v>
      </c>
      <c r="P227" s="32" t="s">
        <v>267</v>
      </c>
      <c r="Q227" s="32">
        <f t="shared" si="141"/>
        <v>27.801980198019805</v>
      </c>
      <c r="R227" s="31">
        <v>1.357</v>
      </c>
      <c r="S227" s="31">
        <v>26</v>
      </c>
      <c r="T227" s="31">
        <v>7</v>
      </c>
      <c r="U227" s="31">
        <f t="shared" ref="U227:U239" si="151">Y227-X227+1</f>
        <v>104</v>
      </c>
      <c r="V227" s="31">
        <v>3</v>
      </c>
      <c r="W227" s="31">
        <f>IF(U227&lt;=90,R227,R227/U227*90)</f>
        <v>1.1743269230769231</v>
      </c>
      <c r="X227" s="35">
        <v>34809</v>
      </c>
      <c r="Y227" s="35">
        <v>34912</v>
      </c>
      <c r="Z227" s="31">
        <v>627.4</v>
      </c>
      <c r="AA227" s="31" t="s">
        <v>78</v>
      </c>
      <c r="AB227" s="31" t="s">
        <v>179</v>
      </c>
      <c r="AC227" s="31"/>
      <c r="AD227" s="31">
        <v>627.4</v>
      </c>
      <c r="AE227" s="31" t="s">
        <v>78</v>
      </c>
      <c r="AF227" s="31" t="s">
        <v>179</v>
      </c>
      <c r="AG227" s="31"/>
      <c r="AH227" s="8">
        <f t="shared" si="126"/>
        <v>0</v>
      </c>
      <c r="AI227" s="8">
        <f>VLOOKUP(F227,'[16]Sheet 2'!$A:$S,18,0)/VLOOKUP(F227,'[16]Sheet 2'!$A:$U,20,0)</f>
        <v>766.98661836802</v>
      </c>
      <c r="AJ227" s="8">
        <f t="shared" si="127"/>
        <v>-0.18199355115872798</v>
      </c>
      <c r="AK227" s="31">
        <v>39.200000000000003</v>
      </c>
      <c r="AL227" s="32" t="s">
        <v>37</v>
      </c>
      <c r="AM227" s="31"/>
      <c r="AN227" s="31"/>
      <c r="AO227" s="31">
        <v>39.200000000000003</v>
      </c>
      <c r="AP227" s="32" t="s">
        <v>37</v>
      </c>
      <c r="AQ227" s="31"/>
      <c r="AR227" s="31"/>
      <c r="AS227" s="8">
        <f t="shared" si="128"/>
        <v>0</v>
      </c>
      <c r="AT227" s="8">
        <f>VLOOKUP(F227,'[17]Sheet 2'!$A:$S,18,0)/VLOOKUP(F227,'[17]Sheet 2'!$A:$U,20,0)</f>
        <v>46.128297879039373</v>
      </c>
      <c r="AU227" s="8">
        <f t="shared" si="129"/>
        <v>-0.15019626124525998</v>
      </c>
      <c r="AV227" s="57">
        <v>35.299999999999997</v>
      </c>
      <c r="AW227" s="31" t="s">
        <v>132</v>
      </c>
      <c r="AX227" s="31"/>
      <c r="AY227" s="31"/>
      <c r="AZ227" s="31">
        <v>35.299999999999997</v>
      </c>
      <c r="BA227" s="31" t="s">
        <v>132</v>
      </c>
      <c r="BB227" s="31"/>
      <c r="BC227" s="31"/>
      <c r="BD227" s="8">
        <f t="shared" si="130"/>
        <v>0</v>
      </c>
      <c r="BE227" s="8">
        <f>VLOOKUP(F227,'[18]Sheet 2'!$A:$S,18,0)/VLOOKUP(F227,'[18]Sheet 2'!$A:$U,20,0)</f>
        <v>39.83527163701774</v>
      </c>
      <c r="BF227" s="8">
        <f t="shared" si="131"/>
        <v>-0.11385065171247005</v>
      </c>
      <c r="BG227" s="31">
        <v>466</v>
      </c>
      <c r="BH227" s="31" t="s">
        <v>52</v>
      </c>
      <c r="BI227" s="31"/>
      <c r="BJ227" s="31"/>
      <c r="BK227" s="31">
        <v>466</v>
      </c>
      <c r="BL227" s="31" t="s">
        <v>52</v>
      </c>
      <c r="BM227" s="31"/>
      <c r="BN227" s="31"/>
      <c r="BO227" s="8">
        <f t="shared" si="132"/>
        <v>0</v>
      </c>
      <c r="BP227" s="8">
        <f>VLOOKUP(F227,'[19]Sheet 2'!$A:$S,18,0)/VLOOKUP(F227,'[19]Sheet 2'!$A:$U,20,0)</f>
        <v>511.03562735485031</v>
      </c>
      <c r="BQ227" s="8">
        <f t="shared" si="133"/>
        <v>-8.8126198926594013E-2</v>
      </c>
      <c r="BR227" s="31">
        <f t="shared" si="147"/>
        <v>16005.102040816326</v>
      </c>
      <c r="BS227" s="31" t="s">
        <v>52</v>
      </c>
      <c r="BT227" s="31"/>
      <c r="BU227" s="31"/>
      <c r="BV227" s="31">
        <f t="shared" si="148"/>
        <v>16005.102040816326</v>
      </c>
      <c r="BW227" s="31" t="s">
        <v>52</v>
      </c>
      <c r="BX227" s="31"/>
      <c r="BY227" s="31"/>
      <c r="BZ227" s="8">
        <f t="shared" si="134"/>
        <v>0</v>
      </c>
      <c r="CA227" s="8">
        <f>VLOOKUP(F227,'[20]Sheet 2'!$A:$S,18,0)/VLOOKUP(F227,'[20]Sheet 2'!$A:$U,20,0)</f>
        <v>16967.608641904961</v>
      </c>
      <c r="CB227" s="8">
        <f t="shared" si="135"/>
        <v>-5.6726119832321509E-2</v>
      </c>
      <c r="CC227" s="54">
        <v>52</v>
      </c>
      <c r="CD227" s="54">
        <f>1+15/60</f>
        <v>1.25</v>
      </c>
      <c r="CE227" s="38">
        <v>34778</v>
      </c>
      <c r="CF227" s="39">
        <v>34912</v>
      </c>
      <c r="CG227" s="39">
        <v>34809</v>
      </c>
      <c r="CH227" s="39">
        <v>34912</v>
      </c>
      <c r="CI227" s="40">
        <f t="shared" si="149"/>
        <v>79</v>
      </c>
      <c r="CJ227" s="40">
        <f t="shared" si="140"/>
        <v>213</v>
      </c>
      <c r="CK227" s="41">
        <f t="shared" si="150"/>
        <v>135</v>
      </c>
      <c r="CL227" s="40">
        <f t="shared" si="144"/>
        <v>110</v>
      </c>
      <c r="CM227" s="40">
        <f t="shared" si="112"/>
        <v>213</v>
      </c>
      <c r="CN227" s="42">
        <f t="shared" si="113"/>
        <v>104</v>
      </c>
      <c r="CP227" s="47">
        <f>CE227+90+5</f>
        <v>34873</v>
      </c>
      <c r="CQ227" s="42">
        <f t="shared" ref="CQ227:CQ233" si="152">CF227-CP227+1</f>
        <v>40</v>
      </c>
    </row>
    <row r="228" spans="1:95" s="42" customFormat="1" hidden="1" x14ac:dyDescent="0.3">
      <c r="A228" s="31">
        <v>1</v>
      </c>
      <c r="B228" s="31"/>
      <c r="C228" s="31"/>
      <c r="D228" s="31" t="s">
        <v>174</v>
      </c>
      <c r="E228" s="34" t="s">
        <v>180</v>
      </c>
      <c r="F228" s="34" t="str">
        <f t="shared" si="124"/>
        <v>1997-75Minaret1995OTC</v>
      </c>
      <c r="G228" s="31" t="s">
        <v>176</v>
      </c>
      <c r="H228" s="31" t="s">
        <v>155</v>
      </c>
      <c r="I228" s="31" t="s">
        <v>177</v>
      </c>
      <c r="J228" s="31" t="s">
        <v>94</v>
      </c>
      <c r="K228" s="31" t="s">
        <v>178</v>
      </c>
      <c r="L228" s="31">
        <v>1995</v>
      </c>
      <c r="M228" s="31" t="s">
        <v>95</v>
      </c>
      <c r="N228" s="31" t="s">
        <v>35</v>
      </c>
      <c r="O228" s="35" t="s">
        <v>73</v>
      </c>
      <c r="P228" s="35"/>
      <c r="Q228" s="32">
        <f>(7*S228+5*0.976*S227)/12*1.08</f>
        <v>49.219200000000001</v>
      </c>
      <c r="R228" s="31">
        <v>18.670999999999999</v>
      </c>
      <c r="S228" s="31">
        <v>60</v>
      </c>
      <c r="T228" s="31">
        <v>7</v>
      </c>
      <c r="U228" s="31">
        <f t="shared" si="151"/>
        <v>104</v>
      </c>
      <c r="V228" s="31">
        <v>3</v>
      </c>
      <c r="W228" s="31">
        <f>IF(U228&lt;=90,R228,R228/U228*90)</f>
        <v>16.157596153846153</v>
      </c>
      <c r="X228" s="35">
        <v>34809</v>
      </c>
      <c r="Y228" s="35">
        <v>34912</v>
      </c>
      <c r="Z228" s="31">
        <v>613.1</v>
      </c>
      <c r="AA228" s="31" t="s">
        <v>78</v>
      </c>
      <c r="AB228" s="31"/>
      <c r="AC228" s="31"/>
      <c r="AD228" s="31">
        <v>627.4</v>
      </c>
      <c r="AE228" s="31" t="s">
        <v>78</v>
      </c>
      <c r="AF228" s="31" t="s">
        <v>179</v>
      </c>
      <c r="AG228" s="31"/>
      <c r="AH228" s="8">
        <f t="shared" si="126"/>
        <v>-2.2792476888747137E-2</v>
      </c>
      <c r="AI228" s="8">
        <f>VLOOKUP(F228,'[16]Sheet 2'!$A:$S,18,0)/VLOOKUP(F228,'[16]Sheet 2'!$A:$U,20,0)</f>
        <v>766.98661836802</v>
      </c>
      <c r="AJ228" s="8">
        <f t="shared" si="127"/>
        <v>-0.20063794423878881</v>
      </c>
      <c r="AK228" s="31">
        <v>40.299999999999997</v>
      </c>
      <c r="AL228" s="32" t="s">
        <v>37</v>
      </c>
      <c r="AM228" s="31"/>
      <c r="AN228" s="31"/>
      <c r="AO228" s="31">
        <v>39.200000000000003</v>
      </c>
      <c r="AP228" s="32" t="s">
        <v>37</v>
      </c>
      <c r="AQ228" s="31"/>
      <c r="AR228" s="31"/>
      <c r="AS228" s="8">
        <f t="shared" si="128"/>
        <v>2.8061224489795773E-2</v>
      </c>
      <c r="AT228" s="8">
        <f>VLOOKUP(F228,'[17]Sheet 2'!$A:$S,18,0)/VLOOKUP(F228,'[17]Sheet 2'!$A:$U,20,0)</f>
        <v>46.128297879039373</v>
      </c>
      <c r="AU228" s="8">
        <f t="shared" si="129"/>
        <v>-0.12634972775979547</v>
      </c>
      <c r="AV228" s="57">
        <v>39.700000000000003</v>
      </c>
      <c r="AW228" s="31" t="s">
        <v>132</v>
      </c>
      <c r="AX228" s="31"/>
      <c r="AY228" s="31"/>
      <c r="AZ228" s="31">
        <v>35.299999999999997</v>
      </c>
      <c r="BA228" s="31" t="s">
        <v>132</v>
      </c>
      <c r="BB228" s="31"/>
      <c r="BC228" s="31"/>
      <c r="BD228" s="8">
        <f t="shared" si="130"/>
        <v>0.12464589235127496</v>
      </c>
      <c r="BE228" s="8">
        <f>VLOOKUP(F228,'[18]Sheet 2'!$A:$S,18,0)/VLOOKUP(F228,'[18]Sheet 2'!$A:$U,20,0)</f>
        <v>39.83527163701774</v>
      </c>
      <c r="BF228" s="8">
        <f t="shared" si="131"/>
        <v>-3.3957754386701269E-3</v>
      </c>
      <c r="BG228" s="31">
        <v>546</v>
      </c>
      <c r="BH228" s="31" t="s">
        <v>52</v>
      </c>
      <c r="BI228" s="31"/>
      <c r="BJ228" s="31"/>
      <c r="BK228" s="31">
        <v>466</v>
      </c>
      <c r="BL228" s="31" t="s">
        <v>52</v>
      </c>
      <c r="BM228" s="31"/>
      <c r="BN228" s="31"/>
      <c r="BO228" s="8">
        <f t="shared" si="132"/>
        <v>0.17167381974248927</v>
      </c>
      <c r="BP228" s="8">
        <f>VLOOKUP(F228,'[19]Sheet 2'!$A:$S,18,0)/VLOOKUP(F228,'[19]Sheet 2'!$A:$U,20,0)</f>
        <v>511.03562735485031</v>
      </c>
      <c r="BQ228" s="8">
        <f t="shared" si="133"/>
        <v>6.8418659626780412E-2</v>
      </c>
      <c r="BR228" s="31">
        <f t="shared" si="147"/>
        <v>15213.399503722085</v>
      </c>
      <c r="BS228" s="31" t="s">
        <v>52</v>
      </c>
      <c r="BT228" s="31"/>
      <c r="BU228" s="31"/>
      <c r="BV228" s="31">
        <f t="shared" si="148"/>
        <v>16005.102040816326</v>
      </c>
      <c r="BW228" s="31" t="s">
        <v>52</v>
      </c>
      <c r="BX228" s="31"/>
      <c r="BY228" s="31"/>
      <c r="BZ228" s="8">
        <f t="shared" si="134"/>
        <v>-4.9465635087813598E-2</v>
      </c>
      <c r="CA228" s="8">
        <f>VLOOKUP(F228,'[20]Sheet 2'!$A:$S,18,0)/VLOOKUP(F228,'[20]Sheet 2'!$A:$U,20,0)</f>
        <v>16967.608641904961</v>
      </c>
      <c r="CB228" s="8">
        <f t="shared" si="135"/>
        <v>-0.1033857613765619</v>
      </c>
      <c r="CC228" s="54">
        <v>52</v>
      </c>
      <c r="CD228" s="54">
        <f>1+15/60</f>
        <v>1.25</v>
      </c>
      <c r="CE228" s="38">
        <v>34778</v>
      </c>
      <c r="CF228" s="39">
        <v>34912</v>
      </c>
      <c r="CG228" s="39">
        <v>34809</v>
      </c>
      <c r="CH228" s="39">
        <v>34912</v>
      </c>
      <c r="CI228" s="40">
        <f t="shared" si="149"/>
        <v>79</v>
      </c>
      <c r="CJ228" s="40">
        <f t="shared" si="140"/>
        <v>213</v>
      </c>
      <c r="CK228" s="41">
        <f t="shared" si="150"/>
        <v>135</v>
      </c>
      <c r="CL228" s="40">
        <f t="shared" si="144"/>
        <v>110</v>
      </c>
      <c r="CM228" s="40">
        <f t="shared" si="112"/>
        <v>213</v>
      </c>
      <c r="CN228" s="42">
        <f t="shared" si="113"/>
        <v>104</v>
      </c>
      <c r="CP228" s="47">
        <f>CE228+90+5</f>
        <v>34873</v>
      </c>
      <c r="CQ228" s="42">
        <f t="shared" si="152"/>
        <v>40</v>
      </c>
    </row>
    <row r="229" spans="1:95" s="19" customFormat="1" hidden="1" x14ac:dyDescent="0.3">
      <c r="A229" s="3">
        <v>1</v>
      </c>
      <c r="B229" s="3"/>
      <c r="C229" s="3"/>
      <c r="D229" s="3" t="s">
        <v>181</v>
      </c>
      <c r="E229" s="6" t="s">
        <v>182</v>
      </c>
      <c r="F229" s="6" t="str">
        <f t="shared" si="124"/>
        <v>1998-73Minaret1996OTC</v>
      </c>
      <c r="G229" s="3" t="s">
        <v>176</v>
      </c>
      <c r="H229" s="3" t="s">
        <v>155</v>
      </c>
      <c r="I229" s="3" t="s">
        <v>177</v>
      </c>
      <c r="J229" s="3" t="s">
        <v>94</v>
      </c>
      <c r="K229" s="3" t="s">
        <v>178</v>
      </c>
      <c r="L229" s="3">
        <v>1996</v>
      </c>
      <c r="M229" s="3" t="s">
        <v>95</v>
      </c>
      <c r="N229" s="3" t="s">
        <v>35</v>
      </c>
      <c r="O229" s="3" t="s">
        <v>72</v>
      </c>
      <c r="P229" s="32" t="s">
        <v>267</v>
      </c>
      <c r="Q229" s="4">
        <f>S229/1.01*1.08</f>
        <v>27.801980198019805</v>
      </c>
      <c r="R229" s="3">
        <v>1.887</v>
      </c>
      <c r="S229" s="3">
        <v>26</v>
      </c>
      <c r="T229" s="3">
        <v>7</v>
      </c>
      <c r="U229" s="3">
        <f t="shared" si="151"/>
        <v>115</v>
      </c>
      <c r="V229" s="3">
        <v>3</v>
      </c>
      <c r="W229" s="3">
        <f>IF(U229&lt;=90,R229,R229/U229*90)</f>
        <v>1.4767826086956521</v>
      </c>
      <c r="X229" s="7">
        <v>35171</v>
      </c>
      <c r="Y229" s="7">
        <v>35285</v>
      </c>
      <c r="Z229" s="3">
        <v>918</v>
      </c>
      <c r="AA229" s="3" t="s">
        <v>78</v>
      </c>
      <c r="AB229" s="3" t="s">
        <v>183</v>
      </c>
      <c r="AC229" s="3"/>
      <c r="AD229" s="3">
        <v>918</v>
      </c>
      <c r="AE229" s="3" t="s">
        <v>78</v>
      </c>
      <c r="AF229" s="3" t="s">
        <v>183</v>
      </c>
      <c r="AG229" s="3"/>
      <c r="AH229" s="8">
        <f t="shared" si="126"/>
        <v>0</v>
      </c>
      <c r="AI229" s="8">
        <f>VLOOKUP(F229,'[16]Sheet 2'!$A:$S,18,0)/VLOOKUP(F229,'[16]Sheet 2'!$A:$U,20,0)</f>
        <v>1107.0501974123326</v>
      </c>
      <c r="AJ229" s="8">
        <f t="shared" si="127"/>
        <v>-0.17076930915529107</v>
      </c>
      <c r="AK229" s="3">
        <v>38.200000000000003</v>
      </c>
      <c r="AL229" s="4" t="s">
        <v>37</v>
      </c>
      <c r="AM229" s="3"/>
      <c r="AN229" s="3"/>
      <c r="AO229" s="3">
        <v>38.200000000000003</v>
      </c>
      <c r="AP229" s="4" t="s">
        <v>37</v>
      </c>
      <c r="AQ229" s="3"/>
      <c r="AR229" s="3"/>
      <c r="AS229" s="8">
        <f t="shared" si="128"/>
        <v>0</v>
      </c>
      <c r="AT229" s="8">
        <f>VLOOKUP(F229,'[17]Sheet 2'!$A:$S,18,0)/VLOOKUP(F229,'[17]Sheet 2'!$A:$U,20,0)</f>
        <v>45.015443582158653</v>
      </c>
      <c r="AU229" s="8">
        <f t="shared" si="129"/>
        <v>-0.15140234194781704</v>
      </c>
      <c r="AV229" s="57">
        <v>46</v>
      </c>
      <c r="AW229" s="3" t="s">
        <v>132</v>
      </c>
      <c r="AX229" s="3"/>
      <c r="AY229" s="3"/>
      <c r="AZ229" s="3">
        <v>46</v>
      </c>
      <c r="BA229" s="3" t="s">
        <v>132</v>
      </c>
      <c r="BB229" s="3"/>
      <c r="BC229" s="3"/>
      <c r="BD229" s="8">
        <f t="shared" si="130"/>
        <v>0</v>
      </c>
      <c r="BE229" s="8">
        <f>VLOOKUP(F229,'[18]Sheet 2'!$A:$S,18,0)/VLOOKUP(F229,'[18]Sheet 2'!$A:$U,20,0)</f>
        <v>49.742055997193852</v>
      </c>
      <c r="BF229" s="8">
        <f t="shared" si="131"/>
        <v>-7.5229218458620933E-2</v>
      </c>
      <c r="BG229" s="3">
        <v>635</v>
      </c>
      <c r="BH229" s="3" t="s">
        <v>52</v>
      </c>
      <c r="BI229" s="3"/>
      <c r="BJ229" s="3"/>
      <c r="BK229" s="3">
        <v>635</v>
      </c>
      <c r="BL229" s="3" t="s">
        <v>52</v>
      </c>
      <c r="BM229" s="3"/>
      <c r="BN229" s="3"/>
      <c r="BO229" s="8">
        <f t="shared" si="132"/>
        <v>0</v>
      </c>
      <c r="BP229" s="8">
        <f>VLOOKUP(F229,'[19]Sheet 2'!$A:$S,18,0)/VLOOKUP(F229,'[19]Sheet 2'!$A:$U,20,0)</f>
        <v>621.5687543440273</v>
      </c>
      <c r="BQ229" s="8">
        <f t="shared" si="133"/>
        <v>2.1608624246479972E-2</v>
      </c>
      <c r="BR229" s="3">
        <f t="shared" si="147"/>
        <v>24031.413612565444</v>
      </c>
      <c r="BS229" s="3" t="s">
        <v>52</v>
      </c>
      <c r="BT229" s="3"/>
      <c r="BU229" s="3"/>
      <c r="BV229" s="3">
        <f t="shared" si="148"/>
        <v>24031.413612565444</v>
      </c>
      <c r="BW229" s="3" t="s">
        <v>52</v>
      </c>
      <c r="BX229" s="3"/>
      <c r="BY229" s="3"/>
      <c r="BZ229" s="8">
        <f t="shared" si="134"/>
        <v>0</v>
      </c>
      <c r="CA229" s="8">
        <f>VLOOKUP(F229,'[20]Sheet 2'!$A:$S,18,0)/VLOOKUP(F229,'[20]Sheet 2'!$A:$U,20,0)</f>
        <v>24868.971397503901</v>
      </c>
      <c r="CB229" s="8">
        <f t="shared" si="135"/>
        <v>-3.3678826982869219E-2</v>
      </c>
      <c r="CC229" s="23">
        <v>52</v>
      </c>
      <c r="CD229" s="23">
        <f>1+15/60</f>
        <v>1.25</v>
      </c>
      <c r="CE229" s="20">
        <v>35144</v>
      </c>
      <c r="CF229" s="18">
        <v>35285</v>
      </c>
      <c r="CG229" s="18">
        <v>35171</v>
      </c>
      <c r="CH229" s="18">
        <v>35285</v>
      </c>
      <c r="CI229" s="21">
        <f t="shared" si="149"/>
        <v>80</v>
      </c>
      <c r="CJ229" s="21">
        <f t="shared" si="140"/>
        <v>221</v>
      </c>
      <c r="CK229" s="30">
        <f t="shared" si="150"/>
        <v>142</v>
      </c>
      <c r="CL229" s="21">
        <f t="shared" si="144"/>
        <v>107</v>
      </c>
      <c r="CM229" s="21">
        <f t="shared" si="112"/>
        <v>221</v>
      </c>
      <c r="CN229" s="19">
        <f t="shared" si="113"/>
        <v>115</v>
      </c>
      <c r="CP229" s="29">
        <f>CE229+97</f>
        <v>35241</v>
      </c>
      <c r="CQ229" s="19">
        <f t="shared" si="152"/>
        <v>45</v>
      </c>
    </row>
    <row r="230" spans="1:95" s="19" customFormat="1" hidden="1" x14ac:dyDescent="0.3">
      <c r="A230" s="3">
        <v>1</v>
      </c>
      <c r="B230" s="3"/>
      <c r="C230" s="3"/>
      <c r="D230" s="3" t="s">
        <v>181</v>
      </c>
      <c r="E230" s="6" t="s">
        <v>184</v>
      </c>
      <c r="F230" s="6" t="str">
        <f t="shared" si="124"/>
        <v>1998-73Minaret1996OTC</v>
      </c>
      <c r="G230" s="3" t="s">
        <v>176</v>
      </c>
      <c r="H230" s="3" t="s">
        <v>155</v>
      </c>
      <c r="I230" s="3" t="s">
        <v>177</v>
      </c>
      <c r="J230" s="3" t="s">
        <v>94</v>
      </c>
      <c r="K230" s="3" t="s">
        <v>178</v>
      </c>
      <c r="L230" s="3">
        <v>1996</v>
      </c>
      <c r="M230" s="3" t="s">
        <v>95</v>
      </c>
      <c r="N230" s="3" t="s">
        <v>35</v>
      </c>
      <c r="O230" s="7" t="s">
        <v>73</v>
      </c>
      <c r="P230" s="7"/>
      <c r="Q230" s="4">
        <f>(7*S230+5*0.976*S229)/12*1.08</f>
        <v>64.339200000000005</v>
      </c>
      <c r="R230" s="3">
        <v>35.497999999999998</v>
      </c>
      <c r="S230" s="3">
        <v>84</v>
      </c>
      <c r="T230" s="3">
        <v>7</v>
      </c>
      <c r="U230" s="3">
        <f t="shared" si="151"/>
        <v>115</v>
      </c>
      <c r="V230" s="3">
        <v>3</v>
      </c>
      <c r="W230" s="3">
        <f>IF(U230&lt;=90,R230,R230/U230*90)</f>
        <v>27.781043478260866</v>
      </c>
      <c r="X230" s="7">
        <v>35171</v>
      </c>
      <c r="Y230" s="7">
        <v>35285</v>
      </c>
      <c r="Z230" s="3">
        <v>644</v>
      </c>
      <c r="AA230" s="3" t="s">
        <v>78</v>
      </c>
      <c r="AB230" s="3"/>
      <c r="AC230" s="3"/>
      <c r="AD230" s="3">
        <v>918</v>
      </c>
      <c r="AE230" s="3" t="s">
        <v>78</v>
      </c>
      <c r="AF230" s="3" t="s">
        <v>183</v>
      </c>
      <c r="AG230" s="3"/>
      <c r="AH230" s="8">
        <f t="shared" si="126"/>
        <v>-0.29847494553376908</v>
      </c>
      <c r="AI230" s="8">
        <f>VLOOKUP(F230,'[16]Sheet 2'!$A:$S,18,0)/VLOOKUP(F230,'[16]Sheet 2'!$A:$U,20,0)</f>
        <v>1107.0501974123326</v>
      </c>
      <c r="AJ230" s="8">
        <f t="shared" si="127"/>
        <v>-0.41827389444009527</v>
      </c>
      <c r="AK230" s="3">
        <v>33.799999999999997</v>
      </c>
      <c r="AL230" s="4" t="s">
        <v>37</v>
      </c>
      <c r="AM230" s="3"/>
      <c r="AN230" s="3"/>
      <c r="AO230" s="3">
        <v>38.200000000000003</v>
      </c>
      <c r="AP230" s="4" t="s">
        <v>37</v>
      </c>
      <c r="AQ230" s="3"/>
      <c r="AR230" s="3"/>
      <c r="AS230" s="8">
        <f t="shared" si="128"/>
        <v>-0.11518324607329856</v>
      </c>
      <c r="AT230" s="8">
        <f>VLOOKUP(F230,'[17]Sheet 2'!$A:$S,18,0)/VLOOKUP(F230,'[17]Sheet 2'!$A:$U,20,0)</f>
        <v>45.015443582158653</v>
      </c>
      <c r="AU230" s="8">
        <f t="shared" si="129"/>
        <v>-0.24914657481246649</v>
      </c>
      <c r="AV230" s="57">
        <v>43.2</v>
      </c>
      <c r="AW230" s="3" t="s">
        <v>132</v>
      </c>
      <c r="AX230" s="3"/>
      <c r="AY230" s="3"/>
      <c r="AZ230" s="3">
        <v>46</v>
      </c>
      <c r="BA230" s="3" t="s">
        <v>132</v>
      </c>
      <c r="BB230" s="3"/>
      <c r="BC230" s="3"/>
      <c r="BD230" s="8">
        <f t="shared" si="130"/>
        <v>-6.0869565217391244E-2</v>
      </c>
      <c r="BE230" s="8">
        <f>VLOOKUP(F230,'[18]Sheet 2'!$A:$S,18,0)/VLOOKUP(F230,'[18]Sheet 2'!$A:$U,20,0)</f>
        <v>49.742055997193852</v>
      </c>
      <c r="BF230" s="8">
        <f t="shared" si="131"/>
        <v>-0.13151961385679178</v>
      </c>
      <c r="BG230" s="3">
        <v>582</v>
      </c>
      <c r="BH230" s="3" t="s">
        <v>52</v>
      </c>
      <c r="BI230" s="3"/>
      <c r="BJ230" s="3"/>
      <c r="BK230" s="3">
        <v>635</v>
      </c>
      <c r="BL230" s="3" t="s">
        <v>52</v>
      </c>
      <c r="BM230" s="3"/>
      <c r="BN230" s="3"/>
      <c r="BO230" s="8">
        <f t="shared" si="132"/>
        <v>-8.3464566929133857E-2</v>
      </c>
      <c r="BP230" s="8">
        <f>VLOOKUP(F230,'[19]Sheet 2'!$A:$S,18,0)/VLOOKUP(F230,'[19]Sheet 2'!$A:$U,20,0)</f>
        <v>621.5687543440273</v>
      </c>
      <c r="BQ230" s="8">
        <f t="shared" si="133"/>
        <v>-6.3659497147320721E-2</v>
      </c>
      <c r="BR230" s="3">
        <f t="shared" si="147"/>
        <v>19053.254437869826</v>
      </c>
      <c r="BS230" s="3" t="s">
        <v>52</v>
      </c>
      <c r="BT230" s="3"/>
      <c r="BU230" s="3"/>
      <c r="BV230" s="3">
        <f t="shared" si="148"/>
        <v>24031.413612565444</v>
      </c>
      <c r="BW230" s="3" t="s">
        <v>52</v>
      </c>
      <c r="BX230" s="3"/>
      <c r="BY230" s="3"/>
      <c r="BZ230" s="8">
        <f t="shared" si="134"/>
        <v>-0.20715215737840156</v>
      </c>
      <c r="CA230" s="8">
        <f>VLOOKUP(F230,'[20]Sheet 2'!$A:$S,18,0)/VLOOKUP(F230,'[20]Sheet 2'!$A:$U,20,0)</f>
        <v>24868.971397503901</v>
      </c>
      <c r="CB230" s="8">
        <f t="shared" si="135"/>
        <v>-0.23385434269379549</v>
      </c>
      <c r="CC230" s="23">
        <v>52</v>
      </c>
      <c r="CD230" s="23">
        <f>1+15/60</f>
        <v>1.25</v>
      </c>
      <c r="CE230" s="20">
        <v>35144</v>
      </c>
      <c r="CF230" s="18">
        <v>35285</v>
      </c>
      <c r="CG230" s="18">
        <v>35171</v>
      </c>
      <c r="CH230" s="18">
        <v>35285</v>
      </c>
      <c r="CI230" s="21">
        <f t="shared" si="149"/>
        <v>80</v>
      </c>
      <c r="CJ230" s="21">
        <f t="shared" si="140"/>
        <v>221</v>
      </c>
      <c r="CK230" s="30">
        <f t="shared" si="150"/>
        <v>142</v>
      </c>
      <c r="CL230" s="21">
        <f t="shared" si="144"/>
        <v>107</v>
      </c>
      <c r="CM230" s="21">
        <f t="shared" si="112"/>
        <v>221</v>
      </c>
      <c r="CN230" s="19">
        <f t="shared" si="113"/>
        <v>115</v>
      </c>
      <c r="CP230" s="29">
        <f>CE230+97</f>
        <v>35241</v>
      </c>
      <c r="CQ230" s="19">
        <f t="shared" si="152"/>
        <v>45</v>
      </c>
    </row>
    <row r="231" spans="1:95" s="42" customFormat="1" hidden="1" x14ac:dyDescent="0.3">
      <c r="A231" s="31">
        <v>1</v>
      </c>
      <c r="B231" s="31"/>
      <c r="C231" s="31"/>
      <c r="D231" s="31" t="s">
        <v>185</v>
      </c>
      <c r="E231" s="34" t="s">
        <v>186</v>
      </c>
      <c r="F231" s="34" t="str">
        <f t="shared" si="124"/>
        <v>1995-120Ralle1991OTC</v>
      </c>
      <c r="G231" s="31" t="s">
        <v>187</v>
      </c>
      <c r="H231" s="31" t="s">
        <v>155</v>
      </c>
      <c r="I231" s="31" t="s">
        <v>188</v>
      </c>
      <c r="J231" s="31" t="s">
        <v>94</v>
      </c>
      <c r="K231" s="31" t="s">
        <v>189</v>
      </c>
      <c r="L231" s="31">
        <v>1991</v>
      </c>
      <c r="M231" s="31" t="s">
        <v>95</v>
      </c>
      <c r="N231" s="31" t="s">
        <v>35</v>
      </c>
      <c r="O231" s="35" t="s">
        <v>130</v>
      </c>
      <c r="P231" s="32" t="s">
        <v>267</v>
      </c>
      <c r="Q231" s="31">
        <f>(8 * S231+ 4 * 0.97*S231) / 12*U231*12/1000+S232/1.01*(90-U231)*12/1000</f>
        <v>21.456072475247524</v>
      </c>
      <c r="R231" s="31"/>
      <c r="S231" s="31">
        <v>17</v>
      </c>
      <c r="T231" s="31">
        <v>8</v>
      </c>
      <c r="U231" s="31">
        <f t="shared" si="151"/>
        <v>67</v>
      </c>
      <c r="V231" s="31">
        <v>5</v>
      </c>
      <c r="W231" s="43">
        <v>0</v>
      </c>
      <c r="X231" s="35">
        <v>33412</v>
      </c>
      <c r="Y231" s="35">
        <v>33478</v>
      </c>
      <c r="Z231" s="31">
        <f>3.7*400</f>
        <v>1480</v>
      </c>
      <c r="AA231" s="31" t="s">
        <v>78</v>
      </c>
      <c r="AB231" s="31" t="s">
        <v>190</v>
      </c>
      <c r="AC231" s="31"/>
      <c r="AD231" s="31">
        <f t="shared" ref="AD231:AD233" si="153">3.7*400</f>
        <v>1480</v>
      </c>
      <c r="AE231" s="31" t="s">
        <v>78</v>
      </c>
      <c r="AF231" s="31" t="s">
        <v>190</v>
      </c>
      <c r="AG231" s="31"/>
      <c r="AH231" s="8">
        <f t="shared" si="126"/>
        <v>0</v>
      </c>
      <c r="AI231" s="8">
        <f>VLOOKUP(F231,'[16]Sheet 2'!$A:$S,18,0)/VLOOKUP(F231,'[16]Sheet 2'!$A:$U,20,0)</f>
        <v>1398.7813465133436</v>
      </c>
      <c r="AJ231" s="8">
        <f t="shared" si="127"/>
        <v>5.806386658579997E-2</v>
      </c>
      <c r="AK231" s="31">
        <v>47.9</v>
      </c>
      <c r="AL231" s="32" t="s">
        <v>37</v>
      </c>
      <c r="AM231" s="31"/>
      <c r="AN231" s="31"/>
      <c r="AO231" s="31">
        <v>47.9</v>
      </c>
      <c r="AP231" s="32" t="s">
        <v>37</v>
      </c>
      <c r="AQ231" s="31"/>
      <c r="AR231" s="31"/>
      <c r="AS231" s="8">
        <f t="shared" si="128"/>
        <v>0</v>
      </c>
      <c r="AT231" s="8">
        <f>VLOOKUP(F231,'[17]Sheet 2'!$A:$S,18,0)/VLOOKUP(F231,'[17]Sheet 2'!$A:$U,20,0)</f>
        <v>47.336501160555329</v>
      </c>
      <c r="AU231" s="8">
        <f t="shared" si="129"/>
        <v>1.1904108365200066E-2</v>
      </c>
      <c r="AV231" s="57"/>
      <c r="AW231" s="31"/>
      <c r="AX231" s="31"/>
      <c r="AY231" s="31"/>
      <c r="AZ231" s="31"/>
      <c r="BA231" s="31"/>
      <c r="BB231" s="31"/>
      <c r="BC231" s="31"/>
      <c r="BD231" s="8" t="e">
        <f t="shared" si="130"/>
        <v>#DIV/0!</v>
      </c>
      <c r="BE231" s="8" t="e">
        <f>VLOOKUP(F231,'[18]Sheet 2'!$A:$S,18,0)/VLOOKUP(F231,'[18]Sheet 2'!$A:$U,20,0)</f>
        <v>#N/A</v>
      </c>
      <c r="BF231" s="8" t="e">
        <f t="shared" si="131"/>
        <v>#N/A</v>
      </c>
      <c r="BG231" s="31"/>
      <c r="BH231" s="31"/>
      <c r="BI231" s="31"/>
      <c r="BJ231" s="31"/>
      <c r="BK231" s="31"/>
      <c r="BL231" s="31"/>
      <c r="BM231" s="31"/>
      <c r="BN231" s="31"/>
      <c r="BO231" s="8" t="e">
        <f t="shared" si="132"/>
        <v>#DIV/0!</v>
      </c>
      <c r="BP231" s="8" t="e">
        <f>VLOOKUP(F231,'[19]Sheet 2'!$A:$S,18,0)/VLOOKUP(F231,'[19]Sheet 2'!$A:$U,20,0)</f>
        <v>#N/A</v>
      </c>
      <c r="BQ231" s="8" t="e">
        <f t="shared" si="133"/>
        <v>#N/A</v>
      </c>
      <c r="BR231" s="31">
        <f t="shared" si="147"/>
        <v>30897.703549060545</v>
      </c>
      <c r="BS231" s="31" t="s">
        <v>65</v>
      </c>
      <c r="BT231" s="31"/>
      <c r="BU231" s="31"/>
      <c r="BV231" s="31">
        <f t="shared" si="148"/>
        <v>30897.703549060545</v>
      </c>
      <c r="BW231" s="31" t="s">
        <v>65</v>
      </c>
      <c r="BX231" s="31"/>
      <c r="BY231" s="31"/>
      <c r="BZ231" s="8">
        <f t="shared" si="134"/>
        <v>0</v>
      </c>
      <c r="CA231" s="8">
        <f>VLOOKUP(F231,'[20]Sheet 2'!$A:$S,18,0)/VLOOKUP(F231,'[20]Sheet 2'!$A:$U,20,0)</f>
        <v>29907.540492655626</v>
      </c>
      <c r="CB231" s="8">
        <f t="shared" si="135"/>
        <v>3.3107471898201485E-2</v>
      </c>
      <c r="CC231" s="54">
        <f>55+41/60</f>
        <v>55.68333333333333</v>
      </c>
      <c r="CD231" s="54">
        <f>12+6/60</f>
        <v>12.1</v>
      </c>
      <c r="CE231" s="38">
        <v>33368</v>
      </c>
      <c r="CF231" s="39">
        <v>33478</v>
      </c>
      <c r="CG231" s="39">
        <v>33412</v>
      </c>
      <c r="CH231" s="39">
        <v>33478</v>
      </c>
      <c r="CI231" s="40">
        <f t="shared" si="149"/>
        <v>130</v>
      </c>
      <c r="CJ231" s="40">
        <f t="shared" si="140"/>
        <v>240</v>
      </c>
      <c r="CK231" s="41">
        <f t="shared" si="150"/>
        <v>111</v>
      </c>
      <c r="CL231" s="40">
        <f t="shared" si="144"/>
        <v>174</v>
      </c>
      <c r="CM231" s="40">
        <f t="shared" si="112"/>
        <v>240</v>
      </c>
      <c r="CN231" s="42">
        <f t="shared" si="113"/>
        <v>67</v>
      </c>
      <c r="CP231" s="47">
        <v>33435</v>
      </c>
      <c r="CQ231" s="42">
        <f t="shared" si="152"/>
        <v>44</v>
      </c>
    </row>
    <row r="232" spans="1:95" s="42" customFormat="1" hidden="1" x14ac:dyDescent="0.3">
      <c r="A232" s="31">
        <v>1</v>
      </c>
      <c r="B232" s="31"/>
      <c r="C232" s="31"/>
      <c r="D232" s="31" t="s">
        <v>185</v>
      </c>
      <c r="E232" s="34" t="s">
        <v>186</v>
      </c>
      <c r="F232" s="34" t="str">
        <f t="shared" si="124"/>
        <v>1995-120Ralle1991OTC</v>
      </c>
      <c r="G232" s="31" t="s">
        <v>187</v>
      </c>
      <c r="H232" s="31" t="s">
        <v>155</v>
      </c>
      <c r="I232" s="31" t="s">
        <v>188</v>
      </c>
      <c r="J232" s="31" t="s">
        <v>94</v>
      </c>
      <c r="K232" s="31" t="s">
        <v>189</v>
      </c>
      <c r="L232" s="31">
        <v>1991</v>
      </c>
      <c r="M232" s="31" t="s">
        <v>95</v>
      </c>
      <c r="N232" s="31" t="s">
        <v>35</v>
      </c>
      <c r="O232" s="31" t="s">
        <v>101</v>
      </c>
      <c r="P232" s="31"/>
      <c r="Q232" s="31">
        <f>S232/1.01*U232*12/1000+S232/1.01*(90-U232)*12/1000</f>
        <v>31.009900990099005</v>
      </c>
      <c r="R232" s="31"/>
      <c r="S232" s="31">
        <v>29</v>
      </c>
      <c r="T232" s="31">
        <v>8</v>
      </c>
      <c r="U232" s="31">
        <f t="shared" si="151"/>
        <v>67</v>
      </c>
      <c r="V232" s="31">
        <v>5</v>
      </c>
      <c r="W232" s="43">
        <v>1.0571921133271101</v>
      </c>
      <c r="X232" s="35">
        <v>33412</v>
      </c>
      <c r="Y232" s="35">
        <v>33478</v>
      </c>
      <c r="Z232" s="31">
        <f>3.3*400</f>
        <v>1320</v>
      </c>
      <c r="AA232" s="31" t="s">
        <v>78</v>
      </c>
      <c r="AB232" s="31" t="s">
        <v>190</v>
      </c>
      <c r="AC232" s="31"/>
      <c r="AD232" s="31">
        <f t="shared" si="153"/>
        <v>1480</v>
      </c>
      <c r="AE232" s="31" t="s">
        <v>78</v>
      </c>
      <c r="AF232" s="31" t="s">
        <v>190</v>
      </c>
      <c r="AG232" s="31"/>
      <c r="AH232" s="8">
        <f t="shared" si="126"/>
        <v>-0.10810810810810811</v>
      </c>
      <c r="AI232" s="8">
        <f>VLOOKUP(F232,'[16]Sheet 2'!$A:$S,18,0)/VLOOKUP(F232,'[16]Sheet 2'!$A:$U,20,0)</f>
        <v>1398.7813465133436</v>
      </c>
      <c r="AJ232" s="8">
        <f t="shared" si="127"/>
        <v>-5.6321416288340566E-2</v>
      </c>
      <c r="AK232" s="31">
        <v>44.9</v>
      </c>
      <c r="AL232" s="32" t="s">
        <v>37</v>
      </c>
      <c r="AM232" s="31"/>
      <c r="AN232" s="31"/>
      <c r="AO232" s="31">
        <v>47.9</v>
      </c>
      <c r="AP232" s="32" t="s">
        <v>37</v>
      </c>
      <c r="AQ232" s="31"/>
      <c r="AR232" s="31"/>
      <c r="AS232" s="8">
        <f t="shared" si="128"/>
        <v>-6.2630480167014613E-2</v>
      </c>
      <c r="AT232" s="8">
        <f>VLOOKUP(F232,'[17]Sheet 2'!$A:$S,18,0)/VLOOKUP(F232,'[17]Sheet 2'!$A:$U,20,0)</f>
        <v>47.336501160555329</v>
      </c>
      <c r="AU232" s="8">
        <f t="shared" si="129"/>
        <v>-5.1471931824687206E-2</v>
      </c>
      <c r="AV232" s="57"/>
      <c r="AW232" s="31"/>
      <c r="AX232" s="31"/>
      <c r="AY232" s="31"/>
      <c r="AZ232" s="31"/>
      <c r="BA232" s="31"/>
      <c r="BB232" s="31"/>
      <c r="BC232" s="31"/>
      <c r="BD232" s="8" t="e">
        <f t="shared" si="130"/>
        <v>#DIV/0!</v>
      </c>
      <c r="BE232" s="8" t="e">
        <f>VLOOKUP(F232,'[18]Sheet 2'!$A:$S,18,0)/VLOOKUP(F232,'[18]Sheet 2'!$A:$U,20,0)</f>
        <v>#N/A</v>
      </c>
      <c r="BF232" s="8" t="e">
        <f t="shared" si="131"/>
        <v>#N/A</v>
      </c>
      <c r="BG232" s="31"/>
      <c r="BH232" s="31"/>
      <c r="BI232" s="31"/>
      <c r="BJ232" s="31"/>
      <c r="BK232" s="31"/>
      <c r="BL232" s="31"/>
      <c r="BM232" s="31"/>
      <c r="BN232" s="31"/>
      <c r="BO232" s="8" t="e">
        <f t="shared" si="132"/>
        <v>#DIV/0!</v>
      </c>
      <c r="BP232" s="8" t="e">
        <f>VLOOKUP(F232,'[19]Sheet 2'!$A:$S,18,0)/VLOOKUP(F232,'[19]Sheet 2'!$A:$U,20,0)</f>
        <v>#N/A</v>
      </c>
      <c r="BQ232" s="8" t="e">
        <f t="shared" si="133"/>
        <v>#N/A</v>
      </c>
      <c r="BR232" s="31">
        <f t="shared" si="147"/>
        <v>29398.663697104676</v>
      </c>
      <c r="BS232" s="31" t="s">
        <v>65</v>
      </c>
      <c r="BT232" s="31"/>
      <c r="BU232" s="31"/>
      <c r="BV232" s="31">
        <f t="shared" si="148"/>
        <v>30897.703549060545</v>
      </c>
      <c r="BW232" s="31" t="s">
        <v>65</v>
      </c>
      <c r="BX232" s="31"/>
      <c r="BY232" s="31"/>
      <c r="BZ232" s="8">
        <f t="shared" si="134"/>
        <v>-4.851622223559874E-2</v>
      </c>
      <c r="CA232" s="8">
        <f>VLOOKUP(F232,'[20]Sheet 2'!$A:$S,18,0)/VLOOKUP(F232,'[20]Sheet 2'!$A:$U,20,0)</f>
        <v>29907.540492655626</v>
      </c>
      <c r="CB232" s="8">
        <f t="shared" si="135"/>
        <v>-1.7014999801669237E-2</v>
      </c>
      <c r="CC232" s="54">
        <f>55+41/60</f>
        <v>55.68333333333333</v>
      </c>
      <c r="CD232" s="54">
        <f>12+6/60</f>
        <v>12.1</v>
      </c>
      <c r="CE232" s="38">
        <v>33368</v>
      </c>
      <c r="CF232" s="39">
        <v>33478</v>
      </c>
      <c r="CG232" s="39">
        <v>33412</v>
      </c>
      <c r="CH232" s="39">
        <v>33478</v>
      </c>
      <c r="CI232" s="40">
        <f t="shared" si="149"/>
        <v>130</v>
      </c>
      <c r="CJ232" s="40">
        <f t="shared" si="140"/>
        <v>240</v>
      </c>
      <c r="CK232" s="41">
        <f t="shared" si="150"/>
        <v>111</v>
      </c>
      <c r="CL232" s="40">
        <f t="shared" si="144"/>
        <v>174</v>
      </c>
      <c r="CM232" s="40">
        <f t="shared" si="112"/>
        <v>240</v>
      </c>
      <c r="CN232" s="42">
        <f t="shared" si="113"/>
        <v>67</v>
      </c>
      <c r="CP232" s="47">
        <v>33435</v>
      </c>
      <c r="CQ232" s="42">
        <f t="shared" si="152"/>
        <v>44</v>
      </c>
    </row>
    <row r="233" spans="1:95" s="42" customFormat="1" hidden="1" x14ac:dyDescent="0.3">
      <c r="A233" s="31">
        <v>1</v>
      </c>
      <c r="B233" s="31"/>
      <c r="C233" s="31"/>
      <c r="D233" s="31" t="s">
        <v>185</v>
      </c>
      <c r="E233" s="34" t="s">
        <v>186</v>
      </c>
      <c r="F233" s="34" t="str">
        <f t="shared" si="124"/>
        <v>1995-120Ralle1991OTC</v>
      </c>
      <c r="G233" s="31" t="s">
        <v>187</v>
      </c>
      <c r="H233" s="31" t="s">
        <v>155</v>
      </c>
      <c r="I233" s="31" t="s">
        <v>188</v>
      </c>
      <c r="J233" s="31" t="s">
        <v>94</v>
      </c>
      <c r="K233" s="31" t="s">
        <v>189</v>
      </c>
      <c r="L233" s="31">
        <v>1991</v>
      </c>
      <c r="M233" s="31" t="s">
        <v>95</v>
      </c>
      <c r="N233" s="31" t="s">
        <v>35</v>
      </c>
      <c r="O233" s="31" t="s">
        <v>73</v>
      </c>
      <c r="P233" s="31"/>
      <c r="Q233" s="31">
        <f>(8 * S233+ 4 * 0.97*S232) / 12*U233*12/1000+S232/1.01*(90-U233)*12/1000</f>
        <v>48.159592475247521</v>
      </c>
      <c r="R233" s="31"/>
      <c r="S233" s="31">
        <v>61</v>
      </c>
      <c r="T233" s="31">
        <v>8</v>
      </c>
      <c r="U233" s="31">
        <f t="shared" si="151"/>
        <v>67</v>
      </c>
      <c r="V233" s="31">
        <v>5</v>
      </c>
      <c r="W233" s="43">
        <v>8.7904993566869791</v>
      </c>
      <c r="X233" s="35">
        <v>33412</v>
      </c>
      <c r="Y233" s="35">
        <v>33478</v>
      </c>
      <c r="Z233" s="31">
        <f>2.7*400</f>
        <v>1080</v>
      </c>
      <c r="AA233" s="31" t="s">
        <v>78</v>
      </c>
      <c r="AB233" s="31" t="s">
        <v>190</v>
      </c>
      <c r="AC233" s="31"/>
      <c r="AD233" s="31">
        <f t="shared" si="153"/>
        <v>1480</v>
      </c>
      <c r="AE233" s="31" t="s">
        <v>78</v>
      </c>
      <c r="AF233" s="31" t="s">
        <v>190</v>
      </c>
      <c r="AG233" s="31"/>
      <c r="AH233" s="8">
        <f t="shared" si="126"/>
        <v>-0.27027027027027029</v>
      </c>
      <c r="AI233" s="8">
        <f>VLOOKUP(F233,'[16]Sheet 2'!$A:$S,18,0)/VLOOKUP(F233,'[16]Sheet 2'!$A:$U,20,0)</f>
        <v>1398.7813465133436</v>
      </c>
      <c r="AJ233" s="8">
        <f t="shared" si="127"/>
        <v>-0.22789934059955136</v>
      </c>
      <c r="AK233" s="31">
        <v>40.200000000000003</v>
      </c>
      <c r="AL233" s="32" t="s">
        <v>37</v>
      </c>
      <c r="AM233" s="31"/>
      <c r="AN233" s="31"/>
      <c r="AO233" s="31">
        <v>47.9</v>
      </c>
      <c r="AP233" s="32" t="s">
        <v>37</v>
      </c>
      <c r="AQ233" s="31"/>
      <c r="AR233" s="31"/>
      <c r="AS233" s="8">
        <f t="shared" si="128"/>
        <v>-0.16075156576200408</v>
      </c>
      <c r="AT233" s="8">
        <f>VLOOKUP(F233,'[17]Sheet 2'!$A:$S,18,0)/VLOOKUP(F233,'[17]Sheet 2'!$A:$U,20,0)</f>
        <v>47.336501160555329</v>
      </c>
      <c r="AU233" s="8">
        <f t="shared" si="129"/>
        <v>-0.15076106145551049</v>
      </c>
      <c r="AV233" s="57"/>
      <c r="AW233" s="31"/>
      <c r="AX233" s="31"/>
      <c r="AY233" s="31"/>
      <c r="AZ233" s="31"/>
      <c r="BA233" s="31"/>
      <c r="BB233" s="31"/>
      <c r="BC233" s="31"/>
      <c r="BD233" s="8" t="e">
        <f t="shared" si="130"/>
        <v>#DIV/0!</v>
      </c>
      <c r="BE233" s="8" t="e">
        <f>VLOOKUP(F233,'[18]Sheet 2'!$A:$S,18,0)/VLOOKUP(F233,'[18]Sheet 2'!$A:$U,20,0)</f>
        <v>#N/A</v>
      </c>
      <c r="BF233" s="8" t="e">
        <f t="shared" si="131"/>
        <v>#N/A</v>
      </c>
      <c r="BG233" s="31"/>
      <c r="BH233" s="31"/>
      <c r="BI233" s="31"/>
      <c r="BJ233" s="31"/>
      <c r="BK233" s="31"/>
      <c r="BL233" s="31"/>
      <c r="BM233" s="31"/>
      <c r="BN233" s="31"/>
      <c r="BO233" s="8" t="e">
        <f t="shared" si="132"/>
        <v>#DIV/0!</v>
      </c>
      <c r="BP233" s="8" t="e">
        <f>VLOOKUP(F233,'[19]Sheet 2'!$A:$S,18,0)/VLOOKUP(F233,'[19]Sheet 2'!$A:$U,20,0)</f>
        <v>#N/A</v>
      </c>
      <c r="BQ233" s="8" t="e">
        <f t="shared" si="133"/>
        <v>#N/A</v>
      </c>
      <c r="BR233" s="31">
        <f t="shared" si="147"/>
        <v>26865.671641791043</v>
      </c>
      <c r="BS233" s="31" t="s">
        <v>65</v>
      </c>
      <c r="BT233" s="31"/>
      <c r="BU233" s="31"/>
      <c r="BV233" s="31">
        <f t="shared" si="148"/>
        <v>30897.703549060545</v>
      </c>
      <c r="BW233" s="31" t="s">
        <v>65</v>
      </c>
      <c r="BX233" s="31"/>
      <c r="BY233" s="31"/>
      <c r="BZ233" s="8">
        <f t="shared" si="134"/>
        <v>-0.13049616780960077</v>
      </c>
      <c r="CA233" s="8">
        <f>VLOOKUP(F233,'[20]Sheet 2'!$A:$S,18,0)/VLOOKUP(F233,'[20]Sheet 2'!$A:$U,20,0)</f>
        <v>29907.540492655626</v>
      </c>
      <c r="CB233" s="8">
        <f t="shared" si="135"/>
        <v>-0.10170909411997862</v>
      </c>
      <c r="CC233" s="54">
        <f>55+41/60</f>
        <v>55.68333333333333</v>
      </c>
      <c r="CD233" s="54">
        <f>12+6/60</f>
        <v>12.1</v>
      </c>
      <c r="CE233" s="38">
        <v>33368</v>
      </c>
      <c r="CF233" s="39">
        <v>33478</v>
      </c>
      <c r="CG233" s="39">
        <v>33412</v>
      </c>
      <c r="CH233" s="39">
        <v>33478</v>
      </c>
      <c r="CI233" s="40">
        <f t="shared" si="149"/>
        <v>130</v>
      </c>
      <c r="CJ233" s="40">
        <f t="shared" si="140"/>
        <v>240</v>
      </c>
      <c r="CK233" s="41">
        <f t="shared" si="150"/>
        <v>111</v>
      </c>
      <c r="CL233" s="40">
        <f t="shared" si="144"/>
        <v>174</v>
      </c>
      <c r="CM233" s="40">
        <f t="shared" si="112"/>
        <v>240</v>
      </c>
      <c r="CN233" s="42">
        <f t="shared" si="113"/>
        <v>67</v>
      </c>
      <c r="CP233" s="47">
        <v>33435</v>
      </c>
      <c r="CQ233" s="42">
        <f t="shared" si="152"/>
        <v>44</v>
      </c>
    </row>
    <row r="234" spans="1:95" s="19" customFormat="1" hidden="1" x14ac:dyDescent="0.3">
      <c r="A234" s="3">
        <v>1</v>
      </c>
      <c r="B234" s="3"/>
      <c r="C234" s="3"/>
      <c r="D234" s="3" t="s">
        <v>191</v>
      </c>
      <c r="E234" s="6" t="s">
        <v>192</v>
      </c>
      <c r="F234" s="6" t="str">
        <f t="shared" si="124"/>
        <v>1998-75Satu1992OTC</v>
      </c>
      <c r="G234" s="6" t="s">
        <v>193</v>
      </c>
      <c r="H234" s="3" t="s">
        <v>155</v>
      </c>
      <c r="I234" s="6" t="s">
        <v>233</v>
      </c>
      <c r="J234" s="3" t="s">
        <v>94</v>
      </c>
      <c r="K234" s="13" t="s">
        <v>195</v>
      </c>
      <c r="L234" s="13">
        <v>1992</v>
      </c>
      <c r="M234" s="6" t="s">
        <v>34</v>
      </c>
      <c r="N234" s="6" t="s">
        <v>49</v>
      </c>
      <c r="O234" s="13" t="s">
        <v>130</v>
      </c>
      <c r="P234" s="32" t="s">
        <v>267</v>
      </c>
      <c r="Q234" s="3">
        <f>(8 * S234+ 4 * 0.97*S234) / 12*U234*12/1000+S235/1.01*(90-U234)*12/1000</f>
        <v>17.250187722772274</v>
      </c>
      <c r="R234" s="3">
        <v>0</v>
      </c>
      <c r="S234" s="3">
        <v>14</v>
      </c>
      <c r="T234" s="3">
        <v>8</v>
      </c>
      <c r="U234" s="3">
        <f t="shared" si="151"/>
        <v>78</v>
      </c>
      <c r="V234" s="3">
        <v>5</v>
      </c>
      <c r="W234" s="3">
        <f t="shared" ref="W234:W259" si="154">IF(U234&lt;=90,R234,R234/U234*90)</f>
        <v>0</v>
      </c>
      <c r="X234" s="7">
        <v>33773</v>
      </c>
      <c r="Y234" s="7">
        <v>33850</v>
      </c>
      <c r="Z234" s="3">
        <v>350</v>
      </c>
      <c r="AA234" s="3" t="s">
        <v>51</v>
      </c>
      <c r="AB234" s="3"/>
      <c r="AC234" s="3"/>
      <c r="AD234" s="3">
        <v>350</v>
      </c>
      <c r="AE234" s="3" t="s">
        <v>51</v>
      </c>
      <c r="AF234" s="3"/>
      <c r="AG234" s="3"/>
      <c r="AH234" s="8">
        <f t="shared" si="126"/>
        <v>0</v>
      </c>
      <c r="AI234" s="8">
        <f>VLOOKUP(F234,'[16]Sheet 2'!$A:$S,18,0)/VLOOKUP(F234,'[16]Sheet 2'!$A:$U,20,0)</f>
        <v>383.3030874076141</v>
      </c>
      <c r="AJ234" s="8">
        <f t="shared" si="127"/>
        <v>-8.6884474719085059E-2</v>
      </c>
      <c r="AK234" s="3">
        <v>33.799999999999997</v>
      </c>
      <c r="AL234" s="4" t="s">
        <v>37</v>
      </c>
      <c r="AM234" s="3"/>
      <c r="AN234" s="3"/>
      <c r="AO234" s="3">
        <v>33.799999999999997</v>
      </c>
      <c r="AP234" s="4" t="s">
        <v>37</v>
      </c>
      <c r="AQ234" s="3"/>
      <c r="AR234" s="3"/>
      <c r="AS234" s="8">
        <f t="shared" si="128"/>
        <v>0</v>
      </c>
      <c r="AT234" s="8">
        <f>VLOOKUP(F234,'[17]Sheet 2'!$A:$S,18,0)/VLOOKUP(F234,'[17]Sheet 2'!$A:$U,20,0)</f>
        <v>35.868817439305843</v>
      </c>
      <c r="AU234" s="8">
        <f t="shared" si="129"/>
        <v>-5.7677324957995137E-2</v>
      </c>
      <c r="AV234" s="57"/>
      <c r="AW234" s="3"/>
      <c r="AX234" s="3"/>
      <c r="AY234" s="3"/>
      <c r="AZ234" s="3"/>
      <c r="BA234" s="3"/>
      <c r="BB234" s="3"/>
      <c r="BC234" s="3"/>
      <c r="BD234" s="8" t="e">
        <f t="shared" si="130"/>
        <v>#DIV/0!</v>
      </c>
      <c r="BE234" s="8" t="e">
        <f>VLOOKUP(F234,'[18]Sheet 2'!$A:$S,18,0)/VLOOKUP(F234,'[18]Sheet 2'!$A:$U,20,0)</f>
        <v>#N/A</v>
      </c>
      <c r="BF234" s="8" t="e">
        <f t="shared" si="131"/>
        <v>#N/A</v>
      </c>
      <c r="BG234" s="3"/>
      <c r="BH234" s="3"/>
      <c r="BI234" s="3"/>
      <c r="BJ234" s="3"/>
      <c r="BK234" s="3"/>
      <c r="BL234" s="3"/>
      <c r="BM234" s="3"/>
      <c r="BN234" s="3"/>
      <c r="BO234" s="8" t="e">
        <f t="shared" si="132"/>
        <v>#DIV/0!</v>
      </c>
      <c r="BP234" s="8" t="e">
        <f>VLOOKUP(F234,'[19]Sheet 2'!$A:$S,18,0)/VLOOKUP(F234,'[19]Sheet 2'!$A:$U,20,0)</f>
        <v>#N/A</v>
      </c>
      <c r="BQ234" s="8" t="e">
        <f t="shared" si="133"/>
        <v>#N/A</v>
      </c>
      <c r="BR234" s="3">
        <f t="shared" si="147"/>
        <v>10355.029585798817</v>
      </c>
      <c r="BS234" s="3" t="s">
        <v>52</v>
      </c>
      <c r="BT234" s="3"/>
      <c r="BU234" s="3"/>
      <c r="BV234" s="3">
        <f t="shared" si="148"/>
        <v>10355.029585798817</v>
      </c>
      <c r="BW234" s="3" t="s">
        <v>52</v>
      </c>
      <c r="BX234" s="3"/>
      <c r="BY234" s="3"/>
      <c r="BZ234" s="8">
        <f t="shared" si="134"/>
        <v>0</v>
      </c>
      <c r="CA234" s="8">
        <f>VLOOKUP(F234,'[20]Sheet 2'!$A:$S,18,0)/VLOOKUP(F234,'[20]Sheet 2'!$A:$U,20,0)</f>
        <v>10817.944258041764</v>
      </c>
      <c r="CB234" s="8">
        <f t="shared" si="135"/>
        <v>-4.2791371558309588E-2</v>
      </c>
      <c r="CC234" s="23">
        <f>60+49/60</f>
        <v>60.81666666666667</v>
      </c>
      <c r="CD234" s="23">
        <f>23+29/60</f>
        <v>23.483333333333334</v>
      </c>
      <c r="CE234" s="22"/>
      <c r="CF234" s="22"/>
      <c r="CG234" s="18">
        <v>33773</v>
      </c>
      <c r="CH234" s="18">
        <v>33850</v>
      </c>
      <c r="CI234" s="21"/>
      <c r="CJ234" s="21"/>
      <c r="CK234" s="30"/>
      <c r="CL234" s="21">
        <f t="shared" si="144"/>
        <v>170</v>
      </c>
      <c r="CM234" s="21">
        <f t="shared" si="112"/>
        <v>247</v>
      </c>
      <c r="CN234" s="19">
        <f t="shared" si="113"/>
        <v>78</v>
      </c>
      <c r="CP234" s="29">
        <f t="shared" ref="CP234:CP239" si="155">CG234-14</f>
        <v>33759</v>
      </c>
    </row>
    <row r="235" spans="1:95" s="19" customFormat="1" hidden="1" x14ac:dyDescent="0.3">
      <c r="A235" s="3">
        <v>1</v>
      </c>
      <c r="B235" s="3"/>
      <c r="C235" s="3"/>
      <c r="D235" s="3" t="s">
        <v>191</v>
      </c>
      <c r="E235" s="6" t="s">
        <v>192</v>
      </c>
      <c r="F235" s="6" t="str">
        <f t="shared" si="124"/>
        <v>1998-75Satu1992OTC</v>
      </c>
      <c r="G235" s="6" t="s">
        <v>193</v>
      </c>
      <c r="H235" s="3" t="s">
        <v>155</v>
      </c>
      <c r="I235" s="6" t="s">
        <v>194</v>
      </c>
      <c r="J235" s="3" t="s">
        <v>94</v>
      </c>
      <c r="K235" s="13" t="s">
        <v>195</v>
      </c>
      <c r="L235" s="13">
        <v>1992</v>
      </c>
      <c r="M235" s="6" t="s">
        <v>34</v>
      </c>
      <c r="N235" s="6" t="s">
        <v>49</v>
      </c>
      <c r="O235" s="13" t="s">
        <v>40</v>
      </c>
      <c r="P235" s="13"/>
      <c r="Q235" s="3">
        <f>S235/1.01*U235*12/1000+S235/1.01*(90-U235)*12/1000</f>
        <v>32.079207920792079</v>
      </c>
      <c r="R235" s="3">
        <v>0.67100000000000004</v>
      </c>
      <c r="S235" s="3">
        <v>30</v>
      </c>
      <c r="T235" s="3">
        <v>8</v>
      </c>
      <c r="U235" s="3">
        <f t="shared" si="151"/>
        <v>78</v>
      </c>
      <c r="V235" s="3">
        <v>5</v>
      </c>
      <c r="W235" s="3">
        <f t="shared" si="154"/>
        <v>0.67100000000000004</v>
      </c>
      <c r="X235" s="7">
        <v>33773</v>
      </c>
      <c r="Y235" s="7">
        <v>33850</v>
      </c>
      <c r="Z235" s="3">
        <v>370</v>
      </c>
      <c r="AA235" s="3" t="s">
        <v>51</v>
      </c>
      <c r="AB235" s="3"/>
      <c r="AC235" s="3"/>
      <c r="AD235" s="3">
        <v>350</v>
      </c>
      <c r="AE235" s="3" t="s">
        <v>51</v>
      </c>
      <c r="AF235" s="3"/>
      <c r="AG235" s="3"/>
      <c r="AH235" s="8">
        <f t="shared" si="126"/>
        <v>5.7142857142857141E-2</v>
      </c>
      <c r="AI235" s="8">
        <f>VLOOKUP(F235,'[16]Sheet 2'!$A:$S,18,0)/VLOOKUP(F235,'[16]Sheet 2'!$A:$U,20,0)</f>
        <v>383.3030874076141</v>
      </c>
      <c r="AJ235" s="8">
        <f t="shared" si="127"/>
        <v>-3.4706444703032781E-2</v>
      </c>
      <c r="AK235" s="3">
        <v>34.4</v>
      </c>
      <c r="AL235" s="4" t="s">
        <v>37</v>
      </c>
      <c r="AM235" s="3"/>
      <c r="AN235" s="3"/>
      <c r="AO235" s="3">
        <v>33.799999999999997</v>
      </c>
      <c r="AP235" s="4" t="s">
        <v>37</v>
      </c>
      <c r="AQ235" s="3"/>
      <c r="AR235" s="3"/>
      <c r="AS235" s="8">
        <f t="shared" si="128"/>
        <v>1.775147928994087E-2</v>
      </c>
      <c r="AT235" s="8">
        <f>VLOOKUP(F235,'[17]Sheet 2'!$A:$S,18,0)/VLOOKUP(F235,'[17]Sheet 2'!$A:$U,20,0)</f>
        <v>35.868817439305843</v>
      </c>
      <c r="AU235" s="8">
        <f t="shared" si="129"/>
        <v>-4.0949703507545301E-2</v>
      </c>
      <c r="AV235" s="57"/>
      <c r="AW235" s="3"/>
      <c r="AX235" s="3"/>
      <c r="AY235" s="3"/>
      <c r="AZ235" s="3"/>
      <c r="BA235" s="3"/>
      <c r="BB235" s="3"/>
      <c r="BC235" s="3"/>
      <c r="BD235" s="8" t="e">
        <f t="shared" si="130"/>
        <v>#DIV/0!</v>
      </c>
      <c r="BE235" s="8" t="e">
        <f>VLOOKUP(F235,'[18]Sheet 2'!$A:$S,18,0)/VLOOKUP(F235,'[18]Sheet 2'!$A:$U,20,0)</f>
        <v>#N/A</v>
      </c>
      <c r="BF235" s="8" t="e">
        <f t="shared" si="131"/>
        <v>#N/A</v>
      </c>
      <c r="BG235" s="3"/>
      <c r="BH235" s="3"/>
      <c r="BI235" s="3"/>
      <c r="BJ235" s="3"/>
      <c r="BK235" s="3"/>
      <c r="BL235" s="3"/>
      <c r="BM235" s="3"/>
      <c r="BN235" s="3"/>
      <c r="BO235" s="8" t="e">
        <f t="shared" si="132"/>
        <v>#DIV/0!</v>
      </c>
      <c r="BP235" s="8" t="e">
        <f>VLOOKUP(F235,'[19]Sheet 2'!$A:$S,18,0)/VLOOKUP(F235,'[19]Sheet 2'!$A:$U,20,0)</f>
        <v>#N/A</v>
      </c>
      <c r="BQ235" s="8" t="e">
        <f t="shared" si="133"/>
        <v>#N/A</v>
      </c>
      <c r="BR235" s="3">
        <f t="shared" si="147"/>
        <v>10755.813953488372</v>
      </c>
      <c r="BS235" s="3" t="s">
        <v>52</v>
      </c>
      <c r="BT235" s="3"/>
      <c r="BU235" s="3"/>
      <c r="BV235" s="3">
        <f t="shared" si="148"/>
        <v>10355.029585798817</v>
      </c>
      <c r="BW235" s="3" t="s">
        <v>52</v>
      </c>
      <c r="BX235" s="3"/>
      <c r="BY235" s="3"/>
      <c r="BZ235" s="8">
        <f t="shared" si="134"/>
        <v>3.870431893687707E-2</v>
      </c>
      <c r="CA235" s="8">
        <f>VLOOKUP(F235,'[20]Sheet 2'!$A:$S,18,0)/VLOOKUP(F235,'[20]Sheet 2'!$A:$U,20,0)</f>
        <v>10817.944258041764</v>
      </c>
      <c r="CB235" s="8">
        <f t="shared" si="135"/>
        <v>-5.7432635139717447E-3</v>
      </c>
      <c r="CC235" s="23">
        <f>60+49/60</f>
        <v>60.81666666666667</v>
      </c>
      <c r="CD235" s="23">
        <f>23+29/60</f>
        <v>23.483333333333334</v>
      </c>
      <c r="CE235" s="22"/>
      <c r="CF235" s="22"/>
      <c r="CG235" s="18">
        <v>33773</v>
      </c>
      <c r="CH235" s="18">
        <v>33850</v>
      </c>
      <c r="CI235" s="21"/>
      <c r="CJ235" s="21"/>
      <c r="CK235" s="30"/>
      <c r="CL235" s="21">
        <f t="shared" si="144"/>
        <v>170</v>
      </c>
      <c r="CM235" s="21">
        <f t="shared" si="112"/>
        <v>247</v>
      </c>
      <c r="CN235" s="19">
        <f t="shared" si="113"/>
        <v>78</v>
      </c>
      <c r="CP235" s="29">
        <f t="shared" si="155"/>
        <v>33759</v>
      </c>
    </row>
    <row r="236" spans="1:95" s="19" customFormat="1" hidden="1" x14ac:dyDescent="0.3">
      <c r="A236" s="3">
        <v>1</v>
      </c>
      <c r="B236" s="3"/>
      <c r="C236" s="3"/>
      <c r="D236" s="3" t="s">
        <v>191</v>
      </c>
      <c r="E236" s="6" t="s">
        <v>192</v>
      </c>
      <c r="F236" s="6" t="str">
        <f t="shared" si="124"/>
        <v>1998-75Satu1992OTC</v>
      </c>
      <c r="G236" s="6" t="s">
        <v>193</v>
      </c>
      <c r="H236" s="3" t="s">
        <v>155</v>
      </c>
      <c r="I236" s="6" t="s">
        <v>194</v>
      </c>
      <c r="J236" s="3" t="s">
        <v>94</v>
      </c>
      <c r="K236" s="13" t="s">
        <v>195</v>
      </c>
      <c r="L236" s="13">
        <v>1992</v>
      </c>
      <c r="M236" s="6" t="s">
        <v>34</v>
      </c>
      <c r="N236" s="6" t="s">
        <v>49</v>
      </c>
      <c r="O236" s="3" t="s">
        <v>73</v>
      </c>
      <c r="P236" s="3"/>
      <c r="Q236" s="3">
        <f>(8 * S236+ 4 * 0.97*S235) / 12*U236*12/1000+S235/1.01*(90-U236)*12/1000</f>
        <v>51.420427722772274</v>
      </c>
      <c r="R236" s="3">
        <v>13.744</v>
      </c>
      <c r="S236" s="3">
        <v>61</v>
      </c>
      <c r="T236" s="3">
        <v>8</v>
      </c>
      <c r="U236" s="3">
        <f t="shared" si="151"/>
        <v>78</v>
      </c>
      <c r="V236" s="3">
        <v>5</v>
      </c>
      <c r="W236" s="3">
        <f t="shared" si="154"/>
        <v>13.744</v>
      </c>
      <c r="X236" s="7">
        <v>33773</v>
      </c>
      <c r="Y236" s="7">
        <v>33850</v>
      </c>
      <c r="Z236" s="3">
        <v>305</v>
      </c>
      <c r="AA236" s="3" t="s">
        <v>51</v>
      </c>
      <c r="AB236" s="3"/>
      <c r="AC236" s="3"/>
      <c r="AD236" s="3">
        <v>350</v>
      </c>
      <c r="AE236" s="3" t="s">
        <v>51</v>
      </c>
      <c r="AF236" s="3"/>
      <c r="AG236" s="3"/>
      <c r="AH236" s="8">
        <f t="shared" si="126"/>
        <v>-0.12857142857142856</v>
      </c>
      <c r="AI236" s="8">
        <f>VLOOKUP(F236,'[16]Sheet 2'!$A:$S,18,0)/VLOOKUP(F236,'[16]Sheet 2'!$A:$U,20,0)</f>
        <v>383.3030874076141</v>
      </c>
      <c r="AJ236" s="8">
        <f t="shared" si="127"/>
        <v>-0.20428504225520269</v>
      </c>
      <c r="AK236" s="3">
        <v>30.8</v>
      </c>
      <c r="AL236" s="4" t="s">
        <v>37</v>
      </c>
      <c r="AM236" s="3"/>
      <c r="AN236" s="3"/>
      <c r="AO236" s="3">
        <v>33.799999999999997</v>
      </c>
      <c r="AP236" s="4" t="s">
        <v>37</v>
      </c>
      <c r="AQ236" s="3"/>
      <c r="AR236" s="3"/>
      <c r="AS236" s="8">
        <f t="shared" si="128"/>
        <v>-8.875739644970404E-2</v>
      </c>
      <c r="AT236" s="8">
        <f>VLOOKUP(F236,'[17]Sheet 2'!$A:$S,18,0)/VLOOKUP(F236,'[17]Sheet 2'!$A:$U,20,0)</f>
        <v>35.868817439305843</v>
      </c>
      <c r="AU236" s="8">
        <f t="shared" si="129"/>
        <v>-0.14131543221024401</v>
      </c>
      <c r="AV236" s="57"/>
      <c r="AW236" s="3"/>
      <c r="AX236" s="3"/>
      <c r="AY236" s="3"/>
      <c r="AZ236" s="3"/>
      <c r="BA236" s="3"/>
      <c r="BB236" s="3"/>
      <c r="BC236" s="3"/>
      <c r="BD236" s="8" t="e">
        <f t="shared" si="130"/>
        <v>#DIV/0!</v>
      </c>
      <c r="BE236" s="8" t="e">
        <f>VLOOKUP(F236,'[18]Sheet 2'!$A:$S,18,0)/VLOOKUP(F236,'[18]Sheet 2'!$A:$U,20,0)</f>
        <v>#N/A</v>
      </c>
      <c r="BF236" s="8" t="e">
        <f t="shared" si="131"/>
        <v>#N/A</v>
      </c>
      <c r="BG236" s="3"/>
      <c r="BH236" s="3"/>
      <c r="BI236" s="3"/>
      <c r="BJ236" s="3"/>
      <c r="BK236" s="3"/>
      <c r="BL236" s="3"/>
      <c r="BM236" s="3"/>
      <c r="BN236" s="3"/>
      <c r="BO236" s="8" t="e">
        <f t="shared" si="132"/>
        <v>#DIV/0!</v>
      </c>
      <c r="BP236" s="8" t="e">
        <f>VLOOKUP(F236,'[19]Sheet 2'!$A:$S,18,0)/VLOOKUP(F236,'[19]Sheet 2'!$A:$U,20,0)</f>
        <v>#N/A</v>
      </c>
      <c r="BQ236" s="8" t="e">
        <f t="shared" si="133"/>
        <v>#N/A</v>
      </c>
      <c r="BR236" s="3">
        <f t="shared" si="147"/>
        <v>9902.5974025974028</v>
      </c>
      <c r="BS236" s="3" t="s">
        <v>52</v>
      </c>
      <c r="BT236" s="3"/>
      <c r="BU236" s="3"/>
      <c r="BV236" s="3">
        <f t="shared" si="148"/>
        <v>10355.029585798817</v>
      </c>
      <c r="BW236" s="3" t="s">
        <v>52</v>
      </c>
      <c r="BX236" s="3"/>
      <c r="BY236" s="3"/>
      <c r="BZ236" s="8">
        <f t="shared" si="134"/>
        <v>-4.3692022263450821E-2</v>
      </c>
      <c r="CA236" s="8">
        <f>VLOOKUP(F236,'[20]Sheet 2'!$A:$S,18,0)/VLOOKUP(F236,'[20]Sheet 2'!$A:$U,20,0)</f>
        <v>10817.944258041764</v>
      </c>
      <c r="CB236" s="8">
        <f t="shared" si="135"/>
        <v>-8.4613752262951147E-2</v>
      </c>
      <c r="CC236" s="23">
        <f>60+49/60</f>
        <v>60.81666666666667</v>
      </c>
      <c r="CD236" s="23">
        <f>23+29/60</f>
        <v>23.483333333333334</v>
      </c>
      <c r="CE236" s="22"/>
      <c r="CF236" s="22"/>
      <c r="CG236" s="18">
        <v>33773</v>
      </c>
      <c r="CH236" s="18">
        <v>33850</v>
      </c>
      <c r="CI236" s="21"/>
      <c r="CJ236" s="21"/>
      <c r="CK236" s="30"/>
      <c r="CL236" s="21">
        <f t="shared" si="144"/>
        <v>170</v>
      </c>
      <c r="CM236" s="21">
        <f t="shared" si="112"/>
        <v>247</v>
      </c>
      <c r="CN236" s="19">
        <f t="shared" si="113"/>
        <v>78</v>
      </c>
      <c r="CP236" s="29">
        <f t="shared" si="155"/>
        <v>33759</v>
      </c>
    </row>
    <row r="237" spans="1:95" s="42" customFormat="1" hidden="1" x14ac:dyDescent="0.3">
      <c r="A237" s="31">
        <v>1</v>
      </c>
      <c r="B237" s="31"/>
      <c r="C237" s="31"/>
      <c r="D237" s="31" t="s">
        <v>191</v>
      </c>
      <c r="E237" s="34" t="s">
        <v>192</v>
      </c>
      <c r="F237" s="34" t="str">
        <f t="shared" si="124"/>
        <v>1998-75Satu1993OTC</v>
      </c>
      <c r="G237" s="34" t="s">
        <v>193</v>
      </c>
      <c r="H237" s="31" t="s">
        <v>155</v>
      </c>
      <c r="I237" s="34" t="s">
        <v>194</v>
      </c>
      <c r="J237" s="31" t="s">
        <v>94</v>
      </c>
      <c r="K237" s="34" t="s">
        <v>195</v>
      </c>
      <c r="L237" s="34">
        <v>1993</v>
      </c>
      <c r="M237" s="34" t="s">
        <v>34</v>
      </c>
      <c r="N237" s="34" t="s">
        <v>49</v>
      </c>
      <c r="O237" s="34" t="s">
        <v>36</v>
      </c>
      <c r="P237" s="32" t="s">
        <v>267</v>
      </c>
      <c r="Q237" s="31">
        <f>(8 * S237+ 4 * 0.97*S237) / 12*U237*12/1000+S238/1.01*(90-U237)*12/1000</f>
        <v>10.763479603960397</v>
      </c>
      <c r="R237" s="31">
        <v>0</v>
      </c>
      <c r="S237" s="31">
        <v>9</v>
      </c>
      <c r="T237" s="31">
        <v>8</v>
      </c>
      <c r="U237" s="31">
        <f t="shared" si="151"/>
        <v>82</v>
      </c>
      <c r="V237" s="31">
        <v>5</v>
      </c>
      <c r="W237" s="31">
        <f t="shared" si="154"/>
        <v>0</v>
      </c>
      <c r="X237" s="35">
        <v>34139</v>
      </c>
      <c r="Y237" s="35">
        <v>34220</v>
      </c>
      <c r="Z237" s="31">
        <v>480</v>
      </c>
      <c r="AA237" s="31" t="s">
        <v>51</v>
      </c>
      <c r="AB237" s="31"/>
      <c r="AC237" s="31"/>
      <c r="AD237" s="31">
        <v>480</v>
      </c>
      <c r="AE237" s="31" t="s">
        <v>51</v>
      </c>
      <c r="AF237" s="31"/>
      <c r="AG237" s="31"/>
      <c r="AH237" s="8">
        <f t="shared" si="126"/>
        <v>0</v>
      </c>
      <c r="AI237" s="8">
        <f>VLOOKUP(F237,'[16]Sheet 2'!$A:$S,18,0)/VLOOKUP(F237,'[16]Sheet 2'!$A:$U,20,0)</f>
        <v>469.35052926200245</v>
      </c>
      <c r="AJ237" s="8">
        <f t="shared" si="127"/>
        <v>2.2689802341850057E-2</v>
      </c>
      <c r="AK237" s="31">
        <v>36.4</v>
      </c>
      <c r="AL237" s="32" t="s">
        <v>37</v>
      </c>
      <c r="AM237" s="31"/>
      <c r="AN237" s="31"/>
      <c r="AO237" s="31">
        <v>36.4</v>
      </c>
      <c r="AP237" s="32" t="s">
        <v>37</v>
      </c>
      <c r="AQ237" s="31"/>
      <c r="AR237" s="31"/>
      <c r="AS237" s="8">
        <f t="shared" si="128"/>
        <v>0</v>
      </c>
      <c r="AT237" s="8">
        <f>VLOOKUP(F237,'[17]Sheet 2'!$A:$S,18,0)/VLOOKUP(F237,'[17]Sheet 2'!$A:$U,20,0)</f>
        <v>36.300689950986367</v>
      </c>
      <c r="AU237" s="8">
        <f t="shared" si="129"/>
        <v>2.7357620240199571E-3</v>
      </c>
      <c r="AV237" s="57"/>
      <c r="AW237" s="31"/>
      <c r="AX237" s="31"/>
      <c r="AY237" s="31"/>
      <c r="AZ237" s="31"/>
      <c r="BA237" s="31"/>
      <c r="BB237" s="31"/>
      <c r="BC237" s="31"/>
      <c r="BD237" s="8" t="e">
        <f t="shared" si="130"/>
        <v>#DIV/0!</v>
      </c>
      <c r="BE237" s="8" t="e">
        <f>VLOOKUP(F237,'[18]Sheet 2'!$A:$S,18,0)/VLOOKUP(F237,'[18]Sheet 2'!$A:$U,20,0)</f>
        <v>#N/A</v>
      </c>
      <c r="BF237" s="8" t="e">
        <f t="shared" si="131"/>
        <v>#N/A</v>
      </c>
      <c r="BG237" s="31"/>
      <c r="BH237" s="31"/>
      <c r="BI237" s="31"/>
      <c r="BJ237" s="31"/>
      <c r="BK237" s="31"/>
      <c r="BL237" s="31"/>
      <c r="BM237" s="31"/>
      <c r="BN237" s="31"/>
      <c r="BO237" s="8" t="e">
        <f t="shared" si="132"/>
        <v>#DIV/0!</v>
      </c>
      <c r="BP237" s="8" t="e">
        <f>VLOOKUP(F237,'[19]Sheet 2'!$A:$S,18,0)/VLOOKUP(F237,'[19]Sheet 2'!$A:$U,20,0)</f>
        <v>#N/A</v>
      </c>
      <c r="BQ237" s="8" t="e">
        <f t="shared" si="133"/>
        <v>#N/A</v>
      </c>
      <c r="BR237" s="31">
        <f t="shared" si="147"/>
        <v>13186.813186813188</v>
      </c>
      <c r="BS237" s="31" t="s">
        <v>52</v>
      </c>
      <c r="BT237" s="31"/>
      <c r="BU237" s="31"/>
      <c r="BV237" s="31">
        <f t="shared" si="148"/>
        <v>13186.813186813188</v>
      </c>
      <c r="BW237" s="31" t="s">
        <v>52</v>
      </c>
      <c r="BX237" s="31"/>
      <c r="BY237" s="31"/>
      <c r="BZ237" s="8">
        <f t="shared" si="134"/>
        <v>0</v>
      </c>
      <c r="CA237" s="8">
        <f>VLOOKUP(F237,'[20]Sheet 2'!$A:$S,18,0)/VLOOKUP(F237,'[20]Sheet 2'!$A:$U,20,0)</f>
        <v>13019.711242627078</v>
      </c>
      <c r="CB237" s="8">
        <f t="shared" si="135"/>
        <v>1.2834535349678967E-2</v>
      </c>
      <c r="CC237" s="54">
        <f>60+47/60</f>
        <v>60.783333333333331</v>
      </c>
      <c r="CD237" s="54">
        <f>23+28/60</f>
        <v>23.466666666666665</v>
      </c>
      <c r="CE237" s="50"/>
      <c r="CF237" s="50"/>
      <c r="CG237" s="39">
        <v>34139</v>
      </c>
      <c r="CH237" s="39">
        <v>34220</v>
      </c>
      <c r="CI237" s="40"/>
      <c r="CJ237" s="40"/>
      <c r="CK237" s="41"/>
      <c r="CL237" s="40">
        <f t="shared" si="144"/>
        <v>170</v>
      </c>
      <c r="CM237" s="40">
        <f t="shared" si="112"/>
        <v>251</v>
      </c>
      <c r="CN237" s="42">
        <f t="shared" si="113"/>
        <v>82</v>
      </c>
      <c r="CP237" s="47">
        <f t="shared" si="155"/>
        <v>34125</v>
      </c>
    </row>
    <row r="238" spans="1:95" s="42" customFormat="1" hidden="1" x14ac:dyDescent="0.3">
      <c r="A238" s="31">
        <v>1</v>
      </c>
      <c r="B238" s="31"/>
      <c r="C238" s="31"/>
      <c r="D238" s="31" t="s">
        <v>191</v>
      </c>
      <c r="E238" s="34" t="s">
        <v>192</v>
      </c>
      <c r="F238" s="34" t="str">
        <f t="shared" si="124"/>
        <v>1998-75Satu1993OTC</v>
      </c>
      <c r="G238" s="34" t="s">
        <v>193</v>
      </c>
      <c r="H238" s="31" t="s">
        <v>155</v>
      </c>
      <c r="I238" s="34" t="s">
        <v>194</v>
      </c>
      <c r="J238" s="31" t="s">
        <v>94</v>
      </c>
      <c r="K238" s="56" t="s">
        <v>195</v>
      </c>
      <c r="L238" s="56">
        <v>1993</v>
      </c>
      <c r="M238" s="34" t="s">
        <v>34</v>
      </c>
      <c r="N238" s="34" t="s">
        <v>49</v>
      </c>
      <c r="O238" s="56" t="s">
        <v>40</v>
      </c>
      <c r="P238" s="56"/>
      <c r="Q238" s="31">
        <f>S238/1.01*U238*12/1000+S238/1.01*(90-U238)*12/1000</f>
        <v>22.455445544554458</v>
      </c>
      <c r="R238" s="31">
        <v>0</v>
      </c>
      <c r="S238" s="31">
        <v>21</v>
      </c>
      <c r="T238" s="31">
        <v>8</v>
      </c>
      <c r="U238" s="31">
        <f t="shared" si="151"/>
        <v>82</v>
      </c>
      <c r="V238" s="31">
        <v>5</v>
      </c>
      <c r="W238" s="31">
        <f t="shared" si="154"/>
        <v>0</v>
      </c>
      <c r="X238" s="35">
        <v>34139</v>
      </c>
      <c r="Y238" s="35">
        <v>34220</v>
      </c>
      <c r="Z238" s="31">
        <v>450</v>
      </c>
      <c r="AA238" s="31" t="s">
        <v>51</v>
      </c>
      <c r="AB238" s="31"/>
      <c r="AC238" s="31"/>
      <c r="AD238" s="31">
        <v>480</v>
      </c>
      <c r="AE238" s="31" t="s">
        <v>51</v>
      </c>
      <c r="AF238" s="31"/>
      <c r="AG238" s="31"/>
      <c r="AH238" s="8">
        <f t="shared" si="126"/>
        <v>-6.25E-2</v>
      </c>
      <c r="AI238" s="8">
        <f>VLOOKUP(F238,'[16]Sheet 2'!$A:$S,18,0)/VLOOKUP(F238,'[16]Sheet 2'!$A:$U,20,0)</f>
        <v>469.35052926200245</v>
      </c>
      <c r="AJ238" s="8">
        <f t="shared" si="127"/>
        <v>-4.122831030451557E-2</v>
      </c>
      <c r="AK238" s="31">
        <v>36.700000000000003</v>
      </c>
      <c r="AL238" s="32" t="s">
        <v>37</v>
      </c>
      <c r="AM238" s="31"/>
      <c r="AN238" s="31"/>
      <c r="AO238" s="31">
        <v>36.4</v>
      </c>
      <c r="AP238" s="32" t="s">
        <v>37</v>
      </c>
      <c r="AQ238" s="31"/>
      <c r="AR238" s="31"/>
      <c r="AS238" s="8">
        <f t="shared" si="128"/>
        <v>8.2417582417583599E-3</v>
      </c>
      <c r="AT238" s="8">
        <f>VLOOKUP(F238,'[17]Sheet 2'!$A:$S,18,0)/VLOOKUP(F238,'[17]Sheet 2'!$A:$U,20,0)</f>
        <v>36.300689950986367</v>
      </c>
      <c r="AU238" s="8">
        <f t="shared" si="129"/>
        <v>1.1000067754987273E-2</v>
      </c>
      <c r="AV238" s="57"/>
      <c r="AW238" s="31"/>
      <c r="AX238" s="31"/>
      <c r="AY238" s="31"/>
      <c r="AZ238" s="31"/>
      <c r="BA238" s="31"/>
      <c r="BB238" s="31"/>
      <c r="BC238" s="31"/>
      <c r="BD238" s="8" t="e">
        <f t="shared" si="130"/>
        <v>#DIV/0!</v>
      </c>
      <c r="BE238" s="8" t="e">
        <f>VLOOKUP(F238,'[18]Sheet 2'!$A:$S,18,0)/VLOOKUP(F238,'[18]Sheet 2'!$A:$U,20,0)</f>
        <v>#N/A</v>
      </c>
      <c r="BF238" s="8" t="e">
        <f t="shared" si="131"/>
        <v>#N/A</v>
      </c>
      <c r="BG238" s="31"/>
      <c r="BH238" s="31"/>
      <c r="BI238" s="31"/>
      <c r="BJ238" s="31"/>
      <c r="BK238" s="31"/>
      <c r="BL238" s="31"/>
      <c r="BM238" s="31"/>
      <c r="BN238" s="31"/>
      <c r="BO238" s="8" t="e">
        <f t="shared" si="132"/>
        <v>#DIV/0!</v>
      </c>
      <c r="BP238" s="8" t="e">
        <f>VLOOKUP(F238,'[19]Sheet 2'!$A:$S,18,0)/VLOOKUP(F238,'[19]Sheet 2'!$A:$U,20,0)</f>
        <v>#N/A</v>
      </c>
      <c r="BQ238" s="8" t="e">
        <f t="shared" si="133"/>
        <v>#N/A</v>
      </c>
      <c r="BR238" s="31">
        <f t="shared" si="147"/>
        <v>12261.580381471389</v>
      </c>
      <c r="BS238" s="31" t="s">
        <v>52</v>
      </c>
      <c r="BT238" s="31"/>
      <c r="BU238" s="31"/>
      <c r="BV238" s="31">
        <f t="shared" si="148"/>
        <v>13186.813186813188</v>
      </c>
      <c r="BW238" s="31" t="s">
        <v>52</v>
      </c>
      <c r="BX238" s="31"/>
      <c r="BY238" s="31"/>
      <c r="BZ238" s="8">
        <f t="shared" si="134"/>
        <v>-7.0163487738419725E-2</v>
      </c>
      <c r="CA238" s="8">
        <f>VLOOKUP(F238,'[20]Sheet 2'!$A:$S,18,0)/VLOOKUP(F238,'[20]Sheet 2'!$A:$U,20,0)</f>
        <v>13019.711242627078</v>
      </c>
      <c r="CB238" s="8">
        <f t="shared" si="135"/>
        <v>-5.8229468152376278E-2</v>
      </c>
      <c r="CC238" s="54">
        <f>60+47/60</f>
        <v>60.783333333333331</v>
      </c>
      <c r="CD238" s="54">
        <f>23+28/60</f>
        <v>23.466666666666665</v>
      </c>
      <c r="CE238" s="50"/>
      <c r="CF238" s="50"/>
      <c r="CG238" s="39">
        <v>34139</v>
      </c>
      <c r="CH238" s="39">
        <v>34220</v>
      </c>
      <c r="CI238" s="40"/>
      <c r="CJ238" s="40"/>
      <c r="CK238" s="41"/>
      <c r="CL238" s="40">
        <f t="shared" si="144"/>
        <v>170</v>
      </c>
      <c r="CM238" s="40">
        <f t="shared" si="112"/>
        <v>251</v>
      </c>
      <c r="CN238" s="42">
        <f t="shared" si="113"/>
        <v>82</v>
      </c>
      <c r="CP238" s="47">
        <f t="shared" si="155"/>
        <v>34125</v>
      </c>
    </row>
    <row r="239" spans="1:95" s="42" customFormat="1" hidden="1" x14ac:dyDescent="0.3">
      <c r="A239" s="31">
        <v>1</v>
      </c>
      <c r="B239" s="31"/>
      <c r="C239" s="31"/>
      <c r="D239" s="31" t="s">
        <v>191</v>
      </c>
      <c r="E239" s="34" t="s">
        <v>192</v>
      </c>
      <c r="F239" s="34" t="str">
        <f t="shared" si="124"/>
        <v>1998-75Satu1993OTC</v>
      </c>
      <c r="G239" s="34" t="s">
        <v>193</v>
      </c>
      <c r="H239" s="31" t="s">
        <v>155</v>
      </c>
      <c r="I239" s="34" t="s">
        <v>194</v>
      </c>
      <c r="J239" s="31" t="s">
        <v>94</v>
      </c>
      <c r="K239" s="56" t="s">
        <v>195</v>
      </c>
      <c r="L239" s="56">
        <v>1993</v>
      </c>
      <c r="M239" s="34" t="s">
        <v>34</v>
      </c>
      <c r="N239" s="34" t="s">
        <v>49</v>
      </c>
      <c r="O239" s="31" t="s">
        <v>73</v>
      </c>
      <c r="P239" s="31"/>
      <c r="Q239" s="31">
        <f>(8 * S239+ 4 * 0.97*S238) / 12*U239*12/1000+S238/1.01*(90-U239)*12/1000</f>
        <v>38.197399603960399</v>
      </c>
      <c r="R239" s="31">
        <v>4.609</v>
      </c>
      <c r="S239" s="31">
        <v>45</v>
      </c>
      <c r="T239" s="31">
        <v>8</v>
      </c>
      <c r="U239" s="31">
        <f t="shared" si="151"/>
        <v>82</v>
      </c>
      <c r="V239" s="31">
        <v>5</v>
      </c>
      <c r="W239" s="31">
        <f t="shared" si="154"/>
        <v>4.609</v>
      </c>
      <c r="X239" s="35">
        <v>34139</v>
      </c>
      <c r="Y239" s="35">
        <v>34220</v>
      </c>
      <c r="Z239" s="31">
        <v>420</v>
      </c>
      <c r="AA239" s="31" t="s">
        <v>51</v>
      </c>
      <c r="AB239" s="31"/>
      <c r="AC239" s="31"/>
      <c r="AD239" s="31">
        <v>480</v>
      </c>
      <c r="AE239" s="31" t="s">
        <v>51</v>
      </c>
      <c r="AF239" s="31"/>
      <c r="AG239" s="31"/>
      <c r="AH239" s="8">
        <f t="shared" si="126"/>
        <v>-0.125</v>
      </c>
      <c r="AI239" s="8">
        <f>VLOOKUP(F239,'[16]Sheet 2'!$A:$S,18,0)/VLOOKUP(F239,'[16]Sheet 2'!$A:$U,20,0)</f>
        <v>469.35052926200245</v>
      </c>
      <c r="AJ239" s="8">
        <f t="shared" si="127"/>
        <v>-0.1051464229508812</v>
      </c>
      <c r="AK239" s="31">
        <v>32.1</v>
      </c>
      <c r="AL239" s="32" t="s">
        <v>37</v>
      </c>
      <c r="AM239" s="31"/>
      <c r="AN239" s="31"/>
      <c r="AO239" s="31">
        <v>36.4</v>
      </c>
      <c r="AP239" s="32" t="s">
        <v>37</v>
      </c>
      <c r="AQ239" s="31"/>
      <c r="AR239" s="31"/>
      <c r="AS239" s="8">
        <f t="shared" si="128"/>
        <v>-0.11813186813186806</v>
      </c>
      <c r="AT239" s="8">
        <f>VLOOKUP(F239,'[17]Sheet 2'!$A:$S,18,0)/VLOOKUP(F239,'[17]Sheet 2'!$A:$U,20,0)</f>
        <v>36.300689950986367</v>
      </c>
      <c r="AU239" s="8">
        <f t="shared" si="129"/>
        <v>-0.11571928678650979</v>
      </c>
      <c r="AV239" s="57"/>
      <c r="AW239" s="31"/>
      <c r="AX239" s="31"/>
      <c r="AY239" s="31"/>
      <c r="AZ239" s="31"/>
      <c r="BA239" s="31"/>
      <c r="BB239" s="31"/>
      <c r="BC239" s="31"/>
      <c r="BD239" s="8" t="e">
        <f t="shared" si="130"/>
        <v>#DIV/0!</v>
      </c>
      <c r="BE239" s="8" t="e">
        <f>VLOOKUP(F239,'[18]Sheet 2'!$A:$S,18,0)/VLOOKUP(F239,'[18]Sheet 2'!$A:$U,20,0)</f>
        <v>#N/A</v>
      </c>
      <c r="BF239" s="8" t="e">
        <f t="shared" si="131"/>
        <v>#N/A</v>
      </c>
      <c r="BG239" s="31"/>
      <c r="BH239" s="31"/>
      <c r="BI239" s="31"/>
      <c r="BJ239" s="31"/>
      <c r="BK239" s="31"/>
      <c r="BL239" s="31"/>
      <c r="BM239" s="31"/>
      <c r="BN239" s="31"/>
      <c r="BO239" s="8" t="e">
        <f t="shared" si="132"/>
        <v>#DIV/0!</v>
      </c>
      <c r="BP239" s="8" t="e">
        <f>VLOOKUP(F239,'[19]Sheet 2'!$A:$S,18,0)/VLOOKUP(F239,'[19]Sheet 2'!$A:$U,20,0)</f>
        <v>#N/A</v>
      </c>
      <c r="BQ239" s="8" t="e">
        <f t="shared" si="133"/>
        <v>#N/A</v>
      </c>
      <c r="BR239" s="31">
        <f t="shared" si="147"/>
        <v>13084.11214953271</v>
      </c>
      <c r="BS239" s="31" t="s">
        <v>52</v>
      </c>
      <c r="BT239" s="31"/>
      <c r="BU239" s="31"/>
      <c r="BV239" s="31">
        <f t="shared" si="148"/>
        <v>13186.813186813188</v>
      </c>
      <c r="BW239" s="31" t="s">
        <v>52</v>
      </c>
      <c r="BX239" s="31"/>
      <c r="BY239" s="31"/>
      <c r="BZ239" s="8">
        <f t="shared" si="134"/>
        <v>-7.7881619937695797E-3</v>
      </c>
      <c r="CA239" s="8">
        <f>VLOOKUP(F239,'[20]Sheet 2'!$A:$S,18,0)/VLOOKUP(F239,'[20]Sheet 2'!$A:$U,20,0)</f>
        <v>13019.711242627078</v>
      </c>
      <c r="CB239" s="8">
        <f t="shared" si="135"/>
        <v>4.946415915491326E-3</v>
      </c>
      <c r="CC239" s="54">
        <f>60+47/60</f>
        <v>60.783333333333331</v>
      </c>
      <c r="CD239" s="54">
        <f>23+28/60</f>
        <v>23.466666666666665</v>
      </c>
      <c r="CE239" s="50"/>
      <c r="CF239" s="50"/>
      <c r="CG239" s="39">
        <v>34139</v>
      </c>
      <c r="CH239" s="39">
        <v>34220</v>
      </c>
      <c r="CI239" s="40"/>
      <c r="CJ239" s="40"/>
      <c r="CK239" s="41"/>
      <c r="CL239" s="40">
        <f t="shared" si="144"/>
        <v>170</v>
      </c>
      <c r="CM239" s="40">
        <f t="shared" si="112"/>
        <v>251</v>
      </c>
      <c r="CN239" s="42">
        <f t="shared" si="113"/>
        <v>82</v>
      </c>
      <c r="CP239" s="47">
        <f t="shared" si="155"/>
        <v>34125</v>
      </c>
    </row>
    <row r="240" spans="1:95" s="19" customFormat="1" hidden="1" x14ac:dyDescent="0.3">
      <c r="A240" s="3">
        <v>1</v>
      </c>
      <c r="B240" s="3"/>
      <c r="C240" s="3"/>
      <c r="D240" s="3" t="s">
        <v>196</v>
      </c>
      <c r="E240" s="6" t="s">
        <v>197</v>
      </c>
      <c r="F240" s="6" t="str">
        <f t="shared" si="124"/>
        <v>1998-84Dragon1995OTC</v>
      </c>
      <c r="G240" s="6" t="s">
        <v>160</v>
      </c>
      <c r="H240" s="3" t="s">
        <v>155</v>
      </c>
      <c r="I240" s="6" t="s">
        <v>161</v>
      </c>
      <c r="J240" s="3" t="s">
        <v>94</v>
      </c>
      <c r="K240" s="6" t="s">
        <v>198</v>
      </c>
      <c r="L240" s="3">
        <v>1995</v>
      </c>
      <c r="M240" s="6" t="s">
        <v>34</v>
      </c>
      <c r="N240" s="6" t="s">
        <v>49</v>
      </c>
      <c r="O240" s="3" t="s">
        <v>101</v>
      </c>
      <c r="P240" s="32" t="s">
        <v>267</v>
      </c>
      <c r="Q240" s="4">
        <f>S240*1.08</f>
        <v>23.151818571428581</v>
      </c>
      <c r="R240" s="15">
        <v>1.3093750000000003E-2</v>
      </c>
      <c r="S240" s="16">
        <v>21.436869047619055</v>
      </c>
      <c r="T240" s="3">
        <v>12</v>
      </c>
      <c r="U240" s="3">
        <v>98</v>
      </c>
      <c r="V240" s="3">
        <v>5</v>
      </c>
      <c r="W240" s="3">
        <f t="shared" si="154"/>
        <v>1.2024872448979594E-2</v>
      </c>
      <c r="X240" s="7"/>
      <c r="Y240" s="7"/>
      <c r="Z240" s="60">
        <v>590</v>
      </c>
      <c r="AA240" s="3" t="s">
        <v>51</v>
      </c>
      <c r="AB240" s="3"/>
      <c r="AC240" s="3"/>
      <c r="AD240" s="60">
        <v>590</v>
      </c>
      <c r="AE240" s="3" t="s">
        <v>51</v>
      </c>
      <c r="AF240" s="3"/>
      <c r="AG240" s="3"/>
      <c r="AH240" s="8">
        <f t="shared" si="126"/>
        <v>0</v>
      </c>
      <c r="AI240" s="8">
        <f>VLOOKUP(F240,'[16]Sheet 2'!$A:$S,18,0)/VLOOKUP(F240,'[16]Sheet 2'!$A:$U,20,0)</f>
        <v>592.6097001546832</v>
      </c>
      <c r="AJ240" s="8">
        <f t="shared" si="127"/>
        <v>-4.4037418793550142E-3</v>
      </c>
      <c r="AK240" s="3">
        <v>41.7</v>
      </c>
      <c r="AL240" s="4" t="s">
        <v>37</v>
      </c>
      <c r="AM240" s="3"/>
      <c r="AN240" s="3">
        <v>0.7</v>
      </c>
      <c r="AO240" s="3">
        <v>41.7</v>
      </c>
      <c r="AP240" s="4" t="s">
        <v>37</v>
      </c>
      <c r="AQ240" s="3"/>
      <c r="AR240" s="3">
        <v>0.7</v>
      </c>
      <c r="AS240" s="8">
        <f t="shared" si="128"/>
        <v>0</v>
      </c>
      <c r="AT240" s="8">
        <f>VLOOKUP(F240,'[17]Sheet 2'!$A:$S,18,0)/VLOOKUP(F240,'[17]Sheet 2'!$A:$U,20,0)</f>
        <v>41.705907093355393</v>
      </c>
      <c r="AU240" s="8">
        <f t="shared" si="129"/>
        <v>-1.4163685115797106E-4</v>
      </c>
      <c r="AV240" s="57">
        <v>23.043454487224551</v>
      </c>
      <c r="AW240" s="3" t="s">
        <v>132</v>
      </c>
      <c r="AX240" s="3"/>
      <c r="AY240" s="3"/>
      <c r="AZ240" s="3">
        <v>23.043454487224551</v>
      </c>
      <c r="BA240" s="3" t="s">
        <v>261</v>
      </c>
      <c r="BB240" s="3"/>
      <c r="BC240" s="3"/>
      <c r="BD240" s="8">
        <f t="shared" si="130"/>
        <v>0</v>
      </c>
      <c r="BE240" s="8">
        <f>VLOOKUP(F240,'[18]Sheet 2'!$A:$S,18,0)/VLOOKUP(F240,'[18]Sheet 2'!$A:$U,20,0)</f>
        <v>24.165151349512037</v>
      </c>
      <c r="BF240" s="8">
        <f t="shared" si="131"/>
        <v>-4.6417953112060116E-2</v>
      </c>
      <c r="BG240" s="3">
        <v>614</v>
      </c>
      <c r="BH240" s="3" t="s">
        <v>52</v>
      </c>
      <c r="BI240" s="3"/>
      <c r="BJ240" s="3"/>
      <c r="BK240" s="3">
        <v>614</v>
      </c>
      <c r="BL240" s="3" t="s">
        <v>52</v>
      </c>
      <c r="BM240" s="3"/>
      <c r="BN240" s="3"/>
      <c r="BO240" s="8">
        <f t="shared" si="132"/>
        <v>0</v>
      </c>
      <c r="BP240" s="8">
        <f>VLOOKUP(F240,'[19]Sheet 2'!$A:$S,18,0)/VLOOKUP(F240,'[19]Sheet 2'!$A:$U,20,0)</f>
        <v>592.19488779129881</v>
      </c>
      <c r="BQ240" s="8">
        <f t="shared" si="133"/>
        <v>3.6820838305489968E-2</v>
      </c>
      <c r="BR240" s="3">
        <f t="shared" si="147"/>
        <v>14148.681055155874</v>
      </c>
      <c r="BS240" s="3" t="s">
        <v>52</v>
      </c>
      <c r="BT240" s="3"/>
      <c r="BU240" s="3"/>
      <c r="BV240" s="3">
        <f t="shared" si="148"/>
        <v>14148.681055155874</v>
      </c>
      <c r="BW240" s="3" t="s">
        <v>52</v>
      </c>
      <c r="BX240" s="3"/>
      <c r="BY240" s="3"/>
      <c r="BZ240" s="8">
        <f t="shared" si="134"/>
        <v>0</v>
      </c>
      <c r="CA240" s="8">
        <f>VLOOKUP(F240,'[20]Sheet 2'!$A:$S,18,0)/VLOOKUP(F240,'[20]Sheet 2'!$A:$U,20,0)</f>
        <v>14321.118225703776</v>
      </c>
      <c r="CB240" s="8">
        <f t="shared" si="135"/>
        <v>-1.2040761610249782E-2</v>
      </c>
      <c r="CC240" s="23">
        <f t="shared" ref="CC240:CC249" si="156">57+54/60</f>
        <v>57.9</v>
      </c>
      <c r="CD240" s="23">
        <f t="shared" ref="CD240:CD249" si="157">12+24/60</f>
        <v>12.4</v>
      </c>
      <c r="CE240" s="20">
        <v>34822</v>
      </c>
      <c r="CF240" s="18">
        <v>34914</v>
      </c>
      <c r="CG240" s="18">
        <v>34850</v>
      </c>
      <c r="CH240" s="18">
        <v>34914</v>
      </c>
      <c r="CI240" s="21">
        <f t="shared" ref="CI240:CI259" si="158">CE240-INT(YEAR(CF240)&amp;"/1/1")+1</f>
        <v>123</v>
      </c>
      <c r="CJ240" s="21">
        <f t="shared" ref="CJ240:CJ259" si="159">CF240-INT(YEAR(CF240)&amp;"/1/1")+1</f>
        <v>215</v>
      </c>
      <c r="CK240" s="30">
        <f t="shared" ref="CK240:CK259" si="160">CJ240-CI240+1</f>
        <v>93</v>
      </c>
      <c r="CL240" s="21">
        <f t="shared" si="144"/>
        <v>151</v>
      </c>
      <c r="CM240" s="21">
        <f t="shared" si="112"/>
        <v>215</v>
      </c>
      <c r="CN240" s="19">
        <f t="shared" si="113"/>
        <v>65</v>
      </c>
      <c r="CP240" s="29">
        <f>CG240+38</f>
        <v>34888</v>
      </c>
      <c r="CQ240" s="19">
        <f t="shared" ref="CQ240:CQ259" si="161">CF240-CP240+1</f>
        <v>27</v>
      </c>
    </row>
    <row r="241" spans="1:96" s="19" customFormat="1" hidden="1" x14ac:dyDescent="0.3">
      <c r="A241" s="3">
        <v>1</v>
      </c>
      <c r="B241" s="3"/>
      <c r="C241" s="3"/>
      <c r="D241" s="3" t="s">
        <v>196</v>
      </c>
      <c r="E241" s="6" t="s">
        <v>197</v>
      </c>
      <c r="F241" s="6" t="str">
        <f t="shared" si="124"/>
        <v>1998-84Dragon1995OTC</v>
      </c>
      <c r="G241" s="6" t="s">
        <v>160</v>
      </c>
      <c r="H241" s="3" t="s">
        <v>155</v>
      </c>
      <c r="I241" s="6" t="s">
        <v>161</v>
      </c>
      <c r="J241" s="3" t="s">
        <v>94</v>
      </c>
      <c r="K241" s="6" t="s">
        <v>198</v>
      </c>
      <c r="L241" s="3">
        <v>1995</v>
      </c>
      <c r="M241" s="6" t="s">
        <v>34</v>
      </c>
      <c r="N241" s="6" t="s">
        <v>49</v>
      </c>
      <c r="O241" s="3" t="s">
        <v>134</v>
      </c>
      <c r="P241" s="3"/>
      <c r="Q241" s="4">
        <f>S241*1.08</f>
        <v>31.967162142857145</v>
      </c>
      <c r="R241" s="15">
        <v>0.89017187499999995</v>
      </c>
      <c r="S241" s="16">
        <v>29.599224206349206</v>
      </c>
      <c r="T241" s="3">
        <v>12</v>
      </c>
      <c r="U241" s="3">
        <v>98</v>
      </c>
      <c r="V241" s="3">
        <v>5</v>
      </c>
      <c r="W241" s="3">
        <f t="shared" si="154"/>
        <v>0.81750478316326525</v>
      </c>
      <c r="X241" s="3"/>
      <c r="Y241" s="3"/>
      <c r="Z241" s="60">
        <v>606</v>
      </c>
      <c r="AA241" s="3" t="s">
        <v>51</v>
      </c>
      <c r="AB241" s="3"/>
      <c r="AC241" s="3"/>
      <c r="AD241" s="60">
        <v>590</v>
      </c>
      <c r="AE241" s="3" t="s">
        <v>51</v>
      </c>
      <c r="AF241" s="3"/>
      <c r="AG241" s="3"/>
      <c r="AH241" s="8">
        <f t="shared" si="126"/>
        <v>2.7118644067796609E-2</v>
      </c>
      <c r="AI241" s="8">
        <f>VLOOKUP(F241,'[16]Sheet 2'!$A:$S,18,0)/VLOOKUP(F241,'[16]Sheet 2'!$A:$U,20,0)</f>
        <v>592.6097001546832</v>
      </c>
      <c r="AJ241" s="8">
        <f t="shared" si="127"/>
        <v>2.2595478679848919E-2</v>
      </c>
      <c r="AK241" s="3">
        <v>41.5</v>
      </c>
      <c r="AL241" s="4" t="s">
        <v>37</v>
      </c>
      <c r="AM241" s="3"/>
      <c r="AN241" s="3">
        <v>0.52</v>
      </c>
      <c r="AO241" s="3">
        <v>41.7</v>
      </c>
      <c r="AP241" s="4" t="s">
        <v>37</v>
      </c>
      <c r="AQ241" s="3"/>
      <c r="AR241" s="3">
        <v>0.7</v>
      </c>
      <c r="AS241" s="8">
        <f t="shared" si="128"/>
        <v>-4.7961630695444327E-3</v>
      </c>
      <c r="AT241" s="8">
        <f>VLOOKUP(F241,'[17]Sheet 2'!$A:$S,18,0)/VLOOKUP(F241,'[17]Sheet 2'!$A:$U,20,0)</f>
        <v>41.705907093355393</v>
      </c>
      <c r="AU241" s="8">
        <f t="shared" si="129"/>
        <v>-4.9371206072675927E-3</v>
      </c>
      <c r="AV241" s="57">
        <v>23.93837645664626</v>
      </c>
      <c r="AW241" s="3" t="s">
        <v>132</v>
      </c>
      <c r="AX241" s="3"/>
      <c r="AY241" s="3"/>
      <c r="AZ241" s="3">
        <v>23.043454487224551</v>
      </c>
      <c r="BA241" s="3" t="s">
        <v>261</v>
      </c>
      <c r="BB241" s="3"/>
      <c r="BC241" s="3"/>
      <c r="BD241" s="8">
        <f t="shared" si="130"/>
        <v>3.8836276475728064E-2</v>
      </c>
      <c r="BE241" s="8">
        <f>VLOOKUP(F241,'[18]Sheet 2'!$A:$S,18,0)/VLOOKUP(F241,'[18]Sheet 2'!$A:$U,20,0)</f>
        <v>24.165151349512037</v>
      </c>
      <c r="BF241" s="8">
        <f t="shared" si="131"/>
        <v>-9.3843770968293945E-3</v>
      </c>
      <c r="BG241" s="3">
        <v>610</v>
      </c>
      <c r="BH241" s="3" t="s">
        <v>52</v>
      </c>
      <c r="BI241" s="3"/>
      <c r="BJ241" s="3"/>
      <c r="BK241" s="3">
        <v>614</v>
      </c>
      <c r="BL241" s="3" t="s">
        <v>52</v>
      </c>
      <c r="BM241" s="3"/>
      <c r="BN241" s="3"/>
      <c r="BO241" s="8">
        <f t="shared" si="132"/>
        <v>-6.5146579804560263E-3</v>
      </c>
      <c r="BP241" s="8">
        <f>VLOOKUP(F241,'[19]Sheet 2'!$A:$S,18,0)/VLOOKUP(F241,'[19]Sheet 2'!$A:$U,20,0)</f>
        <v>592.19488779129881</v>
      </c>
      <c r="BQ241" s="8">
        <f t="shared" si="133"/>
        <v>3.0066305156920003E-2</v>
      </c>
      <c r="BR241" s="3">
        <f t="shared" si="147"/>
        <v>14602.409638554218</v>
      </c>
      <c r="BS241" s="3" t="s">
        <v>52</v>
      </c>
      <c r="BT241" s="3"/>
      <c r="BU241" s="3"/>
      <c r="BV241" s="3">
        <f t="shared" si="148"/>
        <v>14148.681055155874</v>
      </c>
      <c r="BW241" s="3" t="s">
        <v>52</v>
      </c>
      <c r="BX241" s="3"/>
      <c r="BY241" s="3"/>
      <c r="BZ241" s="8">
        <f t="shared" si="134"/>
        <v>3.2068613436798232E-2</v>
      </c>
      <c r="CA241" s="8">
        <f>VLOOKUP(F241,'[20]Sheet 2'!$A:$S,18,0)/VLOOKUP(F241,'[20]Sheet 2'!$A:$U,20,0)</f>
        <v>14321.118225703776</v>
      </c>
      <c r="CB241" s="8">
        <f t="shared" si="135"/>
        <v>1.9641721296984709E-2</v>
      </c>
      <c r="CC241" s="23">
        <f t="shared" si="156"/>
        <v>57.9</v>
      </c>
      <c r="CD241" s="23">
        <f t="shared" si="157"/>
        <v>12.4</v>
      </c>
      <c r="CE241" s="20">
        <v>34822</v>
      </c>
      <c r="CF241" s="18">
        <v>34914</v>
      </c>
      <c r="CG241" s="18">
        <v>34850</v>
      </c>
      <c r="CH241" s="18">
        <v>34889</v>
      </c>
      <c r="CI241" s="21">
        <f t="shared" si="158"/>
        <v>123</v>
      </c>
      <c r="CJ241" s="21">
        <f t="shared" si="159"/>
        <v>215</v>
      </c>
      <c r="CK241" s="30">
        <f t="shared" si="160"/>
        <v>93</v>
      </c>
      <c r="CL241" s="21">
        <f t="shared" si="144"/>
        <v>151</v>
      </c>
      <c r="CM241" s="21">
        <f t="shared" si="112"/>
        <v>190</v>
      </c>
      <c r="CN241" s="19">
        <f t="shared" si="113"/>
        <v>40</v>
      </c>
      <c r="CP241" s="29">
        <f>CG241+38</f>
        <v>34888</v>
      </c>
      <c r="CQ241" s="19">
        <f t="shared" si="161"/>
        <v>27</v>
      </c>
    </row>
    <row r="242" spans="1:96" s="19" customFormat="1" hidden="1" x14ac:dyDescent="0.3">
      <c r="A242" s="3">
        <v>1</v>
      </c>
      <c r="B242" s="3"/>
      <c r="C242" s="3"/>
      <c r="D242" s="3" t="s">
        <v>196</v>
      </c>
      <c r="E242" s="6" t="s">
        <v>197</v>
      </c>
      <c r="F242" s="6" t="str">
        <f t="shared" si="124"/>
        <v>1998-84Dragon1995OTC</v>
      </c>
      <c r="G242" s="6" t="s">
        <v>160</v>
      </c>
      <c r="H242" s="3" t="s">
        <v>155</v>
      </c>
      <c r="I242" s="6" t="s">
        <v>161</v>
      </c>
      <c r="J242" s="3" t="s">
        <v>94</v>
      </c>
      <c r="K242" s="6" t="s">
        <v>198</v>
      </c>
      <c r="L242" s="3">
        <v>1995</v>
      </c>
      <c r="M242" s="6" t="s">
        <v>34</v>
      </c>
      <c r="N242" s="6" t="s">
        <v>49</v>
      </c>
      <c r="O242" s="3" t="s">
        <v>135</v>
      </c>
      <c r="P242" s="3"/>
      <c r="Q242" s="4">
        <f>S242*1.08</f>
        <v>38.80432285714285</v>
      </c>
      <c r="R242" s="15">
        <v>2.3906512499999999</v>
      </c>
      <c r="S242" s="16">
        <v>35.929928571428562</v>
      </c>
      <c r="T242" s="3">
        <v>12</v>
      </c>
      <c r="U242" s="3">
        <v>98</v>
      </c>
      <c r="V242" s="3">
        <v>5</v>
      </c>
      <c r="W242" s="3">
        <f t="shared" si="154"/>
        <v>2.1954960459183672</v>
      </c>
      <c r="X242" s="3"/>
      <c r="Y242" s="3"/>
      <c r="Z242" s="60">
        <v>527</v>
      </c>
      <c r="AA242" s="3" t="s">
        <v>51</v>
      </c>
      <c r="AB242" s="3"/>
      <c r="AC242" s="3"/>
      <c r="AD242" s="60">
        <v>590</v>
      </c>
      <c r="AE242" s="3" t="s">
        <v>51</v>
      </c>
      <c r="AF242" s="3"/>
      <c r="AG242" s="3"/>
      <c r="AH242" s="8">
        <f t="shared" si="126"/>
        <v>-0.10677966101694915</v>
      </c>
      <c r="AI242" s="8">
        <f>VLOOKUP(F242,'[16]Sheet 2'!$A:$S,18,0)/VLOOKUP(F242,'[16]Sheet 2'!$A:$U,20,0)</f>
        <v>592.6097001546832</v>
      </c>
      <c r="AJ242" s="8">
        <f t="shared" si="127"/>
        <v>-0.11071317283122049</v>
      </c>
      <c r="AK242" s="3">
        <v>38.1</v>
      </c>
      <c r="AL242" s="4" t="s">
        <v>37</v>
      </c>
      <c r="AM242" s="3"/>
      <c r="AN242" s="3">
        <v>1.1399999999999999</v>
      </c>
      <c r="AO242" s="3">
        <v>41.7</v>
      </c>
      <c r="AP242" s="4" t="s">
        <v>37</v>
      </c>
      <c r="AQ242" s="3"/>
      <c r="AR242" s="3">
        <v>0.7</v>
      </c>
      <c r="AS242" s="8">
        <f t="shared" si="128"/>
        <v>-8.6330935251798593E-2</v>
      </c>
      <c r="AT242" s="8">
        <f>VLOOKUP(F242,'[17]Sheet 2'!$A:$S,18,0)/VLOOKUP(F242,'[17]Sheet 2'!$A:$U,20,0)</f>
        <v>41.705907093355393</v>
      </c>
      <c r="AU242" s="8">
        <f t="shared" si="129"/>
        <v>-8.6460344461129976E-2</v>
      </c>
      <c r="AV242" s="57">
        <v>25.058009053216175</v>
      </c>
      <c r="AW242" s="3" t="s">
        <v>132</v>
      </c>
      <c r="AX242" s="3"/>
      <c r="AY242" s="3"/>
      <c r="AZ242" s="3">
        <v>23.043454487224551</v>
      </c>
      <c r="BA242" s="3" t="s">
        <v>261</v>
      </c>
      <c r="BB242" s="3"/>
      <c r="BC242" s="3"/>
      <c r="BD242" s="8">
        <f t="shared" si="130"/>
        <v>8.7424156265654807E-2</v>
      </c>
      <c r="BE242" s="8">
        <f>VLOOKUP(F242,'[18]Sheet 2'!$A:$S,18,0)/VLOOKUP(F242,'[18]Sheet 2'!$A:$U,20,0)</f>
        <v>24.165151349512037</v>
      </c>
      <c r="BF242" s="8">
        <f t="shared" si="131"/>
        <v>3.6948152767194119E-2</v>
      </c>
      <c r="BG242" s="3">
        <v>552</v>
      </c>
      <c r="BH242" s="3" t="s">
        <v>52</v>
      </c>
      <c r="BI242" s="3"/>
      <c r="BJ242" s="3"/>
      <c r="BK242" s="3">
        <v>614</v>
      </c>
      <c r="BL242" s="3" t="s">
        <v>52</v>
      </c>
      <c r="BM242" s="3"/>
      <c r="BN242" s="3"/>
      <c r="BO242" s="8">
        <f t="shared" si="132"/>
        <v>-0.10097719869706841</v>
      </c>
      <c r="BP242" s="8">
        <f>VLOOKUP(F242,'[19]Sheet 2'!$A:$S,18,0)/VLOOKUP(F242,'[19]Sheet 2'!$A:$U,20,0)</f>
        <v>592.19488779129881</v>
      </c>
      <c r="BQ242" s="8">
        <f t="shared" si="133"/>
        <v>-6.7874425497344529E-2</v>
      </c>
      <c r="BR242" s="3">
        <f t="shared" si="147"/>
        <v>13832.020997375328</v>
      </c>
      <c r="BS242" s="3" t="s">
        <v>52</v>
      </c>
      <c r="BT242" s="3"/>
      <c r="BU242" s="3"/>
      <c r="BV242" s="3">
        <f t="shared" si="148"/>
        <v>14148.681055155874</v>
      </c>
      <c r="BW242" s="3" t="s">
        <v>52</v>
      </c>
      <c r="BX242" s="3"/>
      <c r="BY242" s="3"/>
      <c r="BZ242" s="8">
        <f t="shared" si="134"/>
        <v>-2.2380888829574164E-2</v>
      </c>
      <c r="CA242" s="8">
        <f>VLOOKUP(F242,'[20]Sheet 2'!$A:$S,18,0)/VLOOKUP(F242,'[20]Sheet 2'!$A:$U,20,0)</f>
        <v>14321.118225703776</v>
      </c>
      <c r="CB242" s="8">
        <f t="shared" si="135"/>
        <v>-3.415216749280154E-2</v>
      </c>
      <c r="CC242" s="23">
        <f t="shared" si="156"/>
        <v>57.9</v>
      </c>
      <c r="CD242" s="23">
        <f t="shared" si="157"/>
        <v>12.4</v>
      </c>
      <c r="CE242" s="20">
        <v>34822</v>
      </c>
      <c r="CF242" s="18">
        <v>34914</v>
      </c>
      <c r="CG242" s="18">
        <v>34889</v>
      </c>
      <c r="CH242" s="18">
        <v>34914</v>
      </c>
      <c r="CI242" s="21">
        <f t="shared" si="158"/>
        <v>123</v>
      </c>
      <c r="CJ242" s="21">
        <f t="shared" si="159"/>
        <v>215</v>
      </c>
      <c r="CK242" s="30">
        <f t="shared" si="160"/>
        <v>93</v>
      </c>
      <c r="CL242" s="21">
        <f t="shared" si="144"/>
        <v>190</v>
      </c>
      <c r="CM242" s="21">
        <f t="shared" si="112"/>
        <v>215</v>
      </c>
      <c r="CN242" s="19">
        <f t="shared" si="113"/>
        <v>26</v>
      </c>
      <c r="CP242" s="29">
        <f>CG242-26</f>
        <v>34863</v>
      </c>
      <c r="CQ242" s="19">
        <f t="shared" si="161"/>
        <v>52</v>
      </c>
    </row>
    <row r="243" spans="1:96" s="42" customFormat="1" hidden="1" x14ac:dyDescent="0.3">
      <c r="A243" s="31">
        <v>1</v>
      </c>
      <c r="B243" s="31"/>
      <c r="C243" s="31"/>
      <c r="D243" s="31" t="s">
        <v>199</v>
      </c>
      <c r="E243" s="34" t="s">
        <v>200</v>
      </c>
      <c r="F243" s="34" t="str">
        <f t="shared" si="124"/>
        <v>2000-X96Dragon1994OTC</v>
      </c>
      <c r="G243" s="31" t="s">
        <v>201</v>
      </c>
      <c r="H243" s="31" t="s">
        <v>155</v>
      </c>
      <c r="I243" s="34" t="s">
        <v>161</v>
      </c>
      <c r="J243" s="31" t="s">
        <v>94</v>
      </c>
      <c r="K243" s="56" t="s">
        <v>198</v>
      </c>
      <c r="L243" s="56">
        <v>1994</v>
      </c>
      <c r="M243" s="34" t="s">
        <v>34</v>
      </c>
      <c r="N243" s="34" t="s">
        <v>49</v>
      </c>
      <c r="O243" s="56" t="s">
        <v>40</v>
      </c>
      <c r="P243" s="32" t="s">
        <v>267</v>
      </c>
      <c r="Q243" s="31">
        <f>S243/1.01*U243*12/1000+S243/1.01*(90-U243)*12/1000</f>
        <v>35.287128712871286</v>
      </c>
      <c r="R243" s="31">
        <v>2.2709999999999999</v>
      </c>
      <c r="S243" s="31">
        <v>33</v>
      </c>
      <c r="T243" s="31">
        <v>12</v>
      </c>
      <c r="U243" s="31">
        <f t="shared" ref="U243:U259" si="162">Y243-X243+1</f>
        <v>71</v>
      </c>
      <c r="V243" s="56">
        <v>3</v>
      </c>
      <c r="W243" s="31">
        <f t="shared" si="154"/>
        <v>2.2709999999999999</v>
      </c>
      <c r="X243" s="31">
        <v>165</v>
      </c>
      <c r="Y243" s="31">
        <v>235</v>
      </c>
      <c r="Z243" s="31">
        <v>568.32181018227504</v>
      </c>
      <c r="AA243" s="31" t="s">
        <v>51</v>
      </c>
      <c r="AB243" s="31"/>
      <c r="AC243" s="31">
        <v>37.837837837837981</v>
      </c>
      <c r="AD243" s="31">
        <v>568.32181018227504</v>
      </c>
      <c r="AE243" s="31" t="s">
        <v>51</v>
      </c>
      <c r="AF243" s="31"/>
      <c r="AG243" s="31">
        <v>37.837837837837981</v>
      </c>
      <c r="AH243" s="8">
        <f t="shared" si="126"/>
        <v>0</v>
      </c>
      <c r="AI243" s="8">
        <f>VLOOKUP(F243,'[16]Sheet 2'!$A:$S,18,0)/VLOOKUP(F243,'[16]Sheet 2'!$A:$U,20,0)</f>
        <v>653.12244326331438</v>
      </c>
      <c r="AJ243" s="8">
        <f t="shared" si="127"/>
        <v>-0.12983879815449997</v>
      </c>
      <c r="AK243" s="31">
        <v>35.761674718196502</v>
      </c>
      <c r="AL243" s="32" t="s">
        <v>37</v>
      </c>
      <c r="AM243" s="31"/>
      <c r="AN243" s="31">
        <v>0.79999999999999716</v>
      </c>
      <c r="AO243" s="31">
        <v>35.761674718196502</v>
      </c>
      <c r="AP243" s="32" t="s">
        <v>37</v>
      </c>
      <c r="AQ243" s="31"/>
      <c r="AR243" s="31">
        <v>0.79999999999999716</v>
      </c>
      <c r="AS243" s="8">
        <f t="shared" si="128"/>
        <v>0</v>
      </c>
      <c r="AT243" s="8">
        <f>VLOOKUP(F243,'[17]Sheet 2'!$A:$S,18,0)/VLOOKUP(F243,'[17]Sheet 2'!$A:$U,20,0)</f>
        <v>37.904091564124002</v>
      </c>
      <c r="AU243" s="8">
        <f t="shared" si="129"/>
        <v>-5.6522047027642901E-2</v>
      </c>
      <c r="AV243" s="57">
        <v>35.214813556589355</v>
      </c>
      <c r="AW243" s="31" t="s">
        <v>132</v>
      </c>
      <c r="AX243" s="31"/>
      <c r="AY243" s="31"/>
      <c r="AZ243" s="31">
        <v>35.214813556589355</v>
      </c>
      <c r="BA243" s="31" t="s">
        <v>261</v>
      </c>
      <c r="BB243" s="31"/>
      <c r="BC243" s="31"/>
      <c r="BD243" s="8">
        <f t="shared" si="130"/>
        <v>0</v>
      </c>
      <c r="BE243" s="8">
        <f>VLOOKUP(F243,'[18]Sheet 2'!$A:$S,18,0)/VLOOKUP(F243,'[18]Sheet 2'!$A:$U,20,0)</f>
        <v>35.732152973978572</v>
      </c>
      <c r="BF243" s="8">
        <f t="shared" si="131"/>
        <v>-1.4478260455393251E-2</v>
      </c>
      <c r="BG243" s="31">
        <v>451.285189718482</v>
      </c>
      <c r="BH243" s="31" t="s">
        <v>52</v>
      </c>
      <c r="BI243" s="31"/>
      <c r="BJ243" s="31"/>
      <c r="BK243" s="31">
        <v>451.285189718482</v>
      </c>
      <c r="BL243" s="31" t="s">
        <v>52</v>
      </c>
      <c r="BM243" s="31"/>
      <c r="BN243" s="31"/>
      <c r="BO243" s="8">
        <f t="shared" si="132"/>
        <v>0</v>
      </c>
      <c r="BP243" s="8">
        <f>VLOOKUP(F243,'[19]Sheet 2'!$A:$S,18,0)/VLOOKUP(F243,'[19]Sheet 2'!$A:$U,20,0)</f>
        <v>490.3243296544394</v>
      </c>
      <c r="BQ243" s="8">
        <f t="shared" si="133"/>
        <v>-7.9619014547922987E-2</v>
      </c>
      <c r="BR243" s="31">
        <f t="shared" si="147"/>
        <v>15891.923816786399</v>
      </c>
      <c r="BS243" s="31" t="s">
        <v>52</v>
      </c>
      <c r="BT243" s="31"/>
      <c r="BU243" s="31"/>
      <c r="BV243" s="31">
        <f t="shared" si="148"/>
        <v>15891.923816786399</v>
      </c>
      <c r="BW243" s="31" t="s">
        <v>52</v>
      </c>
      <c r="BX243" s="31"/>
      <c r="BY243" s="31"/>
      <c r="BZ243" s="8">
        <f t="shared" si="134"/>
        <v>0</v>
      </c>
      <c r="CA243" s="8">
        <f>VLOOKUP(F243,'[20]Sheet 2'!$A:$S,18,0)/VLOOKUP(F243,'[20]Sheet 2'!$A:$U,20,0)</f>
        <v>17630.448073929256</v>
      </c>
      <c r="CB243" s="8">
        <f t="shared" si="135"/>
        <v>-9.8609193019528085E-2</v>
      </c>
      <c r="CC243" s="54">
        <f t="shared" si="156"/>
        <v>57.9</v>
      </c>
      <c r="CD243" s="54">
        <f t="shared" si="157"/>
        <v>12.4</v>
      </c>
      <c r="CE243" s="50">
        <v>118</v>
      </c>
      <c r="CF243" s="50">
        <v>235</v>
      </c>
      <c r="CG243" s="36">
        <v>165</v>
      </c>
      <c r="CH243" s="36">
        <v>235</v>
      </c>
      <c r="CI243" s="40">
        <f t="shared" si="158"/>
        <v>118</v>
      </c>
      <c r="CJ243" s="40">
        <f t="shared" si="159"/>
        <v>235</v>
      </c>
      <c r="CK243" s="41">
        <f t="shared" si="160"/>
        <v>118</v>
      </c>
      <c r="CL243" s="40">
        <f t="shared" si="144"/>
        <v>165</v>
      </c>
      <c r="CM243" s="40">
        <f t="shared" si="112"/>
        <v>235</v>
      </c>
      <c r="CN243" s="42">
        <f t="shared" si="113"/>
        <v>71</v>
      </c>
      <c r="CP243" s="40">
        <f>CE243+65</f>
        <v>183</v>
      </c>
      <c r="CQ243" s="42">
        <f t="shared" si="161"/>
        <v>53</v>
      </c>
    </row>
    <row r="244" spans="1:96" s="42" customFormat="1" hidden="1" x14ac:dyDescent="0.3">
      <c r="A244" s="31">
        <v>1</v>
      </c>
      <c r="B244" s="31"/>
      <c r="C244" s="31"/>
      <c r="D244" s="31" t="s">
        <v>199</v>
      </c>
      <c r="E244" s="34" t="s">
        <v>200</v>
      </c>
      <c r="F244" s="34" t="str">
        <f t="shared" si="124"/>
        <v>2000-X96Dragon1994OTC</v>
      </c>
      <c r="G244" s="31" t="s">
        <v>201</v>
      </c>
      <c r="H244" s="31" t="s">
        <v>155</v>
      </c>
      <c r="I244" s="34" t="s">
        <v>161</v>
      </c>
      <c r="J244" s="31" t="s">
        <v>94</v>
      </c>
      <c r="K244" s="56" t="s">
        <v>198</v>
      </c>
      <c r="L244" s="56">
        <v>1994</v>
      </c>
      <c r="M244" s="34" t="s">
        <v>34</v>
      </c>
      <c r="N244" s="34" t="s">
        <v>49</v>
      </c>
      <c r="O244" s="31" t="s">
        <v>134</v>
      </c>
      <c r="P244" s="31"/>
      <c r="Q244" s="31">
        <f>S244/1.01*U244*12/1000+S243/1.01*(90-U244)*12/1000</f>
        <v>40.348514851485149</v>
      </c>
      <c r="R244" s="31">
        <v>7.1619999999999999</v>
      </c>
      <c r="S244" s="31">
        <v>39</v>
      </c>
      <c r="T244" s="31">
        <v>12</v>
      </c>
      <c r="U244" s="31">
        <f t="shared" si="162"/>
        <v>71</v>
      </c>
      <c r="V244" s="56">
        <v>3</v>
      </c>
      <c r="W244" s="31">
        <f t="shared" si="154"/>
        <v>7.1619999999999999</v>
      </c>
      <c r="X244" s="31">
        <v>165</v>
      </c>
      <c r="Y244" s="31">
        <v>235</v>
      </c>
      <c r="Z244" s="31">
        <v>558.11439346323107</v>
      </c>
      <c r="AA244" s="31" t="s">
        <v>51</v>
      </c>
      <c r="AB244" s="31"/>
      <c r="AC244" s="31">
        <v>16.216216216215962</v>
      </c>
      <c r="AD244" s="31">
        <v>568.32181018227504</v>
      </c>
      <c r="AE244" s="31" t="s">
        <v>51</v>
      </c>
      <c r="AF244" s="31"/>
      <c r="AG244" s="31">
        <v>37.837837837837981</v>
      </c>
      <c r="AH244" s="8">
        <f t="shared" si="126"/>
        <v>-1.7960628179605146E-2</v>
      </c>
      <c r="AI244" s="8">
        <f>VLOOKUP(F244,'[16]Sheet 2'!$A:$S,18,0)/VLOOKUP(F244,'[16]Sheet 2'!$A:$U,20,0)</f>
        <v>653.12244326331438</v>
      </c>
      <c r="AJ244" s="8">
        <f t="shared" si="127"/>
        <v>-0.14546743995716535</v>
      </c>
      <c r="AK244" s="31">
        <v>33.659259259259301</v>
      </c>
      <c r="AL244" s="32" t="s">
        <v>37</v>
      </c>
      <c r="AM244" s="31"/>
      <c r="AN244" s="31">
        <v>1.0666666666665989</v>
      </c>
      <c r="AO244" s="31">
        <v>35.761674718196502</v>
      </c>
      <c r="AP244" s="32" t="s">
        <v>37</v>
      </c>
      <c r="AQ244" s="31"/>
      <c r="AR244" s="31">
        <v>0.79999999999999716</v>
      </c>
      <c r="AS244" s="8">
        <f t="shared" si="128"/>
        <v>-5.8789625360230573E-2</v>
      </c>
      <c r="AT244" s="8">
        <f>VLOOKUP(F244,'[17]Sheet 2'!$A:$S,18,0)/VLOOKUP(F244,'[17]Sheet 2'!$A:$U,20,0)</f>
        <v>37.904091564124002</v>
      </c>
      <c r="AU244" s="8">
        <f t="shared" si="129"/>
        <v>-0.11198876241852501</v>
      </c>
      <c r="AV244" s="57">
        <v>33.83397598731748</v>
      </c>
      <c r="AW244" s="31" t="s">
        <v>132</v>
      </c>
      <c r="AX244" s="31"/>
      <c r="AY244" s="31"/>
      <c r="AZ244" s="31">
        <v>35.214813556589355</v>
      </c>
      <c r="BA244" s="31" t="s">
        <v>261</v>
      </c>
      <c r="BB244" s="31"/>
      <c r="BC244" s="31"/>
      <c r="BD244" s="8">
        <f t="shared" si="130"/>
        <v>-3.9211838138881606E-2</v>
      </c>
      <c r="BE244" s="8">
        <f>VLOOKUP(F244,'[18]Sheet 2'!$A:$S,18,0)/VLOOKUP(F244,'[18]Sheet 2'!$A:$U,20,0)</f>
        <v>35.732152973978572</v>
      </c>
      <c r="BF244" s="8">
        <f t="shared" si="131"/>
        <v>-5.3122379388765406E-2</v>
      </c>
      <c r="BG244" s="31">
        <v>490.07847937216502</v>
      </c>
      <c r="BH244" s="31" t="s">
        <v>52</v>
      </c>
      <c r="BI244" s="31"/>
      <c r="BJ244" s="31"/>
      <c r="BK244" s="31">
        <v>451.285189718482</v>
      </c>
      <c r="BL244" s="31" t="s">
        <v>52</v>
      </c>
      <c r="BM244" s="31"/>
      <c r="BN244" s="31"/>
      <c r="BO244" s="8">
        <f t="shared" si="132"/>
        <v>8.5961805389365459E-2</v>
      </c>
      <c r="BP244" s="8">
        <f>VLOOKUP(F244,'[19]Sheet 2'!$A:$S,18,0)/VLOOKUP(F244,'[19]Sheet 2'!$A:$U,20,0)</f>
        <v>490.3243296544394</v>
      </c>
      <c r="BQ244" s="8">
        <f t="shared" si="133"/>
        <v>-5.0140339241913732E-4</v>
      </c>
      <c r="BR244" s="31">
        <f t="shared" si="147"/>
        <v>16581.303502978895</v>
      </c>
      <c r="BS244" s="31" t="s">
        <v>52</v>
      </c>
      <c r="BT244" s="31"/>
      <c r="BU244" s="31"/>
      <c r="BV244" s="31">
        <f t="shared" si="148"/>
        <v>15891.923816786399</v>
      </c>
      <c r="BW244" s="31" t="s">
        <v>52</v>
      </c>
      <c r="BX244" s="31"/>
      <c r="BY244" s="31"/>
      <c r="BZ244" s="8">
        <f t="shared" si="134"/>
        <v>4.3379246851429985E-2</v>
      </c>
      <c r="CA244" s="8">
        <f>VLOOKUP(F244,'[20]Sheet 2'!$A:$S,18,0)/VLOOKUP(F244,'[20]Sheet 2'!$A:$U,20,0)</f>
        <v>17630.448073929256</v>
      </c>
      <c r="CB244" s="8">
        <f t="shared" si="135"/>
        <v>-5.9507538693912509E-2</v>
      </c>
      <c r="CC244" s="54">
        <f t="shared" si="156"/>
        <v>57.9</v>
      </c>
      <c r="CD244" s="54">
        <f t="shared" si="157"/>
        <v>12.4</v>
      </c>
      <c r="CE244" s="50">
        <v>118</v>
      </c>
      <c r="CF244" s="50">
        <v>235</v>
      </c>
      <c r="CG244" s="36">
        <v>165</v>
      </c>
      <c r="CH244" s="36">
        <v>235</v>
      </c>
      <c r="CI244" s="40">
        <f t="shared" si="158"/>
        <v>118</v>
      </c>
      <c r="CJ244" s="40">
        <f t="shared" si="159"/>
        <v>235</v>
      </c>
      <c r="CK244" s="41">
        <f t="shared" si="160"/>
        <v>118</v>
      </c>
      <c r="CL244" s="40">
        <f t="shared" si="144"/>
        <v>165</v>
      </c>
      <c r="CM244" s="40">
        <f t="shared" si="112"/>
        <v>235</v>
      </c>
      <c r="CN244" s="42">
        <f t="shared" si="113"/>
        <v>71</v>
      </c>
      <c r="CP244" s="40">
        <f>CE244+65</f>
        <v>183</v>
      </c>
      <c r="CQ244" s="42">
        <f t="shared" si="161"/>
        <v>53</v>
      </c>
    </row>
    <row r="245" spans="1:96" s="42" customFormat="1" hidden="1" x14ac:dyDescent="0.3">
      <c r="A245" s="31">
        <v>1</v>
      </c>
      <c r="B245" s="31"/>
      <c r="C245" s="31"/>
      <c r="D245" s="31" t="s">
        <v>199</v>
      </c>
      <c r="E245" s="34" t="s">
        <v>200</v>
      </c>
      <c r="F245" s="34" t="str">
        <f t="shared" si="124"/>
        <v>2000-X96Dragon1994OTC</v>
      </c>
      <c r="G245" s="31" t="s">
        <v>201</v>
      </c>
      <c r="H245" s="31" t="s">
        <v>155</v>
      </c>
      <c r="I245" s="34" t="s">
        <v>161</v>
      </c>
      <c r="J245" s="31" t="s">
        <v>94</v>
      </c>
      <c r="K245" s="56" t="s">
        <v>198</v>
      </c>
      <c r="L245" s="56">
        <v>1994</v>
      </c>
      <c r="M245" s="34" t="s">
        <v>34</v>
      </c>
      <c r="N245" s="34" t="s">
        <v>49</v>
      </c>
      <c r="O245" s="31" t="s">
        <v>135</v>
      </c>
      <c r="P245" s="31"/>
      <c r="Q245" s="31">
        <f>S245/1.01*U245*12/1000+S243/1.01*(90-U245)*12/1000</f>
        <v>46.253465346534647</v>
      </c>
      <c r="R245" s="31">
        <v>12.052</v>
      </c>
      <c r="S245" s="31">
        <v>46</v>
      </c>
      <c r="T245" s="31">
        <v>12</v>
      </c>
      <c r="U245" s="31">
        <f t="shared" si="162"/>
        <v>71</v>
      </c>
      <c r="V245" s="56">
        <v>3</v>
      </c>
      <c r="W245" s="31">
        <f t="shared" si="154"/>
        <v>12.052</v>
      </c>
      <c r="X245" s="31">
        <v>165</v>
      </c>
      <c r="Y245" s="31">
        <v>235</v>
      </c>
      <c r="Z245" s="31">
        <v>504.63859208045301</v>
      </c>
      <c r="AA245" s="31" t="s">
        <v>51</v>
      </c>
      <c r="AB245" s="31"/>
      <c r="AC245" s="31">
        <v>27.027027027026929</v>
      </c>
      <c r="AD245" s="31">
        <v>568.32181018227504</v>
      </c>
      <c r="AE245" s="31" t="s">
        <v>51</v>
      </c>
      <c r="AF245" s="31"/>
      <c r="AG245" s="31">
        <v>37.837837837837981</v>
      </c>
      <c r="AH245" s="8">
        <f t="shared" si="126"/>
        <v>-0.11205485512054734</v>
      </c>
      <c r="AI245" s="8">
        <f>VLOOKUP(F245,'[16]Sheet 2'!$A:$S,18,0)/VLOOKUP(F245,'[16]Sheet 2'!$A:$U,20,0)</f>
        <v>653.12244326331438</v>
      </c>
      <c r="AJ245" s="8">
        <f t="shared" si="127"/>
        <v>-0.22734458555881884</v>
      </c>
      <c r="AK245" s="31">
        <v>29.691465378421899</v>
      </c>
      <c r="AL245" s="32" t="s">
        <v>37</v>
      </c>
      <c r="AM245" s="31"/>
      <c r="AN245" s="31">
        <v>0.53333333333329946</v>
      </c>
      <c r="AO245" s="31">
        <v>35.761674718196502</v>
      </c>
      <c r="AP245" s="32" t="s">
        <v>37</v>
      </c>
      <c r="AQ245" s="31"/>
      <c r="AR245" s="31">
        <v>0.79999999999999716</v>
      </c>
      <c r="AS245" s="8">
        <f t="shared" si="128"/>
        <v>-0.16974063400576475</v>
      </c>
      <c r="AT245" s="8">
        <f>VLOOKUP(F245,'[17]Sheet 2'!$A:$S,18,0)/VLOOKUP(F245,'[17]Sheet 2'!$A:$U,20,0)</f>
        <v>37.904091564124002</v>
      </c>
      <c r="AU245" s="8">
        <f t="shared" si="129"/>
        <v>-0.2166685929356319</v>
      </c>
      <c r="AV245" s="57">
        <v>32.929983737436466</v>
      </c>
      <c r="AW245" s="31" t="s">
        <v>132</v>
      </c>
      <c r="AX245" s="31"/>
      <c r="AY245" s="31"/>
      <c r="AZ245" s="31">
        <v>35.214813556589355</v>
      </c>
      <c r="BA245" s="31" t="s">
        <v>261</v>
      </c>
      <c r="BB245" s="31"/>
      <c r="BC245" s="31"/>
      <c r="BD245" s="8">
        <f t="shared" si="130"/>
        <v>-6.4882632857936995E-2</v>
      </c>
      <c r="BE245" s="8">
        <f>VLOOKUP(F245,'[18]Sheet 2'!$A:$S,18,0)/VLOOKUP(F245,'[18]Sheet 2'!$A:$U,20,0)</f>
        <v>35.732152973978572</v>
      </c>
      <c r="BF245" s="8">
        <f t="shared" si="131"/>
        <v>-7.8421505655781376E-2</v>
      </c>
      <c r="BG245" s="31">
        <v>516.12787097703199</v>
      </c>
      <c r="BH245" s="31" t="s">
        <v>52</v>
      </c>
      <c r="BI245" s="31"/>
      <c r="BJ245" s="31"/>
      <c r="BK245" s="31">
        <v>451.285189718482</v>
      </c>
      <c r="BL245" s="31" t="s">
        <v>52</v>
      </c>
      <c r="BM245" s="31"/>
      <c r="BN245" s="31"/>
      <c r="BO245" s="8">
        <f t="shared" si="132"/>
        <v>0.14368448762743524</v>
      </c>
      <c r="BP245" s="8">
        <f>VLOOKUP(F245,'[19]Sheet 2'!$A:$S,18,0)/VLOOKUP(F245,'[19]Sheet 2'!$A:$U,20,0)</f>
        <v>490.3243296544394</v>
      </c>
      <c r="BQ245" s="8">
        <f t="shared" si="133"/>
        <v>5.2625455768792621E-2</v>
      </c>
      <c r="BR245" s="31">
        <f t="shared" si="147"/>
        <v>16996.082397711369</v>
      </c>
      <c r="BS245" s="31" t="s">
        <v>52</v>
      </c>
      <c r="BT245" s="31"/>
      <c r="BU245" s="31"/>
      <c r="BV245" s="31">
        <f t="shared" si="148"/>
        <v>15891.923816786399</v>
      </c>
      <c r="BW245" s="31" t="s">
        <v>52</v>
      </c>
      <c r="BX245" s="31"/>
      <c r="BY245" s="31"/>
      <c r="BZ245" s="8">
        <f t="shared" si="134"/>
        <v>6.9479226911386527E-2</v>
      </c>
      <c r="CA245" s="8">
        <f>VLOOKUP(F245,'[20]Sheet 2'!$A:$S,18,0)/VLOOKUP(F245,'[20]Sheet 2'!$A:$U,20,0)</f>
        <v>17630.448073929256</v>
      </c>
      <c r="CB245" s="8">
        <f t="shared" si="135"/>
        <v>-3.5981256605494061E-2</v>
      </c>
      <c r="CC245" s="54">
        <f t="shared" si="156"/>
        <v>57.9</v>
      </c>
      <c r="CD245" s="54">
        <f t="shared" si="157"/>
        <v>12.4</v>
      </c>
      <c r="CE245" s="50">
        <v>118</v>
      </c>
      <c r="CF245" s="50">
        <v>235</v>
      </c>
      <c r="CG245" s="36">
        <v>165</v>
      </c>
      <c r="CH245" s="36">
        <v>235</v>
      </c>
      <c r="CI245" s="40">
        <f t="shared" si="158"/>
        <v>118</v>
      </c>
      <c r="CJ245" s="40">
        <f t="shared" si="159"/>
        <v>235</v>
      </c>
      <c r="CK245" s="41">
        <f t="shared" si="160"/>
        <v>118</v>
      </c>
      <c r="CL245" s="40">
        <f t="shared" si="144"/>
        <v>165</v>
      </c>
      <c r="CM245" s="40">
        <f t="shared" si="112"/>
        <v>235</v>
      </c>
      <c r="CN245" s="42">
        <f t="shared" si="113"/>
        <v>71</v>
      </c>
      <c r="CP245" s="40">
        <f>CE245+65</f>
        <v>183</v>
      </c>
      <c r="CQ245" s="42">
        <f t="shared" si="161"/>
        <v>53</v>
      </c>
    </row>
    <row r="246" spans="1:96" s="19" customFormat="1" hidden="1" x14ac:dyDescent="0.3">
      <c r="A246" s="3">
        <v>1</v>
      </c>
      <c r="B246" s="3"/>
      <c r="C246" s="3"/>
      <c r="D246" s="3" t="s">
        <v>202</v>
      </c>
      <c r="E246" s="6" t="s">
        <v>203</v>
      </c>
      <c r="F246" s="6" t="str">
        <f t="shared" si="124"/>
        <v>2006-90Dragon1999OTC</v>
      </c>
      <c r="G246" s="3" t="s">
        <v>201</v>
      </c>
      <c r="H246" s="3" t="s">
        <v>155</v>
      </c>
      <c r="I246" s="6" t="s">
        <v>161</v>
      </c>
      <c r="J246" s="3" t="s">
        <v>94</v>
      </c>
      <c r="K246" s="6" t="s">
        <v>198</v>
      </c>
      <c r="L246" s="6">
        <v>1999</v>
      </c>
      <c r="M246" s="6" t="s">
        <v>34</v>
      </c>
      <c r="N246" s="6" t="s">
        <v>49</v>
      </c>
      <c r="O246" s="6" t="s">
        <v>36</v>
      </c>
      <c r="P246" s="32" t="s">
        <v>267</v>
      </c>
      <c r="Q246" s="3">
        <f>S246/1.01*U246*12/1000+S246/1.01*(90-U246)*12/1000</f>
        <v>9.6237623762376252</v>
      </c>
      <c r="R246" s="3">
        <v>0</v>
      </c>
      <c r="S246" s="6">
        <v>9</v>
      </c>
      <c r="T246" s="3">
        <v>12</v>
      </c>
      <c r="U246" s="3">
        <f t="shared" si="162"/>
        <v>70</v>
      </c>
      <c r="V246" s="3">
        <v>6</v>
      </c>
      <c r="W246" s="3">
        <f t="shared" si="154"/>
        <v>0</v>
      </c>
      <c r="X246" s="7">
        <v>36327</v>
      </c>
      <c r="Y246" s="7">
        <v>36396</v>
      </c>
      <c r="Z246" s="3"/>
      <c r="AA246" s="3"/>
      <c r="AB246" s="3"/>
      <c r="AC246" s="3"/>
      <c r="AD246" s="3"/>
      <c r="AE246" s="3"/>
      <c r="AF246" s="3"/>
      <c r="AG246" s="3"/>
      <c r="AH246" s="8" t="e">
        <f t="shared" si="126"/>
        <v>#DIV/0!</v>
      </c>
      <c r="AI246" s="8" t="e">
        <f>VLOOKUP(F246,'[16]Sheet 2'!$A:$S,18,0)/VLOOKUP(F246,'[16]Sheet 2'!$A:$U,20,0)</f>
        <v>#N/A</v>
      </c>
      <c r="AJ246" s="8" t="e">
        <f t="shared" si="127"/>
        <v>#N/A</v>
      </c>
      <c r="AK246" s="3">
        <v>38.6666666666667</v>
      </c>
      <c r="AL246" s="4" t="s">
        <v>37</v>
      </c>
      <c r="AM246" s="3"/>
      <c r="AN246" s="3">
        <v>3</v>
      </c>
      <c r="AO246" s="3">
        <v>38.6666666666667</v>
      </c>
      <c r="AP246" s="4" t="s">
        <v>37</v>
      </c>
      <c r="AQ246" s="3"/>
      <c r="AR246" s="3">
        <v>3</v>
      </c>
      <c r="AS246" s="8">
        <f t="shared" si="128"/>
        <v>0</v>
      </c>
      <c r="AT246" s="8">
        <f>VLOOKUP(F246,'[17]Sheet 2'!$A:$S,18,0)/VLOOKUP(F246,'[17]Sheet 2'!$A:$U,20,0)</f>
        <v>37.248353660930647</v>
      </c>
      <c r="AU246" s="8">
        <f t="shared" si="129"/>
        <v>3.8077199831349981E-2</v>
      </c>
      <c r="AV246" s="57"/>
      <c r="AW246" s="3"/>
      <c r="AX246" s="3"/>
      <c r="AY246" s="3"/>
      <c r="AZ246" s="3"/>
      <c r="BA246" s="3"/>
      <c r="BB246" s="3"/>
      <c r="BC246" s="3"/>
      <c r="BD246" s="8" t="e">
        <f t="shared" si="130"/>
        <v>#DIV/0!</v>
      </c>
      <c r="BE246" s="8" t="e">
        <f>VLOOKUP(F246,'[18]Sheet 2'!$A:$S,18,0)/VLOOKUP(F246,'[18]Sheet 2'!$A:$U,20,0)</f>
        <v>#N/A</v>
      </c>
      <c r="BF246" s="8" t="e">
        <f t="shared" si="131"/>
        <v>#N/A</v>
      </c>
      <c r="BG246" s="3"/>
      <c r="BH246" s="3"/>
      <c r="BI246" s="3"/>
      <c r="BJ246" s="3"/>
      <c r="BK246" s="3"/>
      <c r="BL246" s="3"/>
      <c r="BM246" s="3"/>
      <c r="BN246" s="3"/>
      <c r="BO246" s="8" t="e">
        <f t="shared" si="132"/>
        <v>#DIV/0!</v>
      </c>
      <c r="BP246" s="8" t="e">
        <f>VLOOKUP(F246,'[19]Sheet 2'!$A:$S,18,0)/VLOOKUP(F246,'[19]Sheet 2'!$A:$U,20,0)</f>
        <v>#N/A</v>
      </c>
      <c r="BQ246" s="8" t="e">
        <f t="shared" si="133"/>
        <v>#N/A</v>
      </c>
      <c r="BR246" s="3"/>
      <c r="BS246" s="3"/>
      <c r="BT246" s="3"/>
      <c r="BU246" s="3"/>
      <c r="BV246" s="3"/>
      <c r="BW246" s="3"/>
      <c r="BX246" s="3"/>
      <c r="BY246" s="3"/>
      <c r="BZ246" s="8" t="e">
        <f t="shared" si="134"/>
        <v>#DIV/0!</v>
      </c>
      <c r="CA246" s="8" t="e">
        <f>VLOOKUP(F246,'[20]Sheet 2'!$A:$S,18,0)/VLOOKUP(F246,'[20]Sheet 2'!$A:$U,20,0)</f>
        <v>#N/A</v>
      </c>
      <c r="CB246" s="8" t="e">
        <f t="shared" si="135"/>
        <v>#N/A</v>
      </c>
      <c r="CC246" s="23">
        <f t="shared" si="156"/>
        <v>57.9</v>
      </c>
      <c r="CD246" s="23">
        <f t="shared" si="157"/>
        <v>12.4</v>
      </c>
      <c r="CE246" s="20">
        <v>36285</v>
      </c>
      <c r="CF246" s="20">
        <v>36402</v>
      </c>
      <c r="CG246" s="18">
        <v>36327</v>
      </c>
      <c r="CH246" s="18">
        <v>36396</v>
      </c>
      <c r="CI246" s="21">
        <f t="shared" si="158"/>
        <v>125</v>
      </c>
      <c r="CJ246" s="21">
        <f t="shared" si="159"/>
        <v>242</v>
      </c>
      <c r="CK246" s="30">
        <f t="shared" si="160"/>
        <v>118</v>
      </c>
      <c r="CL246" s="21">
        <f t="shared" si="144"/>
        <v>167</v>
      </c>
      <c r="CM246" s="21">
        <f t="shared" si="112"/>
        <v>236</v>
      </c>
      <c r="CN246" s="19">
        <f t="shared" si="113"/>
        <v>70</v>
      </c>
      <c r="CP246" s="29">
        <v>36355</v>
      </c>
      <c r="CQ246" s="19">
        <f t="shared" si="161"/>
        <v>48</v>
      </c>
    </row>
    <row r="247" spans="1:96" s="19" customFormat="1" hidden="1" x14ac:dyDescent="0.3">
      <c r="A247" s="3">
        <v>1</v>
      </c>
      <c r="B247" s="3"/>
      <c r="C247" s="3"/>
      <c r="D247" s="3" t="s">
        <v>202</v>
      </c>
      <c r="E247" s="6" t="s">
        <v>203</v>
      </c>
      <c r="F247" s="6" t="str">
        <f t="shared" si="124"/>
        <v>2006-90Dragon1999OTC</v>
      </c>
      <c r="G247" s="3" t="s">
        <v>201</v>
      </c>
      <c r="H247" s="3" t="s">
        <v>155</v>
      </c>
      <c r="I247" s="6" t="s">
        <v>161</v>
      </c>
      <c r="J247" s="3" t="s">
        <v>94</v>
      </c>
      <c r="K247" s="6" t="s">
        <v>198</v>
      </c>
      <c r="L247" s="6">
        <v>1999</v>
      </c>
      <c r="M247" s="6" t="s">
        <v>34</v>
      </c>
      <c r="N247" s="6" t="s">
        <v>49</v>
      </c>
      <c r="O247" s="3" t="s">
        <v>73</v>
      </c>
      <c r="P247" s="3"/>
      <c r="Q247" s="3">
        <f>S247/1.01*U247*12/1000+S246/1.01*(90-U247)*12/1000</f>
        <v>49.544554455445542</v>
      </c>
      <c r="R247" s="3">
        <v>9.6999999999999993</v>
      </c>
      <c r="S247" s="6">
        <v>57</v>
      </c>
      <c r="T247" s="3">
        <v>12</v>
      </c>
      <c r="U247" s="3">
        <f t="shared" si="162"/>
        <v>70</v>
      </c>
      <c r="V247" s="3">
        <v>6</v>
      </c>
      <c r="W247" s="3">
        <f t="shared" si="154"/>
        <v>9.6999999999999993</v>
      </c>
      <c r="X247" s="7">
        <v>36327</v>
      </c>
      <c r="Y247" s="7">
        <v>36396</v>
      </c>
      <c r="Z247" s="3"/>
      <c r="AA247" s="3"/>
      <c r="AB247" s="3"/>
      <c r="AC247" s="3"/>
      <c r="AD247" s="3"/>
      <c r="AE247" s="3"/>
      <c r="AF247" s="3"/>
      <c r="AG247" s="3"/>
      <c r="AH247" s="8" t="e">
        <f t="shared" si="126"/>
        <v>#DIV/0!</v>
      </c>
      <c r="AI247" s="8" t="e">
        <f>VLOOKUP(F247,'[16]Sheet 2'!$A:$S,18,0)/VLOOKUP(F247,'[16]Sheet 2'!$A:$U,20,0)</f>
        <v>#N/A</v>
      </c>
      <c r="AJ247" s="8" t="e">
        <f t="shared" si="127"/>
        <v>#N/A</v>
      </c>
      <c r="AK247" s="3">
        <v>30</v>
      </c>
      <c r="AL247" s="4" t="s">
        <v>37</v>
      </c>
      <c r="AM247" s="3"/>
      <c r="AN247" s="3">
        <v>1.1666666666666998</v>
      </c>
      <c r="AO247" s="3">
        <v>38.6666666666667</v>
      </c>
      <c r="AP247" s="4" t="s">
        <v>37</v>
      </c>
      <c r="AQ247" s="3"/>
      <c r="AR247" s="3">
        <v>3</v>
      </c>
      <c r="AS247" s="8">
        <f t="shared" si="128"/>
        <v>-0.22413793103448343</v>
      </c>
      <c r="AT247" s="8">
        <f>VLOOKUP(F247,'[17]Sheet 2'!$A:$S,18,0)/VLOOKUP(F247,'[17]Sheet 2'!$A:$U,20,0)</f>
        <v>37.248353660930647</v>
      </c>
      <c r="AU247" s="8">
        <f t="shared" si="129"/>
        <v>-0.19459527599291881</v>
      </c>
      <c r="AV247" s="57"/>
      <c r="AW247" s="3"/>
      <c r="AX247" s="3"/>
      <c r="AY247" s="3"/>
      <c r="AZ247" s="3"/>
      <c r="BA247" s="3"/>
      <c r="BB247" s="3"/>
      <c r="BC247" s="3"/>
      <c r="BD247" s="8" t="e">
        <f t="shared" si="130"/>
        <v>#DIV/0!</v>
      </c>
      <c r="BE247" s="8" t="e">
        <f>VLOOKUP(F247,'[18]Sheet 2'!$A:$S,18,0)/VLOOKUP(F247,'[18]Sheet 2'!$A:$U,20,0)</f>
        <v>#N/A</v>
      </c>
      <c r="BF247" s="8" t="e">
        <f t="shared" si="131"/>
        <v>#N/A</v>
      </c>
      <c r="BG247" s="3"/>
      <c r="BH247" s="3"/>
      <c r="BI247" s="3"/>
      <c r="BJ247" s="3"/>
      <c r="BK247" s="3"/>
      <c r="BL247" s="3"/>
      <c r="BM247" s="3"/>
      <c r="BN247" s="3"/>
      <c r="BO247" s="8" t="e">
        <f t="shared" si="132"/>
        <v>#DIV/0!</v>
      </c>
      <c r="BP247" s="8" t="e">
        <f>VLOOKUP(F247,'[19]Sheet 2'!$A:$S,18,0)/VLOOKUP(F247,'[19]Sheet 2'!$A:$U,20,0)</f>
        <v>#N/A</v>
      </c>
      <c r="BQ247" s="8" t="e">
        <f t="shared" si="133"/>
        <v>#N/A</v>
      </c>
      <c r="BR247" s="3"/>
      <c r="BS247" s="3"/>
      <c r="BT247" s="3"/>
      <c r="BU247" s="3"/>
      <c r="BV247" s="3"/>
      <c r="BW247" s="3"/>
      <c r="BX247" s="3"/>
      <c r="BY247" s="3"/>
      <c r="BZ247" s="8" t="e">
        <f t="shared" si="134"/>
        <v>#DIV/0!</v>
      </c>
      <c r="CA247" s="8" t="e">
        <f>VLOOKUP(F247,'[20]Sheet 2'!$A:$S,18,0)/VLOOKUP(F247,'[20]Sheet 2'!$A:$U,20,0)</f>
        <v>#N/A</v>
      </c>
      <c r="CB247" s="8" t="e">
        <f t="shared" si="135"/>
        <v>#N/A</v>
      </c>
      <c r="CC247" s="23">
        <f t="shared" si="156"/>
        <v>57.9</v>
      </c>
      <c r="CD247" s="23">
        <f t="shared" si="157"/>
        <v>12.4</v>
      </c>
      <c r="CE247" s="20">
        <v>36285</v>
      </c>
      <c r="CF247" s="20">
        <v>36402</v>
      </c>
      <c r="CG247" s="18">
        <v>36327</v>
      </c>
      <c r="CH247" s="18">
        <v>36396</v>
      </c>
      <c r="CI247" s="21">
        <f t="shared" si="158"/>
        <v>125</v>
      </c>
      <c r="CJ247" s="21">
        <f t="shared" si="159"/>
        <v>242</v>
      </c>
      <c r="CK247" s="30">
        <f t="shared" si="160"/>
        <v>118</v>
      </c>
      <c r="CL247" s="21">
        <f t="shared" si="144"/>
        <v>167</v>
      </c>
      <c r="CM247" s="21">
        <f t="shared" ref="CM247:CM259" si="163">CH247-INT(YEAR(CH247)&amp;"/1/1")+1</f>
        <v>236</v>
      </c>
      <c r="CN247" s="19">
        <f t="shared" ref="CN247:CN259" si="164">CM247-CL247+1</f>
        <v>70</v>
      </c>
      <c r="CP247" s="29">
        <v>36355</v>
      </c>
      <c r="CQ247" s="19">
        <f t="shared" si="161"/>
        <v>48</v>
      </c>
    </row>
    <row r="248" spans="1:96" s="42" customFormat="1" hidden="1" x14ac:dyDescent="0.3">
      <c r="A248" s="31">
        <v>1</v>
      </c>
      <c r="B248" s="31"/>
      <c r="C248" s="31"/>
      <c r="D248" s="31" t="s">
        <v>202</v>
      </c>
      <c r="E248" s="34" t="s">
        <v>203</v>
      </c>
      <c r="F248" s="34" t="str">
        <f t="shared" si="124"/>
        <v>2006-90Lantvete1999OTC</v>
      </c>
      <c r="G248" s="31" t="s">
        <v>201</v>
      </c>
      <c r="H248" s="31" t="s">
        <v>155</v>
      </c>
      <c r="I248" s="34" t="s">
        <v>161</v>
      </c>
      <c r="J248" s="31" t="s">
        <v>94</v>
      </c>
      <c r="K248" s="34" t="s">
        <v>204</v>
      </c>
      <c r="L248" s="34">
        <v>1999</v>
      </c>
      <c r="M248" s="34" t="s">
        <v>34</v>
      </c>
      <c r="N248" s="34" t="s">
        <v>49</v>
      </c>
      <c r="O248" s="34" t="s">
        <v>36</v>
      </c>
      <c r="P248" s="32" t="s">
        <v>267</v>
      </c>
      <c r="Q248" s="31">
        <f>S248/1.01*U248*12/1000+S248/1.01*(90-U248)*12/1000</f>
        <v>9.6237623762376252</v>
      </c>
      <c r="R248" s="31">
        <v>0</v>
      </c>
      <c r="S248" s="34">
        <v>9</v>
      </c>
      <c r="T248" s="31">
        <v>12</v>
      </c>
      <c r="U248" s="31">
        <f t="shared" si="162"/>
        <v>70</v>
      </c>
      <c r="V248" s="31">
        <v>6</v>
      </c>
      <c r="W248" s="31">
        <f t="shared" si="154"/>
        <v>0</v>
      </c>
      <c r="X248" s="35">
        <v>36327</v>
      </c>
      <c r="Y248" s="35">
        <v>36396</v>
      </c>
      <c r="Z248" s="31"/>
      <c r="AA248" s="31"/>
      <c r="AB248" s="31"/>
      <c r="AC248" s="31"/>
      <c r="AD248" s="31"/>
      <c r="AE248" s="31"/>
      <c r="AF248" s="31"/>
      <c r="AG248" s="31"/>
      <c r="AH248" s="8" t="e">
        <f t="shared" si="126"/>
        <v>#DIV/0!</v>
      </c>
      <c r="AI248" s="8" t="e">
        <f>VLOOKUP(F248,'[16]Sheet 2'!$A:$S,18,0)/VLOOKUP(F248,'[16]Sheet 2'!$A:$U,20,0)</f>
        <v>#N/A</v>
      </c>
      <c r="AJ248" s="8" t="e">
        <f t="shared" si="127"/>
        <v>#N/A</v>
      </c>
      <c r="AK248" s="31">
        <v>34.3333333333333</v>
      </c>
      <c r="AL248" s="32" t="s">
        <v>37</v>
      </c>
      <c r="AM248" s="31"/>
      <c r="AN248" s="31">
        <v>2.1666666666666998</v>
      </c>
      <c r="AO248" s="31">
        <v>34.3333333333333</v>
      </c>
      <c r="AP248" s="32" t="s">
        <v>37</v>
      </c>
      <c r="AQ248" s="31"/>
      <c r="AR248" s="31">
        <v>2.1666666666666998</v>
      </c>
      <c r="AS248" s="8">
        <f t="shared" si="128"/>
        <v>0</v>
      </c>
      <c r="AT248" s="8">
        <f>VLOOKUP(F248,'[17]Sheet 2'!$A:$S,18,0)/VLOOKUP(F248,'[17]Sheet 2'!$A:$U,20,0)</f>
        <v>35.4263617431833</v>
      </c>
      <c r="AU248" s="8">
        <f t="shared" si="129"/>
        <v>-3.0853532682066028E-2</v>
      </c>
      <c r="AV248" s="57"/>
      <c r="AW248" s="31"/>
      <c r="AX248" s="31"/>
      <c r="AY248" s="31"/>
      <c r="AZ248" s="31"/>
      <c r="BA248" s="31"/>
      <c r="BB248" s="31"/>
      <c r="BC248" s="31"/>
      <c r="BD248" s="8" t="e">
        <f t="shared" si="130"/>
        <v>#DIV/0!</v>
      </c>
      <c r="BE248" s="8" t="e">
        <f>VLOOKUP(F248,'[18]Sheet 2'!$A:$S,18,0)/VLOOKUP(F248,'[18]Sheet 2'!$A:$U,20,0)</f>
        <v>#N/A</v>
      </c>
      <c r="BF248" s="8" t="e">
        <f t="shared" si="131"/>
        <v>#N/A</v>
      </c>
      <c r="BG248" s="31"/>
      <c r="BH248" s="31"/>
      <c r="BI248" s="31"/>
      <c r="BJ248" s="31"/>
      <c r="BK248" s="31"/>
      <c r="BL248" s="31"/>
      <c r="BM248" s="31"/>
      <c r="BN248" s="31"/>
      <c r="BO248" s="8" t="e">
        <f t="shared" si="132"/>
        <v>#DIV/0!</v>
      </c>
      <c r="BP248" s="8" t="e">
        <f>VLOOKUP(F248,'[19]Sheet 2'!$A:$S,18,0)/VLOOKUP(F248,'[19]Sheet 2'!$A:$U,20,0)</f>
        <v>#N/A</v>
      </c>
      <c r="BQ248" s="8" t="e">
        <f t="shared" si="133"/>
        <v>#N/A</v>
      </c>
      <c r="BR248" s="31"/>
      <c r="BS248" s="31"/>
      <c r="BT248" s="31"/>
      <c r="BU248" s="31"/>
      <c r="BV248" s="31"/>
      <c r="BW248" s="31"/>
      <c r="BX248" s="31"/>
      <c r="BY248" s="31"/>
      <c r="BZ248" s="8" t="e">
        <f t="shared" si="134"/>
        <v>#DIV/0!</v>
      </c>
      <c r="CA248" s="8" t="e">
        <f>VLOOKUP(F248,'[20]Sheet 2'!$A:$S,18,0)/VLOOKUP(F248,'[20]Sheet 2'!$A:$U,20,0)</f>
        <v>#N/A</v>
      </c>
      <c r="CB248" s="8" t="e">
        <f t="shared" si="135"/>
        <v>#N/A</v>
      </c>
      <c r="CC248" s="54">
        <f t="shared" si="156"/>
        <v>57.9</v>
      </c>
      <c r="CD248" s="54">
        <f t="shared" si="157"/>
        <v>12.4</v>
      </c>
      <c r="CE248" s="38">
        <v>36285</v>
      </c>
      <c r="CF248" s="38">
        <v>36403</v>
      </c>
      <c r="CG248" s="39">
        <v>36327</v>
      </c>
      <c r="CH248" s="39">
        <v>36396</v>
      </c>
      <c r="CI248" s="40">
        <f t="shared" si="158"/>
        <v>125</v>
      </c>
      <c r="CJ248" s="40">
        <f t="shared" si="159"/>
        <v>243</v>
      </c>
      <c r="CK248" s="41">
        <f t="shared" si="160"/>
        <v>119</v>
      </c>
      <c r="CL248" s="40">
        <f t="shared" si="144"/>
        <v>167</v>
      </c>
      <c r="CM248" s="40">
        <f t="shared" si="163"/>
        <v>236</v>
      </c>
      <c r="CN248" s="42">
        <f t="shared" si="164"/>
        <v>70</v>
      </c>
      <c r="CP248" s="47">
        <v>36356</v>
      </c>
      <c r="CQ248" s="42">
        <f t="shared" si="161"/>
        <v>48</v>
      </c>
    </row>
    <row r="249" spans="1:96" s="42" customFormat="1" hidden="1" x14ac:dyDescent="0.3">
      <c r="A249" s="31">
        <v>1</v>
      </c>
      <c r="B249" s="31"/>
      <c r="C249" s="31"/>
      <c r="D249" s="31" t="s">
        <v>202</v>
      </c>
      <c r="E249" s="34" t="s">
        <v>203</v>
      </c>
      <c r="F249" s="34" t="str">
        <f t="shared" si="124"/>
        <v>2006-90Lantvete1999OTC</v>
      </c>
      <c r="G249" s="31" t="s">
        <v>201</v>
      </c>
      <c r="H249" s="31" t="s">
        <v>155</v>
      </c>
      <c r="I249" s="34" t="s">
        <v>161</v>
      </c>
      <c r="J249" s="31" t="s">
        <v>94</v>
      </c>
      <c r="K249" s="34" t="s">
        <v>204</v>
      </c>
      <c r="L249" s="34">
        <v>1999</v>
      </c>
      <c r="M249" s="34" t="s">
        <v>34</v>
      </c>
      <c r="N249" s="34" t="s">
        <v>49</v>
      </c>
      <c r="O249" s="31" t="s">
        <v>73</v>
      </c>
      <c r="P249" s="31"/>
      <c r="Q249" s="31">
        <f>S249/1.01*U249*12/1000+S248/1.01*(90-U249)*12/1000</f>
        <v>45.386138613861391</v>
      </c>
      <c r="R249" s="31">
        <v>9</v>
      </c>
      <c r="S249" s="34">
        <v>52</v>
      </c>
      <c r="T249" s="31">
        <v>12</v>
      </c>
      <c r="U249" s="31">
        <f t="shared" si="162"/>
        <v>70</v>
      </c>
      <c r="V249" s="31">
        <v>6</v>
      </c>
      <c r="W249" s="31">
        <f t="shared" si="154"/>
        <v>9</v>
      </c>
      <c r="X249" s="35">
        <v>36327</v>
      </c>
      <c r="Y249" s="35">
        <v>36396</v>
      </c>
      <c r="Z249" s="31"/>
      <c r="AA249" s="31"/>
      <c r="AB249" s="31"/>
      <c r="AC249" s="31"/>
      <c r="AD249" s="31"/>
      <c r="AE249" s="31"/>
      <c r="AF249" s="31"/>
      <c r="AG249" s="31"/>
      <c r="AH249" s="8" t="e">
        <f t="shared" si="126"/>
        <v>#DIV/0!</v>
      </c>
      <c r="AI249" s="8" t="e">
        <f>VLOOKUP(F249,'[16]Sheet 2'!$A:$S,18,0)/VLOOKUP(F249,'[16]Sheet 2'!$A:$U,20,0)</f>
        <v>#N/A</v>
      </c>
      <c r="AJ249" s="8" t="e">
        <f t="shared" si="127"/>
        <v>#N/A</v>
      </c>
      <c r="AK249" s="31">
        <v>30.8333333333333</v>
      </c>
      <c r="AL249" s="32" t="s">
        <v>37</v>
      </c>
      <c r="AM249" s="31"/>
      <c r="AN249" s="31">
        <v>2.3333333333333997</v>
      </c>
      <c r="AO249" s="31">
        <v>34.3333333333333</v>
      </c>
      <c r="AP249" s="32" t="s">
        <v>37</v>
      </c>
      <c r="AQ249" s="31"/>
      <c r="AR249" s="31">
        <v>2.1666666666666998</v>
      </c>
      <c r="AS249" s="8">
        <f t="shared" si="128"/>
        <v>-0.10194174757281563</v>
      </c>
      <c r="AT249" s="8">
        <f>VLOOKUP(F249,'[17]Sheet 2'!$A:$S,18,0)/VLOOKUP(F249,'[17]Sheet 2'!$A:$U,20,0)</f>
        <v>35.4263617431833</v>
      </c>
      <c r="AU249" s="8">
        <f t="shared" si="129"/>
        <v>-0.12965001721447686</v>
      </c>
      <c r="AV249" s="57"/>
      <c r="AW249" s="31"/>
      <c r="AX249" s="31"/>
      <c r="AY249" s="31"/>
      <c r="AZ249" s="31"/>
      <c r="BA249" s="31"/>
      <c r="BB249" s="31"/>
      <c r="BC249" s="31"/>
      <c r="BD249" s="8" t="e">
        <f t="shared" si="130"/>
        <v>#DIV/0!</v>
      </c>
      <c r="BE249" s="8" t="e">
        <f>VLOOKUP(F249,'[18]Sheet 2'!$A:$S,18,0)/VLOOKUP(F249,'[18]Sheet 2'!$A:$U,20,0)</f>
        <v>#N/A</v>
      </c>
      <c r="BF249" s="8" t="e">
        <f t="shared" si="131"/>
        <v>#N/A</v>
      </c>
      <c r="BG249" s="31"/>
      <c r="BH249" s="31"/>
      <c r="BI249" s="31"/>
      <c r="BJ249" s="31"/>
      <c r="BK249" s="31"/>
      <c r="BL249" s="31"/>
      <c r="BM249" s="31"/>
      <c r="BN249" s="31"/>
      <c r="BO249" s="8" t="e">
        <f t="shared" si="132"/>
        <v>#DIV/0!</v>
      </c>
      <c r="BP249" s="8" t="e">
        <f>VLOOKUP(F249,'[19]Sheet 2'!$A:$S,18,0)/VLOOKUP(F249,'[19]Sheet 2'!$A:$U,20,0)</f>
        <v>#N/A</v>
      </c>
      <c r="BQ249" s="8" t="e">
        <f t="shared" si="133"/>
        <v>#N/A</v>
      </c>
      <c r="BR249" s="31"/>
      <c r="BS249" s="31"/>
      <c r="BT249" s="31"/>
      <c r="BU249" s="31"/>
      <c r="BV249" s="31"/>
      <c r="BW249" s="31"/>
      <c r="BX249" s="31"/>
      <c r="BY249" s="31"/>
      <c r="BZ249" s="8" t="e">
        <f t="shared" si="134"/>
        <v>#DIV/0!</v>
      </c>
      <c r="CA249" s="8" t="e">
        <f>VLOOKUP(F249,'[20]Sheet 2'!$A:$S,18,0)/VLOOKUP(F249,'[20]Sheet 2'!$A:$U,20,0)</f>
        <v>#N/A</v>
      </c>
      <c r="CB249" s="8" t="e">
        <f t="shared" si="135"/>
        <v>#N/A</v>
      </c>
      <c r="CC249" s="54">
        <f t="shared" si="156"/>
        <v>57.9</v>
      </c>
      <c r="CD249" s="54">
        <f t="shared" si="157"/>
        <v>12.4</v>
      </c>
      <c r="CE249" s="38">
        <v>36285</v>
      </c>
      <c r="CF249" s="38">
        <v>36403</v>
      </c>
      <c r="CG249" s="39">
        <v>36327</v>
      </c>
      <c r="CH249" s="39">
        <v>36396</v>
      </c>
      <c r="CI249" s="40">
        <f t="shared" si="158"/>
        <v>125</v>
      </c>
      <c r="CJ249" s="40">
        <f t="shared" si="159"/>
        <v>243</v>
      </c>
      <c r="CK249" s="41">
        <f t="shared" si="160"/>
        <v>119</v>
      </c>
      <c r="CL249" s="40">
        <f t="shared" si="144"/>
        <v>167</v>
      </c>
      <c r="CM249" s="40">
        <f t="shared" si="163"/>
        <v>236</v>
      </c>
      <c r="CN249" s="42">
        <f t="shared" si="164"/>
        <v>70</v>
      </c>
      <c r="CP249" s="47">
        <v>36356</v>
      </c>
      <c r="CQ249" s="42">
        <f t="shared" si="161"/>
        <v>48</v>
      </c>
    </row>
    <row r="250" spans="1:96" s="19" customFormat="1" hidden="1" x14ac:dyDescent="0.3">
      <c r="A250" s="3">
        <v>1</v>
      </c>
      <c r="B250" s="3"/>
      <c r="C250" s="3"/>
      <c r="D250" s="3" t="s">
        <v>205</v>
      </c>
      <c r="E250" s="6" t="s">
        <v>206</v>
      </c>
      <c r="F250" s="6" t="str">
        <f t="shared" si="124"/>
        <v>2013-18Astron2006OTC</v>
      </c>
      <c r="G250" s="3" t="s">
        <v>207</v>
      </c>
      <c r="H250" s="3" t="s">
        <v>217</v>
      </c>
      <c r="I250" s="3" t="s">
        <v>208</v>
      </c>
      <c r="J250" s="3" t="s">
        <v>94</v>
      </c>
      <c r="K250" s="6" t="s">
        <v>209</v>
      </c>
      <c r="L250" s="3">
        <v>2006</v>
      </c>
      <c r="M250" s="6" t="s">
        <v>34</v>
      </c>
      <c r="N250" s="6" t="s">
        <v>49</v>
      </c>
      <c r="O250" s="3" t="s">
        <v>101</v>
      </c>
      <c r="P250" s="32" t="s">
        <v>267</v>
      </c>
      <c r="Q250" s="3">
        <f>S250/1.01*U250*12/1000+S250/1.01*(90-U250)*12/1000</f>
        <v>38.495049504950501</v>
      </c>
      <c r="R250" s="3">
        <v>1.7</v>
      </c>
      <c r="S250" s="3">
        <v>36</v>
      </c>
      <c r="T250" s="3">
        <v>8</v>
      </c>
      <c r="U250" s="3">
        <f t="shared" si="162"/>
        <v>55</v>
      </c>
      <c r="V250" s="3">
        <v>4</v>
      </c>
      <c r="W250" s="3">
        <f t="shared" si="154"/>
        <v>1.7</v>
      </c>
      <c r="X250" s="7">
        <v>38846</v>
      </c>
      <c r="Y250" s="7">
        <v>38900</v>
      </c>
      <c r="Z250" s="3">
        <v>688.1</v>
      </c>
      <c r="AA250" s="3" t="s">
        <v>51</v>
      </c>
      <c r="AB250" s="3"/>
      <c r="AC250" s="3">
        <v>30.1</v>
      </c>
      <c r="AD250" s="3">
        <v>688.1</v>
      </c>
      <c r="AE250" s="3" t="s">
        <v>51</v>
      </c>
      <c r="AF250" s="3"/>
      <c r="AG250" s="3">
        <v>30.1</v>
      </c>
      <c r="AH250" s="8">
        <f t="shared" si="126"/>
        <v>0</v>
      </c>
      <c r="AI250" s="8">
        <f>VLOOKUP(F250,'[16]Sheet 2'!$A:$S,18,0)/VLOOKUP(F250,'[16]Sheet 2'!$A:$U,20,0)</f>
        <v>716.87446163738275</v>
      </c>
      <c r="AJ250" s="8">
        <f t="shared" si="127"/>
        <v>-4.0138773491330958E-2</v>
      </c>
      <c r="AK250" s="3"/>
      <c r="AL250" s="3"/>
      <c r="AM250" s="3"/>
      <c r="AN250" s="3"/>
      <c r="AO250" s="3"/>
      <c r="AP250" s="3"/>
      <c r="AQ250" s="3"/>
      <c r="AR250" s="3"/>
      <c r="AS250" s="8" t="e">
        <f t="shared" si="128"/>
        <v>#DIV/0!</v>
      </c>
      <c r="AT250" s="8" t="e">
        <f>VLOOKUP(F250,'[17]Sheet 2'!$A:$S,18,0)/VLOOKUP(F250,'[17]Sheet 2'!$A:$U,20,0)</f>
        <v>#N/A</v>
      </c>
      <c r="AU250" s="8" t="e">
        <f t="shared" si="129"/>
        <v>#N/A</v>
      </c>
      <c r="AV250" s="57"/>
      <c r="AW250" s="3"/>
      <c r="AX250" s="3"/>
      <c r="AY250" s="3"/>
      <c r="AZ250" s="3"/>
      <c r="BA250" s="3"/>
      <c r="BB250" s="3"/>
      <c r="BC250" s="3"/>
      <c r="BD250" s="8" t="e">
        <f t="shared" si="130"/>
        <v>#DIV/0!</v>
      </c>
      <c r="BE250" s="8" t="e">
        <f>VLOOKUP(F250,'[18]Sheet 2'!$A:$S,18,0)/VLOOKUP(F250,'[18]Sheet 2'!$A:$U,20,0)</f>
        <v>#N/A</v>
      </c>
      <c r="BF250" s="8" t="e">
        <f t="shared" si="131"/>
        <v>#N/A</v>
      </c>
      <c r="BG250" s="3"/>
      <c r="BH250" s="3"/>
      <c r="BI250" s="3"/>
      <c r="BJ250" s="3"/>
      <c r="BK250" s="3"/>
      <c r="BL250" s="3"/>
      <c r="BM250" s="3"/>
      <c r="BN250" s="3"/>
      <c r="BO250" s="8" t="e">
        <f t="shared" si="132"/>
        <v>#DIV/0!</v>
      </c>
      <c r="BP250" s="8" t="e">
        <f>VLOOKUP(F250,'[19]Sheet 2'!$A:$S,18,0)/VLOOKUP(F250,'[19]Sheet 2'!$A:$U,20,0)</f>
        <v>#N/A</v>
      </c>
      <c r="BQ250" s="8" t="e">
        <f t="shared" si="133"/>
        <v>#N/A</v>
      </c>
      <c r="BR250" s="3"/>
      <c r="BS250" s="3"/>
      <c r="BT250" s="3"/>
      <c r="BU250" s="3"/>
      <c r="BV250" s="3"/>
      <c r="BW250" s="3"/>
      <c r="BX250" s="3"/>
      <c r="BY250" s="3"/>
      <c r="BZ250" s="8" t="e">
        <f t="shared" si="134"/>
        <v>#DIV/0!</v>
      </c>
      <c r="CA250" s="8" t="e">
        <f>VLOOKUP(F250,'[20]Sheet 2'!$A:$S,18,0)/VLOOKUP(F250,'[20]Sheet 2'!$A:$U,20,0)</f>
        <v>#N/A</v>
      </c>
      <c r="CB250" s="8" t="e">
        <f t="shared" si="135"/>
        <v>#N/A</v>
      </c>
      <c r="CC250" s="23">
        <f t="shared" ref="CC250:CC255" si="165">52+18/60</f>
        <v>52.3</v>
      </c>
      <c r="CD250" s="23">
        <f t="shared" ref="CD250:CD255" si="166">10+26/60</f>
        <v>10.433333333333334</v>
      </c>
      <c r="CE250" s="20">
        <v>38632</v>
      </c>
      <c r="CF250" s="18">
        <v>38920</v>
      </c>
      <c r="CG250" s="18">
        <v>38846</v>
      </c>
      <c r="CH250" s="18">
        <v>38900</v>
      </c>
      <c r="CI250" s="21">
        <f t="shared" si="158"/>
        <v>-85</v>
      </c>
      <c r="CJ250" s="21">
        <f t="shared" si="159"/>
        <v>203</v>
      </c>
      <c r="CK250" s="30">
        <f t="shared" si="160"/>
        <v>289</v>
      </c>
      <c r="CL250" s="21">
        <f t="shared" si="144"/>
        <v>129</v>
      </c>
      <c r="CM250" s="21">
        <f t="shared" si="163"/>
        <v>183</v>
      </c>
      <c r="CN250" s="19">
        <f t="shared" si="164"/>
        <v>55</v>
      </c>
      <c r="CP250" s="29">
        <v>38882</v>
      </c>
      <c r="CQ250" s="19">
        <f t="shared" si="161"/>
        <v>39</v>
      </c>
    </row>
    <row r="251" spans="1:96" s="19" customFormat="1" hidden="1" x14ac:dyDescent="0.3">
      <c r="A251" s="3">
        <v>1</v>
      </c>
      <c r="B251" s="3"/>
      <c r="C251" s="3"/>
      <c r="D251" s="3" t="s">
        <v>205</v>
      </c>
      <c r="E251" s="6" t="s">
        <v>206</v>
      </c>
      <c r="F251" s="6" t="str">
        <f t="shared" si="124"/>
        <v>2013-18Astron2006OTC</v>
      </c>
      <c r="G251" s="3" t="s">
        <v>207</v>
      </c>
      <c r="H251" s="3" t="s">
        <v>217</v>
      </c>
      <c r="I251" s="3" t="s">
        <v>208</v>
      </c>
      <c r="J251" s="3" t="s">
        <v>94</v>
      </c>
      <c r="K251" s="6" t="s">
        <v>209</v>
      </c>
      <c r="L251" s="3">
        <v>2006</v>
      </c>
      <c r="M251" s="6" t="s">
        <v>34</v>
      </c>
      <c r="N251" s="6" t="s">
        <v>49</v>
      </c>
      <c r="O251" s="3" t="s">
        <v>134</v>
      </c>
      <c r="P251" s="3"/>
      <c r="Q251" s="3">
        <f>(8 * S251+ 4 * 0.97*S250) / 12*U251*12/1000+S250/1.01*(90-U251)*12/1000</f>
        <v>45.092697029702975</v>
      </c>
      <c r="R251" s="3">
        <v>6.46</v>
      </c>
      <c r="S251" s="3">
        <v>51</v>
      </c>
      <c r="T251" s="3">
        <v>8</v>
      </c>
      <c r="U251" s="3">
        <f t="shared" si="162"/>
        <v>55</v>
      </c>
      <c r="V251" s="3">
        <v>4</v>
      </c>
      <c r="W251" s="3">
        <f t="shared" si="154"/>
        <v>6.46</v>
      </c>
      <c r="X251" s="7">
        <v>38846</v>
      </c>
      <c r="Y251" s="7">
        <v>38900</v>
      </c>
      <c r="Z251" s="3">
        <v>598.1</v>
      </c>
      <c r="AA251" s="3" t="s">
        <v>51</v>
      </c>
      <c r="AB251" s="3"/>
      <c r="AC251" s="3">
        <v>50.6</v>
      </c>
      <c r="AD251" s="3">
        <v>688.1</v>
      </c>
      <c r="AE251" s="3" t="s">
        <v>51</v>
      </c>
      <c r="AF251" s="3"/>
      <c r="AG251" s="3">
        <v>30.1</v>
      </c>
      <c r="AH251" s="8">
        <f t="shared" si="126"/>
        <v>-0.13079494259555297</v>
      </c>
      <c r="AI251" s="8">
        <f>VLOOKUP(F251,'[16]Sheet 2'!$A:$S,18,0)/VLOOKUP(F251,'[16]Sheet 2'!$A:$U,20,0)</f>
        <v>716.87446163738275</v>
      </c>
      <c r="AJ251" s="8">
        <f t="shared" si="127"/>
        <v>-0.16568376751222938</v>
      </c>
      <c r="AK251" s="3"/>
      <c r="AL251" s="3"/>
      <c r="AM251" s="3"/>
      <c r="AN251" s="3"/>
      <c r="AO251" s="3"/>
      <c r="AP251" s="3"/>
      <c r="AQ251" s="3"/>
      <c r="AR251" s="3"/>
      <c r="AS251" s="8" t="e">
        <f t="shared" si="128"/>
        <v>#DIV/0!</v>
      </c>
      <c r="AT251" s="8" t="e">
        <f>VLOOKUP(F251,'[17]Sheet 2'!$A:$S,18,0)/VLOOKUP(F251,'[17]Sheet 2'!$A:$U,20,0)</f>
        <v>#N/A</v>
      </c>
      <c r="AU251" s="8" t="e">
        <f t="shared" si="129"/>
        <v>#N/A</v>
      </c>
      <c r="AV251" s="57"/>
      <c r="AW251" s="3"/>
      <c r="AX251" s="3"/>
      <c r="AY251" s="3"/>
      <c r="AZ251" s="3"/>
      <c r="BA251" s="3"/>
      <c r="BB251" s="3"/>
      <c r="BC251" s="3"/>
      <c r="BD251" s="8" t="e">
        <f t="shared" si="130"/>
        <v>#DIV/0!</v>
      </c>
      <c r="BE251" s="8" t="e">
        <f>VLOOKUP(F251,'[18]Sheet 2'!$A:$S,18,0)/VLOOKUP(F251,'[18]Sheet 2'!$A:$U,20,0)</f>
        <v>#N/A</v>
      </c>
      <c r="BF251" s="8" t="e">
        <f t="shared" si="131"/>
        <v>#N/A</v>
      </c>
      <c r="BG251" s="3"/>
      <c r="BH251" s="3"/>
      <c r="BI251" s="3"/>
      <c r="BJ251" s="3"/>
      <c r="BK251" s="3"/>
      <c r="BL251" s="3"/>
      <c r="BM251" s="3"/>
      <c r="BN251" s="3"/>
      <c r="BO251" s="8" t="e">
        <f t="shared" si="132"/>
        <v>#DIV/0!</v>
      </c>
      <c r="BP251" s="8" t="e">
        <f>VLOOKUP(F251,'[19]Sheet 2'!$A:$S,18,0)/VLOOKUP(F251,'[19]Sheet 2'!$A:$U,20,0)</f>
        <v>#N/A</v>
      </c>
      <c r="BQ251" s="8" t="e">
        <f t="shared" si="133"/>
        <v>#N/A</v>
      </c>
      <c r="BR251" s="3"/>
      <c r="BS251" s="3"/>
      <c r="BT251" s="3"/>
      <c r="BU251" s="3"/>
      <c r="BV251" s="3"/>
      <c r="BW251" s="3"/>
      <c r="BX251" s="3"/>
      <c r="BY251" s="3"/>
      <c r="BZ251" s="8" t="e">
        <f t="shared" si="134"/>
        <v>#DIV/0!</v>
      </c>
      <c r="CA251" s="8" t="e">
        <f>VLOOKUP(F251,'[20]Sheet 2'!$A:$S,18,0)/VLOOKUP(F251,'[20]Sheet 2'!$A:$U,20,0)</f>
        <v>#N/A</v>
      </c>
      <c r="CB251" s="8" t="e">
        <f t="shared" si="135"/>
        <v>#N/A</v>
      </c>
      <c r="CC251" s="23">
        <f t="shared" si="165"/>
        <v>52.3</v>
      </c>
      <c r="CD251" s="23">
        <f t="shared" si="166"/>
        <v>10.433333333333334</v>
      </c>
      <c r="CE251" s="20">
        <v>38632</v>
      </c>
      <c r="CF251" s="18">
        <v>38920</v>
      </c>
      <c r="CG251" s="18">
        <v>38846</v>
      </c>
      <c r="CH251" s="18">
        <v>38900</v>
      </c>
      <c r="CI251" s="21">
        <f t="shared" si="158"/>
        <v>-85</v>
      </c>
      <c r="CJ251" s="21">
        <f t="shared" si="159"/>
        <v>203</v>
      </c>
      <c r="CK251" s="30">
        <f t="shared" si="160"/>
        <v>289</v>
      </c>
      <c r="CL251" s="21">
        <f t="shared" si="144"/>
        <v>129</v>
      </c>
      <c r="CM251" s="21">
        <f t="shared" si="163"/>
        <v>183</v>
      </c>
      <c r="CN251" s="19">
        <f t="shared" si="164"/>
        <v>55</v>
      </c>
      <c r="CP251" s="29">
        <v>38882</v>
      </c>
      <c r="CQ251" s="19">
        <f t="shared" si="161"/>
        <v>39</v>
      </c>
    </row>
    <row r="252" spans="1:96" s="19" customFormat="1" hidden="1" x14ac:dyDescent="0.3">
      <c r="A252" s="3">
        <v>1</v>
      </c>
      <c r="B252" s="3"/>
      <c r="C252" s="3"/>
      <c r="D252" s="3" t="s">
        <v>205</v>
      </c>
      <c r="E252" s="6" t="s">
        <v>206</v>
      </c>
      <c r="F252" s="6" t="str">
        <f t="shared" si="124"/>
        <v>2013-18Astron2006OTC</v>
      </c>
      <c r="G252" s="3" t="s">
        <v>207</v>
      </c>
      <c r="H252" s="3" t="s">
        <v>217</v>
      </c>
      <c r="I252" s="3" t="s">
        <v>208</v>
      </c>
      <c r="J252" s="3" t="s">
        <v>94</v>
      </c>
      <c r="K252" s="6" t="s">
        <v>209</v>
      </c>
      <c r="L252" s="3">
        <v>2006</v>
      </c>
      <c r="M252" s="6" t="s">
        <v>34</v>
      </c>
      <c r="N252" s="6" t="s">
        <v>49</v>
      </c>
      <c r="O252" s="3" t="s">
        <v>135</v>
      </c>
      <c r="P252" s="3"/>
      <c r="Q252" s="3">
        <f>(8 * S252+ 4 * 0.97*S250) / 12*U252*12/1000+S250/1.01*(90-U252)*12/1000</f>
        <v>48.172697029702974</v>
      </c>
      <c r="R252" s="3">
        <v>10.039999999999999</v>
      </c>
      <c r="S252" s="3">
        <v>58</v>
      </c>
      <c r="T252" s="3">
        <v>8</v>
      </c>
      <c r="U252" s="3">
        <f t="shared" si="162"/>
        <v>55</v>
      </c>
      <c r="V252" s="3">
        <v>4</v>
      </c>
      <c r="W252" s="3">
        <f t="shared" si="154"/>
        <v>10.039999999999999</v>
      </c>
      <c r="X252" s="7">
        <v>38846</v>
      </c>
      <c r="Y252" s="7">
        <v>38900</v>
      </c>
      <c r="Z252" s="3">
        <v>554.29999999999995</v>
      </c>
      <c r="AA252" s="3" t="s">
        <v>51</v>
      </c>
      <c r="AB252" s="3"/>
      <c r="AC252" s="3">
        <v>54.1</v>
      </c>
      <c r="AD252" s="3">
        <v>688.1</v>
      </c>
      <c r="AE252" s="3" t="s">
        <v>51</v>
      </c>
      <c r="AF252" s="3"/>
      <c r="AG252" s="3">
        <v>30.1</v>
      </c>
      <c r="AH252" s="8">
        <f t="shared" si="126"/>
        <v>-0.19444848132538883</v>
      </c>
      <c r="AI252" s="8">
        <f>VLOOKUP(F252,'[16]Sheet 2'!$A:$S,18,0)/VLOOKUP(F252,'[16]Sheet 2'!$A:$U,20,0)</f>
        <v>716.87446163738275</v>
      </c>
      <c r="AJ252" s="8">
        <f t="shared" si="127"/>
        <v>-0.22678233126906672</v>
      </c>
      <c r="AK252" s="3"/>
      <c r="AL252" s="3"/>
      <c r="AM252" s="3"/>
      <c r="AN252" s="3"/>
      <c r="AO252" s="3"/>
      <c r="AP252" s="3"/>
      <c r="AQ252" s="3"/>
      <c r="AR252" s="3"/>
      <c r="AS252" s="8" t="e">
        <f t="shared" si="128"/>
        <v>#DIV/0!</v>
      </c>
      <c r="AT252" s="8" t="e">
        <f>VLOOKUP(F252,'[17]Sheet 2'!$A:$S,18,0)/VLOOKUP(F252,'[17]Sheet 2'!$A:$U,20,0)</f>
        <v>#N/A</v>
      </c>
      <c r="AU252" s="8" t="e">
        <f t="shared" si="129"/>
        <v>#N/A</v>
      </c>
      <c r="AV252" s="57"/>
      <c r="AW252" s="3"/>
      <c r="AX252" s="3"/>
      <c r="AY252" s="3"/>
      <c r="AZ252" s="3"/>
      <c r="BA252" s="3"/>
      <c r="BB252" s="3"/>
      <c r="BC252" s="3"/>
      <c r="BD252" s="8" t="e">
        <f t="shared" si="130"/>
        <v>#DIV/0!</v>
      </c>
      <c r="BE252" s="8" t="e">
        <f>VLOOKUP(F252,'[18]Sheet 2'!$A:$S,18,0)/VLOOKUP(F252,'[18]Sheet 2'!$A:$U,20,0)</f>
        <v>#N/A</v>
      </c>
      <c r="BF252" s="8" t="e">
        <f t="shared" si="131"/>
        <v>#N/A</v>
      </c>
      <c r="BG252" s="3"/>
      <c r="BH252" s="3"/>
      <c r="BI252" s="3"/>
      <c r="BJ252" s="3"/>
      <c r="BK252" s="3"/>
      <c r="BL252" s="3"/>
      <c r="BM252" s="3"/>
      <c r="BN252" s="3"/>
      <c r="BO252" s="8" t="e">
        <f t="shared" si="132"/>
        <v>#DIV/0!</v>
      </c>
      <c r="BP252" s="8" t="e">
        <f>VLOOKUP(F252,'[19]Sheet 2'!$A:$S,18,0)/VLOOKUP(F252,'[19]Sheet 2'!$A:$U,20,0)</f>
        <v>#N/A</v>
      </c>
      <c r="BQ252" s="8" t="e">
        <f t="shared" si="133"/>
        <v>#N/A</v>
      </c>
      <c r="BR252" s="3"/>
      <c r="BS252" s="3"/>
      <c r="BT252" s="3"/>
      <c r="BU252" s="3"/>
      <c r="BV252" s="3"/>
      <c r="BW252" s="3"/>
      <c r="BX252" s="3"/>
      <c r="BY252" s="3"/>
      <c r="BZ252" s="8" t="e">
        <f t="shared" si="134"/>
        <v>#DIV/0!</v>
      </c>
      <c r="CA252" s="8" t="e">
        <f>VLOOKUP(F252,'[20]Sheet 2'!$A:$S,18,0)/VLOOKUP(F252,'[20]Sheet 2'!$A:$U,20,0)</f>
        <v>#N/A</v>
      </c>
      <c r="CB252" s="8" t="e">
        <f t="shared" si="135"/>
        <v>#N/A</v>
      </c>
      <c r="CC252" s="23">
        <f t="shared" si="165"/>
        <v>52.3</v>
      </c>
      <c r="CD252" s="23">
        <f t="shared" si="166"/>
        <v>10.433333333333334</v>
      </c>
      <c r="CE252" s="20">
        <v>38632</v>
      </c>
      <c r="CF252" s="18">
        <v>38920</v>
      </c>
      <c r="CG252" s="18">
        <v>38846</v>
      </c>
      <c r="CH252" s="18">
        <v>38900</v>
      </c>
      <c r="CI252" s="21">
        <f t="shared" si="158"/>
        <v>-85</v>
      </c>
      <c r="CJ252" s="21">
        <f t="shared" si="159"/>
        <v>203</v>
      </c>
      <c r="CK252" s="30">
        <f t="shared" si="160"/>
        <v>289</v>
      </c>
      <c r="CL252" s="21">
        <f t="shared" ref="CL252:CL259" si="167">CG252-INT(YEAR(CG252)&amp;"/1/1")+1</f>
        <v>129</v>
      </c>
      <c r="CM252" s="21">
        <f t="shared" si="163"/>
        <v>183</v>
      </c>
      <c r="CN252" s="19">
        <f t="shared" si="164"/>
        <v>55</v>
      </c>
      <c r="CP252" s="29">
        <v>38882</v>
      </c>
      <c r="CQ252" s="19">
        <f t="shared" si="161"/>
        <v>39</v>
      </c>
    </row>
    <row r="253" spans="1:96" s="42" customFormat="1" hidden="1" x14ac:dyDescent="0.3">
      <c r="A253" s="31">
        <v>1</v>
      </c>
      <c r="B253" s="31"/>
      <c r="C253" s="31"/>
      <c r="D253" s="31" t="s">
        <v>205</v>
      </c>
      <c r="E253" s="34" t="s">
        <v>206</v>
      </c>
      <c r="F253" s="34" t="str">
        <f t="shared" si="124"/>
        <v>2013-18Pegasus2006OTC</v>
      </c>
      <c r="G253" s="31" t="s">
        <v>207</v>
      </c>
      <c r="H253" s="31" t="s">
        <v>217</v>
      </c>
      <c r="I253" s="31" t="s">
        <v>208</v>
      </c>
      <c r="J253" s="31" t="s">
        <v>94</v>
      </c>
      <c r="K253" s="34" t="s">
        <v>210</v>
      </c>
      <c r="L253" s="31">
        <v>2006</v>
      </c>
      <c r="M253" s="34" t="s">
        <v>34</v>
      </c>
      <c r="N253" s="34" t="s">
        <v>49</v>
      </c>
      <c r="O253" s="31" t="s">
        <v>101</v>
      </c>
      <c r="P253" s="32" t="s">
        <v>267</v>
      </c>
      <c r="Q253" s="31">
        <f>S253/1.01*U253*12/1000+S253/1.01*(90-U253)*12/1000</f>
        <v>38.495049504950501</v>
      </c>
      <c r="R253" s="31">
        <v>1.7</v>
      </c>
      <c r="S253" s="31">
        <v>36</v>
      </c>
      <c r="T253" s="31">
        <v>8</v>
      </c>
      <c r="U253" s="31">
        <f t="shared" si="162"/>
        <v>55</v>
      </c>
      <c r="V253" s="31">
        <v>4</v>
      </c>
      <c r="W253" s="31">
        <f t="shared" si="154"/>
        <v>1.7</v>
      </c>
      <c r="X253" s="35">
        <v>38846</v>
      </c>
      <c r="Y253" s="35">
        <v>38900</v>
      </c>
      <c r="Z253" s="31">
        <v>888.4</v>
      </c>
      <c r="AA253" s="31" t="s">
        <v>51</v>
      </c>
      <c r="AB253" s="31"/>
      <c r="AC253" s="31">
        <v>30.4</v>
      </c>
      <c r="AD253" s="31">
        <v>888.4</v>
      </c>
      <c r="AE253" s="31" t="s">
        <v>51</v>
      </c>
      <c r="AF253" s="31"/>
      <c r="AG253" s="31">
        <v>30.4</v>
      </c>
      <c r="AH253" s="8">
        <f t="shared" si="126"/>
        <v>0</v>
      </c>
      <c r="AI253" s="8">
        <f>VLOOKUP(F253,'[16]Sheet 2'!$A:$S,18,0)/VLOOKUP(F253,'[16]Sheet 2'!$A:$U,20,0)</f>
        <v>856.61824213982538</v>
      </c>
      <c r="AJ253" s="8">
        <f t="shared" si="127"/>
        <v>3.710142546204015E-2</v>
      </c>
      <c r="AK253" s="31"/>
      <c r="AL253" s="31"/>
      <c r="AM253" s="31"/>
      <c r="AN253" s="31"/>
      <c r="AO253" s="31"/>
      <c r="AP253" s="31"/>
      <c r="AQ253" s="31"/>
      <c r="AR253" s="31"/>
      <c r="AS253" s="8" t="e">
        <f t="shared" si="128"/>
        <v>#DIV/0!</v>
      </c>
      <c r="AT253" s="8" t="e">
        <f>VLOOKUP(F253,'[17]Sheet 2'!$A:$S,18,0)/VLOOKUP(F253,'[17]Sheet 2'!$A:$U,20,0)</f>
        <v>#N/A</v>
      </c>
      <c r="AU253" s="8" t="e">
        <f t="shared" si="129"/>
        <v>#N/A</v>
      </c>
      <c r="AV253" s="57"/>
      <c r="AW253" s="31"/>
      <c r="AX253" s="31"/>
      <c r="AY253" s="31"/>
      <c r="AZ253" s="31"/>
      <c r="BA253" s="31"/>
      <c r="BB253" s="31"/>
      <c r="BC253" s="31"/>
      <c r="BD253" s="8" t="e">
        <f t="shared" si="130"/>
        <v>#DIV/0!</v>
      </c>
      <c r="BE253" s="8" t="e">
        <f>VLOOKUP(F253,'[18]Sheet 2'!$A:$S,18,0)/VLOOKUP(F253,'[18]Sheet 2'!$A:$U,20,0)</f>
        <v>#N/A</v>
      </c>
      <c r="BF253" s="8" t="e">
        <f t="shared" si="131"/>
        <v>#N/A</v>
      </c>
      <c r="BG253" s="31"/>
      <c r="BH253" s="31"/>
      <c r="BI253" s="31"/>
      <c r="BJ253" s="31"/>
      <c r="BK253" s="31"/>
      <c r="BL253" s="31"/>
      <c r="BM253" s="31"/>
      <c r="BN253" s="31"/>
      <c r="BO253" s="8" t="e">
        <f t="shared" si="132"/>
        <v>#DIV/0!</v>
      </c>
      <c r="BP253" s="8" t="e">
        <f>VLOOKUP(F253,'[19]Sheet 2'!$A:$S,18,0)/VLOOKUP(F253,'[19]Sheet 2'!$A:$U,20,0)</f>
        <v>#N/A</v>
      </c>
      <c r="BQ253" s="8" t="e">
        <f t="shared" si="133"/>
        <v>#N/A</v>
      </c>
      <c r="BR253" s="31"/>
      <c r="BS253" s="31"/>
      <c r="BT253" s="31"/>
      <c r="BU253" s="31"/>
      <c r="BV253" s="31"/>
      <c r="BW253" s="31"/>
      <c r="BX253" s="31"/>
      <c r="BY253" s="31"/>
      <c r="BZ253" s="8" t="e">
        <f t="shared" si="134"/>
        <v>#DIV/0!</v>
      </c>
      <c r="CA253" s="8" t="e">
        <f>VLOOKUP(F253,'[20]Sheet 2'!$A:$S,18,0)/VLOOKUP(F253,'[20]Sheet 2'!$A:$U,20,0)</f>
        <v>#N/A</v>
      </c>
      <c r="CB253" s="8" t="e">
        <f t="shared" si="135"/>
        <v>#N/A</v>
      </c>
      <c r="CC253" s="54">
        <f t="shared" si="165"/>
        <v>52.3</v>
      </c>
      <c r="CD253" s="54">
        <f t="shared" si="166"/>
        <v>10.433333333333334</v>
      </c>
      <c r="CE253" s="38">
        <v>38632</v>
      </c>
      <c r="CF253" s="39">
        <v>38920</v>
      </c>
      <c r="CG253" s="39">
        <v>38846</v>
      </c>
      <c r="CH253" s="39">
        <v>38900</v>
      </c>
      <c r="CI253" s="40">
        <f t="shared" si="158"/>
        <v>-85</v>
      </c>
      <c r="CJ253" s="40">
        <f t="shared" si="159"/>
        <v>203</v>
      </c>
      <c r="CK253" s="41">
        <f t="shared" si="160"/>
        <v>289</v>
      </c>
      <c r="CL253" s="40">
        <f t="shared" si="167"/>
        <v>129</v>
      </c>
      <c r="CM253" s="40">
        <f t="shared" si="163"/>
        <v>183</v>
      </c>
      <c r="CN253" s="42">
        <f t="shared" si="164"/>
        <v>55</v>
      </c>
      <c r="CP253" s="47">
        <v>38882</v>
      </c>
      <c r="CQ253" s="42">
        <f t="shared" si="161"/>
        <v>39</v>
      </c>
    </row>
    <row r="254" spans="1:96" s="42" customFormat="1" hidden="1" x14ac:dyDescent="0.3">
      <c r="A254" s="31">
        <v>1</v>
      </c>
      <c r="B254" s="31"/>
      <c r="C254" s="31"/>
      <c r="D254" s="31" t="s">
        <v>205</v>
      </c>
      <c r="E254" s="34" t="s">
        <v>206</v>
      </c>
      <c r="F254" s="34" t="str">
        <f t="shared" si="124"/>
        <v>2013-18Pegasus2006OTC</v>
      </c>
      <c r="G254" s="31" t="s">
        <v>207</v>
      </c>
      <c r="H254" s="31" t="s">
        <v>217</v>
      </c>
      <c r="I254" s="31" t="s">
        <v>208</v>
      </c>
      <c r="J254" s="31" t="s">
        <v>94</v>
      </c>
      <c r="K254" s="34" t="s">
        <v>210</v>
      </c>
      <c r="L254" s="31">
        <v>2006</v>
      </c>
      <c r="M254" s="34" t="s">
        <v>34</v>
      </c>
      <c r="N254" s="34" t="s">
        <v>49</v>
      </c>
      <c r="O254" s="31" t="s">
        <v>134</v>
      </c>
      <c r="P254" s="31"/>
      <c r="Q254" s="31">
        <f>(8 * S254+ 4 * 0.97*S253) / 12*U254*12/1000+S253/1.01*(90-U254)*12/1000</f>
        <v>45.092697029702975</v>
      </c>
      <c r="R254" s="31">
        <v>6.46</v>
      </c>
      <c r="S254" s="31">
        <v>51</v>
      </c>
      <c r="T254" s="31">
        <v>8</v>
      </c>
      <c r="U254" s="31">
        <f t="shared" si="162"/>
        <v>55</v>
      </c>
      <c r="V254" s="31">
        <v>4</v>
      </c>
      <c r="W254" s="31">
        <f t="shared" si="154"/>
        <v>6.46</v>
      </c>
      <c r="X254" s="35">
        <v>38846</v>
      </c>
      <c r="Y254" s="35">
        <v>38900</v>
      </c>
      <c r="Z254" s="31">
        <v>715.3</v>
      </c>
      <c r="AA254" s="31" t="s">
        <v>51</v>
      </c>
      <c r="AB254" s="31"/>
      <c r="AC254" s="31">
        <v>49.8</v>
      </c>
      <c r="AD254" s="31">
        <v>888.4</v>
      </c>
      <c r="AE254" s="31" t="s">
        <v>51</v>
      </c>
      <c r="AF254" s="31"/>
      <c r="AG254" s="31">
        <v>30.4</v>
      </c>
      <c r="AH254" s="8">
        <f t="shared" si="126"/>
        <v>-0.19484466456551106</v>
      </c>
      <c r="AI254" s="8">
        <f>VLOOKUP(F254,'[16]Sheet 2'!$A:$S,18,0)/VLOOKUP(F254,'[16]Sheet 2'!$A:$U,20,0)</f>
        <v>856.61824213982538</v>
      </c>
      <c r="AJ254" s="8">
        <f t="shared" si="127"/>
        <v>-0.16497225390252443</v>
      </c>
      <c r="AK254" s="31"/>
      <c r="AL254" s="31"/>
      <c r="AM254" s="31"/>
      <c r="AN254" s="31"/>
      <c r="AO254" s="31"/>
      <c r="AP254" s="31"/>
      <c r="AQ254" s="31"/>
      <c r="AR254" s="31"/>
      <c r="AS254" s="8" t="e">
        <f t="shared" si="128"/>
        <v>#DIV/0!</v>
      </c>
      <c r="AT254" s="8" t="e">
        <f>VLOOKUP(F254,'[17]Sheet 2'!$A:$S,18,0)/VLOOKUP(F254,'[17]Sheet 2'!$A:$U,20,0)</f>
        <v>#N/A</v>
      </c>
      <c r="AU254" s="8" t="e">
        <f t="shared" si="129"/>
        <v>#N/A</v>
      </c>
      <c r="AV254" s="57"/>
      <c r="AW254" s="31"/>
      <c r="AX254" s="31"/>
      <c r="AY254" s="31"/>
      <c r="AZ254" s="31"/>
      <c r="BA254" s="31"/>
      <c r="BB254" s="31"/>
      <c r="BC254" s="31"/>
      <c r="BD254" s="8" t="e">
        <f t="shared" si="130"/>
        <v>#DIV/0!</v>
      </c>
      <c r="BE254" s="8" t="e">
        <f>VLOOKUP(F254,'[18]Sheet 2'!$A:$S,18,0)/VLOOKUP(F254,'[18]Sheet 2'!$A:$U,20,0)</f>
        <v>#N/A</v>
      </c>
      <c r="BF254" s="8" t="e">
        <f t="shared" si="131"/>
        <v>#N/A</v>
      </c>
      <c r="BG254" s="31"/>
      <c r="BH254" s="31"/>
      <c r="BI254" s="31"/>
      <c r="BJ254" s="31"/>
      <c r="BK254" s="31"/>
      <c r="BL254" s="31"/>
      <c r="BM254" s="31"/>
      <c r="BN254" s="31"/>
      <c r="BO254" s="8" t="e">
        <f t="shared" si="132"/>
        <v>#DIV/0!</v>
      </c>
      <c r="BP254" s="8" t="e">
        <f>VLOOKUP(F254,'[19]Sheet 2'!$A:$S,18,0)/VLOOKUP(F254,'[19]Sheet 2'!$A:$U,20,0)</f>
        <v>#N/A</v>
      </c>
      <c r="BQ254" s="8" t="e">
        <f t="shared" si="133"/>
        <v>#N/A</v>
      </c>
      <c r="BR254" s="31"/>
      <c r="BS254" s="31"/>
      <c r="BT254" s="31"/>
      <c r="BU254" s="31"/>
      <c r="BV254" s="31"/>
      <c r="BW254" s="31"/>
      <c r="BX254" s="31"/>
      <c r="BY254" s="31"/>
      <c r="BZ254" s="8" t="e">
        <f t="shared" si="134"/>
        <v>#DIV/0!</v>
      </c>
      <c r="CA254" s="8" t="e">
        <f>VLOOKUP(F254,'[20]Sheet 2'!$A:$S,18,0)/VLOOKUP(F254,'[20]Sheet 2'!$A:$U,20,0)</f>
        <v>#N/A</v>
      </c>
      <c r="CB254" s="8" t="e">
        <f t="shared" si="135"/>
        <v>#N/A</v>
      </c>
      <c r="CC254" s="54">
        <f t="shared" si="165"/>
        <v>52.3</v>
      </c>
      <c r="CD254" s="54">
        <f t="shared" si="166"/>
        <v>10.433333333333334</v>
      </c>
      <c r="CE254" s="38">
        <v>38632</v>
      </c>
      <c r="CF254" s="39">
        <v>38920</v>
      </c>
      <c r="CG254" s="39">
        <v>38846</v>
      </c>
      <c r="CH254" s="39">
        <v>38900</v>
      </c>
      <c r="CI254" s="40">
        <f t="shared" si="158"/>
        <v>-85</v>
      </c>
      <c r="CJ254" s="40">
        <f t="shared" si="159"/>
        <v>203</v>
      </c>
      <c r="CK254" s="41">
        <f t="shared" si="160"/>
        <v>289</v>
      </c>
      <c r="CL254" s="40">
        <f t="shared" si="167"/>
        <v>129</v>
      </c>
      <c r="CM254" s="40">
        <f t="shared" si="163"/>
        <v>183</v>
      </c>
      <c r="CN254" s="42">
        <f t="shared" si="164"/>
        <v>55</v>
      </c>
      <c r="CP254" s="47">
        <v>38882</v>
      </c>
      <c r="CQ254" s="42">
        <f t="shared" si="161"/>
        <v>39</v>
      </c>
    </row>
    <row r="255" spans="1:96" s="42" customFormat="1" hidden="1" x14ac:dyDescent="0.3">
      <c r="A255" s="31">
        <v>1</v>
      </c>
      <c r="B255" s="31"/>
      <c r="C255" s="31"/>
      <c r="D255" s="31" t="s">
        <v>205</v>
      </c>
      <c r="E255" s="34" t="s">
        <v>206</v>
      </c>
      <c r="F255" s="34" t="str">
        <f t="shared" si="124"/>
        <v>2013-18Pegasus2006OTC</v>
      </c>
      <c r="G255" s="31" t="s">
        <v>207</v>
      </c>
      <c r="H255" s="31" t="s">
        <v>217</v>
      </c>
      <c r="I255" s="31" t="s">
        <v>208</v>
      </c>
      <c r="J255" s="31" t="s">
        <v>94</v>
      </c>
      <c r="K255" s="34" t="s">
        <v>210</v>
      </c>
      <c r="L255" s="31">
        <v>2006</v>
      </c>
      <c r="M255" s="34" t="s">
        <v>34</v>
      </c>
      <c r="N255" s="34" t="s">
        <v>49</v>
      </c>
      <c r="O255" s="31" t="s">
        <v>135</v>
      </c>
      <c r="P255" s="31"/>
      <c r="Q255" s="31">
        <f>(8 * S255+ 4 * 0.97*S253) / 12*U255*12/1000+S253/1.01*(90-U255)*12/1000</f>
        <v>48.172697029702974</v>
      </c>
      <c r="R255" s="31">
        <v>10.039999999999999</v>
      </c>
      <c r="S255" s="31">
        <v>58</v>
      </c>
      <c r="T255" s="31">
        <v>8</v>
      </c>
      <c r="U255" s="31">
        <f t="shared" si="162"/>
        <v>55</v>
      </c>
      <c r="V255" s="31">
        <v>4</v>
      </c>
      <c r="W255" s="31">
        <f t="shared" si="154"/>
        <v>10.039999999999999</v>
      </c>
      <c r="X255" s="35">
        <v>38846</v>
      </c>
      <c r="Y255" s="35">
        <v>38900</v>
      </c>
      <c r="Z255" s="31">
        <v>612.5</v>
      </c>
      <c r="AA255" s="31" t="s">
        <v>51</v>
      </c>
      <c r="AB255" s="31"/>
      <c r="AC255" s="31">
        <v>52.8</v>
      </c>
      <c r="AD255" s="31">
        <v>888.4</v>
      </c>
      <c r="AE255" s="31" t="s">
        <v>51</v>
      </c>
      <c r="AF255" s="31"/>
      <c r="AG255" s="31">
        <v>30.4</v>
      </c>
      <c r="AH255" s="8">
        <f t="shared" si="126"/>
        <v>-0.31055830706888787</v>
      </c>
      <c r="AI255" s="8">
        <f>VLOOKUP(F255,'[16]Sheet 2'!$A:$S,18,0)/VLOOKUP(F255,'[16]Sheet 2'!$A:$U,20,0)</f>
        <v>856.61824213982538</v>
      </c>
      <c r="AJ255" s="8">
        <f t="shared" si="127"/>
        <v>-0.28497903748818143</v>
      </c>
      <c r="AK255" s="31"/>
      <c r="AL255" s="31"/>
      <c r="AM255" s="31"/>
      <c r="AN255" s="31"/>
      <c r="AO255" s="31"/>
      <c r="AP255" s="31"/>
      <c r="AQ255" s="31"/>
      <c r="AR255" s="31"/>
      <c r="AS255" s="8" t="e">
        <f t="shared" si="128"/>
        <v>#DIV/0!</v>
      </c>
      <c r="AT255" s="8" t="e">
        <f>VLOOKUP(F255,'[17]Sheet 2'!$A:$S,18,0)/VLOOKUP(F255,'[17]Sheet 2'!$A:$U,20,0)</f>
        <v>#N/A</v>
      </c>
      <c r="AU255" s="8" t="e">
        <f t="shared" si="129"/>
        <v>#N/A</v>
      </c>
      <c r="AV255" s="57"/>
      <c r="AW255" s="31"/>
      <c r="AX255" s="31"/>
      <c r="AY255" s="31"/>
      <c r="AZ255" s="31"/>
      <c r="BA255" s="31"/>
      <c r="BB255" s="31"/>
      <c r="BC255" s="31"/>
      <c r="BD255" s="8" t="e">
        <f t="shared" si="130"/>
        <v>#DIV/0!</v>
      </c>
      <c r="BE255" s="8" t="e">
        <f>VLOOKUP(F255,'[18]Sheet 2'!$A:$S,18,0)/VLOOKUP(F255,'[18]Sheet 2'!$A:$U,20,0)</f>
        <v>#N/A</v>
      </c>
      <c r="BF255" s="8" t="e">
        <f t="shared" si="131"/>
        <v>#N/A</v>
      </c>
      <c r="BG255" s="31"/>
      <c r="BH255" s="31"/>
      <c r="BI255" s="31"/>
      <c r="BJ255" s="31"/>
      <c r="BK255" s="31"/>
      <c r="BL255" s="31"/>
      <c r="BM255" s="31"/>
      <c r="BN255" s="31"/>
      <c r="BO255" s="8" t="e">
        <f t="shared" si="132"/>
        <v>#DIV/0!</v>
      </c>
      <c r="BP255" s="8" t="e">
        <f>VLOOKUP(F255,'[19]Sheet 2'!$A:$S,18,0)/VLOOKUP(F255,'[19]Sheet 2'!$A:$U,20,0)</f>
        <v>#N/A</v>
      </c>
      <c r="BQ255" s="8" t="e">
        <f t="shared" si="133"/>
        <v>#N/A</v>
      </c>
      <c r="BR255" s="31"/>
      <c r="BS255" s="31"/>
      <c r="BT255" s="31"/>
      <c r="BU255" s="31"/>
      <c r="BV255" s="31"/>
      <c r="BW255" s="31"/>
      <c r="BX255" s="31"/>
      <c r="BY255" s="31"/>
      <c r="BZ255" s="8" t="e">
        <f t="shared" si="134"/>
        <v>#DIV/0!</v>
      </c>
      <c r="CA255" s="8" t="e">
        <f>VLOOKUP(F255,'[20]Sheet 2'!$A:$S,18,0)/VLOOKUP(F255,'[20]Sheet 2'!$A:$U,20,0)</f>
        <v>#N/A</v>
      </c>
      <c r="CB255" s="8" t="e">
        <f t="shared" si="135"/>
        <v>#N/A</v>
      </c>
      <c r="CC255" s="54">
        <f t="shared" si="165"/>
        <v>52.3</v>
      </c>
      <c r="CD255" s="54">
        <f t="shared" si="166"/>
        <v>10.433333333333334</v>
      </c>
      <c r="CE255" s="38">
        <v>38632</v>
      </c>
      <c r="CF255" s="39">
        <v>38920</v>
      </c>
      <c r="CG255" s="39">
        <v>38846</v>
      </c>
      <c r="CH255" s="39">
        <v>38900</v>
      </c>
      <c r="CI255" s="40">
        <f t="shared" si="158"/>
        <v>-85</v>
      </c>
      <c r="CJ255" s="40">
        <f t="shared" si="159"/>
        <v>203</v>
      </c>
      <c r="CK255" s="41">
        <f t="shared" si="160"/>
        <v>289</v>
      </c>
      <c r="CL255" s="40">
        <f t="shared" si="167"/>
        <v>129</v>
      </c>
      <c r="CM255" s="40">
        <f t="shared" si="163"/>
        <v>183</v>
      </c>
      <c r="CN255" s="42">
        <f t="shared" si="164"/>
        <v>55</v>
      </c>
      <c r="CP255" s="47">
        <v>38882</v>
      </c>
      <c r="CQ255" s="42">
        <f t="shared" si="161"/>
        <v>39</v>
      </c>
    </row>
    <row r="256" spans="1:96" s="19" customFormat="1" hidden="1" x14ac:dyDescent="0.3">
      <c r="A256" s="3">
        <v>1</v>
      </c>
      <c r="C256" s="19" t="s">
        <v>228</v>
      </c>
      <c r="D256" s="3" t="s">
        <v>218</v>
      </c>
      <c r="E256" s="9" t="s">
        <v>221</v>
      </c>
      <c r="F256" s="6" t="str">
        <f t="shared" si="124"/>
        <v>In ChineseBeinong 95492010OTC</v>
      </c>
      <c r="G256" s="3" t="s">
        <v>219</v>
      </c>
      <c r="H256" s="3" t="s">
        <v>220</v>
      </c>
      <c r="I256" s="3" t="s">
        <v>220</v>
      </c>
      <c r="J256" s="3" t="s">
        <v>94</v>
      </c>
      <c r="K256" s="4" t="s">
        <v>222</v>
      </c>
      <c r="L256" s="3">
        <v>2010</v>
      </c>
      <c r="M256" s="4" t="s">
        <v>223</v>
      </c>
      <c r="N256" s="4" t="s">
        <v>49</v>
      </c>
      <c r="O256" s="4" t="s">
        <v>101</v>
      </c>
      <c r="P256" s="32" t="s">
        <v>267</v>
      </c>
      <c r="R256" s="19">
        <v>5.6845238095238075</v>
      </c>
      <c r="T256" s="4">
        <v>10</v>
      </c>
      <c r="U256" s="19">
        <f t="shared" si="162"/>
        <v>69</v>
      </c>
      <c r="V256" s="3">
        <v>3</v>
      </c>
      <c r="W256" s="3">
        <f t="shared" si="154"/>
        <v>5.6845238095238075</v>
      </c>
      <c r="X256" s="29">
        <v>40273</v>
      </c>
      <c r="Y256" s="29">
        <v>40341</v>
      </c>
      <c r="Z256" s="61">
        <v>0.97416666666666596</v>
      </c>
      <c r="AA256" s="62" t="s">
        <v>227</v>
      </c>
      <c r="AB256" s="61">
        <v>0.1611802533627304</v>
      </c>
      <c r="AC256" s="61"/>
      <c r="AD256" s="61">
        <v>0.97416666666666596</v>
      </c>
      <c r="AE256" s="62" t="s">
        <v>227</v>
      </c>
      <c r="AF256" s="61">
        <v>0.1611802533627304</v>
      </c>
      <c r="AG256" s="61"/>
      <c r="AH256" s="8">
        <f t="shared" si="126"/>
        <v>0</v>
      </c>
      <c r="AI256" s="8">
        <f>VLOOKUP(F256,'[1]Sheet 2'!$B:$W,18,0)/VLOOKUP(F256,'[1]Sheet 2'!$B:$W,20,0)</f>
        <v>0.98119684550225772</v>
      </c>
      <c r="AJ256" s="8">
        <f t="shared" si="127"/>
        <v>-7.1649015870950275E-3</v>
      </c>
      <c r="AK256" s="61"/>
      <c r="AL256" s="61"/>
      <c r="AM256" s="61"/>
      <c r="AN256" s="61"/>
      <c r="AO256" s="61"/>
      <c r="AP256" s="61"/>
      <c r="AQ256" s="61"/>
      <c r="AR256" s="61"/>
      <c r="AS256" s="8" t="e">
        <f t="shared" si="128"/>
        <v>#DIV/0!</v>
      </c>
      <c r="AT256" s="8" t="e">
        <f>VLOOKUP(F256,'[2]Sheet 2'!$B:$T,19,0)</f>
        <v>#N/A</v>
      </c>
      <c r="AU256" s="8" t="e">
        <f t="shared" si="129"/>
        <v>#N/A</v>
      </c>
      <c r="AV256" s="63"/>
      <c r="AW256" s="61"/>
      <c r="AX256" s="61"/>
      <c r="AY256" s="61"/>
      <c r="AZ256" s="61"/>
      <c r="BA256" s="61"/>
      <c r="BB256" s="61"/>
      <c r="BC256" s="61"/>
      <c r="BD256" s="8" t="e">
        <f t="shared" si="130"/>
        <v>#DIV/0!</v>
      </c>
      <c r="BE256" s="8" t="e">
        <f>VLOOKUP(F256,'[3]Sheet 2'!$B:$T,18,0)/VLOOKUP(F256,'[3]Sheet 2'!$B:$U,20,0)</f>
        <v>#N/A</v>
      </c>
      <c r="BF256" s="8" t="e">
        <f t="shared" si="131"/>
        <v>#N/A</v>
      </c>
      <c r="BG256" s="61"/>
      <c r="BH256" s="61"/>
      <c r="BI256" s="61"/>
      <c r="BJ256" s="61"/>
      <c r="BK256" s="61"/>
      <c r="BL256" s="61"/>
      <c r="BM256" s="61"/>
      <c r="BN256" s="61"/>
      <c r="BO256" s="8" t="e">
        <f t="shared" si="132"/>
        <v>#DIV/0!</v>
      </c>
      <c r="BP256" s="8" t="e">
        <f>VLOOKUP(F256,'[4]Sheet 2'!$B:$T,18,0)/VLOOKUP(F256,'[4]Sheet 2'!$B:$U,20,0)</f>
        <v>#N/A</v>
      </c>
      <c r="BQ256" s="8" t="e">
        <f t="shared" si="133"/>
        <v>#N/A</v>
      </c>
      <c r="BR256" s="61"/>
      <c r="BS256" s="61"/>
      <c r="BT256" s="61"/>
      <c r="BU256" s="61"/>
      <c r="BV256" s="61"/>
      <c r="BW256" s="61"/>
      <c r="BX256" s="61"/>
      <c r="BY256" s="61"/>
      <c r="BZ256" s="8" t="e">
        <f t="shared" si="134"/>
        <v>#DIV/0!</v>
      </c>
      <c r="CA256" s="8" t="e">
        <f>VLOOKUP(F256,'[5]Sheet 2'!$B:$T,18,0)/VLOOKUP(F256,'[5]Sheet 2'!$B:$U,20,0)</f>
        <v>#N/A</v>
      </c>
      <c r="CB256" s="8" t="e">
        <f t="shared" si="135"/>
        <v>#N/A</v>
      </c>
      <c r="CC256" s="25">
        <f>40+12/60</f>
        <v>40.200000000000003</v>
      </c>
      <c r="CD256" s="25">
        <f>116+8/60</f>
        <v>116.13333333333334</v>
      </c>
      <c r="CE256" s="20">
        <v>40084</v>
      </c>
      <c r="CF256" s="20">
        <v>40352</v>
      </c>
      <c r="CG256" s="20">
        <v>40273</v>
      </c>
      <c r="CH256" s="20">
        <v>40341</v>
      </c>
      <c r="CI256" s="21">
        <f t="shared" si="158"/>
        <v>-94</v>
      </c>
      <c r="CJ256" s="21">
        <f t="shared" si="159"/>
        <v>174</v>
      </c>
      <c r="CK256" s="30">
        <f t="shared" si="160"/>
        <v>269</v>
      </c>
      <c r="CL256" s="21">
        <f t="shared" si="167"/>
        <v>95</v>
      </c>
      <c r="CM256" s="21">
        <f t="shared" si="163"/>
        <v>163</v>
      </c>
      <c r="CN256" s="19">
        <f t="shared" si="164"/>
        <v>69</v>
      </c>
      <c r="CP256" s="29">
        <v>40318</v>
      </c>
      <c r="CQ256" s="19">
        <f t="shared" si="161"/>
        <v>35</v>
      </c>
      <c r="CR256" s="19" t="s">
        <v>249</v>
      </c>
    </row>
    <row r="257" spans="1:96" s="19" customFormat="1" hidden="1" x14ac:dyDescent="0.3">
      <c r="A257" s="3">
        <v>1</v>
      </c>
      <c r="C257" s="19" t="s">
        <v>228</v>
      </c>
      <c r="D257" s="3" t="s">
        <v>218</v>
      </c>
      <c r="E257" s="9" t="s">
        <v>221</v>
      </c>
      <c r="F257" s="6" t="str">
        <f t="shared" si="124"/>
        <v>In ChineseBeinong 95492010OTC</v>
      </c>
      <c r="G257" s="3" t="s">
        <v>219</v>
      </c>
      <c r="H257" s="3" t="s">
        <v>220</v>
      </c>
      <c r="I257" s="3" t="s">
        <v>220</v>
      </c>
      <c r="J257" s="3" t="s">
        <v>94</v>
      </c>
      <c r="K257" s="4" t="s">
        <v>222</v>
      </c>
      <c r="L257" s="3">
        <v>2010</v>
      </c>
      <c r="M257" s="4" t="s">
        <v>223</v>
      </c>
      <c r="N257" s="4" t="s">
        <v>49</v>
      </c>
      <c r="O257" s="4" t="s">
        <v>224</v>
      </c>
      <c r="P257" s="4"/>
      <c r="R257" s="19">
        <v>12.142857142857167</v>
      </c>
      <c r="T257" s="4">
        <v>10</v>
      </c>
      <c r="U257" s="19">
        <f t="shared" si="162"/>
        <v>69</v>
      </c>
      <c r="V257" s="3">
        <v>3</v>
      </c>
      <c r="W257" s="3">
        <f t="shared" si="154"/>
        <v>12.142857142857167</v>
      </c>
      <c r="X257" s="29">
        <v>40273</v>
      </c>
      <c r="Y257" s="29">
        <v>40341</v>
      </c>
      <c r="Z257" s="61">
        <v>0.73266666666666669</v>
      </c>
      <c r="AA257" s="62" t="s">
        <v>227</v>
      </c>
      <c r="AB257" s="61">
        <v>0.13655483229172882</v>
      </c>
      <c r="AC257" s="61"/>
      <c r="AD257" s="61">
        <v>0.97416666666666596</v>
      </c>
      <c r="AE257" s="62" t="s">
        <v>227</v>
      </c>
      <c r="AF257" s="61">
        <v>0.1611802533627304</v>
      </c>
      <c r="AG257" s="61"/>
      <c r="AH257" s="8">
        <f t="shared" si="126"/>
        <v>-0.24790419161676591</v>
      </c>
      <c r="AI257" s="8">
        <f>VLOOKUP(F257,'[1]Sheet 2'!$B:$W,18,0)/VLOOKUP(F257,'[1]Sheet 2'!$B:$W,20,0)</f>
        <v>0.98119684550225772</v>
      </c>
      <c r="AJ257" s="8">
        <f t="shared" si="127"/>
        <v>-0.25329288406789846</v>
      </c>
      <c r="AK257" s="61"/>
      <c r="AL257" s="61"/>
      <c r="AM257" s="61"/>
      <c r="AN257" s="61"/>
      <c r="AO257" s="61"/>
      <c r="AP257" s="61"/>
      <c r="AQ257" s="61"/>
      <c r="AR257" s="61"/>
      <c r="AS257" s="8" t="e">
        <f t="shared" si="128"/>
        <v>#DIV/0!</v>
      </c>
      <c r="AT257" s="8" t="e">
        <f>VLOOKUP(F257,'[2]Sheet 2'!$B:$T,19,0)</f>
        <v>#N/A</v>
      </c>
      <c r="AU257" s="8" t="e">
        <f t="shared" si="129"/>
        <v>#N/A</v>
      </c>
      <c r="AV257" s="63"/>
      <c r="AW257" s="61"/>
      <c r="AX257" s="61"/>
      <c r="AY257" s="61"/>
      <c r="AZ257" s="61"/>
      <c r="BA257" s="61"/>
      <c r="BB257" s="61"/>
      <c r="BC257" s="61"/>
      <c r="BD257" s="8" t="e">
        <f t="shared" si="130"/>
        <v>#DIV/0!</v>
      </c>
      <c r="BE257" s="8" t="e">
        <f>VLOOKUP(F257,'[3]Sheet 2'!$B:$T,18,0)/VLOOKUP(F257,'[3]Sheet 2'!$B:$U,20,0)</f>
        <v>#N/A</v>
      </c>
      <c r="BF257" s="8" t="e">
        <f t="shared" si="131"/>
        <v>#N/A</v>
      </c>
      <c r="BG257" s="61"/>
      <c r="BH257" s="61"/>
      <c r="BI257" s="61"/>
      <c r="BJ257" s="61"/>
      <c r="BK257" s="61"/>
      <c r="BL257" s="61"/>
      <c r="BM257" s="61"/>
      <c r="BN257" s="61"/>
      <c r="BO257" s="8" t="e">
        <f t="shared" si="132"/>
        <v>#DIV/0!</v>
      </c>
      <c r="BP257" s="8" t="e">
        <f>VLOOKUP(F257,'[4]Sheet 2'!$B:$T,18,0)/VLOOKUP(F257,'[4]Sheet 2'!$B:$U,20,0)</f>
        <v>#N/A</v>
      </c>
      <c r="BQ257" s="8" t="e">
        <f t="shared" si="133"/>
        <v>#N/A</v>
      </c>
      <c r="BR257" s="61"/>
      <c r="BS257" s="61"/>
      <c r="BT257" s="61"/>
      <c r="BU257" s="61"/>
      <c r="BV257" s="61"/>
      <c r="BW257" s="61"/>
      <c r="BX257" s="61"/>
      <c r="BY257" s="61"/>
      <c r="BZ257" s="8" t="e">
        <f t="shared" si="134"/>
        <v>#DIV/0!</v>
      </c>
      <c r="CA257" s="8" t="e">
        <f>VLOOKUP(F257,'[5]Sheet 2'!$B:$T,18,0)/VLOOKUP(F257,'[5]Sheet 2'!$B:$U,20,0)</f>
        <v>#N/A</v>
      </c>
      <c r="CB257" s="8" t="e">
        <f t="shared" si="135"/>
        <v>#N/A</v>
      </c>
      <c r="CC257" s="25">
        <f>40+12/60</f>
        <v>40.200000000000003</v>
      </c>
      <c r="CD257" s="25">
        <f>116+8/60</f>
        <v>116.13333333333334</v>
      </c>
      <c r="CE257" s="20">
        <v>40084</v>
      </c>
      <c r="CF257" s="20">
        <v>40352</v>
      </c>
      <c r="CG257" s="20">
        <v>40273</v>
      </c>
      <c r="CH257" s="20">
        <v>40341</v>
      </c>
      <c r="CI257" s="21">
        <f t="shared" si="158"/>
        <v>-94</v>
      </c>
      <c r="CJ257" s="21">
        <f t="shared" si="159"/>
        <v>174</v>
      </c>
      <c r="CK257" s="30">
        <f t="shared" si="160"/>
        <v>269</v>
      </c>
      <c r="CL257" s="21">
        <f t="shared" si="167"/>
        <v>95</v>
      </c>
      <c r="CM257" s="21">
        <f t="shared" si="163"/>
        <v>163</v>
      </c>
      <c r="CN257" s="19">
        <f t="shared" si="164"/>
        <v>69</v>
      </c>
      <c r="CP257" s="29">
        <v>40318</v>
      </c>
      <c r="CQ257" s="19">
        <f t="shared" si="161"/>
        <v>35</v>
      </c>
      <c r="CR257" s="19" t="s">
        <v>249</v>
      </c>
    </row>
    <row r="258" spans="1:96" s="19" customFormat="1" hidden="1" x14ac:dyDescent="0.3">
      <c r="A258" s="3">
        <v>1</v>
      </c>
      <c r="C258" s="19" t="s">
        <v>228</v>
      </c>
      <c r="D258" s="3" t="s">
        <v>218</v>
      </c>
      <c r="E258" s="9" t="s">
        <v>221</v>
      </c>
      <c r="F258" s="6" t="str">
        <f t="shared" si="124"/>
        <v>In ChineseBeinong 95492010OTC</v>
      </c>
      <c r="G258" s="3" t="s">
        <v>219</v>
      </c>
      <c r="H258" s="3" t="s">
        <v>220</v>
      </c>
      <c r="I258" s="3" t="s">
        <v>220</v>
      </c>
      <c r="J258" s="3" t="s">
        <v>94</v>
      </c>
      <c r="K258" s="4" t="s">
        <v>222</v>
      </c>
      <c r="L258" s="3">
        <v>2010</v>
      </c>
      <c r="M258" s="4" t="s">
        <v>223</v>
      </c>
      <c r="N258" s="4" t="s">
        <v>49</v>
      </c>
      <c r="O258" s="4" t="s">
        <v>225</v>
      </c>
      <c r="P258" s="4"/>
      <c r="R258" s="19">
        <v>22.103174603174597</v>
      </c>
      <c r="T258" s="4">
        <v>10</v>
      </c>
      <c r="U258" s="19">
        <f t="shared" si="162"/>
        <v>69</v>
      </c>
      <c r="V258" s="3">
        <v>3</v>
      </c>
      <c r="W258" s="3">
        <f t="shared" si="154"/>
        <v>22.103174603174597</v>
      </c>
      <c r="X258" s="29">
        <v>40273</v>
      </c>
      <c r="Y258" s="29">
        <v>40341</v>
      </c>
      <c r="Z258" s="61">
        <v>0.27533333333333337</v>
      </c>
      <c r="AA258" s="62" t="s">
        <v>227</v>
      </c>
      <c r="AB258" s="61">
        <v>0.17114115897789253</v>
      </c>
      <c r="AC258" s="61"/>
      <c r="AD258" s="61">
        <v>0.97416666666666596</v>
      </c>
      <c r="AE258" s="62" t="s">
        <v>227</v>
      </c>
      <c r="AF258" s="61">
        <v>0.1611802533627304</v>
      </c>
      <c r="AG258" s="61"/>
      <c r="AH258" s="8">
        <f t="shared" si="126"/>
        <v>-0.71736526946107759</v>
      </c>
      <c r="AI258" s="8">
        <f>VLOOKUP(F258,'[1]Sheet 2'!$B:$W,18,0)/VLOOKUP(F258,'[1]Sheet 2'!$B:$W,20,0)</f>
        <v>0.98119684550225772</v>
      </c>
      <c r="AJ258" s="8">
        <f t="shared" si="127"/>
        <v>-0.71939031949048404</v>
      </c>
      <c r="AK258" s="61"/>
      <c r="AL258" s="61"/>
      <c r="AM258" s="61"/>
      <c r="AN258" s="61"/>
      <c r="AO258" s="61"/>
      <c r="AP258" s="61"/>
      <c r="AQ258" s="61"/>
      <c r="AR258" s="61"/>
      <c r="AS258" s="8" t="e">
        <f t="shared" si="128"/>
        <v>#DIV/0!</v>
      </c>
      <c r="AT258" s="8" t="e">
        <f>VLOOKUP(F258,'[2]Sheet 2'!$B:$T,19,0)</f>
        <v>#N/A</v>
      </c>
      <c r="AU258" s="8" t="e">
        <f t="shared" si="129"/>
        <v>#N/A</v>
      </c>
      <c r="AV258" s="63"/>
      <c r="AW258" s="61"/>
      <c r="AX258" s="61"/>
      <c r="AY258" s="61"/>
      <c r="AZ258" s="61"/>
      <c r="BA258" s="61"/>
      <c r="BB258" s="61"/>
      <c r="BC258" s="61"/>
      <c r="BD258" s="8" t="e">
        <f t="shared" si="130"/>
        <v>#DIV/0!</v>
      </c>
      <c r="BE258" s="8" t="e">
        <f>VLOOKUP(F258,'[3]Sheet 2'!$B:$T,18,0)/VLOOKUP(F258,'[3]Sheet 2'!$B:$U,20,0)</f>
        <v>#N/A</v>
      </c>
      <c r="BF258" s="8" t="e">
        <f t="shared" si="131"/>
        <v>#N/A</v>
      </c>
      <c r="BG258" s="61"/>
      <c r="BH258" s="61"/>
      <c r="BI258" s="61"/>
      <c r="BJ258" s="61"/>
      <c r="BK258" s="61"/>
      <c r="BL258" s="61"/>
      <c r="BM258" s="61"/>
      <c r="BN258" s="61"/>
      <c r="BO258" s="8" t="e">
        <f t="shared" si="132"/>
        <v>#DIV/0!</v>
      </c>
      <c r="BP258" s="8" t="e">
        <f>VLOOKUP(F258,'[4]Sheet 2'!$B:$T,18,0)/VLOOKUP(F258,'[4]Sheet 2'!$B:$U,20,0)</f>
        <v>#N/A</v>
      </c>
      <c r="BQ258" s="8" t="e">
        <f t="shared" si="133"/>
        <v>#N/A</v>
      </c>
      <c r="BR258" s="61"/>
      <c r="BS258" s="61"/>
      <c r="BT258" s="61"/>
      <c r="BU258" s="61"/>
      <c r="BV258" s="61"/>
      <c r="BW258" s="61"/>
      <c r="BX258" s="61"/>
      <c r="BY258" s="61"/>
      <c r="BZ258" s="8" t="e">
        <f t="shared" si="134"/>
        <v>#DIV/0!</v>
      </c>
      <c r="CA258" s="8" t="e">
        <f>VLOOKUP(F258,'[5]Sheet 2'!$B:$T,18,0)/VLOOKUP(F258,'[5]Sheet 2'!$B:$U,20,0)</f>
        <v>#N/A</v>
      </c>
      <c r="CB258" s="8" t="e">
        <f t="shared" si="135"/>
        <v>#N/A</v>
      </c>
      <c r="CC258" s="25">
        <f>40+12/60</f>
        <v>40.200000000000003</v>
      </c>
      <c r="CD258" s="25">
        <f>116+8/60</f>
        <v>116.13333333333334</v>
      </c>
      <c r="CE258" s="20">
        <v>40084</v>
      </c>
      <c r="CF258" s="20">
        <v>40352</v>
      </c>
      <c r="CG258" s="20">
        <v>40273</v>
      </c>
      <c r="CH258" s="20">
        <v>40341</v>
      </c>
      <c r="CI258" s="21">
        <f t="shared" si="158"/>
        <v>-94</v>
      </c>
      <c r="CJ258" s="21">
        <f t="shared" si="159"/>
        <v>174</v>
      </c>
      <c r="CK258" s="30">
        <f t="shared" si="160"/>
        <v>269</v>
      </c>
      <c r="CL258" s="21">
        <f t="shared" si="167"/>
        <v>95</v>
      </c>
      <c r="CM258" s="21">
        <f t="shared" si="163"/>
        <v>163</v>
      </c>
      <c r="CN258" s="19">
        <f t="shared" si="164"/>
        <v>69</v>
      </c>
      <c r="CP258" s="29">
        <v>40318</v>
      </c>
      <c r="CQ258" s="19">
        <f t="shared" si="161"/>
        <v>35</v>
      </c>
      <c r="CR258" s="19" t="s">
        <v>249</v>
      </c>
    </row>
    <row r="259" spans="1:96" s="19" customFormat="1" hidden="1" x14ac:dyDescent="0.3">
      <c r="A259" s="3">
        <v>1</v>
      </c>
      <c r="C259" s="19" t="s">
        <v>228</v>
      </c>
      <c r="D259" s="3" t="s">
        <v>218</v>
      </c>
      <c r="E259" s="9" t="s">
        <v>221</v>
      </c>
      <c r="F259" s="6" t="str">
        <f t="shared" si="124"/>
        <v>In ChineseBeinong 95492010OTC</v>
      </c>
      <c r="G259" s="3" t="s">
        <v>219</v>
      </c>
      <c r="H259" s="3" t="s">
        <v>220</v>
      </c>
      <c r="I259" s="3" t="s">
        <v>220</v>
      </c>
      <c r="J259" s="3" t="s">
        <v>94</v>
      </c>
      <c r="K259" s="4" t="s">
        <v>222</v>
      </c>
      <c r="L259" s="3">
        <v>2010</v>
      </c>
      <c r="M259" s="4" t="s">
        <v>223</v>
      </c>
      <c r="N259" s="4" t="s">
        <v>49</v>
      </c>
      <c r="O259" s="4" t="s">
        <v>226</v>
      </c>
      <c r="P259" s="4"/>
      <c r="R259" s="19">
        <v>39.841269841269835</v>
      </c>
      <c r="T259" s="4">
        <v>10</v>
      </c>
      <c r="U259" s="19">
        <f t="shared" si="162"/>
        <v>69</v>
      </c>
      <c r="V259" s="3">
        <v>3</v>
      </c>
      <c r="W259" s="3">
        <f t="shared" si="154"/>
        <v>39.841269841269835</v>
      </c>
      <c r="X259" s="29">
        <v>40273</v>
      </c>
      <c r="Y259" s="29">
        <v>40341</v>
      </c>
      <c r="Z259" s="61">
        <v>0.2535555555555557</v>
      </c>
      <c r="AA259" s="62" t="s">
        <v>227</v>
      </c>
      <c r="AB259" s="61">
        <v>6.8094433339677962E-2</v>
      </c>
      <c r="AC259" s="61"/>
      <c r="AD259" s="61">
        <v>0.97416666666666596</v>
      </c>
      <c r="AE259" s="62" t="s">
        <v>227</v>
      </c>
      <c r="AF259" s="61">
        <v>0.1611802533627304</v>
      </c>
      <c r="AG259" s="61"/>
      <c r="AH259" s="8">
        <f t="shared" ref="AH259" si="168">(Z259-AD259)/AD259</f>
        <v>-0.73972055888223509</v>
      </c>
      <c r="AI259" s="8">
        <f>VLOOKUP(F259,'[1]Sheet 2'!$B:$W,18,0)/VLOOKUP(F259,'[1]Sheet 2'!$B:$W,20,0)</f>
        <v>0.98119684550225772</v>
      </c>
      <c r="AJ259" s="8">
        <f t="shared" ref="AJ259" si="169">(Z259-AI259)/AI259</f>
        <v>-0.74158543546298805</v>
      </c>
      <c r="AK259" s="61"/>
      <c r="AL259" s="61"/>
      <c r="AM259" s="61"/>
      <c r="AN259" s="61"/>
      <c r="AO259" s="61"/>
      <c r="AP259" s="61"/>
      <c r="AQ259" s="61"/>
      <c r="AR259" s="61"/>
      <c r="AS259" s="8" t="e">
        <f t="shared" ref="AS259" si="170">(AK259-AO259)/AO259</f>
        <v>#DIV/0!</v>
      </c>
      <c r="AT259" s="8" t="e">
        <f>VLOOKUP(F259,'[2]Sheet 2'!$B:$T,19,0)</f>
        <v>#N/A</v>
      </c>
      <c r="AU259" s="8" t="e">
        <f t="shared" ref="AU259" si="171">(AK259-AT259)/AT259</f>
        <v>#N/A</v>
      </c>
      <c r="AV259" s="63"/>
      <c r="AW259" s="61"/>
      <c r="AX259" s="61"/>
      <c r="AY259" s="61"/>
      <c r="AZ259" s="61"/>
      <c r="BA259" s="61"/>
      <c r="BB259" s="61"/>
      <c r="BC259" s="61"/>
      <c r="BD259" s="8" t="e">
        <f t="shared" ref="BD259" si="172">(AV259-AZ259)/AZ259</f>
        <v>#DIV/0!</v>
      </c>
      <c r="BE259" s="8" t="e">
        <f>VLOOKUP(F259,'[3]Sheet 2'!$B:$T,18,0)/VLOOKUP(F259,'[3]Sheet 2'!$B:$U,20,0)</f>
        <v>#N/A</v>
      </c>
      <c r="BF259" s="8" t="e">
        <f t="shared" ref="BF259" si="173">(AV259-BE259)/BE259</f>
        <v>#N/A</v>
      </c>
      <c r="BG259" s="61"/>
      <c r="BH259" s="61"/>
      <c r="BI259" s="61"/>
      <c r="BJ259" s="61"/>
      <c r="BK259" s="61"/>
      <c r="BL259" s="61"/>
      <c r="BM259" s="61"/>
      <c r="BN259" s="61"/>
      <c r="BO259" s="8" t="e">
        <f t="shared" ref="BO259" si="174">(BG259-BK259)/BK259</f>
        <v>#DIV/0!</v>
      </c>
      <c r="BP259" s="8" t="e">
        <f>VLOOKUP(F259,'[4]Sheet 2'!$B:$T,18,0)/VLOOKUP(F259,'[4]Sheet 2'!$B:$U,20,0)</f>
        <v>#N/A</v>
      </c>
      <c r="BQ259" s="8" t="e">
        <f t="shared" ref="BQ259" si="175">(BG259-BP259)/BP259</f>
        <v>#N/A</v>
      </c>
      <c r="BR259" s="61"/>
      <c r="BS259" s="61"/>
      <c r="BT259" s="61"/>
      <c r="BU259" s="61"/>
      <c r="BV259" s="61"/>
      <c r="BW259" s="61"/>
      <c r="BX259" s="61"/>
      <c r="BY259" s="61"/>
      <c r="BZ259" s="8" t="e">
        <f t="shared" ref="BZ259" si="176">(BR259-BV259)/BV259</f>
        <v>#DIV/0!</v>
      </c>
      <c r="CA259" s="8" t="e">
        <f>VLOOKUP(F259,'[5]Sheet 2'!$B:$T,18,0)/VLOOKUP(F259,'[5]Sheet 2'!$B:$U,20,0)</f>
        <v>#N/A</v>
      </c>
      <c r="CB259" s="8" t="e">
        <f t="shared" ref="CB259" si="177">(BR259-CA259)/CA259</f>
        <v>#N/A</v>
      </c>
      <c r="CC259" s="25">
        <f>40+12/60</f>
        <v>40.200000000000003</v>
      </c>
      <c r="CD259" s="25">
        <f>116+8/60</f>
        <v>116.13333333333334</v>
      </c>
      <c r="CE259" s="20">
        <v>40084</v>
      </c>
      <c r="CF259" s="20">
        <v>40352</v>
      </c>
      <c r="CG259" s="20">
        <v>40273</v>
      </c>
      <c r="CH259" s="20">
        <v>40341</v>
      </c>
      <c r="CI259" s="21">
        <f t="shared" si="158"/>
        <v>-94</v>
      </c>
      <c r="CJ259" s="21">
        <f t="shared" si="159"/>
        <v>174</v>
      </c>
      <c r="CK259" s="30">
        <f t="shared" si="160"/>
        <v>269</v>
      </c>
      <c r="CL259" s="21">
        <f t="shared" si="167"/>
        <v>95</v>
      </c>
      <c r="CM259" s="21">
        <f t="shared" si="163"/>
        <v>163</v>
      </c>
      <c r="CN259" s="19">
        <f t="shared" si="164"/>
        <v>69</v>
      </c>
      <c r="CP259" s="29">
        <v>40318</v>
      </c>
      <c r="CQ259" s="19">
        <f t="shared" si="161"/>
        <v>35</v>
      </c>
      <c r="CR259" s="19" t="s">
        <v>249</v>
      </c>
    </row>
    <row r="261" spans="1:96" x14ac:dyDescent="0.3">
      <c r="W261" s="3"/>
    </row>
  </sheetData>
  <autoFilter ref="A1:CR259" xr:uid="{C8CA833A-344A-4D39-A953-8A82F4362F38}">
    <filterColumn colId="6">
      <filters>
        <filter val="Mishra"/>
      </filters>
    </filterColumn>
    <filterColumn colId="7">
      <filters>
        <filter val="India"/>
      </filters>
    </filterColumn>
  </autoFilter>
  <phoneticPr fontId="3" type="noConversion"/>
  <pageMargins left="0.7" right="0.7" top="0.75" bottom="0.75" header="0.3" footer="0.3"/>
  <pageSetup paperSize="9"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820BA08774933E43BDBF8EB4DF8F5CEC" ma:contentTypeVersion="0" ma:contentTypeDescription="新建文档。" ma:contentTypeScope="" ma:versionID="dc5f2eb0f04c0edcf820bdbd2177c965">
  <xsd:schema xmlns:xsd="http://www.w3.org/2001/XMLSchema" xmlns:xs="http://www.w3.org/2001/XMLSchema" xmlns:p="http://schemas.microsoft.com/office/2006/metadata/properties" targetNamespace="http://schemas.microsoft.com/office/2006/metadata/properties" ma:root="true" ma:fieldsID="d1f498723cae5d6c4125846a5f63af6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7C447E-5695-45DB-A6F4-1B9662D767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D3B076E-4F7A-4979-BA4A-72E6542E6566}">
  <ds:schemaRefs>
    <ds:schemaRef ds:uri="http://purl.org/dc/elements/1.1/"/>
    <ds:schemaRef ds:uri="http://purl.org/dc/terms/"/>
    <ds:schemaRef ds:uri="http://www.w3.org/XML/1998/namespace"/>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32B1AF79-EC10-484B-8AF0-087EF82BD4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Wheat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YansenXu</dc:creator>
  <cp:lastModifiedBy>YansenXu</cp:lastModifiedBy>
  <dcterms:created xsi:type="dcterms:W3CDTF">2015-06-05T18:19:34Z</dcterms:created>
  <dcterms:modified xsi:type="dcterms:W3CDTF">2023-04-28T03:59:06Z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0x010100820BA08774933E43BDBF8EB4DF8F5CEC</vt:lpwstr>
  </property>
</Properties>
</file>